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comments6.xml" ContentType="application/vnd.openxmlformats-officedocument.spreadsheetml.comments+xml"/>
  <Override PartName="/xl/comments7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56" yWindow="12" windowWidth="23256" windowHeight="6228" tabRatio="849"/>
  </bookViews>
  <sheets>
    <sheet name="Tableau de Bord" sheetId="49" r:id="rId1"/>
    <sheet name="Ordre de Fabrication" sheetId="39" r:id="rId2"/>
    <sheet name="ARM" sheetId="29" r:id="rId3"/>
    <sheet name="ABRIS DE TERRASSES" sheetId="36" r:id="rId4"/>
    <sheet name="VERANDAS" sheetId="35" r:id="rId5"/>
    <sheet name="CORBEILLES" sheetId="33" r:id="rId6"/>
    <sheet name="VELUMS" sheetId="43" r:id="rId7"/>
    <sheet name="Clients" sheetId="31" r:id="rId8"/>
    <sheet name="LITIGES" sheetId="18" r:id="rId9"/>
    <sheet name="TRI" sheetId="38" r:id="rId10"/>
    <sheet name="Stocks" sheetId="40" r:id="rId11"/>
    <sheet name="VERAN" sheetId="41" r:id="rId12"/>
    <sheet name="CORB" sheetId="42" r:id="rId13"/>
    <sheet name="Feuil1" sheetId="44" r:id="rId14"/>
    <sheet name="Feuil2" sheetId="47" r:id="rId15"/>
    <sheet name="Feuil3" sheetId="48" r:id="rId16"/>
    <sheet name="R TOILES" sheetId="46" r:id="rId17"/>
  </sheets>
  <externalReferences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</externalReferences>
  <definedNames>
    <definedName name="_xlnm._FilterDatabase" localSheetId="3" hidden="1">'ABRIS DE TERRASSES'!$A$3:$R$373</definedName>
    <definedName name="_xlnm._FilterDatabase" localSheetId="2" hidden="1">ARM!$A$2:$R$385</definedName>
    <definedName name="_xlnm._FilterDatabase" localSheetId="5" hidden="1">CORBEILLES!$B$2:$Q$103</definedName>
    <definedName name="_xlnm._FilterDatabase" localSheetId="14" hidden="1">Feuil2!$A$1:$J$47</definedName>
    <definedName name="_xlnm._FilterDatabase" localSheetId="8" hidden="1">LITIGES!$A$1:$I$1</definedName>
    <definedName name="_xlnm._FilterDatabase" localSheetId="10" hidden="1">Stocks!$A$2:$F$431</definedName>
    <definedName name="_xlnm._FilterDatabase" localSheetId="9" hidden="1">TRI!$A$1:$H$3</definedName>
    <definedName name="_xlnm._FilterDatabase" localSheetId="6" hidden="1">VELUMS!$A$2:$N$20</definedName>
    <definedName name="_xlnm._FilterDatabase" localSheetId="4" hidden="1">VERANDAS!$B$2:$P$94</definedName>
    <definedName name="entrees">Stocks!$B:$B</definedName>
    <definedName name="Identifiant">Clients!$A:$A</definedName>
    <definedName name="identifiants">Clients!$A$1</definedName>
    <definedName name="references">Stocks!$A:$A</definedName>
    <definedName name="sorties">Stocks!$C:$C</definedName>
  </definedNames>
  <calcPr calcId="125725"/>
</workbook>
</file>

<file path=xl/calcChain.xml><?xml version="1.0" encoding="utf-8"?>
<calcChain xmlns="http://schemas.openxmlformats.org/spreadsheetml/2006/main">
  <c r="C389" i="40"/>
  <c r="C388"/>
  <c r="C380"/>
  <c r="C378"/>
  <c r="C375"/>
  <c r="C374"/>
  <c r="C371"/>
  <c r="C369"/>
  <c r="C367"/>
  <c r="C364"/>
  <c r="C362"/>
  <c r="C360"/>
  <c r="C358"/>
  <c r="C356"/>
  <c r="C355"/>
  <c r="C352"/>
  <c r="C350"/>
  <c r="C349"/>
  <c r="C346"/>
  <c r="C344"/>
  <c r="C342"/>
  <c r="C317"/>
  <c r="C314"/>
  <c r="C309"/>
  <c r="C306"/>
  <c r="C304"/>
  <c r="C270"/>
  <c r="C430"/>
  <c r="C429"/>
  <c r="C387"/>
  <c r="C386"/>
  <c r="C385"/>
  <c r="C384"/>
  <c r="C383"/>
  <c r="C382"/>
  <c r="C379"/>
  <c r="C381"/>
  <c r="C376"/>
  <c r="C377"/>
  <c r="C373"/>
  <c r="C372"/>
  <c r="C370"/>
  <c r="C368"/>
  <c r="C366"/>
  <c r="C365"/>
  <c r="C363"/>
  <c r="C361"/>
  <c r="C359"/>
  <c r="C357"/>
  <c r="C354"/>
  <c r="C353"/>
  <c r="C351"/>
  <c r="C348"/>
  <c r="C347"/>
  <c r="C345"/>
  <c r="C343"/>
  <c r="C341"/>
  <c r="C318"/>
  <c r="C316"/>
  <c r="C315"/>
  <c r="C313"/>
  <c r="C308"/>
  <c r="C307"/>
  <c r="C305"/>
  <c r="C303"/>
  <c r="C302"/>
  <c r="C300"/>
  <c r="C293"/>
  <c r="C292"/>
  <c r="C291"/>
  <c r="C290"/>
  <c r="C281"/>
  <c r="C269"/>
  <c r="C267"/>
  <c r="C266"/>
  <c r="C265"/>
  <c r="C264"/>
  <c r="C263"/>
  <c r="C262"/>
  <c r="C261"/>
  <c r="C260"/>
  <c r="C240"/>
  <c r="C241"/>
  <c r="C238"/>
  <c r="C222"/>
  <c r="C215"/>
  <c r="C214"/>
  <c r="C147"/>
  <c r="C142"/>
  <c r="C139"/>
  <c r="C138"/>
  <c r="C134"/>
  <c r="C130"/>
  <c r="C129"/>
  <c r="C127"/>
  <c r="C121"/>
  <c r="C120"/>
  <c r="C119"/>
  <c r="C118"/>
  <c r="C117"/>
  <c r="C116"/>
  <c r="C115"/>
  <c r="C114"/>
  <c r="C101"/>
  <c r="C100"/>
  <c r="C10"/>
  <c r="C9"/>
  <c r="C394" l="1"/>
  <c r="C327"/>
  <c r="C326"/>
  <c r="C237"/>
  <c r="C236"/>
  <c r="C234"/>
  <c r="C232"/>
  <c r="C205"/>
  <c r="C203"/>
  <c r="C201"/>
  <c r="C199"/>
  <c r="C197"/>
  <c r="C195"/>
  <c r="C193"/>
  <c r="C191"/>
  <c r="C189"/>
  <c r="C187"/>
  <c r="C185"/>
  <c r="C183"/>
  <c r="C181"/>
  <c r="C177"/>
  <c r="C175"/>
  <c r="C172"/>
  <c r="C171"/>
  <c r="C169"/>
  <c r="C168"/>
  <c r="C166"/>
  <c r="C164"/>
  <c r="C162"/>
  <c r="C161"/>
  <c r="C159"/>
  <c r="C157"/>
  <c r="C155"/>
  <c r="C153"/>
  <c r="C151"/>
  <c r="C149"/>
  <c r="C431"/>
  <c r="C328"/>
  <c r="C289"/>
  <c r="C259"/>
  <c r="C235"/>
  <c r="C233"/>
  <c r="C204"/>
  <c r="C202"/>
  <c r="C200"/>
  <c r="C198"/>
  <c r="C196"/>
  <c r="C194"/>
  <c r="C192"/>
  <c r="C190"/>
  <c r="C188"/>
  <c r="C186"/>
  <c r="C184"/>
  <c r="C182"/>
  <c r="C180"/>
  <c r="C176"/>
  <c r="C174"/>
  <c r="C173"/>
  <c r="C170"/>
  <c r="C167"/>
  <c r="C165"/>
  <c r="C163"/>
  <c r="C160"/>
  <c r="C158"/>
  <c r="C156"/>
  <c r="C154"/>
  <c r="C152"/>
  <c r="C150"/>
  <c r="C148"/>
  <c r="C286"/>
  <c r="C284"/>
  <c r="C282"/>
  <c r="C278"/>
  <c r="C287"/>
  <c r="C285"/>
  <c r="C283"/>
  <c r="C279"/>
  <c r="C108"/>
  <c r="C294"/>
  <c r="C406"/>
  <c r="C405"/>
  <c r="C404"/>
  <c r="C301"/>
  <c r="C13"/>
  <c r="C12"/>
  <c r="C11"/>
  <c r="C113"/>
  <c r="C337"/>
  <c r="C390"/>
  <c r="C391"/>
  <c r="C339"/>
  <c r="C338"/>
  <c r="C336"/>
  <c r="C335"/>
  <c r="C144"/>
  <c r="C143"/>
  <c r="C334"/>
  <c r="C333"/>
  <c r="C332"/>
  <c r="C331"/>
  <c r="C330"/>
  <c r="C329"/>
  <c r="C219"/>
  <c r="C218"/>
  <c r="C141"/>
  <c r="C140"/>
  <c r="C132"/>
  <c r="C131"/>
  <c r="C124"/>
  <c r="C123"/>
  <c r="C112"/>
  <c r="C102"/>
  <c r="C24"/>
  <c r="C23"/>
  <c r="C22"/>
  <c r="C21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33"/>
  <c r="C32"/>
  <c r="C31"/>
  <c r="C30"/>
  <c r="C29"/>
  <c r="C28"/>
  <c r="C27"/>
  <c r="C26"/>
  <c r="C407"/>
  <c r="C395"/>
  <c r="C393"/>
  <c r="C392"/>
  <c r="C277"/>
  <c r="C276"/>
  <c r="C275"/>
  <c r="C274"/>
  <c r="C273"/>
  <c r="C137"/>
  <c r="C136"/>
  <c r="C135"/>
  <c r="C325"/>
  <c r="C324"/>
  <c r="C258"/>
  <c r="C257"/>
  <c r="C231"/>
  <c r="C230"/>
  <c r="C229"/>
  <c r="C228"/>
  <c r="C227"/>
  <c r="C226"/>
  <c r="C225"/>
  <c r="C224"/>
  <c r="C223"/>
  <c r="C104"/>
  <c r="C255"/>
  <c r="C254"/>
  <c r="C256"/>
  <c r="C340"/>
  <c r="C272"/>
  <c r="C288"/>
  <c r="C268"/>
  <c r="C323"/>
  <c r="C243"/>
  <c r="C242"/>
  <c r="C217"/>
  <c r="C216"/>
  <c r="C239"/>
  <c r="C146"/>
  <c r="C145"/>
  <c r="C126"/>
  <c r="C125"/>
  <c r="C8"/>
  <c r="C7"/>
  <c r="C6"/>
  <c r="C4"/>
  <c r="C3"/>
  <c r="C212"/>
  <c r="C211"/>
  <c r="C210"/>
  <c r="C209"/>
  <c r="C208"/>
  <c r="C207"/>
  <c r="C206"/>
  <c r="C133"/>
  <c r="C128"/>
  <c r="C5"/>
  <c r="C110"/>
  <c r="C103"/>
  <c r="C213"/>
  <c r="C321"/>
  <c r="C220"/>
  <c r="C179"/>
  <c r="C178"/>
  <c r="C271"/>
  <c r="C322"/>
  <c r="C280"/>
  <c r="C111"/>
  <c r="C109"/>
  <c r="C428"/>
  <c r="C427"/>
  <c r="C426"/>
  <c r="C299"/>
  <c r="C298"/>
  <c r="C296"/>
  <c r="C297"/>
  <c r="C295"/>
  <c r="C244"/>
  <c r="C107"/>
  <c r="C106"/>
  <c r="C320"/>
  <c r="C312"/>
  <c r="C319"/>
  <c r="C311"/>
  <c r="C310"/>
  <c r="C17"/>
  <c r="C14"/>
  <c r="C16"/>
  <c r="C15"/>
  <c r="C425"/>
  <c r="C424"/>
  <c r="C423"/>
  <c r="C422"/>
  <c r="C419"/>
  <c r="C421"/>
  <c r="C420"/>
  <c r="C400"/>
  <c r="C403"/>
  <c r="C402"/>
  <c r="C401"/>
  <c r="C396"/>
  <c r="C399"/>
  <c r="C398"/>
  <c r="C397"/>
  <c r="C253"/>
  <c r="C252"/>
  <c r="C251"/>
  <c r="C105"/>
  <c r="C18"/>
  <c r="C25"/>
  <c r="C410"/>
  <c r="C409"/>
  <c r="C408"/>
  <c r="C20"/>
  <c r="C413"/>
  <c r="C412"/>
  <c r="C411"/>
  <c r="C250"/>
  <c r="C247"/>
  <c r="C249"/>
  <c r="C248"/>
  <c r="C245"/>
  <c r="C19"/>
  <c r="F6" i="39" l="1"/>
  <c r="F5"/>
  <c r="F4"/>
  <c r="A3" i="3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"/>
  <c r="F1" i="39"/>
  <c r="R500" i="36" l="1"/>
  <c r="Q500"/>
  <c r="R499"/>
  <c r="Q499"/>
  <c r="R498"/>
  <c r="Q498"/>
  <c r="R497"/>
  <c r="Q497"/>
  <c r="R496"/>
  <c r="Q496"/>
  <c r="R495"/>
  <c r="Q495"/>
  <c r="R494"/>
  <c r="Q494"/>
  <c r="R493"/>
  <c r="Q493"/>
  <c r="R492"/>
  <c r="Q492"/>
  <c r="R491"/>
  <c r="Q491"/>
  <c r="R490"/>
  <c r="Q490"/>
  <c r="R489"/>
  <c r="Q489"/>
  <c r="R488"/>
  <c r="Q488"/>
  <c r="R487"/>
  <c r="Q487"/>
  <c r="R486"/>
  <c r="Q486"/>
  <c r="R485"/>
  <c r="Q485"/>
  <c r="R484"/>
  <c r="Q484"/>
  <c r="R483"/>
  <c r="Q483"/>
  <c r="R482"/>
  <c r="Q482"/>
  <c r="R481"/>
  <c r="Q481"/>
  <c r="R480"/>
  <c r="Q480"/>
  <c r="R479"/>
  <c r="Q479"/>
  <c r="R478"/>
  <c r="Q478"/>
  <c r="R477"/>
  <c r="Q477"/>
  <c r="R476"/>
  <c r="Q476"/>
  <c r="R475"/>
  <c r="Q475"/>
  <c r="R474"/>
  <c r="Q474"/>
  <c r="R473"/>
  <c r="Q473"/>
  <c r="R472"/>
  <c r="Q472"/>
  <c r="R471"/>
  <c r="Q471"/>
  <c r="R470"/>
  <c r="Q470"/>
  <c r="R469"/>
  <c r="Q469"/>
  <c r="R468"/>
  <c r="Q468"/>
  <c r="R467"/>
  <c r="Q467"/>
  <c r="R466"/>
  <c r="Q466"/>
  <c r="R465"/>
  <c r="Q465"/>
  <c r="R464"/>
  <c r="Q464"/>
  <c r="R463"/>
  <c r="Q463"/>
  <c r="R462"/>
  <c r="Q462"/>
  <c r="R461"/>
  <c r="Q461"/>
  <c r="R460"/>
  <c r="Q460"/>
  <c r="R459"/>
  <c r="Q459"/>
  <c r="R458"/>
  <c r="Q458"/>
  <c r="R457"/>
  <c r="Q457"/>
  <c r="R456"/>
  <c r="Q456"/>
  <c r="R455"/>
  <c r="Q455"/>
  <c r="R454"/>
  <c r="Q454"/>
  <c r="R453"/>
  <c r="Q453"/>
  <c r="R452"/>
  <c r="Q452"/>
  <c r="R451"/>
  <c r="Q451"/>
  <c r="R450"/>
  <c r="Q450"/>
  <c r="R449"/>
  <c r="Q449"/>
  <c r="R448"/>
  <c r="Q448"/>
  <c r="R447"/>
  <c r="Q447"/>
  <c r="R446"/>
  <c r="Q446"/>
  <c r="R445"/>
  <c r="Q445"/>
  <c r="R444"/>
  <c r="Q444"/>
  <c r="R443"/>
  <c r="Q443"/>
  <c r="R442"/>
  <c r="Q442"/>
  <c r="R441"/>
  <c r="Q441"/>
  <c r="R440"/>
  <c r="Q440"/>
  <c r="R439"/>
  <c r="Q439"/>
  <c r="R438"/>
  <c r="Q438"/>
  <c r="R437"/>
  <c r="Q437"/>
  <c r="R436"/>
  <c r="Q436"/>
  <c r="R435"/>
  <c r="Q435"/>
  <c r="R434"/>
  <c r="Q434"/>
  <c r="R433"/>
  <c r="Q433"/>
  <c r="R432"/>
  <c r="Q432"/>
  <c r="R431"/>
  <c r="Q431"/>
  <c r="R430"/>
  <c r="Q430"/>
  <c r="R429"/>
  <c r="Q429"/>
  <c r="R428"/>
  <c r="Q428"/>
  <c r="R427"/>
  <c r="Q427"/>
  <c r="R426"/>
  <c r="Q426"/>
  <c r="R425"/>
  <c r="Q425"/>
  <c r="R424"/>
  <c r="Q424"/>
  <c r="R423"/>
  <c r="Q423"/>
  <c r="R422"/>
  <c r="Q422"/>
  <c r="R421"/>
  <c r="Q421"/>
  <c r="R420"/>
  <c r="Q420"/>
  <c r="R419"/>
  <c r="Q419"/>
  <c r="R418"/>
  <c r="Q418"/>
  <c r="R417"/>
  <c r="Q417"/>
  <c r="R416"/>
  <c r="Q416"/>
  <c r="R415"/>
  <c r="Q415"/>
  <c r="R414"/>
  <c r="Q414"/>
  <c r="R413"/>
  <c r="Q413"/>
  <c r="R412"/>
  <c r="Q412"/>
  <c r="R411"/>
  <c r="Q411"/>
  <c r="R410"/>
  <c r="Q410"/>
  <c r="R409"/>
  <c r="Q409"/>
  <c r="R408"/>
  <c r="Q408"/>
  <c r="R407"/>
  <c r="Q407"/>
  <c r="R406"/>
  <c r="Q406"/>
  <c r="R405"/>
  <c r="Q405"/>
  <c r="R404"/>
  <c r="Q404"/>
  <c r="R403"/>
  <c r="Q403"/>
  <c r="R402"/>
  <c r="Q402"/>
  <c r="R401"/>
  <c r="Q401"/>
  <c r="R400"/>
  <c r="Q400"/>
  <c r="R399"/>
  <c r="Q399"/>
  <c r="R398"/>
  <c r="Q398"/>
  <c r="R397"/>
  <c r="Q397"/>
  <c r="R396"/>
  <c r="Q396"/>
  <c r="R395"/>
  <c r="Q395"/>
  <c r="R394"/>
  <c r="Q394"/>
  <c r="R393"/>
  <c r="Q393"/>
  <c r="R392"/>
  <c r="Q392"/>
  <c r="R391"/>
  <c r="Q391"/>
  <c r="R390"/>
  <c r="Q390"/>
  <c r="R389"/>
  <c r="Q389"/>
  <c r="R388"/>
  <c r="Q388"/>
  <c r="R387"/>
  <c r="Q387"/>
  <c r="R386"/>
  <c r="Q386"/>
  <c r="R385"/>
  <c r="Q385"/>
  <c r="R384"/>
  <c r="Q384"/>
  <c r="R383"/>
  <c r="Q383"/>
  <c r="R382"/>
  <c r="Q382"/>
  <c r="R381"/>
  <c r="Q381"/>
  <c r="R380"/>
  <c r="Q380"/>
  <c r="R379"/>
  <c r="Q379"/>
  <c r="R378"/>
  <c r="Q378"/>
  <c r="R377"/>
  <c r="Q377"/>
  <c r="R376"/>
  <c r="Q376"/>
  <c r="R375"/>
  <c r="Q375"/>
  <c r="R374"/>
  <c r="Q374"/>
  <c r="R373"/>
  <c r="Q373"/>
  <c r="R372"/>
  <c r="Q372"/>
  <c r="R371"/>
  <c r="Q371"/>
  <c r="L88" i="33"/>
  <c r="L163" i="29"/>
  <c r="L162"/>
  <c r="L161"/>
  <c r="L160"/>
  <c r="L159"/>
  <c r="K21" i="43"/>
  <c r="L93" i="35"/>
  <c r="L94"/>
  <c r="L373" i="36"/>
  <c r="L372"/>
  <c r="L371"/>
  <c r="L158" i="29"/>
  <c r="L92" i="35"/>
  <c r="L90"/>
  <c r="L89"/>
  <c r="L88"/>
  <c r="L87"/>
  <c r="L85"/>
  <c r="L213" i="36"/>
  <c r="Q206"/>
  <c r="R206"/>
  <c r="Q207"/>
  <c r="R207"/>
  <c r="Q208"/>
  <c r="R208"/>
  <c r="Q209"/>
  <c r="R209"/>
  <c r="Q210"/>
  <c r="R210"/>
  <c r="Q211"/>
  <c r="R211"/>
  <c r="Q212"/>
  <c r="R212"/>
  <c r="Q213"/>
  <c r="R213"/>
  <c r="Q214"/>
  <c r="R214"/>
  <c r="L87" i="33"/>
  <c r="L86"/>
  <c r="L157" i="29" l="1"/>
  <c r="L86" i="35"/>
  <c r="L75" i="33"/>
  <c r="L76"/>
  <c r="L77"/>
  <c r="L78"/>
  <c r="L79"/>
  <c r="L80"/>
  <c r="L81"/>
  <c r="L82"/>
  <c r="L83"/>
  <c r="L84"/>
  <c r="L85"/>
  <c r="K20" i="43" l="1"/>
  <c r="K19" l="1"/>
  <c r="L83" i="35" l="1"/>
  <c r="L84"/>
  <c r="L212" i="36" l="1"/>
  <c r="L211"/>
  <c r="L210"/>
  <c r="L208"/>
  <c r="L207"/>
  <c r="L206"/>
  <c r="L203"/>
  <c r="L204"/>
  <c r="L202"/>
  <c r="Q194"/>
  <c r="R194"/>
  <c r="Q195"/>
  <c r="R195"/>
  <c r="Q196"/>
  <c r="R196"/>
  <c r="Q197"/>
  <c r="R197"/>
  <c r="Q198"/>
  <c r="R198"/>
  <c r="Q199"/>
  <c r="R199"/>
  <c r="Q200"/>
  <c r="R200"/>
  <c r="Q201"/>
  <c r="R201"/>
  <c r="Q202"/>
  <c r="R202"/>
  <c r="Q203"/>
  <c r="R203"/>
  <c r="Q204"/>
  <c r="R204"/>
  <c r="Q205"/>
  <c r="R205"/>
  <c r="L156" i="29"/>
  <c r="R193" i="36"/>
  <c r="R192"/>
  <c r="R191"/>
  <c r="R188"/>
  <c r="R187"/>
  <c r="R186"/>
  <c r="R184"/>
  <c r="R183"/>
  <c r="R181"/>
  <c r="R180"/>
  <c r="R179"/>
  <c r="R178"/>
  <c r="P82" i="33" l="1"/>
  <c r="Q82"/>
  <c r="P83"/>
  <c r="Q83"/>
  <c r="P84"/>
  <c r="Q84"/>
  <c r="P85"/>
  <c r="Q85"/>
  <c r="P86"/>
  <c r="Q86"/>
  <c r="P87"/>
  <c r="Q87"/>
  <c r="P88"/>
  <c r="Q88"/>
  <c r="P89"/>
  <c r="Q89"/>
  <c r="P90"/>
  <c r="Q90"/>
  <c r="P91"/>
  <c r="Q91"/>
  <c r="P92"/>
  <c r="Q92"/>
  <c r="P93"/>
  <c r="Q93"/>
  <c r="P94"/>
  <c r="Q94"/>
  <c r="P95"/>
  <c r="Q95"/>
  <c r="P96"/>
  <c r="Q96"/>
  <c r="P97"/>
  <c r="Q97"/>
  <c r="P98"/>
  <c r="Q98"/>
  <c r="P99"/>
  <c r="Q99"/>
  <c r="P100"/>
  <c r="Q100"/>
  <c r="P101"/>
  <c r="Q101"/>
  <c r="P102"/>
  <c r="Q102"/>
  <c r="P103"/>
  <c r="Q103"/>
  <c r="L154" i="29"/>
  <c r="L155"/>
  <c r="L192" i="36" l="1"/>
  <c r="L193"/>
  <c r="L194"/>
  <c r="L195"/>
  <c r="L196"/>
  <c r="L197"/>
  <c r="L198"/>
  <c r="L199"/>
  <c r="L74" i="33"/>
  <c r="L82" i="35"/>
  <c r="Q190" i="36"/>
  <c r="R190"/>
  <c r="Q191"/>
  <c r="Q192"/>
  <c r="Q193"/>
  <c r="L81" i="35" l="1"/>
  <c r="L80"/>
  <c r="Q187" i="36" l="1"/>
  <c r="Q188"/>
  <c r="Q189"/>
  <c r="R189"/>
  <c r="L152" i="29"/>
  <c r="L153"/>
  <c r="Q186" i="36"/>
  <c r="R174"/>
  <c r="R175"/>
  <c r="R176"/>
  <c r="R177"/>
  <c r="R169" l="1"/>
  <c r="R170"/>
  <c r="R171"/>
  <c r="R172"/>
  <c r="R173"/>
  <c r="L187" l="1"/>
  <c r="Q124" i="29" l="1"/>
  <c r="R124"/>
  <c r="Q125"/>
  <c r="R125"/>
  <c r="Q126"/>
  <c r="R126"/>
  <c r="Q127"/>
  <c r="R127"/>
  <c r="Q128"/>
  <c r="R128"/>
  <c r="L125"/>
  <c r="L124"/>
  <c r="Q141"/>
  <c r="R141"/>
  <c r="Q142"/>
  <c r="R142"/>
  <c r="Q143"/>
  <c r="R143"/>
  <c r="Q144"/>
  <c r="R144"/>
  <c r="Q145"/>
  <c r="R145"/>
  <c r="Q146"/>
  <c r="R146"/>
  <c r="L143"/>
  <c r="L142"/>
  <c r="L141"/>
  <c r="L151"/>
  <c r="L78" i="35" l="1"/>
  <c r="L79"/>
  <c r="Q182" i="36"/>
  <c r="R182"/>
  <c r="Q183"/>
  <c r="Q184"/>
  <c r="L176"/>
  <c r="L177"/>
  <c r="L178"/>
  <c r="L179"/>
  <c r="L180"/>
  <c r="L181"/>
  <c r="L182"/>
  <c r="L183"/>
  <c r="L184"/>
  <c r="L185"/>
  <c r="L186"/>
  <c r="L188"/>
  <c r="L189"/>
  <c r="L190"/>
  <c r="L191"/>
  <c r="L146" i="29"/>
  <c r="L147"/>
  <c r="L148"/>
  <c r="L149"/>
  <c r="L150"/>
  <c r="L73" i="33"/>
  <c r="R165" i="36" l="1"/>
  <c r="R166"/>
  <c r="R167"/>
  <c r="R168"/>
  <c r="Q107"/>
  <c r="L77" i="35" l="1"/>
  <c r="L76"/>
  <c r="L75"/>
  <c r="Q176" i="36"/>
  <c r="Q177"/>
  <c r="Q178"/>
  <c r="Q179"/>
  <c r="Q180"/>
  <c r="Q181"/>
  <c r="Q145" l="1"/>
  <c r="R145"/>
  <c r="L145"/>
  <c r="R153"/>
  <c r="Q153"/>
  <c r="L153" l="1"/>
  <c r="Q152" l="1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41"/>
  <c r="Q142"/>
  <c r="Q143"/>
  <c r="Q144"/>
  <c r="Q146"/>
  <c r="Q147"/>
  <c r="Q148"/>
  <c r="Q149"/>
  <c r="Q150"/>
  <c r="Q151"/>
  <c r="Q140"/>
  <c r="Q139"/>
  <c r="Q138"/>
  <c r="Q137"/>
  <c r="Q136"/>
  <c r="Q135"/>
  <c r="Q133"/>
  <c r="Q131"/>
  <c r="Q130"/>
  <c r="Q129"/>
  <c r="Q127"/>
  <c r="Q122"/>
  <c r="L144" i="29" l="1"/>
  <c r="L145"/>
  <c r="K18" i="43"/>
  <c r="L73" i="35"/>
  <c r="L74"/>
  <c r="L175" i="36"/>
  <c r="L174"/>
  <c r="L173"/>
  <c r="L172"/>
  <c r="L171"/>
  <c r="L170"/>
  <c r="L169"/>
  <c r="L124"/>
  <c r="L122"/>
  <c r="L120"/>
  <c r="L117"/>
  <c r="K16" i="43" l="1"/>
  <c r="K17"/>
  <c r="L72" i="35" l="1"/>
  <c r="Q185" i="36"/>
  <c r="R185"/>
  <c r="Q215"/>
  <c r="R215"/>
  <c r="Q216"/>
  <c r="R216"/>
  <c r="Q217"/>
  <c r="R217"/>
  <c r="Q218"/>
  <c r="R218"/>
  <c r="Q219"/>
  <c r="R219"/>
  <c r="Q220"/>
  <c r="R220"/>
  <c r="Q221"/>
  <c r="R221"/>
  <c r="Q222"/>
  <c r="R222"/>
  <c r="Q223"/>
  <c r="R223"/>
  <c r="Q224"/>
  <c r="R224"/>
  <c r="Q225"/>
  <c r="R225"/>
  <c r="Q226"/>
  <c r="R226"/>
  <c r="Q227"/>
  <c r="R227"/>
  <c r="Q228"/>
  <c r="R228"/>
  <c r="Q229"/>
  <c r="R229"/>
  <c r="Q230"/>
  <c r="R230"/>
  <c r="Q231"/>
  <c r="R231"/>
  <c r="Q232"/>
  <c r="R232"/>
  <c r="Q233"/>
  <c r="R233"/>
  <c r="Q234"/>
  <c r="R234"/>
  <c r="Q235"/>
  <c r="R235"/>
  <c r="Q236"/>
  <c r="R236"/>
  <c r="Q237"/>
  <c r="R237"/>
  <c r="Q238"/>
  <c r="R238"/>
  <c r="Q239"/>
  <c r="R239"/>
  <c r="Q240"/>
  <c r="R240"/>
  <c r="Q241"/>
  <c r="R241"/>
  <c r="Q242"/>
  <c r="R242"/>
  <c r="Q243"/>
  <c r="R243"/>
  <c r="Q244"/>
  <c r="R244"/>
  <c r="Q245"/>
  <c r="R245"/>
  <c r="Q246"/>
  <c r="R246"/>
  <c r="Q247"/>
  <c r="R247"/>
  <c r="Q248"/>
  <c r="R248"/>
  <c r="Q249"/>
  <c r="R249"/>
  <c r="Q250"/>
  <c r="R250"/>
  <c r="Q251"/>
  <c r="R251"/>
  <c r="Q252"/>
  <c r="R252"/>
  <c r="Q253"/>
  <c r="R253"/>
  <c r="Q254"/>
  <c r="R254"/>
  <c r="Q255"/>
  <c r="R255"/>
  <c r="Q256"/>
  <c r="R256"/>
  <c r="Q257"/>
  <c r="R257"/>
  <c r="Q258"/>
  <c r="R258"/>
  <c r="Q259"/>
  <c r="R259"/>
  <c r="Q260"/>
  <c r="R260"/>
  <c r="Q261"/>
  <c r="R261"/>
  <c r="Q262"/>
  <c r="R262"/>
  <c r="Q263"/>
  <c r="R263"/>
  <c r="Q264"/>
  <c r="R264"/>
  <c r="Q265"/>
  <c r="R265"/>
  <c r="Q266"/>
  <c r="R266"/>
  <c r="Q267"/>
  <c r="R267"/>
  <c r="Q268"/>
  <c r="R268"/>
  <c r="Q269"/>
  <c r="R269"/>
  <c r="Q270"/>
  <c r="R270"/>
  <c r="Q271"/>
  <c r="R271"/>
  <c r="Q272"/>
  <c r="R272"/>
  <c r="Q273"/>
  <c r="R273"/>
  <c r="Q274"/>
  <c r="R274"/>
  <c r="Q275"/>
  <c r="R275"/>
  <c r="Q276"/>
  <c r="R276"/>
  <c r="Q277"/>
  <c r="R277"/>
  <c r="Q278"/>
  <c r="R278"/>
  <c r="Q279"/>
  <c r="R279"/>
  <c r="Q280"/>
  <c r="R280"/>
  <c r="Q281"/>
  <c r="R281"/>
  <c r="Q282"/>
  <c r="R282"/>
  <c r="Q283"/>
  <c r="R283"/>
  <c r="Q284"/>
  <c r="R284"/>
  <c r="Q285"/>
  <c r="R285"/>
  <c r="Q286"/>
  <c r="R286"/>
  <c r="Q287"/>
  <c r="R287"/>
  <c r="Q288"/>
  <c r="R288"/>
  <c r="Q289"/>
  <c r="R289"/>
  <c r="Q290"/>
  <c r="R290"/>
  <c r="Q291"/>
  <c r="R291"/>
  <c r="Q292"/>
  <c r="R292"/>
  <c r="Q293"/>
  <c r="R293"/>
  <c r="Q294"/>
  <c r="R294"/>
  <c r="Q295"/>
  <c r="R295"/>
  <c r="Q296"/>
  <c r="R296"/>
  <c r="Q297"/>
  <c r="R297"/>
  <c r="Q298"/>
  <c r="R298"/>
  <c r="Q299"/>
  <c r="R299"/>
  <c r="Q300"/>
  <c r="R300"/>
  <c r="Q301"/>
  <c r="R301"/>
  <c r="Q302"/>
  <c r="R302"/>
  <c r="Q303"/>
  <c r="R303"/>
  <c r="Q304"/>
  <c r="R304"/>
  <c r="Q305"/>
  <c r="R305"/>
  <c r="Q306"/>
  <c r="R306"/>
  <c r="Q307"/>
  <c r="R307"/>
  <c r="Q308"/>
  <c r="R308"/>
  <c r="Q309"/>
  <c r="R309"/>
  <c r="Q310"/>
  <c r="R310"/>
  <c r="Q311"/>
  <c r="R311"/>
  <c r="Q312"/>
  <c r="R312"/>
  <c r="Q313"/>
  <c r="R313"/>
  <c r="Q314"/>
  <c r="R314"/>
  <c r="Q315"/>
  <c r="R315"/>
  <c r="Q316"/>
  <c r="R316"/>
  <c r="Q317"/>
  <c r="R317"/>
  <c r="Q318"/>
  <c r="R318"/>
  <c r="Q319"/>
  <c r="R319"/>
  <c r="Q320"/>
  <c r="R320"/>
  <c r="Q321"/>
  <c r="R321"/>
  <c r="Q322"/>
  <c r="R322"/>
  <c r="Q323"/>
  <c r="R323"/>
  <c r="Q324"/>
  <c r="R324"/>
  <c r="Q325"/>
  <c r="R325"/>
  <c r="Q326"/>
  <c r="R326"/>
  <c r="Q327"/>
  <c r="R327"/>
  <c r="Q328"/>
  <c r="R328"/>
  <c r="Q329"/>
  <c r="R329"/>
  <c r="Q330"/>
  <c r="R330"/>
  <c r="Q331"/>
  <c r="R331"/>
  <c r="Q332"/>
  <c r="R332"/>
  <c r="Q333"/>
  <c r="R333"/>
  <c r="Q334"/>
  <c r="R334"/>
  <c r="Q335"/>
  <c r="R335"/>
  <c r="Q336"/>
  <c r="R336"/>
  <c r="Q337"/>
  <c r="R337"/>
  <c r="Q338"/>
  <c r="R338"/>
  <c r="Q339"/>
  <c r="R339"/>
  <c r="Q340"/>
  <c r="R340"/>
  <c r="Q341"/>
  <c r="R341"/>
  <c r="Q342"/>
  <c r="R342"/>
  <c r="Q343"/>
  <c r="R343"/>
  <c r="Q344"/>
  <c r="R344"/>
  <c r="Q345"/>
  <c r="R345"/>
  <c r="Q346"/>
  <c r="R346"/>
  <c r="Q347"/>
  <c r="R347"/>
  <c r="Q348"/>
  <c r="R348"/>
  <c r="Q349"/>
  <c r="R349"/>
  <c r="Q350"/>
  <c r="R350"/>
  <c r="Q351"/>
  <c r="R351"/>
  <c r="Q352"/>
  <c r="R352"/>
  <c r="Q353"/>
  <c r="R353"/>
  <c r="Q354"/>
  <c r="R354"/>
  <c r="Q355"/>
  <c r="R355"/>
  <c r="Q356"/>
  <c r="R356"/>
  <c r="Q357"/>
  <c r="R357"/>
  <c r="Q358"/>
  <c r="R358"/>
  <c r="Q359"/>
  <c r="R359"/>
  <c r="Q360"/>
  <c r="R360"/>
  <c r="Q361"/>
  <c r="R361"/>
  <c r="Q362"/>
  <c r="R362"/>
  <c r="Q363"/>
  <c r="R363"/>
  <c r="Q364"/>
  <c r="R364"/>
  <c r="Q365"/>
  <c r="R365"/>
  <c r="Q366"/>
  <c r="R366"/>
  <c r="Q367"/>
  <c r="R367"/>
  <c r="Q368"/>
  <c r="R368"/>
  <c r="Q369"/>
  <c r="R369"/>
  <c r="Q370"/>
  <c r="R370"/>
  <c r="Q128"/>
  <c r="Q126"/>
  <c r="Q125"/>
  <c r="Q124"/>
  <c r="Q120"/>
  <c r="Q117"/>
  <c r="Q115"/>
  <c r="L168" l="1"/>
  <c r="L167" l="1"/>
  <c r="Q106" l="1"/>
  <c r="R106"/>
  <c r="L105"/>
  <c r="K12" i="43"/>
  <c r="K13"/>
  <c r="K14"/>
  <c r="K15"/>
  <c r="L72" i="33" l="1"/>
  <c r="L71"/>
  <c r="L70"/>
  <c r="Q139" i="29"/>
  <c r="R139"/>
  <c r="Q140"/>
  <c r="R140"/>
  <c r="L139"/>
  <c r="L140"/>
  <c r="L71" i="35"/>
  <c r="L152" i="36"/>
  <c r="L155"/>
  <c r="L156"/>
  <c r="L157"/>
  <c r="L158"/>
  <c r="L159"/>
  <c r="L160"/>
  <c r="L161"/>
  <c r="L162"/>
  <c r="L163"/>
  <c r="L164"/>
  <c r="L165"/>
  <c r="L166"/>
  <c r="Q137" i="29" l="1"/>
  <c r="R137"/>
  <c r="Q138"/>
  <c r="R138"/>
  <c r="L137"/>
  <c r="Q136"/>
  <c r="R136"/>
  <c r="L136"/>
  <c r="L138" l="1"/>
  <c r="L69" i="35"/>
  <c r="L70"/>
  <c r="L69" i="33"/>
  <c r="L67"/>
  <c r="L68"/>
  <c r="L134" i="29"/>
  <c r="L135"/>
  <c r="K10" i="43"/>
  <c r="K11"/>
  <c r="L147" i="36"/>
  <c r="L148"/>
  <c r="L149"/>
  <c r="L150"/>
  <c r="L151"/>
  <c r="L154"/>
  <c r="L133" i="29" l="1"/>
  <c r="L132"/>
  <c r="L68" i="35"/>
  <c r="R164" i="36" l="1"/>
  <c r="R163"/>
  <c r="R162"/>
  <c r="R161"/>
  <c r="R160"/>
  <c r="R159"/>
  <c r="R158"/>
  <c r="R157"/>
  <c r="R156"/>
  <c r="R155"/>
  <c r="R154"/>
  <c r="R152"/>
  <c r="R151"/>
  <c r="R150"/>
  <c r="R149"/>
  <c r="R148"/>
  <c r="R147"/>
  <c r="R146"/>
  <c r="R144"/>
  <c r="R143"/>
  <c r="R142"/>
  <c r="R141"/>
  <c r="R140"/>
  <c r="R139"/>
  <c r="R138"/>
  <c r="R137"/>
  <c r="R136"/>
  <c r="R135"/>
  <c r="R134"/>
  <c r="R133"/>
  <c r="R132"/>
  <c r="R131"/>
  <c r="R130"/>
  <c r="R129"/>
  <c r="R128"/>
  <c r="R127"/>
  <c r="R126"/>
  <c r="R125"/>
  <c r="R124"/>
  <c r="R123"/>
  <c r="R122"/>
  <c r="Q132"/>
  <c r="Q134"/>
  <c r="L136"/>
  <c r="L130" i="29" l="1"/>
  <c r="L131"/>
  <c r="L66" i="35"/>
  <c r="L67"/>
  <c r="L139" i="36"/>
  <c r="L140"/>
  <c r="L141"/>
  <c r="L142"/>
  <c r="L143"/>
  <c r="L144"/>
  <c r="L146"/>
  <c r="R120"/>
  <c r="R119"/>
  <c r="R117"/>
  <c r="R116"/>
  <c r="R115"/>
  <c r="R109"/>
  <c r="L131" l="1"/>
  <c r="Q39" i="35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L129" i="29"/>
  <c r="Q120"/>
  <c r="R120"/>
  <c r="Q121"/>
  <c r="R121"/>
  <c r="L120"/>
  <c r="Q129"/>
  <c r="R129"/>
  <c r="L110"/>
  <c r="L109"/>
  <c r="L132" i="36" l="1"/>
  <c r="L133"/>
  <c r="L134"/>
  <c r="L135"/>
  <c r="L137"/>
  <c r="L138"/>
  <c r="P66" i="33"/>
  <c r="Q66"/>
  <c r="P67"/>
  <c r="Q67"/>
  <c r="P68"/>
  <c r="Q68"/>
  <c r="P69"/>
  <c r="Q69"/>
  <c r="P70"/>
  <c r="Q70"/>
  <c r="P71"/>
  <c r="Q71"/>
  <c r="P72"/>
  <c r="Q72"/>
  <c r="P73"/>
  <c r="Q73"/>
  <c r="P74"/>
  <c r="Q74"/>
  <c r="P75"/>
  <c r="Q75"/>
  <c r="P76"/>
  <c r="Q76"/>
  <c r="P77"/>
  <c r="Q77"/>
  <c r="P78"/>
  <c r="Q78"/>
  <c r="P79"/>
  <c r="Q79"/>
  <c r="P80"/>
  <c r="Q80"/>
  <c r="P81"/>
  <c r="Q81"/>
  <c r="L65"/>
  <c r="L66"/>
  <c r="L119" i="29"/>
  <c r="L121"/>
  <c r="L126"/>
  <c r="L127"/>
  <c r="L128"/>
  <c r="L65" i="35"/>
  <c r="L64"/>
  <c r="L63"/>
  <c r="L62"/>
  <c r="L130" i="36"/>
  <c r="L61" i="35" l="1"/>
  <c r="Q115" i="29" l="1"/>
  <c r="R115"/>
  <c r="Q116"/>
  <c r="R116"/>
  <c r="Q117"/>
  <c r="R117"/>
  <c r="Q118"/>
  <c r="R118"/>
  <c r="Q119"/>
  <c r="R119"/>
  <c r="Q122"/>
  <c r="R122"/>
  <c r="Q123"/>
  <c r="R123"/>
  <c r="Q130"/>
  <c r="R130"/>
  <c r="Q131"/>
  <c r="R131"/>
  <c r="Q132"/>
  <c r="R132"/>
  <c r="Q133"/>
  <c r="R133"/>
  <c r="Q134"/>
  <c r="R134"/>
  <c r="Q135"/>
  <c r="R135"/>
  <c r="Q147"/>
  <c r="R147"/>
  <c r="Q148"/>
  <c r="R148"/>
  <c r="Q149"/>
  <c r="R149"/>
  <c r="Q150"/>
  <c r="R150"/>
  <c r="Q151"/>
  <c r="R151"/>
  <c r="Q152"/>
  <c r="R152"/>
  <c r="Q153"/>
  <c r="R153"/>
  <c r="Q154"/>
  <c r="R154"/>
  <c r="Q155"/>
  <c r="R155"/>
  <c r="Q156"/>
  <c r="R156"/>
  <c r="Q157"/>
  <c r="R157"/>
  <c r="Q158"/>
  <c r="R158"/>
  <c r="Q159"/>
  <c r="R159"/>
  <c r="Q160"/>
  <c r="R160"/>
  <c r="Q161"/>
  <c r="R161"/>
  <c r="Q162"/>
  <c r="R162"/>
  <c r="Q163"/>
  <c r="R163"/>
  <c r="Q164"/>
  <c r="R164"/>
  <c r="Q165"/>
  <c r="R165"/>
  <c r="Q166"/>
  <c r="R166"/>
  <c r="Q167"/>
  <c r="R167"/>
  <c r="Q168"/>
  <c r="R168"/>
  <c r="Q169"/>
  <c r="R169"/>
  <c r="Q170"/>
  <c r="R170"/>
  <c r="Q171"/>
  <c r="R171"/>
  <c r="Q172"/>
  <c r="R172"/>
  <c r="Q173"/>
  <c r="R173"/>
  <c r="Q174"/>
  <c r="R174"/>
  <c r="Q175"/>
  <c r="R175"/>
  <c r="Q176"/>
  <c r="R176"/>
  <c r="Q177"/>
  <c r="R177"/>
  <c r="Q178"/>
  <c r="R178"/>
  <c r="Q179"/>
  <c r="R179"/>
  <c r="Q180"/>
  <c r="R180"/>
  <c r="Q181"/>
  <c r="R181"/>
  <c r="Q182"/>
  <c r="R182"/>
  <c r="Q183"/>
  <c r="R183"/>
  <c r="Q184"/>
  <c r="R184"/>
  <c r="Q185"/>
  <c r="R185"/>
  <c r="Q186"/>
  <c r="R186"/>
  <c r="Q187"/>
  <c r="R187"/>
  <c r="Q188"/>
  <c r="R188"/>
  <c r="Q189"/>
  <c r="R189"/>
  <c r="Q190"/>
  <c r="R190"/>
  <c r="Q191"/>
  <c r="R191"/>
  <c r="Q192"/>
  <c r="R192"/>
  <c r="Q193"/>
  <c r="R193"/>
  <c r="Q194"/>
  <c r="R194"/>
  <c r="Q195"/>
  <c r="R195"/>
  <c r="Q196"/>
  <c r="R196"/>
  <c r="Q197"/>
  <c r="R197"/>
  <c r="Q198"/>
  <c r="R198"/>
  <c r="Q199"/>
  <c r="R199"/>
  <c r="Q200"/>
  <c r="R200"/>
  <c r="Q201"/>
  <c r="R201"/>
  <c r="Q202"/>
  <c r="R202"/>
  <c r="Q203"/>
  <c r="R203"/>
  <c r="Q204"/>
  <c r="R204"/>
  <c r="Q205"/>
  <c r="R205"/>
  <c r="Q206"/>
  <c r="R206"/>
  <c r="Q207"/>
  <c r="R207"/>
  <c r="Q208"/>
  <c r="R208"/>
  <c r="Q209"/>
  <c r="R209"/>
  <c r="Q210"/>
  <c r="R210"/>
  <c r="Q211"/>
  <c r="R211"/>
  <c r="Q212"/>
  <c r="R212"/>
  <c r="Q213"/>
  <c r="R213"/>
  <c r="Q214"/>
  <c r="R214"/>
  <c r="Q215"/>
  <c r="R215"/>
  <c r="Q216"/>
  <c r="R216"/>
  <c r="Q217"/>
  <c r="R217"/>
  <c r="Q218"/>
  <c r="R218"/>
  <c r="Q219"/>
  <c r="R219"/>
  <c r="Q220"/>
  <c r="R220"/>
  <c r="Q221"/>
  <c r="R221"/>
  <c r="Q222"/>
  <c r="R222"/>
  <c r="Q223"/>
  <c r="R223"/>
  <c r="Q224"/>
  <c r="R224"/>
  <c r="Q225"/>
  <c r="R225"/>
  <c r="Q226"/>
  <c r="R226"/>
  <c r="Q227"/>
  <c r="R227"/>
  <c r="Q228"/>
  <c r="R228"/>
  <c r="Q229"/>
  <c r="R229"/>
  <c r="Q230"/>
  <c r="R230"/>
  <c r="Q231"/>
  <c r="R231"/>
  <c r="Q232"/>
  <c r="R232"/>
  <c r="Q233"/>
  <c r="R233"/>
  <c r="Q234"/>
  <c r="R234"/>
  <c r="Q235"/>
  <c r="R235"/>
  <c r="Q236"/>
  <c r="R236"/>
  <c r="Q237"/>
  <c r="R237"/>
  <c r="Q238"/>
  <c r="R238"/>
  <c r="Q239"/>
  <c r="R239"/>
  <c r="Q240"/>
  <c r="R240"/>
  <c r="Q241"/>
  <c r="R241"/>
  <c r="Q242"/>
  <c r="R242"/>
  <c r="Q243"/>
  <c r="R243"/>
  <c r="Q244"/>
  <c r="R244"/>
  <c r="Q245"/>
  <c r="R245"/>
  <c r="Q246"/>
  <c r="R246"/>
  <c r="Q247"/>
  <c r="R247"/>
  <c r="Q248"/>
  <c r="R248"/>
  <c r="Q249"/>
  <c r="R249"/>
  <c r="Q250"/>
  <c r="R250"/>
  <c r="Q251"/>
  <c r="R251"/>
  <c r="Q252"/>
  <c r="R252"/>
  <c r="Q253"/>
  <c r="R253"/>
  <c r="Q254"/>
  <c r="R254"/>
  <c r="Q255"/>
  <c r="R255"/>
  <c r="Q256"/>
  <c r="R256"/>
  <c r="Q257"/>
  <c r="R257"/>
  <c r="Q258"/>
  <c r="R258"/>
  <c r="Q259"/>
  <c r="R259"/>
  <c r="Q260"/>
  <c r="R260"/>
  <c r="Q261"/>
  <c r="R261"/>
  <c r="Q262"/>
  <c r="R262"/>
  <c r="Q263"/>
  <c r="R263"/>
  <c r="Q264"/>
  <c r="R264"/>
  <c r="Q265"/>
  <c r="R265"/>
  <c r="Q266"/>
  <c r="R266"/>
  <c r="Q267"/>
  <c r="R267"/>
  <c r="Q268"/>
  <c r="R268"/>
  <c r="Q269"/>
  <c r="R269"/>
  <c r="Q270"/>
  <c r="R270"/>
  <c r="Q271"/>
  <c r="R271"/>
  <c r="Q272"/>
  <c r="R272"/>
  <c r="Q273"/>
  <c r="R273"/>
  <c r="Q274"/>
  <c r="R274"/>
  <c r="Q275"/>
  <c r="R275"/>
  <c r="Q276"/>
  <c r="R276"/>
  <c r="Q277"/>
  <c r="R277"/>
  <c r="Q278"/>
  <c r="R278"/>
  <c r="Q279"/>
  <c r="R279"/>
  <c r="Q280"/>
  <c r="R280"/>
  <c r="Q281"/>
  <c r="R281"/>
  <c r="Q282"/>
  <c r="R282"/>
  <c r="Q283"/>
  <c r="R283"/>
  <c r="Q284"/>
  <c r="R284"/>
  <c r="Q285"/>
  <c r="R285"/>
  <c r="Q286"/>
  <c r="R286"/>
  <c r="Q287"/>
  <c r="R287"/>
  <c r="Q288"/>
  <c r="R288"/>
  <c r="Q289"/>
  <c r="R289"/>
  <c r="Q290"/>
  <c r="R290"/>
  <c r="Q291"/>
  <c r="R291"/>
  <c r="Q292"/>
  <c r="R292"/>
  <c r="Q293"/>
  <c r="R293"/>
  <c r="Q294"/>
  <c r="R294"/>
  <c r="Q295"/>
  <c r="R295"/>
  <c r="Q296"/>
  <c r="R296"/>
  <c r="Q297"/>
  <c r="R297"/>
  <c r="Q298"/>
  <c r="R298"/>
  <c r="Q299"/>
  <c r="R299"/>
  <c r="Q300"/>
  <c r="R300"/>
  <c r="Q301"/>
  <c r="R301"/>
  <c r="Q302"/>
  <c r="R302"/>
  <c r="Q303"/>
  <c r="R303"/>
  <c r="Q304"/>
  <c r="R304"/>
  <c r="Q305"/>
  <c r="R305"/>
  <c r="Q306"/>
  <c r="R306"/>
  <c r="Q307"/>
  <c r="R307"/>
  <c r="Q308"/>
  <c r="R308"/>
  <c r="Q309"/>
  <c r="R309"/>
  <c r="Q310"/>
  <c r="R310"/>
  <c r="Q311"/>
  <c r="R311"/>
  <c r="Q312"/>
  <c r="R312"/>
  <c r="Q313"/>
  <c r="R313"/>
  <c r="Q314"/>
  <c r="R314"/>
  <c r="Q315"/>
  <c r="R315"/>
  <c r="Q316"/>
  <c r="R316"/>
  <c r="Q317"/>
  <c r="R317"/>
  <c r="Q318"/>
  <c r="R318"/>
  <c r="Q319"/>
  <c r="R319"/>
  <c r="Q320"/>
  <c r="R320"/>
  <c r="Q321"/>
  <c r="R321"/>
  <c r="Q322"/>
  <c r="R322"/>
  <c r="Q323"/>
  <c r="R323"/>
  <c r="Q324"/>
  <c r="R324"/>
  <c r="Q325"/>
  <c r="R325"/>
  <c r="Q326"/>
  <c r="R326"/>
  <c r="Q327"/>
  <c r="R327"/>
  <c r="Q328"/>
  <c r="R328"/>
  <c r="Q329"/>
  <c r="R329"/>
  <c r="Q330"/>
  <c r="R330"/>
  <c r="Q331"/>
  <c r="R331"/>
  <c r="Q332"/>
  <c r="R332"/>
  <c r="Q333"/>
  <c r="R333"/>
  <c r="Q334"/>
  <c r="R334"/>
  <c r="Q335"/>
  <c r="R335"/>
  <c r="Q336"/>
  <c r="R336"/>
  <c r="Q337"/>
  <c r="R337"/>
  <c r="Q338"/>
  <c r="R338"/>
  <c r="Q339"/>
  <c r="R339"/>
  <c r="Q340"/>
  <c r="R340"/>
  <c r="Q341"/>
  <c r="R341"/>
  <c r="Q342"/>
  <c r="R342"/>
  <c r="Q343"/>
  <c r="R343"/>
  <c r="Q344"/>
  <c r="R344"/>
  <c r="Q345"/>
  <c r="R345"/>
  <c r="Q346"/>
  <c r="R346"/>
  <c r="Q347"/>
  <c r="R347"/>
  <c r="Q348"/>
  <c r="R348"/>
  <c r="Q349"/>
  <c r="R349"/>
  <c r="Q350"/>
  <c r="R350"/>
  <c r="Q351"/>
  <c r="R351"/>
  <c r="Q352"/>
  <c r="R352"/>
  <c r="Q353"/>
  <c r="R353"/>
  <c r="Q354"/>
  <c r="R354"/>
  <c r="Q355"/>
  <c r="R355"/>
  <c r="Q356"/>
  <c r="R356"/>
  <c r="Q357"/>
  <c r="R357"/>
  <c r="Q358"/>
  <c r="R358"/>
  <c r="Q359"/>
  <c r="R359"/>
  <c r="Q360"/>
  <c r="R360"/>
  <c r="Q361"/>
  <c r="R361"/>
  <c r="Q362"/>
  <c r="R362"/>
  <c r="Q363"/>
  <c r="R363"/>
  <c r="Q364"/>
  <c r="R364"/>
  <c r="Q365"/>
  <c r="R365"/>
  <c r="Q366"/>
  <c r="R366"/>
  <c r="Q367"/>
  <c r="R367"/>
  <c r="Q368"/>
  <c r="R368"/>
  <c r="Q369"/>
  <c r="R369"/>
  <c r="Q370"/>
  <c r="R370"/>
  <c r="Q371"/>
  <c r="R371"/>
  <c r="Q372"/>
  <c r="R372"/>
  <c r="Q373"/>
  <c r="R373"/>
  <c r="Q374"/>
  <c r="R374"/>
  <c r="Q375"/>
  <c r="R375"/>
  <c r="Q376"/>
  <c r="R376"/>
  <c r="Q377"/>
  <c r="R377"/>
  <c r="Q378"/>
  <c r="R378"/>
  <c r="Q379"/>
  <c r="R379"/>
  <c r="Q380"/>
  <c r="R380"/>
  <c r="Q381"/>
  <c r="R381"/>
  <c r="Q382"/>
  <c r="R382"/>
  <c r="Q383"/>
  <c r="R383"/>
  <c r="Q384"/>
  <c r="R384"/>
  <c r="Q385"/>
  <c r="R385"/>
  <c r="Q386"/>
  <c r="R386"/>
  <c r="Q387"/>
  <c r="R387"/>
  <c r="Q388"/>
  <c r="R388"/>
  <c r="Q389"/>
  <c r="R389"/>
  <c r="Q390"/>
  <c r="R390"/>
  <c r="Q391"/>
  <c r="R391"/>
  <c r="Q392"/>
  <c r="R392"/>
  <c r="Q393"/>
  <c r="R393"/>
  <c r="Q394"/>
  <c r="R394"/>
  <c r="Q395"/>
  <c r="R395"/>
  <c r="Q396"/>
  <c r="R396"/>
  <c r="Q397"/>
  <c r="R397"/>
  <c r="Q398"/>
  <c r="R398"/>
  <c r="Q399"/>
  <c r="R399"/>
  <c r="Q400"/>
  <c r="R400"/>
  <c r="Q401"/>
  <c r="R401"/>
  <c r="Q402"/>
  <c r="R402"/>
  <c r="Q403"/>
  <c r="R403"/>
  <c r="Q404"/>
  <c r="R404"/>
  <c r="Q405"/>
  <c r="R405"/>
  <c r="Q406"/>
  <c r="R406"/>
  <c r="Q407"/>
  <c r="R407"/>
  <c r="Q408"/>
  <c r="R408"/>
  <c r="Q409"/>
  <c r="R409"/>
  <c r="Q410"/>
  <c r="R410"/>
  <c r="Q411"/>
  <c r="R411"/>
  <c r="Q412"/>
  <c r="R412"/>
  <c r="Q413"/>
  <c r="R413"/>
  <c r="Q414"/>
  <c r="R414"/>
  <c r="Q415"/>
  <c r="R415"/>
  <c r="Q416"/>
  <c r="R416"/>
  <c r="Q417"/>
  <c r="R417"/>
  <c r="Q418"/>
  <c r="R418"/>
  <c r="Q419"/>
  <c r="R419"/>
  <c r="Q420"/>
  <c r="R420"/>
  <c r="Q421"/>
  <c r="R421"/>
  <c r="Q422"/>
  <c r="R422"/>
  <c r="Q423"/>
  <c r="R423"/>
  <c r="Q424"/>
  <c r="R424"/>
  <c r="Q425"/>
  <c r="R425"/>
  <c r="Q426"/>
  <c r="R426"/>
  <c r="Q427"/>
  <c r="R427"/>
  <c r="Q428"/>
  <c r="R428"/>
  <c r="Q429"/>
  <c r="R429"/>
  <c r="Q430"/>
  <c r="R430"/>
  <c r="Q431"/>
  <c r="R431"/>
  <c r="Q432"/>
  <c r="R432"/>
  <c r="Q433"/>
  <c r="R433"/>
  <c r="Q434"/>
  <c r="R434"/>
  <c r="Q435"/>
  <c r="R435"/>
  <c r="Q436"/>
  <c r="R436"/>
  <c r="Q437"/>
  <c r="R437"/>
  <c r="Q438"/>
  <c r="R438"/>
  <c r="Q439"/>
  <c r="R439"/>
  <c r="Q440"/>
  <c r="R440"/>
  <c r="Q441"/>
  <c r="R441"/>
  <c r="Q442"/>
  <c r="R442"/>
  <c r="Q443"/>
  <c r="R443"/>
  <c r="Q444"/>
  <c r="R444"/>
  <c r="Q445"/>
  <c r="R445"/>
  <c r="Q446"/>
  <c r="R446"/>
  <c r="Q447"/>
  <c r="R447"/>
  <c r="Q448"/>
  <c r="R448"/>
  <c r="Q449"/>
  <c r="R449"/>
  <c r="Q450"/>
  <c r="R450"/>
  <c r="Q451"/>
  <c r="R451"/>
  <c r="Q452"/>
  <c r="R452"/>
  <c r="Q453"/>
  <c r="R453"/>
  <c r="Q454"/>
  <c r="R454"/>
  <c r="Q455"/>
  <c r="R455"/>
  <c r="Q456"/>
  <c r="R456"/>
  <c r="Q457"/>
  <c r="R457"/>
  <c r="Q458"/>
  <c r="R458"/>
  <c r="Q459"/>
  <c r="R459"/>
  <c r="Q460"/>
  <c r="R460"/>
  <c r="Q461"/>
  <c r="R461"/>
  <c r="Q462"/>
  <c r="R462"/>
  <c r="Q463"/>
  <c r="R463"/>
  <c r="Q464"/>
  <c r="R464"/>
  <c r="Q465"/>
  <c r="R465"/>
  <c r="Q466"/>
  <c r="R466"/>
  <c r="Q467"/>
  <c r="R467"/>
  <c r="Q468"/>
  <c r="R468"/>
  <c r="Q469"/>
  <c r="R469"/>
  <c r="Q470"/>
  <c r="R470"/>
  <c r="Q471"/>
  <c r="R471"/>
  <c r="Q472"/>
  <c r="R472"/>
  <c r="Q473"/>
  <c r="R473"/>
  <c r="Q474"/>
  <c r="R474"/>
  <c r="L115"/>
  <c r="L61" i="33" l="1"/>
  <c r="L62"/>
  <c r="L63"/>
  <c r="L64"/>
  <c r="L123" i="29"/>
  <c r="L117"/>
  <c r="L118"/>
  <c r="Q60" i="35"/>
  <c r="R60"/>
  <c r="Q61"/>
  <c r="R61"/>
  <c r="Q62"/>
  <c r="R62"/>
  <c r="L52"/>
  <c r="L53"/>
  <c r="L54"/>
  <c r="L55"/>
  <c r="L56"/>
  <c r="L57"/>
  <c r="L58"/>
  <c r="L59"/>
  <c r="L60"/>
  <c r="Q121" i="36"/>
  <c r="Q123"/>
  <c r="L123"/>
  <c r="L125"/>
  <c r="L126"/>
  <c r="L127"/>
  <c r="L128"/>
  <c r="L129"/>
  <c r="R114" l="1"/>
  <c r="R113"/>
  <c r="R112"/>
  <c r="R110"/>
  <c r="R108"/>
  <c r="R107"/>
  <c r="R105"/>
  <c r="R104"/>
  <c r="Q12" i="29"/>
  <c r="R12"/>
  <c r="Q13"/>
  <c r="R13"/>
  <c r="Q14"/>
  <c r="R14"/>
  <c r="Q15"/>
  <c r="R15"/>
  <c r="Q16"/>
  <c r="R16"/>
  <c r="Q17"/>
  <c r="R17"/>
  <c r="Q18"/>
  <c r="R18"/>
  <c r="Q19"/>
  <c r="R19"/>
  <c r="Q20"/>
  <c r="R20"/>
  <c r="R39" i="35"/>
  <c r="L38"/>
  <c r="Q40"/>
  <c r="R40"/>
  <c r="Q41"/>
  <c r="R41"/>
  <c r="Q42"/>
  <c r="R42"/>
  <c r="Q43"/>
  <c r="R43"/>
  <c r="Q44"/>
  <c r="R44"/>
  <c r="Q45"/>
  <c r="R45"/>
  <c r="Q46"/>
  <c r="R46"/>
  <c r="Q47"/>
  <c r="R47"/>
  <c r="Q48"/>
  <c r="R48"/>
  <c r="Q49"/>
  <c r="R49"/>
  <c r="Q50"/>
  <c r="R50"/>
  <c r="Q51"/>
  <c r="R51"/>
  <c r="Q52"/>
  <c r="R52"/>
  <c r="Q119" i="36"/>
  <c r="R121"/>
  <c r="L55" i="33"/>
  <c r="L56"/>
  <c r="L57"/>
  <c r="L58"/>
  <c r="L60"/>
  <c r="L59"/>
  <c r="L116" i="29"/>
  <c r="L122"/>
  <c r="L108"/>
  <c r="L111"/>
  <c r="L112"/>
  <c r="L113"/>
  <c r="L114"/>
  <c r="L51" i="35"/>
  <c r="L119" i="36"/>
  <c r="L118"/>
  <c r="L121"/>
  <c r="Q116"/>
  <c r="Q118"/>
  <c r="R118"/>
  <c r="L105" i="29" l="1"/>
  <c r="L106"/>
  <c r="L107"/>
  <c r="Q111" i="36"/>
  <c r="R111"/>
  <c r="Q112"/>
  <c r="Q113"/>
  <c r="Q114"/>
  <c r="Q109"/>
  <c r="Q110"/>
  <c r="L111"/>
  <c r="L112"/>
  <c r="L113"/>
  <c r="L114"/>
  <c r="L115"/>
  <c r="L116"/>
  <c r="Q105" i="29"/>
  <c r="R105"/>
  <c r="Q106"/>
  <c r="R106"/>
  <c r="Q107"/>
  <c r="R107"/>
  <c r="Q108"/>
  <c r="R108"/>
  <c r="Q109"/>
  <c r="R109"/>
  <c r="Q110"/>
  <c r="R110"/>
  <c r="Q111"/>
  <c r="R111"/>
  <c r="Q112"/>
  <c r="R112"/>
  <c r="Q113"/>
  <c r="R113"/>
  <c r="Q114"/>
  <c r="R114"/>
  <c r="L53" i="33"/>
  <c r="L54"/>
  <c r="L109" i="36" l="1"/>
  <c r="L50" i="35"/>
  <c r="R94" i="36" l="1"/>
  <c r="R95"/>
  <c r="R96"/>
  <c r="R97"/>
  <c r="R98"/>
  <c r="R99"/>
  <c r="R100"/>
  <c r="R101"/>
  <c r="R102"/>
  <c r="R103"/>
  <c r="L98" l="1"/>
  <c r="L99"/>
  <c r="L100"/>
  <c r="L101"/>
  <c r="L102"/>
  <c r="L103"/>
  <c r="L104"/>
  <c r="L106"/>
  <c r="L107"/>
  <c r="L108"/>
  <c r="L110"/>
  <c r="L97" i="29"/>
  <c r="L98"/>
  <c r="L99"/>
  <c r="L100"/>
  <c r="L101"/>
  <c r="L102"/>
  <c r="L103"/>
  <c r="L104"/>
  <c r="L52" i="33"/>
  <c r="L44" i="35"/>
  <c r="L45"/>
  <c r="L46"/>
  <c r="L47"/>
  <c r="L48"/>
  <c r="L49"/>
  <c r="Q102" i="36"/>
  <c r="Q103"/>
  <c r="Q104"/>
  <c r="Q105"/>
  <c r="R93"/>
  <c r="R89"/>
  <c r="R88"/>
  <c r="R87"/>
  <c r="R86"/>
  <c r="R85"/>
  <c r="R84"/>
  <c r="R83"/>
  <c r="Q98"/>
  <c r="Q99"/>
  <c r="Q100"/>
  <c r="L51" i="33" l="1"/>
  <c r="Q108" i="36" l="1"/>
  <c r="L43" i="35"/>
  <c r="L49" i="33" l="1"/>
  <c r="L50"/>
  <c r="L93" i="29"/>
  <c r="L94"/>
  <c r="L95"/>
  <c r="L96"/>
  <c r="L87" i="36"/>
  <c r="L88"/>
  <c r="L89"/>
  <c r="L90"/>
  <c r="L91"/>
  <c r="L92"/>
  <c r="L93"/>
  <c r="L94"/>
  <c r="L95"/>
  <c r="L96"/>
  <c r="L97"/>
  <c r="Q86"/>
  <c r="Q87"/>
  <c r="Q88"/>
  <c r="Q89"/>
  <c r="Q90"/>
  <c r="R90"/>
  <c r="Q91"/>
  <c r="R91"/>
  <c r="Q92"/>
  <c r="R92"/>
  <c r="Q93"/>
  <c r="Q94"/>
  <c r="Q95"/>
  <c r="Q96"/>
  <c r="Q97"/>
  <c r="Q58" i="35"/>
  <c r="R58"/>
  <c r="Q59"/>
  <c r="R59"/>
  <c r="Q63"/>
  <c r="R63"/>
  <c r="Q64"/>
  <c r="R64"/>
  <c r="Q65"/>
  <c r="R65"/>
  <c r="Q66"/>
  <c r="R66"/>
  <c r="Q67"/>
  <c r="R67"/>
  <c r="Q68"/>
  <c r="R68"/>
  <c r="Q69"/>
  <c r="R69"/>
  <c r="Q70"/>
  <c r="R70"/>
  <c r="Q71"/>
  <c r="R71"/>
  <c r="Q72"/>
  <c r="R72"/>
  <c r="Q73"/>
  <c r="R73"/>
  <c r="Q74"/>
  <c r="R74"/>
  <c r="Q75"/>
  <c r="R75"/>
  <c r="Q76"/>
  <c r="R76"/>
  <c r="Q77"/>
  <c r="R77"/>
  <c r="Q78"/>
  <c r="R78"/>
  <c r="Q79"/>
  <c r="R79"/>
  <c r="Q80"/>
  <c r="R80"/>
  <c r="Q81"/>
  <c r="R81"/>
  <c r="Q82"/>
  <c r="R82"/>
  <c r="Q83"/>
  <c r="R83"/>
  <c r="Q84"/>
  <c r="R84"/>
  <c r="Q85"/>
  <c r="R85"/>
  <c r="Q86"/>
  <c r="R86"/>
  <c r="Q87"/>
  <c r="R87"/>
  <c r="Q88"/>
  <c r="R88"/>
  <c r="Q89"/>
  <c r="R89"/>
  <c r="Q90"/>
  <c r="R90"/>
  <c r="Q91"/>
  <c r="R91"/>
  <c r="Q92"/>
  <c r="R92"/>
  <c r="Q93"/>
  <c r="R93"/>
  <c r="Q94"/>
  <c r="R94"/>
  <c r="Q95"/>
  <c r="R95"/>
  <c r="Q96"/>
  <c r="R96"/>
  <c r="Q97"/>
  <c r="R97"/>
  <c r="Q98"/>
  <c r="R98"/>
  <c r="Q99"/>
  <c r="R99"/>
  <c r="Q100"/>
  <c r="R100"/>
  <c r="Q101"/>
  <c r="R101"/>
  <c r="Q102"/>
  <c r="R102"/>
  <c r="Q103"/>
  <c r="R103"/>
  <c r="Q104"/>
  <c r="R104"/>
  <c r="Q105"/>
  <c r="R105"/>
  <c r="Q106"/>
  <c r="R106"/>
  <c r="Q107"/>
  <c r="R107"/>
  <c r="Q108"/>
  <c r="R108"/>
  <c r="Q109"/>
  <c r="R109"/>
  <c r="Q110"/>
  <c r="R110"/>
  <c r="Q111"/>
  <c r="R111"/>
  <c r="Q112"/>
  <c r="R112"/>
  <c r="Q113"/>
  <c r="R113"/>
  <c r="Q114"/>
  <c r="R114"/>
  <c r="Q115"/>
  <c r="R115"/>
  <c r="Q116"/>
  <c r="R116"/>
  <c r="Q117"/>
  <c r="R117"/>
  <c r="Q118"/>
  <c r="R118"/>
  <c r="Q119"/>
  <c r="R119"/>
  <c r="Q120"/>
  <c r="R120"/>
  <c r="Q121"/>
  <c r="R121"/>
  <c r="Q122"/>
  <c r="R122"/>
  <c r="Q123"/>
  <c r="R123"/>
  <c r="Q124"/>
  <c r="R124"/>
  <c r="Q125"/>
  <c r="R125"/>
  <c r="Q126"/>
  <c r="R126"/>
  <c r="Q127"/>
  <c r="R127"/>
  <c r="Q128"/>
  <c r="R128"/>
  <c r="Q129"/>
  <c r="R129"/>
  <c r="Q130"/>
  <c r="R130"/>
  <c r="Q131"/>
  <c r="R131"/>
  <c r="Q132"/>
  <c r="R132"/>
  <c r="Q133"/>
  <c r="R133"/>
  <c r="Q134"/>
  <c r="R134"/>
  <c r="Q135"/>
  <c r="R135"/>
  <c r="Q136"/>
  <c r="R136"/>
  <c r="Q137"/>
  <c r="R137"/>
  <c r="Q138"/>
  <c r="R138"/>
  <c r="Q139"/>
  <c r="R139"/>
  <c r="Q140"/>
  <c r="R140"/>
  <c r="Q141"/>
  <c r="R141"/>
  <c r="Q142"/>
  <c r="R142"/>
  <c r="Q143"/>
  <c r="R143"/>
  <c r="Q144"/>
  <c r="R144"/>
  <c r="Q145"/>
  <c r="R145"/>
  <c r="Q146"/>
  <c r="R146"/>
  <c r="Q147"/>
  <c r="R147"/>
  <c r="Q148"/>
  <c r="R148"/>
  <c r="Q149"/>
  <c r="R149"/>
  <c r="Q150"/>
  <c r="R150"/>
  <c r="Q151"/>
  <c r="R151"/>
  <c r="Q152"/>
  <c r="R152"/>
  <c r="Q153"/>
  <c r="R153"/>
  <c r="Q154"/>
  <c r="R154"/>
  <c r="Q155"/>
  <c r="R155"/>
  <c r="Q156"/>
  <c r="R156"/>
  <c r="Q157"/>
  <c r="R157"/>
  <c r="Q158"/>
  <c r="R158"/>
  <c r="Q159"/>
  <c r="R159"/>
  <c r="Q160"/>
  <c r="R160"/>
  <c r="Q161"/>
  <c r="R161"/>
  <c r="Q162"/>
  <c r="R162"/>
  <c r="Q163"/>
  <c r="R163"/>
  <c r="Q164"/>
  <c r="R164"/>
  <c r="Q165"/>
  <c r="R165"/>
  <c r="Q166"/>
  <c r="R166"/>
  <c r="Q167"/>
  <c r="R167"/>
  <c r="Q168"/>
  <c r="R168"/>
  <c r="Q169"/>
  <c r="R169"/>
  <c r="Q170"/>
  <c r="R170"/>
  <c r="Q171"/>
  <c r="R171"/>
  <c r="Q172"/>
  <c r="R172"/>
  <c r="Q173"/>
  <c r="R173"/>
  <c r="Q174"/>
  <c r="R174"/>
  <c r="Q175"/>
  <c r="R175"/>
  <c r="Q176"/>
  <c r="R176"/>
  <c r="Q177"/>
  <c r="R177"/>
  <c r="Q178"/>
  <c r="R178"/>
  <c r="Q179"/>
  <c r="R179"/>
  <c r="Q180"/>
  <c r="R180"/>
  <c r="Q181"/>
  <c r="R181"/>
  <c r="Q182"/>
  <c r="R182"/>
  <c r="Q183"/>
  <c r="R183"/>
  <c r="Q184"/>
  <c r="R184"/>
  <c r="Q185"/>
  <c r="R185"/>
  <c r="Q186"/>
  <c r="R186"/>
  <c r="Q187"/>
  <c r="R187"/>
  <c r="Q188"/>
  <c r="R188"/>
  <c r="Q189"/>
  <c r="R189"/>
  <c r="Q190"/>
  <c r="R190"/>
  <c r="Q191"/>
  <c r="R191"/>
  <c r="Q192"/>
  <c r="R192"/>
  <c r="Q193"/>
  <c r="R193"/>
  <c r="Q194"/>
  <c r="R194"/>
  <c r="Q195"/>
  <c r="R195"/>
  <c r="Q196"/>
  <c r="R196"/>
  <c r="Q197"/>
  <c r="R197"/>
  <c r="Q198"/>
  <c r="R198"/>
  <c r="Q199"/>
  <c r="R199"/>
  <c r="Q200"/>
  <c r="R200"/>
  <c r="Q201"/>
  <c r="R201"/>
  <c r="Q202"/>
  <c r="R202"/>
  <c r="Q203"/>
  <c r="R203"/>
  <c r="Q204"/>
  <c r="R204"/>
  <c r="Q205"/>
  <c r="R205"/>
  <c r="Q206"/>
  <c r="R206"/>
  <c r="Q207"/>
  <c r="R207"/>
  <c r="Q208"/>
  <c r="R208"/>
  <c r="Q209"/>
  <c r="R209"/>
  <c r="Q210"/>
  <c r="R210"/>
  <c r="L48" i="33"/>
  <c r="L47"/>
  <c r="L42" i="35" l="1"/>
  <c r="L82" i="36"/>
  <c r="L83"/>
  <c r="L84"/>
  <c r="L85"/>
  <c r="L86"/>
  <c r="L92" i="29"/>
  <c r="L41" i="35" l="1"/>
  <c r="L40"/>
  <c r="Q83" i="29" l="1"/>
  <c r="R83"/>
  <c r="Q84"/>
  <c r="R84"/>
  <c r="Q85"/>
  <c r="R85"/>
  <c r="Q86"/>
  <c r="R86"/>
  <c r="Q87"/>
  <c r="R87"/>
  <c r="L84"/>
  <c r="Q88"/>
  <c r="R88"/>
  <c r="Q89"/>
  <c r="R89"/>
  <c r="Q90"/>
  <c r="R90"/>
  <c r="Q91"/>
  <c r="R91"/>
  <c r="L88"/>
  <c r="L89"/>
  <c r="L90"/>
  <c r="L91"/>
  <c r="L46" i="33"/>
  <c r="L85" i="29"/>
  <c r="Q81" i="36"/>
  <c r="Q80"/>
  <c r="Q79"/>
  <c r="Q78"/>
  <c r="Q77"/>
  <c r="Q76"/>
  <c r="Q75"/>
  <c r="Q74"/>
  <c r="Q73"/>
  <c r="Q72"/>
  <c r="Q71"/>
  <c r="Q70"/>
  <c r="Q68"/>
  <c r="Q67"/>
  <c r="Q66"/>
  <c r="Q65"/>
  <c r="Q64"/>
  <c r="Q63"/>
  <c r="Q62"/>
  <c r="Q61"/>
  <c r="Q60"/>
  <c r="Q59"/>
  <c r="Q58"/>
  <c r="Q56"/>
  <c r="Q55"/>
  <c r="Q85"/>
  <c r="Q84"/>
  <c r="Q83"/>
  <c r="Q82"/>
  <c r="L43"/>
  <c r="L83" i="29"/>
  <c r="L87" l="1"/>
  <c r="L86"/>
  <c r="K9" i="43"/>
  <c r="L39" i="35"/>
  <c r="R76" i="36"/>
  <c r="R77"/>
  <c r="R78"/>
  <c r="R79"/>
  <c r="R80"/>
  <c r="R81"/>
  <c r="R82"/>
  <c r="L77"/>
  <c r="L78"/>
  <c r="L79"/>
  <c r="L80"/>
  <c r="L81"/>
  <c r="L75" l="1"/>
  <c r="L76"/>
  <c r="R74"/>
  <c r="R75"/>
  <c r="K8" i="43" l="1"/>
  <c r="Q79" i="29"/>
  <c r="R79"/>
  <c r="Q80"/>
  <c r="R80"/>
  <c r="Q81"/>
  <c r="R81"/>
  <c r="Q82"/>
  <c r="R82"/>
  <c r="L79"/>
  <c r="L44" i="33"/>
  <c r="L45"/>
  <c r="Q69" i="36"/>
  <c r="R69"/>
  <c r="R70"/>
  <c r="R71"/>
  <c r="R72"/>
  <c r="R73"/>
  <c r="L70"/>
  <c r="L71"/>
  <c r="L72"/>
  <c r="L73"/>
  <c r="L74"/>
  <c r="Q78" i="29"/>
  <c r="R78"/>
  <c r="L75"/>
  <c r="L76"/>
  <c r="L77"/>
  <c r="L78"/>
  <c r="L80"/>
  <c r="L81"/>
  <c r="L82"/>
  <c r="L70" l="1"/>
  <c r="L71"/>
  <c r="L72"/>
  <c r="L73"/>
  <c r="L74"/>
  <c r="L68" i="36"/>
  <c r="L69"/>
  <c r="R66"/>
  <c r="R67"/>
  <c r="R68"/>
  <c r="L37" i="35" l="1"/>
  <c r="L68" i="29" l="1"/>
  <c r="L69"/>
  <c r="L42" i="33"/>
  <c r="L43"/>
  <c r="L36" i="35" l="1"/>
  <c r="R58" i="36" l="1"/>
  <c r="R59"/>
  <c r="R60"/>
  <c r="R61"/>
  <c r="R62"/>
  <c r="L58"/>
  <c r="R56" l="1"/>
  <c r="Q57"/>
  <c r="R57"/>
  <c r="R63"/>
  <c r="R64"/>
  <c r="R65"/>
  <c r="L55"/>
  <c r="L56"/>
  <c r="L57"/>
  <c r="L59"/>
  <c r="L60"/>
  <c r="L61"/>
  <c r="L62"/>
  <c r="L63"/>
  <c r="L64"/>
  <c r="L65"/>
  <c r="L66"/>
  <c r="L67"/>
  <c r="L35" i="35" l="1"/>
  <c r="R51" i="36" l="1"/>
  <c r="R52"/>
  <c r="R53"/>
  <c r="R54"/>
  <c r="R55"/>
  <c r="Q54" l="1"/>
  <c r="Q46"/>
  <c r="R46"/>
  <c r="Q47"/>
  <c r="R47"/>
  <c r="Q48"/>
  <c r="R48"/>
  <c r="Q49"/>
  <c r="R49"/>
  <c r="L40" i="33"/>
  <c r="L41"/>
  <c r="L66" i="29"/>
  <c r="L67"/>
  <c r="L34" i="35"/>
  <c r="L51" i="36"/>
  <c r="L52"/>
  <c r="L53"/>
  <c r="L54"/>
  <c r="L64" i="29"/>
  <c r="L65"/>
  <c r="K7" i="43"/>
  <c r="Q16" i="36" l="1"/>
  <c r="R16"/>
  <c r="Q17"/>
  <c r="R17"/>
  <c r="L33" i="35" l="1"/>
  <c r="L32"/>
  <c r="L31"/>
  <c r="L37" i="33"/>
  <c r="L38"/>
  <c r="L39"/>
  <c r="Q61" i="29"/>
  <c r="R61"/>
  <c r="Q62"/>
  <c r="R62"/>
  <c r="L61"/>
  <c r="L63" l="1"/>
  <c r="L62"/>
  <c r="Q41" i="36" l="1"/>
  <c r="R41"/>
  <c r="Q42"/>
  <c r="R42"/>
  <c r="Q43"/>
  <c r="R43"/>
  <c r="Q44"/>
  <c r="R44"/>
  <c r="Q45"/>
  <c r="R45"/>
  <c r="Q50"/>
  <c r="R50"/>
  <c r="L46"/>
  <c r="L47"/>
  <c r="L48"/>
  <c r="L49"/>
  <c r="L50"/>
  <c r="L45" l="1"/>
  <c r="L44"/>
  <c r="L33"/>
  <c r="L42"/>
  <c r="L41"/>
  <c r="L40"/>
  <c r="L39"/>
  <c r="L38"/>
  <c r="L37"/>
  <c r="L36"/>
  <c r="L35"/>
  <c r="L34"/>
  <c r="L32"/>
  <c r="L56" i="29" l="1"/>
  <c r="Q56"/>
  <c r="R56"/>
  <c r="L51"/>
  <c r="Q51"/>
  <c r="R51"/>
  <c r="Q57" l="1"/>
  <c r="R57"/>
  <c r="Q58"/>
  <c r="R58"/>
  <c r="Q59"/>
  <c r="R59"/>
  <c r="Q60"/>
  <c r="R60"/>
  <c r="Q63"/>
  <c r="R63"/>
  <c r="Q64"/>
  <c r="R64"/>
  <c r="Q65"/>
  <c r="R65"/>
  <c r="Q66"/>
  <c r="R66"/>
  <c r="L54"/>
  <c r="L55"/>
  <c r="L57"/>
  <c r="L58"/>
  <c r="L59"/>
  <c r="L60"/>
  <c r="L30" i="35"/>
  <c r="L28"/>
  <c r="L29"/>
  <c r="Q33" i="36"/>
  <c r="R33"/>
  <c r="Q34"/>
  <c r="R34"/>
  <c r="Q35"/>
  <c r="R35"/>
  <c r="Q36"/>
  <c r="R36"/>
  <c r="Q37"/>
  <c r="R37"/>
  <c r="Q38"/>
  <c r="R38"/>
  <c r="Q39"/>
  <c r="R39"/>
  <c r="Q40"/>
  <c r="R40"/>
  <c r="R32" l="1"/>
  <c r="Q32"/>
  <c r="L31" i="33"/>
  <c r="L32"/>
  <c r="L33"/>
  <c r="L34"/>
  <c r="L35"/>
  <c r="L36"/>
  <c r="L53" i="29"/>
  <c r="L25" i="35" l="1"/>
  <c r="L26"/>
  <c r="L27"/>
  <c r="L52" i="29" l="1"/>
  <c r="L48" l="1"/>
  <c r="Q48"/>
  <c r="R48"/>
  <c r="R30" i="36" l="1"/>
  <c r="R29"/>
  <c r="R28"/>
  <c r="R27"/>
  <c r="R26"/>
  <c r="R25"/>
  <c r="R23"/>
  <c r="R22"/>
  <c r="R21"/>
  <c r="R20"/>
  <c r="R19"/>
  <c r="R18"/>
  <c r="Q49" i="29"/>
  <c r="R49"/>
  <c r="Q50"/>
  <c r="R50"/>
  <c r="Q52"/>
  <c r="R52"/>
  <c r="L21" i="35" l="1"/>
  <c r="Q22"/>
  <c r="R31" i="36"/>
  <c r="Q31"/>
  <c r="L50" i="29"/>
  <c r="L49"/>
  <c r="Q45"/>
  <c r="R45"/>
  <c r="Q46"/>
  <c r="R46"/>
  <c r="Q47"/>
  <c r="R47"/>
  <c r="Q53"/>
  <c r="R53"/>
  <c r="L30" i="33"/>
  <c r="L28"/>
  <c r="L29"/>
  <c r="L45" i="29"/>
  <c r="L46"/>
  <c r="L47"/>
  <c r="L23" i="35"/>
  <c r="L24"/>
  <c r="L27" i="33" l="1"/>
  <c r="R44" i="29" l="1"/>
  <c r="R40"/>
  <c r="L44"/>
  <c r="Q25" i="35"/>
  <c r="Q26"/>
  <c r="R26"/>
  <c r="Q27"/>
  <c r="R27"/>
  <c r="Q28"/>
  <c r="R28"/>
  <c r="Q29"/>
  <c r="R29"/>
  <c r="Q30"/>
  <c r="R30"/>
  <c r="Q31"/>
  <c r="R31"/>
  <c r="Q32"/>
  <c r="R32"/>
  <c r="Q33"/>
  <c r="R33"/>
  <c r="Q34"/>
  <c r="R34"/>
  <c r="Q35"/>
  <c r="R35"/>
  <c r="Q36"/>
  <c r="R36"/>
  <c r="Q37"/>
  <c r="R37"/>
  <c r="Q38"/>
  <c r="R38"/>
  <c r="Q53"/>
  <c r="R53"/>
  <c r="Q54"/>
  <c r="R54"/>
  <c r="Q55"/>
  <c r="R55"/>
  <c r="Q56"/>
  <c r="R56"/>
  <c r="Q57"/>
  <c r="R57"/>
  <c r="L22"/>
  <c r="L20"/>
  <c r="Q30" i="36" l="1"/>
  <c r="L28"/>
  <c r="L29"/>
  <c r="L30"/>
  <c r="L31"/>
  <c r="L41" i="29"/>
  <c r="L42"/>
  <c r="L43"/>
  <c r="Q26" i="36"/>
  <c r="Q27"/>
  <c r="Q28"/>
  <c r="Q29"/>
  <c r="L21" i="33" l="1"/>
  <c r="L22"/>
  <c r="L23"/>
  <c r="L24"/>
  <c r="L25"/>
  <c r="L26"/>
  <c r="L18" i="35"/>
  <c r="L19"/>
  <c r="K6" i="43"/>
  <c r="R24" i="36"/>
  <c r="Q23"/>
  <c r="Q24"/>
  <c r="Q25"/>
  <c r="L25"/>
  <c r="L26"/>
  <c r="L27"/>
  <c r="L40" i="29" l="1"/>
  <c r="Q40"/>
  <c r="R42"/>
  <c r="R41"/>
  <c r="R39"/>
  <c r="R38"/>
  <c r="R36"/>
  <c r="R32"/>
  <c r="R31"/>
  <c r="R30"/>
  <c r="L39"/>
  <c r="L38"/>
  <c r="L24" i="36" l="1"/>
  <c r="Q18"/>
  <c r="Q19"/>
  <c r="Q20"/>
  <c r="Q21"/>
  <c r="Q22"/>
  <c r="L21"/>
  <c r="L20"/>
  <c r="L22"/>
  <c r="L23"/>
  <c r="L17" i="35"/>
  <c r="L16"/>
  <c r="L15"/>
  <c r="L14"/>
  <c r="L13"/>
  <c r="Q15"/>
  <c r="Q16"/>
  <c r="Q17"/>
  <c r="Q18"/>
  <c r="H1" i="43"/>
  <c r="L19" i="36" l="1"/>
  <c r="L18"/>
  <c r="L17"/>
  <c r="L33" i="29" l="1"/>
  <c r="L34"/>
  <c r="L35"/>
  <c r="L36"/>
  <c r="L37"/>
  <c r="R37" l="1"/>
  <c r="Q37"/>
  <c r="Q36"/>
  <c r="R35"/>
  <c r="Q35"/>
  <c r="R33"/>
  <c r="Q33"/>
  <c r="Q32"/>
  <c r="Q31"/>
  <c r="L32"/>
  <c r="L31"/>
  <c r="Q38" l="1"/>
  <c r="Q39"/>
  <c r="Q41"/>
  <c r="Q42"/>
  <c r="Q43"/>
  <c r="R43"/>
  <c r="Q44"/>
  <c r="Q54"/>
  <c r="R54"/>
  <c r="Q55"/>
  <c r="R55"/>
  <c r="Q67"/>
  <c r="R67"/>
  <c r="Q68"/>
  <c r="R68"/>
  <c r="Q69"/>
  <c r="R69"/>
  <c r="Q70"/>
  <c r="R70"/>
  <c r="Q71"/>
  <c r="R71"/>
  <c r="Q72"/>
  <c r="R72"/>
  <c r="Q73"/>
  <c r="R73"/>
  <c r="Q74"/>
  <c r="R74"/>
  <c r="Q75"/>
  <c r="R75"/>
  <c r="Q76"/>
  <c r="R76"/>
  <c r="Q77"/>
  <c r="R77"/>
  <c r="Q92"/>
  <c r="R92"/>
  <c r="Q93"/>
  <c r="R93"/>
  <c r="Q94"/>
  <c r="R94"/>
  <c r="Q95"/>
  <c r="R95"/>
  <c r="Q96"/>
  <c r="R96"/>
  <c r="Q97"/>
  <c r="R97"/>
  <c r="Q98"/>
  <c r="R98"/>
  <c r="Q99"/>
  <c r="R99"/>
  <c r="Q100"/>
  <c r="R100"/>
  <c r="Q101"/>
  <c r="R101"/>
  <c r="Q102"/>
  <c r="R102"/>
  <c r="Q103"/>
  <c r="R103"/>
  <c r="Q104"/>
  <c r="R104"/>
  <c r="L30" l="1"/>
  <c r="L29"/>
  <c r="L28"/>
  <c r="K5" i="43"/>
  <c r="L12" i="35"/>
  <c r="L11"/>
  <c r="R15" i="36"/>
  <c r="L14" i="33" l="1"/>
  <c r="P14"/>
  <c r="Q14"/>
  <c r="L27" i="29" l="1"/>
  <c r="L23"/>
  <c r="Q23"/>
  <c r="R23"/>
  <c r="R21"/>
  <c r="Q21"/>
  <c r="L20"/>
  <c r="L91" i="35"/>
  <c r="L16" i="36" l="1"/>
  <c r="L15"/>
  <c r="L15" i="33" l="1"/>
  <c r="L16"/>
  <c r="L17"/>
  <c r="L18"/>
  <c r="L19"/>
  <c r="L20"/>
  <c r="L26" i="29"/>
  <c r="L25"/>
  <c r="L24"/>
  <c r="L22"/>
  <c r="L21"/>
  <c r="P4" i="43"/>
  <c r="Q4"/>
  <c r="P5"/>
  <c r="Q5"/>
  <c r="P6"/>
  <c r="Q6"/>
  <c r="P7"/>
  <c r="Q7"/>
  <c r="P8"/>
  <c r="Q8"/>
  <c r="P9"/>
  <c r="Q9"/>
  <c r="P10"/>
  <c r="Q10"/>
  <c r="P11"/>
  <c r="Q11"/>
  <c r="P12"/>
  <c r="Q12"/>
  <c r="P13"/>
  <c r="Q13"/>
  <c r="P14"/>
  <c r="Q14"/>
  <c r="P15"/>
  <c r="Q15"/>
  <c r="P16"/>
  <c r="Q16"/>
  <c r="P17"/>
  <c r="Q17"/>
  <c r="P18"/>
  <c r="Q18"/>
  <c r="P19"/>
  <c r="Q19"/>
  <c r="P20"/>
  <c r="Q20"/>
  <c r="P21"/>
  <c r="Q21"/>
  <c r="P22"/>
  <c r="Q22"/>
  <c r="P23"/>
  <c r="Q23"/>
  <c r="P24"/>
  <c r="Q24"/>
  <c r="P25"/>
  <c r="Q25"/>
  <c r="P26"/>
  <c r="Q26"/>
  <c r="P27"/>
  <c r="Q27"/>
  <c r="P28"/>
  <c r="Q28"/>
  <c r="P29"/>
  <c r="Q29"/>
  <c r="P30"/>
  <c r="Q30"/>
  <c r="P31"/>
  <c r="Q31"/>
  <c r="P32"/>
  <c r="Q32"/>
  <c r="P33"/>
  <c r="Q33"/>
  <c r="P34"/>
  <c r="Q34"/>
  <c r="P35"/>
  <c r="Q35"/>
  <c r="P36"/>
  <c r="Q36"/>
  <c r="P37"/>
  <c r="Q37"/>
  <c r="P38"/>
  <c r="Q38"/>
  <c r="P39"/>
  <c r="Q39"/>
  <c r="P40"/>
  <c r="Q40"/>
  <c r="P41"/>
  <c r="Q41"/>
  <c r="P42"/>
  <c r="Q42"/>
  <c r="P43"/>
  <c r="Q43"/>
  <c r="K4"/>
  <c r="L9" i="35"/>
  <c r="L10"/>
  <c r="Q13" i="36"/>
  <c r="R13"/>
  <c r="Q14"/>
  <c r="R14"/>
  <c r="Q15"/>
  <c r="L13"/>
  <c r="L14"/>
  <c r="R4" l="1"/>
  <c r="R5"/>
  <c r="R6"/>
  <c r="R7"/>
  <c r="R8"/>
  <c r="R9"/>
  <c r="R10"/>
  <c r="R11"/>
  <c r="R12"/>
  <c r="R6" i="35"/>
  <c r="L13" i="33" l="1"/>
  <c r="L12"/>
  <c r="L11"/>
  <c r="L10"/>
  <c r="L9"/>
  <c r="L8"/>
  <c r="L8" i="35"/>
  <c r="L11" i="36"/>
  <c r="L12"/>
  <c r="Q10"/>
  <c r="Q11"/>
  <c r="Q12"/>
  <c r="L17" i="29"/>
  <c r="L16"/>
  <c r="L15"/>
  <c r="L14"/>
  <c r="L19"/>
  <c r="L18"/>
  <c r="L13"/>
  <c r="L12"/>
  <c r="L7" i="33" l="1"/>
  <c r="M1"/>
  <c r="N1" i="35"/>
  <c r="Q8" i="29"/>
  <c r="R8"/>
  <c r="Q9"/>
  <c r="R9"/>
  <c r="Q10"/>
  <c r="R10"/>
  <c r="Q11"/>
  <c r="R11"/>
  <c r="L3" i="33"/>
  <c r="L4"/>
  <c r="L5"/>
  <c r="L6"/>
  <c r="L8" i="29"/>
  <c r="L9"/>
  <c r="L10"/>
  <c r="L11"/>
  <c r="Q7" i="35"/>
  <c r="R7"/>
  <c r="Q8"/>
  <c r="Q9"/>
  <c r="Q10"/>
  <c r="L6"/>
  <c r="R4"/>
  <c r="Q6"/>
  <c r="R5"/>
  <c r="Q5"/>
  <c r="Q4"/>
  <c r="L5"/>
  <c r="L7"/>
  <c r="Q6" i="36"/>
  <c r="Q7"/>
  <c r="Q8"/>
  <c r="Q9"/>
  <c r="Q51"/>
  <c r="Q52"/>
  <c r="Q53"/>
  <c r="Q101"/>
  <c r="L6"/>
  <c r="L7"/>
  <c r="L8"/>
  <c r="L9"/>
  <c r="L10"/>
  <c r="Q5"/>
  <c r="L5"/>
  <c r="L4"/>
  <c r="L3" i="35" l="1"/>
  <c r="L4"/>
  <c r="K3" i="43" l="1"/>
  <c r="Q3"/>
  <c r="P3"/>
  <c r="L7" i="29" l="1"/>
  <c r="L6"/>
  <c r="L5"/>
  <c r="L4"/>
  <c r="L3"/>
  <c r="Q3"/>
  <c r="R3"/>
  <c r="M1" i="36" l="1"/>
  <c r="Q24" i="35" l="1"/>
  <c r="Q23"/>
  <c r="Q21"/>
  <c r="Q20"/>
  <c r="Q19"/>
  <c r="R34" i="29"/>
  <c r="Q34"/>
  <c r="Q30"/>
  <c r="R29"/>
  <c r="Q29"/>
  <c r="R28"/>
  <c r="Q28"/>
  <c r="R27"/>
  <c r="Q27"/>
  <c r="R26"/>
  <c r="Q26"/>
  <c r="R25"/>
  <c r="Q25"/>
  <c r="R24"/>
  <c r="Q24"/>
  <c r="R22"/>
  <c r="Q22"/>
  <c r="P3" i="33" l="1"/>
  <c r="Q3"/>
  <c r="P4"/>
  <c r="Q4"/>
  <c r="P5"/>
  <c r="Q5"/>
  <c r="P6"/>
  <c r="Q6"/>
  <c r="P7"/>
  <c r="Q7"/>
  <c r="P8"/>
  <c r="Q8"/>
  <c r="P9"/>
  <c r="Q9"/>
  <c r="P10"/>
  <c r="Q10"/>
  <c r="P11"/>
  <c r="Q11"/>
  <c r="P12"/>
  <c r="Q12"/>
  <c r="P13"/>
  <c r="Q13"/>
  <c r="P15"/>
  <c r="Q15"/>
  <c r="P16"/>
  <c r="Q16"/>
  <c r="P17"/>
  <c r="Q17"/>
  <c r="P18"/>
  <c r="Q18"/>
  <c r="P19"/>
  <c r="Q19"/>
  <c r="P20"/>
  <c r="Q20"/>
  <c r="P21"/>
  <c r="Q21"/>
  <c r="P22"/>
  <c r="Q22"/>
  <c r="P23"/>
  <c r="Q23"/>
  <c r="P24"/>
  <c r="Q24"/>
  <c r="P25"/>
  <c r="Q25"/>
  <c r="P26"/>
  <c r="Q26"/>
  <c r="P27"/>
  <c r="Q27"/>
  <c r="P28"/>
  <c r="Q28"/>
  <c r="P29"/>
  <c r="Q29"/>
  <c r="P30"/>
  <c r="Q30"/>
  <c r="P31"/>
  <c r="Q31"/>
  <c r="P32"/>
  <c r="Q32"/>
  <c r="P33"/>
  <c r="Q33"/>
  <c r="P34"/>
  <c r="Q34"/>
  <c r="P35"/>
  <c r="Q35"/>
  <c r="P36"/>
  <c r="Q36"/>
  <c r="P37"/>
  <c r="Q37"/>
  <c r="P38"/>
  <c r="Q38"/>
  <c r="P39"/>
  <c r="Q39"/>
  <c r="P40"/>
  <c r="Q40"/>
  <c r="P41"/>
  <c r="Q41"/>
  <c r="P42"/>
  <c r="Q42"/>
  <c r="P43"/>
  <c r="Q43"/>
  <c r="P44"/>
  <c r="Q44"/>
  <c r="P45"/>
  <c r="Q45"/>
  <c r="P46"/>
  <c r="Q46"/>
  <c r="P47"/>
  <c r="Q47"/>
  <c r="P48"/>
  <c r="Q48"/>
  <c r="P49"/>
  <c r="Q49"/>
  <c r="P50"/>
  <c r="Q50"/>
  <c r="P51"/>
  <c r="Q51"/>
  <c r="P52"/>
  <c r="Q52"/>
  <c r="P53"/>
  <c r="Q53"/>
  <c r="P54"/>
  <c r="Q54"/>
  <c r="P55"/>
  <c r="Q55"/>
  <c r="P56"/>
  <c r="Q56"/>
  <c r="P57"/>
  <c r="Q57"/>
  <c r="P58"/>
  <c r="Q58"/>
  <c r="P59"/>
  <c r="Q59"/>
  <c r="P60"/>
  <c r="Q60"/>
  <c r="P61"/>
  <c r="Q61"/>
  <c r="P62"/>
  <c r="Q62"/>
  <c r="P63"/>
  <c r="Q63"/>
  <c r="P64"/>
  <c r="Q64"/>
  <c r="P65"/>
  <c r="Q65"/>
  <c r="Q4" i="29" l="1"/>
  <c r="R4"/>
  <c r="Q5"/>
  <c r="R5"/>
  <c r="Q6"/>
  <c r="R6"/>
  <c r="Q7"/>
  <c r="R7"/>
  <c r="Q4" i="36" l="1"/>
  <c r="N2" i="29" l="1"/>
  <c r="M1" l="1"/>
  <c r="L1" i="35" l="1"/>
  <c r="L1" i="36" l="1"/>
  <c r="L2" i="33" l="1"/>
  <c r="Q3" i="35" l="1"/>
  <c r="R3"/>
  <c r="Q11"/>
  <c r="Q12"/>
  <c r="Q13"/>
  <c r="Q14"/>
  <c r="M2" i="33" l="1"/>
  <c r="N2" i="35"/>
</calcChain>
</file>

<file path=xl/comments1.xml><?xml version="1.0" encoding="utf-8"?>
<comments xmlns="http://schemas.openxmlformats.org/spreadsheetml/2006/main">
  <authors>
    <author>fernand-parra</author>
  </authors>
  <commentList>
    <comment ref="B52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7040
PRBL SUR LES TOILES
MANQUE 1
DEPART 9-04 ALBIGES</t>
        </r>
      </text>
    </comment>
    <comment ref="B5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1015 ST
</t>
        </r>
      </text>
    </comment>
    <comment ref="B61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TRANSFORMER UN COFFRE 136 EN MONO 100 FAIT LE 23/03/15</t>
        </r>
      </text>
    </comment>
    <comment ref="B78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1015 ST
</t>
        </r>
      </text>
    </comment>
    <comment ref="B80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7016ST </t>
        </r>
      </text>
    </comment>
    <comment ref="B81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7016ST
</t>
        </r>
      </text>
    </comment>
    <comment ref="B8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1015
</t>
        </r>
      </text>
    </comment>
    <comment ref="B89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9005 ST
</t>
        </r>
      </text>
    </comment>
    <comment ref="B90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 ST</t>
        </r>
      </text>
    </comment>
    <comment ref="B91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MANQUE MOTEUR SOMFY</t>
        </r>
      </text>
    </comment>
    <comment ref="B96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1015 ST
A VILAMALLA 23/04/15</t>
        </r>
      </text>
    </comment>
    <comment ref="B10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1015 ST
</t>
        </r>
      </text>
    </comment>
    <comment ref="B109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 ST
</t>
        </r>
      </text>
    </comment>
    <comment ref="B116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 ST</t>
        </r>
      </text>
    </comment>
    <comment ref="B122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 ST</t>
        </r>
      </text>
    </comment>
    <comment ref="B136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7016ST
</t>
        </r>
      </text>
    </comment>
    <comment ref="B13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7016ST
</t>
        </r>
      </text>
    </comment>
    <comment ref="B139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RAL8019
</t>
        </r>
      </text>
    </comment>
    <comment ref="B141" authorId="0">
      <text>
        <r>
          <rPr>
            <b/>
            <sz val="10"/>
            <color indexed="81"/>
            <rFont val="Tahoma"/>
            <charset val="1"/>
          </rPr>
          <t>fernand-parra:</t>
        </r>
        <r>
          <rPr>
            <sz val="10"/>
            <color indexed="81"/>
            <rFont val="Tahoma"/>
            <charset val="1"/>
          </rPr>
          <t xml:space="preserve">
RAL 1015</t>
        </r>
      </text>
    </comment>
    <comment ref="B142" authorId="0">
      <text>
        <r>
          <rPr>
            <b/>
            <sz val="10"/>
            <color indexed="81"/>
            <rFont val="Tahoma"/>
            <charset val="1"/>
          </rPr>
          <t>fernand-parra:</t>
        </r>
        <r>
          <rPr>
            <sz val="10"/>
            <color indexed="81"/>
            <rFont val="Tahoma"/>
            <charset val="1"/>
          </rPr>
          <t xml:space="preserve">
RAL 1015</t>
        </r>
      </text>
    </comment>
    <comment ref="B143" authorId="0">
      <text>
        <r>
          <rPr>
            <b/>
            <sz val="10"/>
            <color indexed="81"/>
            <rFont val="Tahoma"/>
            <charset val="1"/>
          </rPr>
          <t>fernand-parra:</t>
        </r>
        <r>
          <rPr>
            <sz val="10"/>
            <color indexed="81"/>
            <rFont val="Tahoma"/>
            <charset val="1"/>
          </rPr>
          <t xml:space="preserve">
RAL 1015</t>
        </r>
      </text>
    </comment>
    <comment ref="B146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8025
</t>
        </r>
      </text>
    </comment>
    <comment ref="B14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7016ST</t>
        </r>
      </text>
    </comment>
    <comment ref="B156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 ST
</t>
        </r>
      </text>
    </comment>
  </commentList>
</comments>
</file>

<file path=xl/comments2.xml><?xml version="1.0" encoding="utf-8"?>
<comments xmlns="http://schemas.openxmlformats.org/spreadsheetml/2006/main">
  <authors>
    <author>fernand-parra</author>
  </authors>
  <commentList>
    <comment ref="D12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LIVRAISON POUR FIN MARS
</t>
        </r>
      </text>
    </comment>
    <comment ref="B41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9005 ST</t>
        </r>
      </text>
    </comment>
    <comment ref="B49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8019 ST
MANQUENT BRAS
</t>
        </r>
      </text>
    </comment>
    <comment ref="B50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8019 ST
MANQUENT BRAS
</t>
        </r>
      </text>
    </comment>
    <comment ref="B63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1015 ST
</t>
        </r>
      </text>
    </comment>
    <comment ref="B6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SOLAIRE
</t>
        </r>
      </text>
    </comment>
    <comment ref="B74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 ST
</t>
        </r>
      </text>
    </comment>
    <comment ref="B76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SOLAIRE
</t>
        </r>
      </text>
    </comment>
    <comment ref="B82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SOLAIRE
</t>
        </r>
      </text>
    </comment>
    <comment ref="B97" authorId="0">
      <text>
        <r>
          <rPr>
            <b/>
            <sz val="10"/>
            <color indexed="81"/>
            <rFont val="Tahoma"/>
            <charset val="1"/>
          </rPr>
          <t xml:space="preserve">fernand-parra
</t>
        </r>
        <r>
          <rPr>
            <sz val="10"/>
            <color indexed="81"/>
            <rFont val="Tahoma"/>
            <charset val="1"/>
          </rPr>
          <t xml:space="preserve">MOT SOMFY RECUE LE 20/05/15
</t>
        </r>
      </text>
    </comment>
    <comment ref="B99" authorId="0">
      <text>
        <r>
          <rPr>
            <b/>
            <sz val="10"/>
            <color indexed="81"/>
            <rFont val="Tahoma"/>
            <charset val="1"/>
          </rPr>
          <t>fernand-parra</t>
        </r>
        <r>
          <rPr>
            <sz val="10"/>
            <color indexed="81"/>
            <rFont val="Tahoma"/>
            <charset val="1"/>
          </rPr>
          <t xml:space="preserve"> 
MOT CHERUBINI ENVOYE le 19/05 
PAR SPL NICE
</t>
        </r>
      </text>
    </comment>
    <comment ref="B106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9005ST</t>
        </r>
      </text>
    </comment>
    <comment ref="B10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9005ST</t>
        </r>
      </text>
    </comment>
    <comment ref="B108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SOLAIRE
</t>
        </r>
      </text>
    </comment>
    <comment ref="B109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8011</t>
        </r>
      </text>
    </comment>
    <comment ref="B119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7016ST</t>
        </r>
      </text>
    </comment>
    <comment ref="B132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1015 ST</t>
        </r>
      </text>
    </comment>
    <comment ref="B140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7016ST</t>
        </r>
      </text>
    </comment>
    <comment ref="B155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7035</t>
        </r>
      </text>
    </comment>
    <comment ref="B169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7016ST
</t>
        </r>
      </text>
    </comment>
    <comment ref="B178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8014ST</t>
        </r>
      </text>
    </comment>
    <comment ref="B188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8017
</t>
        </r>
      </text>
    </comment>
    <comment ref="B191" authorId="0">
      <text>
        <r>
          <rPr>
            <b/>
            <sz val="10"/>
            <color indexed="81"/>
            <rFont val="Tahoma"/>
            <charset val="1"/>
          </rPr>
          <t>fernand-parra:</t>
        </r>
        <r>
          <rPr>
            <sz val="10"/>
            <color indexed="81"/>
            <rFont val="Tahoma"/>
            <charset val="1"/>
          </rPr>
          <t xml:space="preserve">
RAL 1015ST
</t>
        </r>
      </text>
    </comment>
    <comment ref="B193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1015 ST
</t>
        </r>
      </text>
    </comment>
    <comment ref="B19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1015 ST
</t>
        </r>
      </text>
    </comment>
  </commentList>
</comments>
</file>

<file path=xl/comments3.xml><?xml version="1.0" encoding="utf-8"?>
<comments xmlns="http://schemas.openxmlformats.org/spreadsheetml/2006/main">
  <authors>
    <author>fernand-parra</author>
  </authors>
  <commentList>
    <comment ref="B44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RAL8019
</t>
        </r>
      </text>
    </comment>
    <comment ref="B4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LA TOILE N'EXISTE PAS. RECOMMANDER LA TOILE LE 11/05
</t>
        </r>
      </text>
    </comment>
    <comment ref="B50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8019
</t>
        </r>
      </text>
    </comment>
    <comment ref="B62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8019</t>
        </r>
      </text>
    </comment>
    <comment ref="N6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RECUE 2 LE 05/06
RECUE 2 LE 11/06
RECUE 2 LE 12/06
</t>
        </r>
      </text>
    </comment>
    <comment ref="B71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8019
</t>
        </r>
      </text>
    </comment>
    <comment ref="B80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8019
</t>
        </r>
      </text>
    </comment>
  </commentList>
</comments>
</file>

<file path=xl/comments4.xml><?xml version="1.0" encoding="utf-8"?>
<comments xmlns="http://schemas.openxmlformats.org/spreadsheetml/2006/main">
  <authors>
    <author>fernand-parra</author>
  </authors>
  <commentList>
    <comment ref="B2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AU LACAGE
</t>
        </r>
      </text>
    </comment>
    <comment ref="B39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COMMENCE LE 01/04/15 FINI LE </t>
        </r>
      </text>
    </comment>
    <comment ref="B50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5017
DONNE A VILAMALLA
LE 21/04/15
</t>
        </r>
      </text>
    </comment>
    <comment ref="B52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CANADIENNES
</t>
        </r>
      </text>
    </comment>
  </commentList>
</comments>
</file>

<file path=xl/comments5.xml><?xml version="1.0" encoding="utf-8"?>
<comments xmlns="http://schemas.openxmlformats.org/spreadsheetml/2006/main">
  <authors>
    <author>fernand-parra</author>
  </authors>
  <commentList>
    <comment ref="A14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7016ST</t>
        </r>
      </text>
    </comment>
    <comment ref="A20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7022
</t>
        </r>
      </text>
    </comment>
  </commentList>
</comments>
</file>

<file path=xl/comments6.xml><?xml version="1.0" encoding="utf-8"?>
<comments xmlns="http://schemas.openxmlformats.org/spreadsheetml/2006/main">
  <authors>
    <author>fernand-parra</author>
  </authors>
  <commentList>
    <comment ref="A4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RAL8019
</t>
        </r>
      </text>
    </comment>
    <comment ref="I6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recue 3 toile sur 7
</t>
        </r>
      </text>
    </comment>
    <comment ref="A12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8011</t>
        </r>
      </text>
    </comment>
    <comment ref="A15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8019
</t>
        </r>
      </text>
    </comment>
    <comment ref="A25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7016ST</t>
        </r>
      </text>
    </comment>
  </commentList>
</comments>
</file>

<file path=xl/comments7.xml><?xml version="1.0" encoding="utf-8"?>
<comments xmlns="http://schemas.openxmlformats.org/spreadsheetml/2006/main">
  <authors>
    <author>fernand-parra</author>
  </authors>
  <commentList>
    <comment ref="A4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1015 ST
</t>
        </r>
      </text>
    </comment>
    <comment ref="A7" authorId="0">
      <text>
        <r>
          <rPr>
            <b/>
            <sz val="10"/>
            <color indexed="81"/>
            <rFont val="Tahoma"/>
            <family val="2"/>
          </rPr>
          <t>fernand-parra:</t>
        </r>
        <r>
          <rPr>
            <sz val="10"/>
            <color indexed="81"/>
            <rFont val="Tahoma"/>
            <family val="2"/>
          </rPr>
          <t xml:space="preserve">
RAL 7016 ST</t>
        </r>
      </text>
    </comment>
  </commentList>
</comments>
</file>

<file path=xl/sharedStrings.xml><?xml version="1.0" encoding="utf-8"?>
<sst xmlns="http://schemas.openxmlformats.org/spreadsheetml/2006/main" count="5236" uniqueCount="1664">
  <si>
    <t>N°exte</t>
  </si>
  <si>
    <t>Document No.</t>
  </si>
  <si>
    <t>No.</t>
  </si>
  <si>
    <t>Quantité</t>
  </si>
  <si>
    <t>Nom du destinataire</t>
  </si>
  <si>
    <t>ORILON</t>
  </si>
  <si>
    <t>T04</t>
  </si>
  <si>
    <t>T03</t>
  </si>
  <si>
    <t>TOILE/MESURE</t>
  </si>
  <si>
    <t>restante</t>
  </si>
  <si>
    <t>Date de comm</t>
  </si>
  <si>
    <t>Date de livraison</t>
  </si>
  <si>
    <t>Armatures&amp;Toiles</t>
  </si>
  <si>
    <t>Corbeilles</t>
  </si>
  <si>
    <t>M01</t>
  </si>
  <si>
    <t>Abris de Terrasses</t>
  </si>
  <si>
    <t>Armatures</t>
  </si>
  <si>
    <t>Autre ral</t>
  </si>
  <si>
    <t>Armature</t>
  </si>
  <si>
    <t>Toile Recu</t>
  </si>
  <si>
    <t>Manque toile</t>
  </si>
  <si>
    <t>Toile recu</t>
  </si>
  <si>
    <t>Date de commande</t>
  </si>
  <si>
    <t>T05</t>
  </si>
  <si>
    <t>RET265PAP0598300LAT</t>
  </si>
  <si>
    <t>M505PAP0598300LAT</t>
  </si>
  <si>
    <t>STGART0598300LAT</t>
  </si>
  <si>
    <t>STGRARSLAT</t>
  </si>
  <si>
    <t>MITJAVILA NICE</t>
  </si>
  <si>
    <t>APN55ARS0300NT</t>
  </si>
  <si>
    <t>T06</t>
  </si>
  <si>
    <t>EV55NTB</t>
  </si>
  <si>
    <t>HAP55ARS0300500NT</t>
  </si>
  <si>
    <t>CARCASSONNE</t>
  </si>
  <si>
    <t>ALBIGES</t>
  </si>
  <si>
    <t>LLERS</t>
  </si>
  <si>
    <t>ARMATURE</t>
  </si>
  <si>
    <t>M600PAP</t>
  </si>
  <si>
    <t>ORILON SITE MONTPELLIER</t>
  </si>
  <si>
    <t>RET240PAP0480250LAT</t>
  </si>
  <si>
    <t>TOILE/CONF</t>
  </si>
  <si>
    <t>MANQUE TOILE</t>
  </si>
  <si>
    <t>ACL</t>
  </si>
  <si>
    <t>fait le</t>
  </si>
  <si>
    <t>Fait le</t>
  </si>
  <si>
    <t>Toile recu le</t>
  </si>
  <si>
    <t>CB55APAP0584150NTC</t>
  </si>
  <si>
    <t>M505ARS0598300LAT</t>
  </si>
  <si>
    <t>ORILON BEZIERS</t>
  </si>
  <si>
    <t>CB55AARS0584150NTC</t>
  </si>
  <si>
    <t>L100ART0420250LAT</t>
  </si>
  <si>
    <t>CB55APAP0584150LAC</t>
  </si>
  <si>
    <t>SUNBLOCK B.V</t>
  </si>
  <si>
    <t>M100PAP0598300LAT</t>
  </si>
  <si>
    <t>M560PAP0598300LAT</t>
  </si>
  <si>
    <t>M04</t>
  </si>
  <si>
    <t>STVART0400425LAF</t>
  </si>
  <si>
    <t>STVART0450325LEF</t>
  </si>
  <si>
    <t>VERANDAS</t>
  </si>
  <si>
    <t>LYON STORES</t>
  </si>
  <si>
    <t>CB35ZARS0290090LAC</t>
  </si>
  <si>
    <t>M300APAP0598300LAT</t>
  </si>
  <si>
    <t>SAV</t>
  </si>
  <si>
    <t>CB55AARS0584150LAC</t>
  </si>
  <si>
    <t>STGARS0598300LAT</t>
  </si>
  <si>
    <t>STVARSLAF</t>
  </si>
  <si>
    <t>M05</t>
  </si>
  <si>
    <t>APC</t>
  </si>
  <si>
    <t>AC295LA6000</t>
  </si>
  <si>
    <t>M600ARS0703400LAT</t>
  </si>
  <si>
    <t>ORILON MONTPELLIER</t>
  </si>
  <si>
    <t>CB45ZARS0407120LAC</t>
  </si>
  <si>
    <t>RET80PAP0598300LAT</t>
  </si>
  <si>
    <t>STVXLART0600425LAF</t>
  </si>
  <si>
    <t>PIECES</t>
  </si>
  <si>
    <t>LABASTERE 64</t>
  </si>
  <si>
    <t>STVXLARS</t>
  </si>
  <si>
    <t>SELLERIE GALLEGO</t>
  </si>
  <si>
    <t>RET265ARS</t>
  </si>
  <si>
    <t>M02</t>
  </si>
  <si>
    <t>RET80ARS0598300LAT</t>
  </si>
  <si>
    <t>RETDUEARTLA</t>
  </si>
  <si>
    <t>A.P.S. - REYNAUD STORES</t>
  </si>
  <si>
    <t>RET240ARS0480250LAT</t>
  </si>
  <si>
    <t>AC400LA5000</t>
  </si>
  <si>
    <t>CORBEC DULOT</t>
  </si>
  <si>
    <t>ART DU STORE ET DE LA FERMETUR</t>
  </si>
  <si>
    <t>STORES COLLON</t>
  </si>
  <si>
    <t>ACE CREATION</t>
  </si>
  <si>
    <t>MAUVERTEX</t>
  </si>
  <si>
    <t>M100ARS05980300LAT</t>
  </si>
  <si>
    <t>AIRE STORES - ATELIER DU 40</t>
  </si>
  <si>
    <t>CB45ZPAP0407120NTC</t>
  </si>
  <si>
    <t>CHABANEL</t>
  </si>
  <si>
    <t>VERANDALUX</t>
  </si>
  <si>
    <t>ALBI METAL STORES</t>
  </si>
  <si>
    <t>AUVENT</t>
  </si>
  <si>
    <t>MSL</t>
  </si>
  <si>
    <t>STORES ALPAGO</t>
  </si>
  <si>
    <t>K STORES 33</t>
  </si>
  <si>
    <t>RET40ART0480200LAT</t>
  </si>
  <si>
    <t>ABC DU SELLIER</t>
  </si>
  <si>
    <t>RAPHAEL PEINTURE</t>
  </si>
  <si>
    <t>comm le</t>
  </si>
  <si>
    <t xml:space="preserve">livraison le </t>
  </si>
  <si>
    <t>reste</t>
  </si>
  <si>
    <t>BODY STORES SARL</t>
  </si>
  <si>
    <t>IDEAL BACHES SARL</t>
  </si>
  <si>
    <t>BACHES DE L'OCEAN</t>
  </si>
  <si>
    <t>CAP FERMETURES</t>
  </si>
  <si>
    <t>ATLANTEA</t>
  </si>
  <si>
    <t>PATRICK POSE</t>
  </si>
  <si>
    <t>CB45ZARS0407120NTC</t>
  </si>
  <si>
    <t>STORES SERVICES ET DECO</t>
  </si>
  <si>
    <t>COLSON ET FROMONT</t>
  </si>
  <si>
    <t>DECORA STORES</t>
  </si>
  <si>
    <t>ROUX FILS SARL</t>
  </si>
  <si>
    <t>F.A.S.T.O.R.E</t>
  </si>
  <si>
    <t>RET265ART0595300LAT</t>
  </si>
  <si>
    <t>CLAVIER</t>
  </si>
  <si>
    <t>SICOBAL</t>
  </si>
  <si>
    <t>SBSF MORELLINI</t>
  </si>
  <si>
    <t>X</t>
  </si>
  <si>
    <t>TOILE RECUE</t>
  </si>
  <si>
    <t>S T I</t>
  </si>
  <si>
    <t>ATELIERS DU STORE STORADOUR</t>
  </si>
  <si>
    <t>MIROITERIE BERTRAND</t>
  </si>
  <si>
    <t>A DISPO</t>
  </si>
  <si>
    <t>PROTEC FILMS-SOLUTIONS SOLAIRE</t>
  </si>
  <si>
    <t>ecart de livarison</t>
  </si>
  <si>
    <t>ecart de livarison toiles</t>
  </si>
  <si>
    <t>ARM/PAP</t>
  </si>
  <si>
    <t>ASCI ROY</t>
  </si>
  <si>
    <t>SOCOTEX</t>
  </si>
  <si>
    <t>L112ARSLA</t>
  </si>
  <si>
    <t>STORES SUD</t>
  </si>
  <si>
    <t>ABTR</t>
  </si>
  <si>
    <t>80 STORES</t>
  </si>
  <si>
    <t>7 STORES</t>
  </si>
  <si>
    <t>109 STORES</t>
  </si>
  <si>
    <t>14 STORES</t>
  </si>
  <si>
    <t>100 STORES</t>
  </si>
  <si>
    <t>24 STORES</t>
  </si>
  <si>
    <t>10 STORES</t>
  </si>
  <si>
    <t>99 STORES</t>
  </si>
  <si>
    <t>182 STORES</t>
  </si>
  <si>
    <t>145 STORES</t>
  </si>
  <si>
    <t>158 STORES</t>
  </si>
  <si>
    <t>112 STORES</t>
  </si>
  <si>
    <t>26 STORES</t>
  </si>
  <si>
    <t>157 STORES</t>
  </si>
  <si>
    <t>64 STORES</t>
  </si>
  <si>
    <t>77 STORES</t>
  </si>
  <si>
    <t>54 STORES</t>
  </si>
  <si>
    <t>9 STORES</t>
  </si>
  <si>
    <t>11 STORES</t>
  </si>
  <si>
    <t>34 STORES</t>
  </si>
  <si>
    <t>62 STORES</t>
  </si>
  <si>
    <t>68 STORES</t>
  </si>
  <si>
    <t>40 STORES</t>
  </si>
  <si>
    <t>38 STORES</t>
  </si>
  <si>
    <t>17 STORES</t>
  </si>
  <si>
    <t>20 STORES</t>
  </si>
  <si>
    <t>3 STORES</t>
  </si>
  <si>
    <t>4 STORES</t>
  </si>
  <si>
    <t>15 STORES</t>
  </si>
  <si>
    <t>25 STORES</t>
  </si>
  <si>
    <t>31 STORES</t>
  </si>
  <si>
    <t>22 STORES</t>
  </si>
  <si>
    <t>8 STORES</t>
  </si>
  <si>
    <t>5 STORES</t>
  </si>
  <si>
    <t>12 STORES</t>
  </si>
  <si>
    <t>CORBEILLES</t>
  </si>
  <si>
    <t>3 CORB/20 ARCEAUX</t>
  </si>
  <si>
    <t>dec-12</t>
  </si>
  <si>
    <t>3 CORB/20ARCEAUX</t>
  </si>
  <si>
    <t>11 CORB/20 ARCEAUX</t>
  </si>
  <si>
    <t>9 CORB/24 ARCEAUX</t>
  </si>
  <si>
    <t>9 CORB/20 ARCEAUX</t>
  </si>
  <si>
    <t>11 CORBEILLES</t>
  </si>
  <si>
    <t>4 CORB/40 ARCEAUX</t>
  </si>
  <si>
    <t>10 CORBEILLES</t>
  </si>
  <si>
    <t>7 CORBEILLES</t>
  </si>
  <si>
    <t>2 CORB/4 ARCEAUX</t>
  </si>
  <si>
    <t>5 CORBEILLES</t>
  </si>
  <si>
    <t>17 CORB/36 ARCEAUX</t>
  </si>
  <si>
    <t>6 CORBEILLES</t>
  </si>
  <si>
    <t>MRS - J'ISOLE STORES DECO</t>
  </si>
  <si>
    <t>MENUISERIE STORE MEDITERRANEE</t>
  </si>
  <si>
    <t>72 STORES</t>
  </si>
  <si>
    <t>16 STORES</t>
  </si>
  <si>
    <t>5 CORB/40 ARCEAUX</t>
  </si>
  <si>
    <t>COUSSEAU</t>
  </si>
  <si>
    <t>DECO STORES</t>
  </si>
  <si>
    <t>STGRARTLA</t>
  </si>
  <si>
    <t>MRS - SACHERIE D'AUVERGNE</t>
  </si>
  <si>
    <t>MRS - JS21</t>
  </si>
  <si>
    <t>N°externe</t>
  </si>
  <si>
    <t>STCRARTLA</t>
  </si>
  <si>
    <t>M600EXARS</t>
  </si>
  <si>
    <t>AUTRE RAL</t>
  </si>
  <si>
    <t>IDEAL STORES</t>
  </si>
  <si>
    <t>STGART0598300LWT</t>
  </si>
  <si>
    <t>MRS - GAZAILLE SERVICES</t>
  </si>
  <si>
    <t>STCRARSLA</t>
  </si>
  <si>
    <t>173 STORES</t>
  </si>
  <si>
    <t>18 STORES</t>
  </si>
  <si>
    <t>27 CORB/50 ARCEAUX</t>
  </si>
  <si>
    <t>230 STORES</t>
  </si>
  <si>
    <t>96 STORES</t>
  </si>
  <si>
    <t>28 STORES</t>
  </si>
  <si>
    <t>12 CORBEILLES</t>
  </si>
  <si>
    <t>55 STORES</t>
  </si>
  <si>
    <t>4 CORB/24 ARCEAUX</t>
  </si>
  <si>
    <t>23 STORES</t>
  </si>
  <si>
    <t>187 STORES</t>
  </si>
  <si>
    <t>RV STORES</t>
  </si>
  <si>
    <t>N°Commun</t>
  </si>
  <si>
    <t>date fax</t>
  </si>
  <si>
    <t>MRS - STORES FERM PROTECT - L</t>
  </si>
  <si>
    <t>ARMATURES</t>
  </si>
  <si>
    <t>66 STORES</t>
  </si>
  <si>
    <t>191 STORES</t>
  </si>
  <si>
    <t>33 STORES</t>
  </si>
  <si>
    <t>10 CORB/40 ARCEAUX</t>
  </si>
  <si>
    <t>36 CORB/20 ARCEAUX</t>
  </si>
  <si>
    <t>33+</t>
  </si>
  <si>
    <t>26+</t>
  </si>
  <si>
    <t>2+</t>
  </si>
  <si>
    <t>29+</t>
  </si>
  <si>
    <t>7+</t>
  </si>
  <si>
    <t>26CORB+/20AR+</t>
  </si>
  <si>
    <t>28-</t>
  </si>
  <si>
    <t>8-</t>
  </si>
  <si>
    <t>7-</t>
  </si>
  <si>
    <t>4CORB-/+16ARC</t>
  </si>
  <si>
    <t>74+</t>
  </si>
  <si>
    <t>30+</t>
  </si>
  <si>
    <t>3+</t>
  </si>
  <si>
    <t>18CORB+/+30ARC</t>
  </si>
  <si>
    <t>48+</t>
  </si>
  <si>
    <t>66+</t>
  </si>
  <si>
    <t>1CORB+</t>
  </si>
  <si>
    <t>42+</t>
  </si>
  <si>
    <t>10-</t>
  </si>
  <si>
    <t>11-</t>
  </si>
  <si>
    <t>0CRB+/-16ARC</t>
  </si>
  <si>
    <t>3CORB+/+40ARC</t>
  </si>
  <si>
    <t>EUROSTORES</t>
  </si>
  <si>
    <t>105 STORES</t>
  </si>
  <si>
    <t>18-</t>
  </si>
  <si>
    <t>LAV/ATELIER STORES</t>
  </si>
  <si>
    <t>5CORB-</t>
  </si>
  <si>
    <t>ecart liv</t>
  </si>
  <si>
    <t>MOBILE &amp; CO - 2 P LOISIRS</t>
  </si>
  <si>
    <t>42 STORES</t>
  </si>
  <si>
    <t xml:space="preserve">3 CORB </t>
  </si>
  <si>
    <t>50 STORES</t>
  </si>
  <si>
    <t>107-</t>
  </si>
  <si>
    <t>5+</t>
  </si>
  <si>
    <t>12 CORB/50 ARCEAUX</t>
  </si>
  <si>
    <t>3CORB+</t>
  </si>
  <si>
    <t>7CORB+/+50ARC</t>
  </si>
  <si>
    <t>16+</t>
  </si>
  <si>
    <t>3-</t>
  </si>
  <si>
    <t>ARCEAUX</t>
  </si>
  <si>
    <t>CANADIENNE</t>
  </si>
  <si>
    <t>ARCEAUX ETS ALBIGES</t>
  </si>
  <si>
    <t>ESM STORES 66</t>
  </si>
  <si>
    <t>STGRARTLW</t>
  </si>
  <si>
    <t>M-CDV-15-00161</t>
  </si>
  <si>
    <t>C.A.S.A</t>
  </si>
  <si>
    <t>M-CDV-15-00164</t>
  </si>
  <si>
    <t>AE295LA3620</t>
  </si>
  <si>
    <t>M-CDV-15-00284</t>
  </si>
  <si>
    <t>BOUSCARLE</t>
  </si>
  <si>
    <t>M-CDV-15-00282</t>
  </si>
  <si>
    <t>M-CDV-15-00147</t>
  </si>
  <si>
    <t>M-CDV-15-00151</t>
  </si>
  <si>
    <t>M-CDV-15-00057</t>
  </si>
  <si>
    <t>M-CDV-15-00354</t>
  </si>
  <si>
    <t>M-CDV-15-00216</t>
  </si>
  <si>
    <t>M-CDV-14-28122</t>
  </si>
  <si>
    <t>VEL90MARS0600800LAF</t>
  </si>
  <si>
    <t>MASY INTERNATIONAL W.L.L.</t>
  </si>
  <si>
    <t>M07</t>
  </si>
  <si>
    <t>M-CDV-15-00415</t>
  </si>
  <si>
    <t>M-CDV-15-00491</t>
  </si>
  <si>
    <t>M-CDV-15-00495</t>
  </si>
  <si>
    <t>M-CDV-15-00496</t>
  </si>
  <si>
    <t>MRS - BO STORE</t>
  </si>
  <si>
    <t>M-CDV-15-00497</t>
  </si>
  <si>
    <t>M-CDV-15-00500</t>
  </si>
  <si>
    <t>M-CDV-15-00506</t>
  </si>
  <si>
    <t>M-CDV-15-00543</t>
  </si>
  <si>
    <t>M-CDV-15-00569</t>
  </si>
  <si>
    <t>M-CDV-15-00570</t>
  </si>
  <si>
    <t>M-CDV-15-00599</t>
  </si>
  <si>
    <t>BIKA TEC METALL UND TEXTILVERA</t>
  </si>
  <si>
    <t>M-CDV-15-00603</t>
  </si>
  <si>
    <t>FOIRE STUTTGART</t>
  </si>
  <si>
    <t xml:space="preserve">OTIC-40145 </t>
  </si>
  <si>
    <t>M-CDV-15-00649</t>
  </si>
  <si>
    <t>M-CDV-15-00691</t>
  </si>
  <si>
    <t>M-CDV-15-00706</t>
  </si>
  <si>
    <t>M-CDV-15-00769</t>
  </si>
  <si>
    <t>M-CDV-15-00780</t>
  </si>
  <si>
    <t>EC11NTZ</t>
  </si>
  <si>
    <t>EC12NTZ</t>
  </si>
  <si>
    <t>EC13NT</t>
  </si>
  <si>
    <t>M-CDV-15-00782</t>
  </si>
  <si>
    <t>M-CDV-15-00804</t>
  </si>
  <si>
    <t>M-CDV-15-00809</t>
  </si>
  <si>
    <t>M-CDV-15-00847</t>
  </si>
  <si>
    <t>M-CDV-15-00851</t>
  </si>
  <si>
    <t>M-CDV-15-00855</t>
  </si>
  <si>
    <t>M-CDV-15-00856</t>
  </si>
  <si>
    <t>M-CDV-15-00705</t>
  </si>
  <si>
    <t>M-CDV-15-00858</t>
  </si>
  <si>
    <t>ECO NORMES</t>
  </si>
  <si>
    <t>M-CDV-15-00883</t>
  </si>
  <si>
    <t>M-CDV-15-00895</t>
  </si>
  <si>
    <t>M-CDV-15-00898</t>
  </si>
  <si>
    <t>M-CDV-15-00923</t>
  </si>
  <si>
    <t>M-CDV-15-00949</t>
  </si>
  <si>
    <t>M-CDV-15-00961</t>
  </si>
  <si>
    <t>STE ATMD</t>
  </si>
  <si>
    <t>M-CDV-15-00965</t>
  </si>
  <si>
    <t>M-CDV-15-00968</t>
  </si>
  <si>
    <t>SERRURERIE DULAUROY</t>
  </si>
  <si>
    <t>M-CDV-15-00992</t>
  </si>
  <si>
    <t>M-CDV-15-01027</t>
  </si>
  <si>
    <t>M-CDV-15-01028</t>
  </si>
  <si>
    <t>M-CDV-15-01032</t>
  </si>
  <si>
    <t>M-CDV-15-01038</t>
  </si>
  <si>
    <t>ATELIERS CONCEPT STORES</t>
  </si>
  <si>
    <t>M-CDV-15-01051</t>
  </si>
  <si>
    <t>V6000ART0600600LAT</t>
  </si>
  <si>
    <t>M-CDV-15-00971</t>
  </si>
  <si>
    <t>MOYSE COTE SUD</t>
  </si>
  <si>
    <t>M-CDV-15-00973</t>
  </si>
  <si>
    <t>M LOTHAIRE THIEBAULT</t>
  </si>
  <si>
    <t>M-CDV-15-00903</t>
  </si>
  <si>
    <t>M-CDV-15-01119</t>
  </si>
  <si>
    <t>M-CDV-15-00799</t>
  </si>
  <si>
    <t>CB55AARS0584150LWC</t>
  </si>
  <si>
    <t>M-CDV-15-01120</t>
  </si>
  <si>
    <t>M-CDV-15-01362</t>
  </si>
  <si>
    <t>M-CDV-15-01363</t>
  </si>
  <si>
    <t>M-CDV-15-01462</t>
  </si>
  <si>
    <t>M-CDV-15-01525</t>
  </si>
  <si>
    <t>M-CDV-15-01031</t>
  </si>
  <si>
    <t>M-CDV-15-01103</t>
  </si>
  <si>
    <t>Montant en commande</t>
  </si>
  <si>
    <t>M-CDV-15-01861</t>
  </si>
  <si>
    <t>M-CDV-15-02027</t>
  </si>
  <si>
    <t>M-CDV-15-01994</t>
  </si>
  <si>
    <t>STORES 82</t>
  </si>
  <si>
    <t>M-CDV-15-01993</t>
  </si>
  <si>
    <t>M-CDV-15-01766</t>
  </si>
  <si>
    <t>M-CDV-15-02054</t>
  </si>
  <si>
    <t>M-CDV-15-01730</t>
  </si>
  <si>
    <t>M-CDV-15-01770</t>
  </si>
  <si>
    <t>M-CDV-15-01901</t>
  </si>
  <si>
    <t>DECOR ALU</t>
  </si>
  <si>
    <t>M-CDV-15-01905</t>
  </si>
  <si>
    <t>M-CDV-15-01623</t>
  </si>
  <si>
    <t>M-CDV-15-01839</t>
  </si>
  <si>
    <t>M-CDV-15-02024</t>
  </si>
  <si>
    <t>M-CDV-15-01953</t>
  </si>
  <si>
    <t>PROTECT ALU - NPU</t>
  </si>
  <si>
    <t>Montant Com</t>
  </si>
  <si>
    <t>STGRARTA</t>
  </si>
  <si>
    <t>M-CDV-15-01583</t>
  </si>
  <si>
    <t>M-CDV-15-02156</t>
  </si>
  <si>
    <t>HL 44 -HAUTEUR LARGEUR</t>
  </si>
  <si>
    <t>M-CDV-15-01958</t>
  </si>
  <si>
    <t>M-CDV-15-02087</t>
  </si>
  <si>
    <t>M-CDV-15-01960</t>
  </si>
  <si>
    <t>VELUMS</t>
  </si>
  <si>
    <t>M-CDV-15-02175</t>
  </si>
  <si>
    <t>1 274,99</t>
  </si>
  <si>
    <t>M-CDV-15-02230</t>
  </si>
  <si>
    <t>M-CDV-15-02236</t>
  </si>
  <si>
    <t>M-CDV-15-02237</t>
  </si>
  <si>
    <t>M-CDV-15-02262</t>
  </si>
  <si>
    <t>M-CDV-15-02277</t>
  </si>
  <si>
    <t>M-CDV-15-02333</t>
  </si>
  <si>
    <t>1 864,92</t>
  </si>
  <si>
    <t>M-CDV-15-02338</t>
  </si>
  <si>
    <t>RABY BENOIT</t>
  </si>
  <si>
    <t>M-CDV-15-02200</t>
  </si>
  <si>
    <t>M-CDV-15-02364</t>
  </si>
  <si>
    <t>VEL90ARS0600600LAC</t>
  </si>
  <si>
    <t>PROTEGO</t>
  </si>
  <si>
    <t>M-CDV-15-02365</t>
  </si>
  <si>
    <t>SARL SOCIETE NOUVELLE SMVF</t>
  </si>
  <si>
    <t>M-CDV-15-02371</t>
  </si>
  <si>
    <t>M-CDV-15-02447</t>
  </si>
  <si>
    <t>M-CDV-15-02485</t>
  </si>
  <si>
    <t>M-CDV-15-02498</t>
  </si>
  <si>
    <t>M-CDV-15-02731</t>
  </si>
  <si>
    <t>M-CDV-15-02844</t>
  </si>
  <si>
    <t>M-CDV-15-02575</t>
  </si>
  <si>
    <t>M-CDV-15-02828</t>
  </si>
  <si>
    <t>M-CDV-15-02518</t>
  </si>
  <si>
    <t>MRS - MILLET</t>
  </si>
  <si>
    <t>M-CDV-15-02578</t>
  </si>
  <si>
    <t>M-CDV-15-02814</t>
  </si>
  <si>
    <t>M-CDV-15-02887</t>
  </si>
  <si>
    <t>VOILERIE BRESTOISE</t>
  </si>
  <si>
    <t>M-CDV-15-02916</t>
  </si>
  <si>
    <t>M-CDV-15-02890</t>
  </si>
  <si>
    <t>M-CDV-15-03026</t>
  </si>
  <si>
    <t>M-CDV-15-03185</t>
  </si>
  <si>
    <t>M-CDV-15-03052</t>
  </si>
  <si>
    <t>M-CDV-15-03217</t>
  </si>
  <si>
    <t>M-CDV-15-03186</t>
  </si>
  <si>
    <t>M-CDV-15-03094</t>
  </si>
  <si>
    <t>M-CDV-15-03063</t>
  </si>
  <si>
    <t>STORE NANTAIS</t>
  </si>
  <si>
    <t>M-CDV-15-03072</t>
  </si>
  <si>
    <t>M-CDV-15-03100</t>
  </si>
  <si>
    <t>M-CDV-15-03105</t>
  </si>
  <si>
    <t>OMBRE ET LUMIERE</t>
  </si>
  <si>
    <t>M-CDV-15-03136</t>
  </si>
  <si>
    <t>M-CDV-15-03111</t>
  </si>
  <si>
    <t>M-CDV-15-03251</t>
  </si>
  <si>
    <t>OMBRE ET CONFORT</t>
  </si>
  <si>
    <t>M-CDV-15-03396</t>
  </si>
  <si>
    <t>M-CDV-15-03403</t>
  </si>
  <si>
    <t>M-CDV-15-03411</t>
  </si>
  <si>
    <t>M-CDV-15-03423</t>
  </si>
  <si>
    <t>M-CDV-15-03425</t>
  </si>
  <si>
    <t>M-CDV-15-03013</t>
  </si>
  <si>
    <t>M-CDV-15-03515</t>
  </si>
  <si>
    <t>M-CDV-15-03541</t>
  </si>
  <si>
    <t>M-CDV-15-03634</t>
  </si>
  <si>
    <t>M-CDV-15-03751</t>
  </si>
  <si>
    <t>M-CDV-15-03757</t>
  </si>
  <si>
    <t>M-CDV-15-03834</t>
  </si>
  <si>
    <t>M-CDV-15-03857</t>
  </si>
  <si>
    <t>MAQUIN GERARD</t>
  </si>
  <si>
    <t>M-CDV-15-03894</t>
  </si>
  <si>
    <t>M-CDV-15-03897</t>
  </si>
  <si>
    <t>FERNANDEZ FERMETURES</t>
  </si>
  <si>
    <t>M-CDV-15-03931</t>
  </si>
  <si>
    <t>LA ROCHE STORE</t>
  </si>
  <si>
    <t>MRS - LEZARD 34</t>
  </si>
  <si>
    <t>M-CDV-15-04000</t>
  </si>
  <si>
    <t>M-CDV-15-04003</t>
  </si>
  <si>
    <t>ARC STORES</t>
  </si>
  <si>
    <t>M-CDV-15-04013</t>
  </si>
  <si>
    <t>ESPI BATIMENT</t>
  </si>
  <si>
    <t>M-CDV-15-04041</t>
  </si>
  <si>
    <t>M-CDV-15-04081</t>
  </si>
  <si>
    <t>M-CDV-15-04177</t>
  </si>
  <si>
    <t>RAYMOND COMMUNICATION</t>
  </si>
  <si>
    <t>M-CDV-15-04252</t>
  </si>
  <si>
    <t>M-CDV-15-03405</t>
  </si>
  <si>
    <t>M600EXPAP</t>
  </si>
  <si>
    <t>HM RENOV 26</t>
  </si>
  <si>
    <t>M-CDV-15-03862</t>
  </si>
  <si>
    <t>M-CDV-15-04454</t>
  </si>
  <si>
    <t>BATTLE CLAUDE</t>
  </si>
  <si>
    <t>M-CDV-15-04456</t>
  </si>
  <si>
    <t>M-CDV-15-04373</t>
  </si>
  <si>
    <t>M-CDV-15-04476</t>
  </si>
  <si>
    <t>S.A.R.L  FENETRE IMAGINE</t>
  </si>
  <si>
    <t>M-CDV-15-04488</t>
  </si>
  <si>
    <t>SALVADOR SERGE</t>
  </si>
  <si>
    <t>M-CDV-15-04492</t>
  </si>
  <si>
    <t>P.A LE VERGER</t>
  </si>
  <si>
    <t>M-CDV-15-04657</t>
  </si>
  <si>
    <t>M-CDV-15-04740</t>
  </si>
  <si>
    <t>SACHETTI</t>
  </si>
  <si>
    <t>M-CDV-15-04744</t>
  </si>
  <si>
    <t>BONNARDEL STORES SARL</t>
  </si>
  <si>
    <t>M-CDV-15-04751</t>
  </si>
  <si>
    <t>M-CDV-15-04772</t>
  </si>
  <si>
    <t>MEDIASUN</t>
  </si>
  <si>
    <t>AE5000LA</t>
  </si>
  <si>
    <t>M-CDV-15-04400</t>
  </si>
  <si>
    <t>MRS - STORES &amp; FERMETURES JFE</t>
  </si>
  <si>
    <t>M-CDV-15-04924</t>
  </si>
  <si>
    <t>M. LAFAGE PHILIPPE</t>
  </si>
  <si>
    <t>M-CDV-15-05080</t>
  </si>
  <si>
    <t>M-CDV-15-04832</t>
  </si>
  <si>
    <t>L112ARTLA</t>
  </si>
  <si>
    <t>MRS - NIORT HABITAT</t>
  </si>
  <si>
    <t>M-CDV-15-04960</t>
  </si>
  <si>
    <t>M-CDV-15-00152</t>
  </si>
  <si>
    <t>M-CDV-15-05085</t>
  </si>
  <si>
    <t>M-CDV-15-05322</t>
  </si>
  <si>
    <t>ETS COUSSEAU</t>
  </si>
  <si>
    <t>M-CDV-15-05320</t>
  </si>
  <si>
    <t>ATELIERS LORIN</t>
  </si>
  <si>
    <t>M-CDV-15-05103</t>
  </si>
  <si>
    <t>BLANCHARD J.LUC</t>
  </si>
  <si>
    <t>M-CDV-15-05196</t>
  </si>
  <si>
    <t>BATLLE CLAUDE</t>
  </si>
  <si>
    <t>M-CDV-15-05347</t>
  </si>
  <si>
    <t>SPECIAL HABITAT</t>
  </si>
  <si>
    <t>M-CDV-15-05275</t>
  </si>
  <si>
    <t>PU46LA5880</t>
  </si>
  <si>
    <t>MIROITERIE DU COMMINGES SARL</t>
  </si>
  <si>
    <t>M-CDV-15-05341</t>
  </si>
  <si>
    <t>M-CDV-15-05041</t>
  </si>
  <si>
    <t>1 046,52</t>
  </si>
  <si>
    <t>1 887,6</t>
  </si>
  <si>
    <t>M-CDV-15-05446</t>
  </si>
  <si>
    <t>M-CDV-15-05498</t>
  </si>
  <si>
    <t>MRS - ART DU STORE &amp; FERMETURE</t>
  </si>
  <si>
    <t>M-CDV-15-05657</t>
  </si>
  <si>
    <t>STORES DES COSTIERES</t>
  </si>
  <si>
    <t>M-CDV-15-05663</t>
  </si>
  <si>
    <t>LAFONT STORES</t>
  </si>
  <si>
    <t>M-CDV-15-05360</t>
  </si>
  <si>
    <t>M-CDV-15-05454</t>
  </si>
  <si>
    <t>M-CDV-15-05460</t>
  </si>
  <si>
    <t>MRS - DUPUTZ INTER STORES</t>
  </si>
  <si>
    <t>M-CDV-15-05519</t>
  </si>
  <si>
    <t>MRS - STORES BRETAGNE - VANNES</t>
  </si>
  <si>
    <t>M-CDV-15-05693</t>
  </si>
  <si>
    <t>1 133,46</t>
  </si>
  <si>
    <t>M-CDV-15-05788</t>
  </si>
  <si>
    <t>Mr BRICOUT FRANCIS</t>
  </si>
  <si>
    <t>1 272,6</t>
  </si>
  <si>
    <t>M-CDV-15-05564</t>
  </si>
  <si>
    <t>XL MARQUAGE</t>
  </si>
  <si>
    <t>1 813,34</t>
  </si>
  <si>
    <t>1 620,53</t>
  </si>
  <si>
    <t>M-CDV-15-05571</t>
  </si>
  <si>
    <t>DULOUT ET FILS</t>
  </si>
  <si>
    <t>1 528,56</t>
  </si>
  <si>
    <t>1 914,62</t>
  </si>
  <si>
    <t>M-CDV-15-05670</t>
  </si>
  <si>
    <t>1 554,38</t>
  </si>
  <si>
    <t>M-CDV-15-05572</t>
  </si>
  <si>
    <t>MRS - LES STORES MODERNES</t>
  </si>
  <si>
    <t>M-CDV-15-05464</t>
  </si>
  <si>
    <t>TOLDOS PINO</t>
  </si>
  <si>
    <t>1 483,32</t>
  </si>
  <si>
    <t>M-CDV-15-05483</t>
  </si>
  <si>
    <t>M-CDV-15-05581</t>
  </si>
  <si>
    <t>TCVA</t>
  </si>
  <si>
    <t>M-CDV-15-06007</t>
  </si>
  <si>
    <t>BACHES FAVE</t>
  </si>
  <si>
    <t>M-CDV-15-05926</t>
  </si>
  <si>
    <t>MRS - TECHNIC BAIE</t>
  </si>
  <si>
    <t>M-CDV-15-05932</t>
  </si>
  <si>
    <t>M-CDV-15-05990</t>
  </si>
  <si>
    <t>WALL CREATION SARL</t>
  </si>
  <si>
    <t>M-CDV-15-05995</t>
  </si>
  <si>
    <t>ALLAIS WITO</t>
  </si>
  <si>
    <t>M-CDV-15-06031</t>
  </si>
  <si>
    <t>VERGARA LORENTE JAVIER</t>
  </si>
  <si>
    <t>M-CDV-15-06099</t>
  </si>
  <si>
    <t>1 198,8</t>
  </si>
  <si>
    <t>M-CDV-15-06415</t>
  </si>
  <si>
    <t>MRS - ATELIER STORE 81</t>
  </si>
  <si>
    <t>AVOS</t>
  </si>
  <si>
    <t>AC5000LA6020</t>
  </si>
  <si>
    <t>M-CDV-15-06200</t>
  </si>
  <si>
    <t>M-CDV-15-06206</t>
  </si>
  <si>
    <t>M640EXPAP</t>
  </si>
  <si>
    <t>M-CDV-15-06178</t>
  </si>
  <si>
    <t>ARNOULT</t>
  </si>
  <si>
    <t>M-CDV-15-06139</t>
  </si>
  <si>
    <t>OPPENOT</t>
  </si>
  <si>
    <t>M-CDV-15-06283</t>
  </si>
  <si>
    <t>M-CDV-15-06242</t>
  </si>
  <si>
    <t>ATELIER SACHETTI</t>
  </si>
  <si>
    <t>M-CDV-15-06143</t>
  </si>
  <si>
    <t>MRS - LE CLOU D'OR</t>
  </si>
  <si>
    <t>M-CDV-15-06236</t>
  </si>
  <si>
    <t>M-CDV-15-06404</t>
  </si>
  <si>
    <t>2 213,11</t>
  </si>
  <si>
    <t>M-CDV-15-06456</t>
  </si>
  <si>
    <t>MRS - SQUARE STORE</t>
  </si>
  <si>
    <t>M-CDV-15-06525</t>
  </si>
  <si>
    <t>1 241,74</t>
  </si>
  <si>
    <t>M-CDV-15-06540</t>
  </si>
  <si>
    <t>M-CDV-15-06127</t>
  </si>
  <si>
    <t>AME MENUISERIE</t>
  </si>
  <si>
    <t>M-CDV-15-06483</t>
  </si>
  <si>
    <t>BOURGOGNE ENSEIGNES</t>
  </si>
  <si>
    <t>1 816,8</t>
  </si>
  <si>
    <t xml:space="preserve">MANQUE TOILE </t>
  </si>
  <si>
    <t>M-CDV-15-06612</t>
  </si>
  <si>
    <t>M-CDV-15-06630</t>
  </si>
  <si>
    <t>M-CDV-15-06606</t>
  </si>
  <si>
    <t>M-CDV-15-06634</t>
  </si>
  <si>
    <t>MRS - SOFATIS / ERTON</t>
  </si>
  <si>
    <t>1 422,72</t>
  </si>
  <si>
    <t>1 319,44</t>
  </si>
  <si>
    <t>M-CDV-15-06960</t>
  </si>
  <si>
    <t>M-CDV-15-06965</t>
  </si>
  <si>
    <t>M-CDV-15-06933</t>
  </si>
  <si>
    <t>M-CDV-15-06953</t>
  </si>
  <si>
    <t>M640EXARS</t>
  </si>
  <si>
    <t>MRS - LEZARD 67</t>
  </si>
  <si>
    <t>M-CDV-15-06785</t>
  </si>
  <si>
    <t>LE CONFORT PAR LE STORE</t>
  </si>
  <si>
    <t>M-CDV-15-06822</t>
  </si>
  <si>
    <t>1 675,3</t>
  </si>
  <si>
    <t>M-CDV-15-06947</t>
  </si>
  <si>
    <t>BOURDEAU CASTRES</t>
  </si>
  <si>
    <t>1 755</t>
  </si>
  <si>
    <t>M-CDV-15-06946</t>
  </si>
  <si>
    <t>1 785,78</t>
  </si>
  <si>
    <t>PRODUCCIONES MITJAVILA SA</t>
  </si>
  <si>
    <t>M-CDV-15-06843</t>
  </si>
  <si>
    <t>1 099,22</t>
  </si>
  <si>
    <t>M-CDV-15-06842</t>
  </si>
  <si>
    <t>ALS III - MARESTIN CESCAS</t>
  </si>
  <si>
    <t>ENTREPRISE DUBILLON</t>
  </si>
  <si>
    <t>M-CDV-15-07530</t>
  </si>
  <si>
    <t>M-CDV-15-07482</t>
  </si>
  <si>
    <t>M-CDV-15-07137</t>
  </si>
  <si>
    <t>M-CDV-15-07387</t>
  </si>
  <si>
    <t>M-CDV-15-07392</t>
  </si>
  <si>
    <t>ANJOU BOTTIER CONFECT.TECH.</t>
  </si>
  <si>
    <t>M-CDV-15-07107</t>
  </si>
  <si>
    <t>1 486,08</t>
  </si>
  <si>
    <t>M-CDV-15-07394</t>
  </si>
  <si>
    <t>M.RICHARD ERRE</t>
  </si>
  <si>
    <t>M-CDV-15-07547</t>
  </si>
  <si>
    <t>ATELIERS CONCEPT ENSEIGNES</t>
  </si>
  <si>
    <t>1 639,98</t>
  </si>
  <si>
    <t>M-CDV-15-07562</t>
  </si>
  <si>
    <t>M-CDV-15-07564</t>
  </si>
  <si>
    <t>1 284,12</t>
  </si>
  <si>
    <t>M-CDV-15-07567</t>
  </si>
  <si>
    <t>2 521,8</t>
  </si>
  <si>
    <t>M-CDV-15-07734</t>
  </si>
  <si>
    <t>M-CDV-15-07759</t>
  </si>
  <si>
    <t>VERANDA AUTAA</t>
  </si>
  <si>
    <t>1 690,2</t>
  </si>
  <si>
    <t>M-CDV-15-07779</t>
  </si>
  <si>
    <t>M-CDV-15-07804</t>
  </si>
  <si>
    <t>STORES ET JARDIN</t>
  </si>
  <si>
    <t>M-CDV-15-07806</t>
  </si>
  <si>
    <t>M-CDV-15-07805</t>
  </si>
  <si>
    <t>M. BONARD - ALU STORE</t>
  </si>
  <si>
    <t>1 927,32</t>
  </si>
  <si>
    <t>M-CDV-15-07858</t>
  </si>
  <si>
    <t>POSE MENUISERIE SERVICES</t>
  </si>
  <si>
    <t>1 534,87</t>
  </si>
  <si>
    <t>M-CDV-15-07987</t>
  </si>
  <si>
    <t>1 701,48</t>
  </si>
  <si>
    <t>M-CDV-15-07991</t>
  </si>
  <si>
    <t>ACTIVITE STORES ET HABITAT</t>
  </si>
  <si>
    <t>1 465,67</t>
  </si>
  <si>
    <t>M-CDV-15-07993</t>
  </si>
  <si>
    <t>ROUX ET DENEGRE - STORE SUD</t>
  </si>
  <si>
    <t>M-CDV-15-07994</t>
  </si>
  <si>
    <t>M-CDV-15-08049</t>
  </si>
  <si>
    <t>M-CDV-15-08054</t>
  </si>
  <si>
    <t>1 105,68</t>
  </si>
  <si>
    <t>M-CDV-15-08083</t>
  </si>
  <si>
    <t>RET240ART0480250LAT</t>
  </si>
  <si>
    <t>SARL ISOLAIRE AND CO</t>
  </si>
  <si>
    <t>1 202,11</t>
  </si>
  <si>
    <t>M-CDV-15-08088</t>
  </si>
  <si>
    <t>1 283,4</t>
  </si>
  <si>
    <t>M-CDV-15-08090</t>
  </si>
  <si>
    <t>1 038</t>
  </si>
  <si>
    <t>M-CDV-15-08102</t>
  </si>
  <si>
    <t>M-CDV-15-08112</t>
  </si>
  <si>
    <t>M-CDV-15-08119</t>
  </si>
  <si>
    <t>1 551,96</t>
  </si>
  <si>
    <t>M-CDV-15-08176</t>
  </si>
  <si>
    <t>M-CDV-15-08198</t>
  </si>
  <si>
    <t>M-CDV-15-08304</t>
  </si>
  <si>
    <t>EUROCOM STORES</t>
  </si>
  <si>
    <t>M-CDV-15-08316</t>
  </si>
  <si>
    <t>1 233,6</t>
  </si>
  <si>
    <t>M-CDV-15-08554</t>
  </si>
  <si>
    <t>STORES DUBILLON</t>
  </si>
  <si>
    <t>M-CDV-15-08675</t>
  </si>
  <si>
    <t>M-CDV-15-08729</t>
  </si>
  <si>
    <t>M-CDV-15-08775</t>
  </si>
  <si>
    <t>M-CDV-15-08651</t>
  </si>
  <si>
    <t>VERCASSON CHRISTIAN</t>
  </si>
  <si>
    <t>M-CDV-15-08648</t>
  </si>
  <si>
    <t>M-CDV-15-08536</t>
  </si>
  <si>
    <t>1 224</t>
  </si>
  <si>
    <t>M-CDV-15-08680</t>
  </si>
  <si>
    <t>2 351,69</t>
  </si>
  <si>
    <t>M-CDV-15-08762</t>
  </si>
  <si>
    <t>1 170,72</t>
  </si>
  <si>
    <t>M-CDV-15-08610</t>
  </si>
  <si>
    <t>SARL EURO STORES</t>
  </si>
  <si>
    <t>1 809,5</t>
  </si>
  <si>
    <t>M-CDV-15-08805</t>
  </si>
  <si>
    <t>1 385,1</t>
  </si>
  <si>
    <t>2 459,02</t>
  </si>
  <si>
    <t>1 394,4</t>
  </si>
  <si>
    <t>2 644,2</t>
  </si>
  <si>
    <t>M-CDV-15-08435</t>
  </si>
  <si>
    <t>MRS - RIVIER</t>
  </si>
  <si>
    <t>M-CDV-15-09188</t>
  </si>
  <si>
    <t>DAVRAY</t>
  </si>
  <si>
    <t>COMPTOIR DES TISSUS</t>
  </si>
  <si>
    <t>LA CENTRALE DU STORE</t>
  </si>
  <si>
    <t>M-CDV-15-08831</t>
  </si>
  <si>
    <t>M-CDV-15-09255</t>
  </si>
  <si>
    <t>M-CDV-15-09115</t>
  </si>
  <si>
    <t>TOLDOS CANTABRIA</t>
  </si>
  <si>
    <t>M-CDV-15-09116</t>
  </si>
  <si>
    <t>M-CDV-15-09127</t>
  </si>
  <si>
    <t>M-CDV-15-09001</t>
  </si>
  <si>
    <t>MR VANHOUTTE</t>
  </si>
  <si>
    <t>M-CDV-15-09258</t>
  </si>
  <si>
    <t>STORES DE CHARTREUSE</t>
  </si>
  <si>
    <t>M-CDV-15-09178</t>
  </si>
  <si>
    <t>CB45ZPAP0407120LAC</t>
  </si>
  <si>
    <t>RICHARD FILS</t>
  </si>
  <si>
    <t>M-CDV-15-08919</t>
  </si>
  <si>
    <t>DOMECA CASPAR</t>
  </si>
  <si>
    <t>1 797,72</t>
  </si>
  <si>
    <t>LAMBERT RENE</t>
  </si>
  <si>
    <t>M-CDV-15-09361</t>
  </si>
  <si>
    <t>1 300,32</t>
  </si>
  <si>
    <t>2 153,94</t>
  </si>
  <si>
    <t>1 076,97</t>
  </si>
  <si>
    <t>M-CDV-15-09121</t>
  </si>
  <si>
    <t>Mr MONTEREMAL</t>
  </si>
  <si>
    <t>1 653,62</t>
  </si>
  <si>
    <t>2 218,8</t>
  </si>
  <si>
    <t>1 589,4</t>
  </si>
  <si>
    <t>M-CDV-15-09236</t>
  </si>
  <si>
    <t>2 074,47</t>
  </si>
  <si>
    <t>1 902,09</t>
  </si>
  <si>
    <t>1 608,77</t>
  </si>
  <si>
    <t>M-CDV-15-09677</t>
  </si>
  <si>
    <t>M-CDV-15-09201</t>
  </si>
  <si>
    <t>M-CDV-15-09873</t>
  </si>
  <si>
    <t>M-CDV-15-09818</t>
  </si>
  <si>
    <t>STORES ROBERT HERAUT EST</t>
  </si>
  <si>
    <t>M-CDV-15-09697</t>
  </si>
  <si>
    <t>2 571,84</t>
  </si>
  <si>
    <t>M-CDV-15-09881</t>
  </si>
  <si>
    <t>M-CDV-15-09902</t>
  </si>
  <si>
    <t>Mr VIDAL</t>
  </si>
  <si>
    <t>M-CDV-15-09831</t>
  </si>
  <si>
    <t>BACHES DESCHAMPS SAS</t>
  </si>
  <si>
    <t>1 148,92</t>
  </si>
  <si>
    <t>M-CDV-15-09520</t>
  </si>
  <si>
    <t>M-CDV-15-09689</t>
  </si>
  <si>
    <t>BACHES ARC EN CIEL</t>
  </si>
  <si>
    <t>M-CDV-15-09671</t>
  </si>
  <si>
    <t>M-CDV-15-09897</t>
  </si>
  <si>
    <t>BIER</t>
  </si>
  <si>
    <t>1 696,14</t>
  </si>
  <si>
    <t>M-CDV-15-09785</t>
  </si>
  <si>
    <t>2 029,64</t>
  </si>
  <si>
    <t>1 538,03</t>
  </si>
  <si>
    <t>M-CDV-15-10181</t>
  </si>
  <si>
    <t>M-CDV-15-10124</t>
  </si>
  <si>
    <t>AE5000LW4840</t>
  </si>
  <si>
    <t>M-CDV-15-10175</t>
  </si>
  <si>
    <t>M-CDV-15-10226</t>
  </si>
  <si>
    <t>M-CDV-15-10076</t>
  </si>
  <si>
    <t>SARL AZURENOV 31</t>
  </si>
  <si>
    <t>M-CDV-15-09941</t>
  </si>
  <si>
    <t>M-CDV-15-10187</t>
  </si>
  <si>
    <t>DECORIAL - GRAND LITIER</t>
  </si>
  <si>
    <t>1 186,74</t>
  </si>
  <si>
    <t>M-CDV-15-10190</t>
  </si>
  <si>
    <t>FLEURY SERVICES</t>
  </si>
  <si>
    <t>1 277,33</t>
  </si>
  <si>
    <t>M-CDV-15-09971</t>
  </si>
  <si>
    <t>1 186,09</t>
  </si>
  <si>
    <t>M-CDV-15-09967</t>
  </si>
  <si>
    <t>1 602,72</t>
  </si>
  <si>
    <t>M-CDV-15-10184</t>
  </si>
  <si>
    <t>1 831,2</t>
  </si>
  <si>
    <t>M-CDV-15-10213</t>
  </si>
  <si>
    <t>3 986,78</t>
  </si>
  <si>
    <t>M-CDV-15-10183</t>
  </si>
  <si>
    <t>M-CDV-15-10107</t>
  </si>
  <si>
    <t>SUQUET</t>
  </si>
  <si>
    <t>M-CDV-15-10138</t>
  </si>
  <si>
    <t>M-CDV-15-10164</t>
  </si>
  <si>
    <t>M-CDV-15-10227</t>
  </si>
  <si>
    <t>M-CDV-15-10325</t>
  </si>
  <si>
    <t>1 506,48</t>
  </si>
  <si>
    <t>1 171,8</t>
  </si>
  <si>
    <t>1 218,67</t>
  </si>
  <si>
    <t>2 209,68</t>
  </si>
  <si>
    <t>1 785,77</t>
  </si>
  <si>
    <t>M-CDV-15-06193</t>
  </si>
  <si>
    <t>STVART0400125LAF</t>
  </si>
  <si>
    <t>BIGFLEX</t>
  </si>
  <si>
    <t>M-CDV-15-10340</t>
  </si>
  <si>
    <t>ATELIER CREARTIS</t>
  </si>
  <si>
    <t>M-CDV-15-10525</t>
  </si>
  <si>
    <t>M-CDV-15-10568</t>
  </si>
  <si>
    <t>M-CDV-15-10572</t>
  </si>
  <si>
    <t>1 445,04</t>
  </si>
  <si>
    <t>M-CDV-15-10573</t>
  </si>
  <si>
    <t>APRILE MENUISERIE</t>
  </si>
  <si>
    <t>5 634</t>
  </si>
  <si>
    <t>M-CDV-15-10587</t>
  </si>
  <si>
    <t>1 863,6</t>
  </si>
  <si>
    <t>M-CDV-15-10599</t>
  </si>
  <si>
    <t>M-CDV-15-10632</t>
  </si>
  <si>
    <t>1 733,83</t>
  </si>
  <si>
    <t>M-CDV-15-10648</t>
  </si>
  <si>
    <t>M-CDV-15-10649</t>
  </si>
  <si>
    <t>ALLAMARGOT</t>
  </si>
  <si>
    <t>1 462,32</t>
  </si>
  <si>
    <t>M-CDV-15-10652</t>
  </si>
  <si>
    <t>SV PRODUCTION</t>
  </si>
  <si>
    <t>1 401,84</t>
  </si>
  <si>
    <t>M-CDV-15-10667</t>
  </si>
  <si>
    <t>BEAUVAIS ERIC</t>
  </si>
  <si>
    <t>M-CDV-15-10746</t>
  </si>
  <si>
    <t>M-CDV-15-10765</t>
  </si>
  <si>
    <t>METRATGE SL</t>
  </si>
  <si>
    <t>M-CDV-15-10804</t>
  </si>
  <si>
    <t>1 273,86</t>
  </si>
  <si>
    <t>M-CDV-15-10812</t>
  </si>
  <si>
    <t>M-CDV-15-10882</t>
  </si>
  <si>
    <t>M-CDV-15-10901</t>
  </si>
  <si>
    <t>2 021,22</t>
  </si>
  <si>
    <t>M-CDV-15-10909</t>
  </si>
  <si>
    <t>TOLDOS HUGUET</t>
  </si>
  <si>
    <t>M-CDV-15-10543</t>
  </si>
  <si>
    <t>M.GIRAUDOT</t>
  </si>
  <si>
    <t>RET265ARS0595300LAT</t>
  </si>
  <si>
    <t>M-CDV-15-10919</t>
  </si>
  <si>
    <t>M-CDV-15-10933</t>
  </si>
  <si>
    <t>M-CDV-15-11272</t>
  </si>
  <si>
    <t>PERES GERARD - TERRES DE FENET</t>
  </si>
  <si>
    <t>M-CDV-15-11114</t>
  </si>
  <si>
    <t>SIAM</t>
  </si>
  <si>
    <t>MIROITERIE MANDIC</t>
  </si>
  <si>
    <t>M-CDV-15-11061</t>
  </si>
  <si>
    <t>M-CDV-15-11086</t>
  </si>
  <si>
    <t>M-CDV-15-11430</t>
  </si>
  <si>
    <t>M-CDV-15-11189</t>
  </si>
  <si>
    <t>M-CDV-15-11089</t>
  </si>
  <si>
    <t>M-CDV-15-11348</t>
  </si>
  <si>
    <t>M-CDV-15-11427</t>
  </si>
  <si>
    <t>M-CDV-15-11211</t>
  </si>
  <si>
    <t>1 860</t>
  </si>
  <si>
    <t>M-CDV-15-11424</t>
  </si>
  <si>
    <t>LOPES PUB ET STORES</t>
  </si>
  <si>
    <t>M-CDV-15-11092</t>
  </si>
  <si>
    <t>M-CDV-15-11426</t>
  </si>
  <si>
    <t>1 501,74</t>
  </si>
  <si>
    <t>M-CDV-15-11370</t>
  </si>
  <si>
    <t>1 313,82</t>
  </si>
  <si>
    <t>M-CDV-15-11015</t>
  </si>
  <si>
    <t>M-CDV-15-10924</t>
  </si>
  <si>
    <t>M-CDV-15-11210</t>
  </si>
  <si>
    <t>M-CDV-15-11127</t>
  </si>
  <si>
    <t>1 178,4</t>
  </si>
  <si>
    <t>1 261,8</t>
  </si>
  <si>
    <t>1 221</t>
  </si>
  <si>
    <t>M-CDV-15-11423</t>
  </si>
  <si>
    <t>1 130,22</t>
  </si>
  <si>
    <t>M-CDV-15-00516</t>
  </si>
  <si>
    <t>ALUTEX NEGOCE</t>
  </si>
  <si>
    <t>AE5000LW</t>
  </si>
  <si>
    <t>M-CDV-15-11445</t>
  </si>
  <si>
    <t>M-CDV-15-00522</t>
  </si>
  <si>
    <t>M-CDV-15-11752</t>
  </si>
  <si>
    <t>FABRIC STORES</t>
  </si>
  <si>
    <t>M-CDV-15-11607</t>
  </si>
  <si>
    <t>M-CDV-15-11501</t>
  </si>
  <si>
    <t>M-CDV-15-11513</t>
  </si>
  <si>
    <t>M-CDV-15-11621</t>
  </si>
  <si>
    <t>LOCA SOLEIL</t>
  </si>
  <si>
    <t>M-CDV-15-11624</t>
  </si>
  <si>
    <t>1 196,4</t>
  </si>
  <si>
    <t>M-CDV-15-11626</t>
  </si>
  <si>
    <t>1 275,6</t>
  </si>
  <si>
    <t>M-CDV-15-11525</t>
  </si>
  <si>
    <t>1 554,98</t>
  </si>
  <si>
    <t>M-CDV-15-11628</t>
  </si>
  <si>
    <t>STYLE DECOR SIGNATURE</t>
  </si>
  <si>
    <t>1 481,65</t>
  </si>
  <si>
    <t>1 892,7</t>
  </si>
  <si>
    <t>M-CDV-15-11514</t>
  </si>
  <si>
    <t>1 376,19</t>
  </si>
  <si>
    <t>M-CDV-15-11496</t>
  </si>
  <si>
    <t>RESMINI STORES</t>
  </si>
  <si>
    <t>1 472,15</t>
  </si>
  <si>
    <t>3 434,62</t>
  </si>
  <si>
    <t>M-CDV-15-12010</t>
  </si>
  <si>
    <t>M-CDV-15-11936</t>
  </si>
  <si>
    <t>M-CDV-15-11942</t>
  </si>
  <si>
    <t>DECORIAL-GRAND LITIER</t>
  </si>
  <si>
    <t>M-CDV-15-12207</t>
  </si>
  <si>
    <t>M-CDV-15-11912</t>
  </si>
  <si>
    <t>TRA</t>
  </si>
  <si>
    <t>M-CDV-15-12263</t>
  </si>
  <si>
    <t>M-CDV-15-12119</t>
  </si>
  <si>
    <t>M-CDV-15-12230</t>
  </si>
  <si>
    <t>M-CDV-15-12346</t>
  </si>
  <si>
    <t>PHOENIX</t>
  </si>
  <si>
    <t>2 132,4</t>
  </si>
  <si>
    <t>M-CDV-15-12143</t>
  </si>
  <si>
    <t>MULTI SERVICE VERNET</t>
  </si>
  <si>
    <t>M-CDV-15-12227</t>
  </si>
  <si>
    <t>1 581,12</t>
  </si>
  <si>
    <t>M-CDV-15-12136</t>
  </si>
  <si>
    <t>1 158</t>
  </si>
  <si>
    <t>2 844,48</t>
  </si>
  <si>
    <t>M-CDV-15-12232</t>
  </si>
  <si>
    <t>1 097,28</t>
  </si>
  <si>
    <t>M-CDV-15-12226</t>
  </si>
  <si>
    <t>1 786,51</t>
  </si>
  <si>
    <t>M-CDV-15-12269</t>
  </si>
  <si>
    <t>1 908</t>
  </si>
  <si>
    <t>M-CDV-15-12007</t>
  </si>
  <si>
    <t>1 355,26</t>
  </si>
  <si>
    <t>M-CDV-15-12023</t>
  </si>
  <si>
    <t>STGART0593300LAT</t>
  </si>
  <si>
    <t>EI BORDAZZI</t>
  </si>
  <si>
    <t>2 132,5</t>
  </si>
  <si>
    <t>M-CDV-15-12257</t>
  </si>
  <si>
    <t>2 132,6</t>
  </si>
  <si>
    <t>M-CDV-15-12262</t>
  </si>
  <si>
    <t>M-CDV-15-12629</t>
  </si>
  <si>
    <t>DL MENUISERIE EXPANSION</t>
  </si>
  <si>
    <t>M-CDV-15-12405</t>
  </si>
  <si>
    <t>M-CDV-15-12591</t>
  </si>
  <si>
    <t>M-CDV-15-12778</t>
  </si>
  <si>
    <t>M-CDV-15-12810</t>
  </si>
  <si>
    <t>M-CDV-15-12817</t>
  </si>
  <si>
    <t>M-CDV-15-12706</t>
  </si>
  <si>
    <t>M-CDV-15-12578</t>
  </si>
  <si>
    <t>M-CDV-15-12698</t>
  </si>
  <si>
    <t>SOLAR TECH</t>
  </si>
  <si>
    <t>M-CDV-15-12438</t>
  </si>
  <si>
    <t>TREBUCHON EQUIP'</t>
  </si>
  <si>
    <t>M-CDV-15-12631</t>
  </si>
  <si>
    <t>CLIMENT MENUISERIES ALU-P</t>
  </si>
  <si>
    <t>M-CDV-15-12808</t>
  </si>
  <si>
    <t>1 402,2</t>
  </si>
  <si>
    <t>M-CDV-15-12806</t>
  </si>
  <si>
    <t>REY STORES</t>
  </si>
  <si>
    <t>1 155,64</t>
  </si>
  <si>
    <t>M-CDV-15-12774</t>
  </si>
  <si>
    <t>2 791,8</t>
  </si>
  <si>
    <t>M-CDV-15-12255</t>
  </si>
  <si>
    <t>TENTOEXPRESS</t>
  </si>
  <si>
    <t>1 186</t>
  </si>
  <si>
    <t>M-CDV-15-12535</t>
  </si>
  <si>
    <t>2 770,8</t>
  </si>
  <si>
    <t>1 884,89</t>
  </si>
  <si>
    <t>M-CDV-15-12560</t>
  </si>
  <si>
    <t>M. RICHARD ERRE</t>
  </si>
  <si>
    <t>1 094</t>
  </si>
  <si>
    <t>1 826,9</t>
  </si>
  <si>
    <t>M-CDV-15-12616</t>
  </si>
  <si>
    <t>1 419,66</t>
  </si>
  <si>
    <t>M-CDV-15-12809</t>
  </si>
  <si>
    <t>1 536</t>
  </si>
  <si>
    <t>1 701,82</t>
  </si>
  <si>
    <t>M-CDV-15-12567</t>
  </si>
  <si>
    <t>Mr GILPIN</t>
  </si>
  <si>
    <t>M-CDV-15-12457</t>
  </si>
  <si>
    <t>OMBRES ET STRUCTURE</t>
  </si>
  <si>
    <t>1 514,95</t>
  </si>
  <si>
    <t>2 123,39</t>
  </si>
  <si>
    <t>M-CDV-15-11815</t>
  </si>
  <si>
    <t>V4000ART0400400LAC</t>
  </si>
  <si>
    <t>EURL PESQUE MENUISERIE</t>
  </si>
  <si>
    <t>1 273,8</t>
  </si>
  <si>
    <t>1 196,5</t>
  </si>
  <si>
    <t>1 290,74</t>
  </si>
  <si>
    <t>M-CDV-15-12797</t>
  </si>
  <si>
    <t>1 770,25</t>
  </si>
  <si>
    <t>RET265PAP0480250LAT</t>
  </si>
  <si>
    <t>M-CDV-15-12962</t>
  </si>
  <si>
    <t>ecart de liv toiles</t>
  </si>
  <si>
    <t>M-CDV-15-13074</t>
  </si>
  <si>
    <t>M-CDV-15-13188</t>
  </si>
  <si>
    <t>M-CDV-15-13165</t>
  </si>
  <si>
    <t>1 266,3</t>
  </si>
  <si>
    <t>1 238,87</t>
  </si>
  <si>
    <t>1 464,63</t>
  </si>
  <si>
    <t>M-CDV-15-13388</t>
  </si>
  <si>
    <t>Mr DEMOUY XAVIER</t>
  </si>
  <si>
    <t>M-CDV-15-13578</t>
  </si>
  <si>
    <t>M-CDV-15-13328</t>
  </si>
  <si>
    <t>P.TERRAL-MONTEIRO DECORATION</t>
  </si>
  <si>
    <t>M-CDV-15-13325</t>
  </si>
  <si>
    <t>LE STORE CIRCELLI</t>
  </si>
  <si>
    <t>M-CDV-15-13735</t>
  </si>
  <si>
    <t>SARL BRAGA ET FILS</t>
  </si>
  <si>
    <t>M-CDV-15-13356</t>
  </si>
  <si>
    <t>M-CDV-15-13333</t>
  </si>
  <si>
    <t>3 019,68</t>
  </si>
  <si>
    <t>3 869,3</t>
  </si>
  <si>
    <t>10 800</t>
  </si>
  <si>
    <t>M-CDV-15-13667</t>
  </si>
  <si>
    <t>1 445,4</t>
  </si>
  <si>
    <t>M-CDV-15-13614</t>
  </si>
  <si>
    <t>RICHARD MALAVAL</t>
  </si>
  <si>
    <t>1 168,2</t>
  </si>
  <si>
    <t>M-CDV-15-13588</t>
  </si>
  <si>
    <t>M-CDV-15-13692</t>
  </si>
  <si>
    <t>1 875,6</t>
  </si>
  <si>
    <t>1 373,76</t>
  </si>
  <si>
    <t>M-CDV-15-13711</t>
  </si>
  <si>
    <t>1 265,54</t>
  </si>
  <si>
    <t>M-CDV-15-12336</t>
  </si>
  <si>
    <t>M-CDV-15-11743</t>
  </si>
  <si>
    <t>GALAXY CONCEPT SAS</t>
  </si>
  <si>
    <t>M-CDV-15-14275</t>
  </si>
  <si>
    <t>M-CDV-15-14128</t>
  </si>
  <si>
    <t>FRANCE FENETRES DIFFUSION</t>
  </si>
  <si>
    <t>M. LOTHAIRE THIEBAULT</t>
  </si>
  <si>
    <t>M. VANDENDRIESSCHE PHILIPPE</t>
  </si>
  <si>
    <t>M-CDV-15-14303</t>
  </si>
  <si>
    <t>LAHILLE</t>
  </si>
  <si>
    <t>M-CDV-15-13902</t>
  </si>
  <si>
    <t>Mme COSTA</t>
  </si>
  <si>
    <t>1 213,63</t>
  </si>
  <si>
    <t>1 548,42</t>
  </si>
  <si>
    <t>M-CDV-15-14219</t>
  </si>
  <si>
    <t>MRS - STORES ISOLATION</t>
  </si>
  <si>
    <t>1 243,2</t>
  </si>
  <si>
    <t>M-CDV-15-13988</t>
  </si>
  <si>
    <t>1 456,09</t>
  </si>
  <si>
    <t>M-CDV-15-14211</t>
  </si>
  <si>
    <t>MRS - BESCHI STORES SAS</t>
  </si>
  <si>
    <t>1 388,4</t>
  </si>
  <si>
    <t>M-CDV-15-14087</t>
  </si>
  <si>
    <t>1 314,82</t>
  </si>
  <si>
    <t>M-CDV-15-14340</t>
  </si>
  <si>
    <t>1 129,2</t>
  </si>
  <si>
    <t>M-CDV-15-14179</t>
  </si>
  <si>
    <t>ATEMA</t>
  </si>
  <si>
    <t>M-CDV-15-14361</t>
  </si>
  <si>
    <t>BUILDING POOL SL</t>
  </si>
  <si>
    <t>M-CDV-15-13873</t>
  </si>
  <si>
    <t>1 440,02</t>
  </si>
  <si>
    <t>M-CDV-15-14863</t>
  </si>
  <si>
    <t>RESTAURANT LE SAPHIR</t>
  </si>
  <si>
    <t>M-CDV-15-14700</t>
  </si>
  <si>
    <t>M-CDV-15-14453</t>
  </si>
  <si>
    <t>S.B.I</t>
  </si>
  <si>
    <t>M-CDV-15-14767</t>
  </si>
  <si>
    <t>M-CDV-15-14418</t>
  </si>
  <si>
    <t>COVER SYSTEMS</t>
  </si>
  <si>
    <t>M-CDV-15-14458</t>
  </si>
  <si>
    <t>ALGAYRES</t>
  </si>
  <si>
    <t>M-CDV-15-14765</t>
  </si>
  <si>
    <t>M-CDV-15-14864</t>
  </si>
  <si>
    <t>ALS CONFORT - STORES DUBLANC</t>
  </si>
  <si>
    <t>M-CDV-15-14500</t>
  </si>
  <si>
    <t>1 050,6</t>
  </si>
  <si>
    <t>M-CDV-15-14465</t>
  </si>
  <si>
    <t>M-CDV-15-14768</t>
  </si>
  <si>
    <t>1 081,75</t>
  </si>
  <si>
    <t>M-CDV-15-14867</t>
  </si>
  <si>
    <t>M-CDV-15-14597</t>
  </si>
  <si>
    <t>M-CDV-15-14640</t>
  </si>
  <si>
    <t>3 188,4</t>
  </si>
  <si>
    <t>4 650</t>
  </si>
  <si>
    <t>M-CDV-15-14910</t>
  </si>
  <si>
    <t>M-CDV-15-13083</t>
  </si>
  <si>
    <t>M-CDV-15-13583</t>
  </si>
  <si>
    <t>M-CDV-15-13584</t>
  </si>
  <si>
    <t>STCRARTLW</t>
  </si>
  <si>
    <t>M-CDV-15-11093</t>
  </si>
  <si>
    <t>M-CDV-15-14862</t>
  </si>
  <si>
    <t>ROCHETTE ALAIN</t>
  </si>
  <si>
    <t>M-CDV-15-14952</t>
  </si>
  <si>
    <t>DICANAL</t>
  </si>
  <si>
    <t>M-CDV-15-14920</t>
  </si>
  <si>
    <t>M-CDV-15-14922</t>
  </si>
  <si>
    <t>DARGAUT HABITAT</t>
  </si>
  <si>
    <t>M-CDV-15-14909</t>
  </si>
  <si>
    <t>M-CDV-15-15019</t>
  </si>
  <si>
    <t>1 204,2</t>
  </si>
  <si>
    <t>M-CDV-15-14890</t>
  </si>
  <si>
    <t>1 014,6</t>
  </si>
  <si>
    <t>M-CDV-15-14913</t>
  </si>
  <si>
    <t>M-CDV-15-14935</t>
  </si>
  <si>
    <t>2 037,6</t>
  </si>
  <si>
    <t>1 849,84</t>
  </si>
  <si>
    <t>M-CDV-15-15320</t>
  </si>
  <si>
    <t>M-CDV-15-15279</t>
  </si>
  <si>
    <t>M-CDV-15-15394</t>
  </si>
  <si>
    <t>1 126,98</t>
  </si>
  <si>
    <t>M-CDV-15-15517</t>
  </si>
  <si>
    <t>VICTOR JEAN LUC</t>
  </si>
  <si>
    <t>1 133,08</t>
  </si>
  <si>
    <t>M-CDV-15-15422</t>
  </si>
  <si>
    <t>M-CDV-15-15283</t>
  </si>
  <si>
    <t>DECO'STORES - ACOTEX</t>
  </si>
  <si>
    <t>2 562,82</t>
  </si>
  <si>
    <t>M-CDV-15-15216</t>
  </si>
  <si>
    <t>PROPLANA AG</t>
  </si>
  <si>
    <t>M-CDV-15-15408</t>
  </si>
  <si>
    <t>M-CDV-15-15400</t>
  </si>
  <si>
    <t>M-CDV-15-16084</t>
  </si>
  <si>
    <t>2 143,2</t>
  </si>
  <si>
    <t>M-CDV-15-16080</t>
  </si>
  <si>
    <t>2 649,02</t>
  </si>
  <si>
    <t>M-CDV-15-16057</t>
  </si>
  <si>
    <t>COMPTOIR AVIGNONNAIS DE MENUIS</t>
  </si>
  <si>
    <t>M-CDV-15-16042</t>
  </si>
  <si>
    <t>JFE  STORES ET FERMETURES</t>
  </si>
  <si>
    <t>1 528,2</t>
  </si>
  <si>
    <t>SCAFAD</t>
  </si>
  <si>
    <t>M-CDV-15-15722</t>
  </si>
  <si>
    <t>SUNNY STORE</t>
  </si>
  <si>
    <t>M-CDV-15-15799</t>
  </si>
  <si>
    <t>M-CDV-15-15538</t>
  </si>
  <si>
    <t>M-CDV-15-15854</t>
  </si>
  <si>
    <t>M-CDV-15-15857</t>
  </si>
  <si>
    <t>M-CDV-15-15544</t>
  </si>
  <si>
    <t>M-CDV-15-16017</t>
  </si>
  <si>
    <t>M-CDV-15-15797</t>
  </si>
  <si>
    <t>M-CDV-15-15859</t>
  </si>
  <si>
    <t>OUESTORE</t>
  </si>
  <si>
    <t>M-CDV-15-15472</t>
  </si>
  <si>
    <t>STORES ETOILE/MR STORE</t>
  </si>
  <si>
    <t>1 399,2</t>
  </si>
  <si>
    <t>M-CDV-15-15864</t>
  </si>
  <si>
    <t>1 358,11</t>
  </si>
  <si>
    <t>M-CDV-15-15795</t>
  </si>
  <si>
    <t>CAUJOLLE</t>
  </si>
  <si>
    <t>2 772</t>
  </si>
  <si>
    <t>1 071,6</t>
  </si>
  <si>
    <t>2 239,02</t>
  </si>
  <si>
    <t>1 871,4</t>
  </si>
  <si>
    <t>M-CDV-15-15871</t>
  </si>
  <si>
    <t>HABITAT ECONOMIQUE LIMOUSIN</t>
  </si>
  <si>
    <t>1 640,4</t>
  </si>
  <si>
    <t>1 309,2</t>
  </si>
  <si>
    <t>M-CDV-15-15868</t>
  </si>
  <si>
    <t>M-CDV-15-15829</t>
  </si>
  <si>
    <t>LA FERMETURE DUNOISE</t>
  </si>
  <si>
    <t>1 645,66</t>
  </si>
  <si>
    <t>1 640,5</t>
  </si>
  <si>
    <t>M-CDV-15-16234</t>
  </si>
  <si>
    <t>M-CDV-15-16396</t>
  </si>
  <si>
    <t>B'MIX - TECHNOSTOR</t>
  </si>
  <si>
    <t>M-CDV-15-16426</t>
  </si>
  <si>
    <t>M-CDV-15-16324</t>
  </si>
  <si>
    <t>VIVARENOV - M.NICOLAS PIERRARD</t>
  </si>
  <si>
    <t>M-CDV-15-16508</t>
  </si>
  <si>
    <t>M-CDV-15-16174</t>
  </si>
  <si>
    <t>JLS MENUISERIE</t>
  </si>
  <si>
    <t>M-CDV-15-16531</t>
  </si>
  <si>
    <t>M-CDV-15-16503</t>
  </si>
  <si>
    <t>1 958,77</t>
  </si>
  <si>
    <t>M-CDV-15-16165</t>
  </si>
  <si>
    <t>1 226,23</t>
  </si>
  <si>
    <t>2 319,6</t>
  </si>
  <si>
    <t>1 653,12</t>
  </si>
  <si>
    <t>2 019</t>
  </si>
  <si>
    <t>2 188,92</t>
  </si>
  <si>
    <t>M-CDV-15-16605</t>
  </si>
  <si>
    <t>M-CDV-15-16716</t>
  </si>
  <si>
    <t>STE BROCH</t>
  </si>
  <si>
    <t>M-CDV-15-16770</t>
  </si>
  <si>
    <t>PERES GERARD - TERRES DE FENETRES</t>
  </si>
  <si>
    <t>M-CDV-15-16958</t>
  </si>
  <si>
    <t>M-CDV-15-16926</t>
  </si>
  <si>
    <t>M-CDV-15-16547</t>
  </si>
  <si>
    <t>M-CDV-15-16922</t>
  </si>
  <si>
    <t>M-CDV-15-16871</t>
  </si>
  <si>
    <t>M-CDV-15-16928</t>
  </si>
  <si>
    <t>1 434,24</t>
  </si>
  <si>
    <t>2 066,42</t>
  </si>
  <si>
    <t>M-CDV-15-16805</t>
  </si>
  <si>
    <t>Mr GRAMOND JEAN LOUIS</t>
  </si>
  <si>
    <t>1 170,18</t>
  </si>
  <si>
    <t>M-CDV-15-16655</t>
  </si>
  <si>
    <t>1 776,6</t>
  </si>
  <si>
    <t>M-CDV-15-16863</t>
  </si>
  <si>
    <t>MANUFACTURE DES TOILES GOURNAC</t>
  </si>
  <si>
    <t>M-CDV-15-16604</t>
  </si>
  <si>
    <t>M-CDV-15-16929</t>
  </si>
  <si>
    <t>1 975,8</t>
  </si>
  <si>
    <t>1 353</t>
  </si>
  <si>
    <t>M-CDV-15-16620</t>
  </si>
  <si>
    <t>1 595,66</t>
  </si>
  <si>
    <t>Commandes en cours</t>
  </si>
  <si>
    <t>Adresse</t>
  </si>
  <si>
    <t>Ville</t>
  </si>
  <si>
    <t>Commandes finies</t>
  </si>
  <si>
    <t>Menu</t>
  </si>
  <si>
    <t>OF</t>
  </si>
  <si>
    <t>Stock</t>
  </si>
  <si>
    <t>Clients</t>
  </si>
  <si>
    <t>Identifiant</t>
  </si>
  <si>
    <t>Code Postal</t>
  </si>
  <si>
    <t>Tél.</t>
  </si>
  <si>
    <t>Nonmbre d'OF</t>
  </si>
  <si>
    <t>SAS MITJAVILA
D900 Km7
66600
Rivesaltes</t>
  </si>
  <si>
    <t>N° Odre de Fabrication</t>
  </si>
  <si>
    <t>Ref.</t>
  </si>
  <si>
    <t>Quant.</t>
  </si>
  <si>
    <t>Débits</t>
  </si>
  <si>
    <t>N° Atelier</t>
  </si>
  <si>
    <t>M-CDV-15-</t>
  </si>
  <si>
    <t>Statut</t>
  </si>
  <si>
    <t>Nom</t>
  </si>
  <si>
    <t>ETS</t>
  </si>
  <si>
    <t>SA</t>
  </si>
  <si>
    <t>12 ,,,,</t>
  </si>
  <si>
    <t>Toulouse</t>
  </si>
  <si>
    <t>04 67 32 24 35</t>
  </si>
  <si>
    <t>ETS A.P.S. - REYNAUD STORES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</si>
  <si>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</si>
  <si>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</si>
  <si>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</si>
  <si>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</si>
  <si>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</si>
  <si>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</si>
  <si>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</si>
  <si>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</si>
  <si>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</si>
  <si>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</si>
  <si>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</si>
  <si>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</si>
  <si>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/ Mois</t>
  </si>
  <si>
    <t>Verandas</t>
  </si>
  <si>
    <t>Stores à Guides Façades</t>
  </si>
  <si>
    <t>Stores à Guides Plafonds</t>
  </si>
  <si>
    <t>Stores Rénforcées</t>
  </si>
  <si>
    <t>Stores Coffres Rénforcées</t>
  </si>
  <si>
    <t>Monoblco 600EX</t>
  </si>
  <si>
    <t>Monoblco 640EX</t>
  </si>
  <si>
    <t>ANTGMS</t>
  </si>
  <si>
    <t>GM120</t>
  </si>
  <si>
    <t>GM80</t>
  </si>
  <si>
    <t>GMS100</t>
  </si>
  <si>
    <t>GMS80</t>
  </si>
  <si>
    <t>TM30</t>
  </si>
  <si>
    <t>TM50</t>
  </si>
  <si>
    <t>TME40G2</t>
  </si>
  <si>
    <t>TMS30</t>
  </si>
  <si>
    <t>AUTOMOPRO</t>
  </si>
  <si>
    <t>AUTOMOWindPRO</t>
  </si>
  <si>
    <t>AUTOMOPRO2</t>
  </si>
  <si>
    <t>AUTOMOWINDPRO2S</t>
  </si>
  <si>
    <t>TELEPRO01</t>
  </si>
  <si>
    <t>TELEPRO12</t>
  </si>
  <si>
    <t>TELEPRO6</t>
  </si>
  <si>
    <t>Sorties</t>
  </si>
  <si>
    <t>BC67802D</t>
  </si>
  <si>
    <t>ANT04NT</t>
  </si>
  <si>
    <t>BC57008</t>
  </si>
  <si>
    <t>C5001</t>
  </si>
  <si>
    <t>IM03</t>
  </si>
  <si>
    <t>IM05</t>
  </si>
  <si>
    <t>IM07</t>
  </si>
  <si>
    <t>TA40GV6000</t>
  </si>
  <si>
    <t>TA50GV6000</t>
  </si>
  <si>
    <t>TA50LA6000</t>
  </si>
  <si>
    <t>TA18GV6000</t>
  </si>
  <si>
    <t>TAC40LA4800</t>
  </si>
  <si>
    <t>TAC45GV5000</t>
  </si>
  <si>
    <t>TAC50LA7000</t>
  </si>
  <si>
    <t>TO48ABR5880</t>
  </si>
  <si>
    <t>TO48GV6000</t>
  </si>
  <si>
    <t>TAC35GV6000</t>
  </si>
  <si>
    <t>TO70100GV4700</t>
  </si>
  <si>
    <t>TO78100GV3520</t>
  </si>
  <si>
    <t>TO78100GV4700</t>
  </si>
  <si>
    <t>TO78100GP3520</t>
  </si>
  <si>
    <t>TO78125GP4700</t>
  </si>
  <si>
    <t>TO78125GP5880</t>
  </si>
  <si>
    <t>TO78125GP7050</t>
  </si>
  <si>
    <t>TO78125GV5880</t>
  </si>
  <si>
    <t>TO70100GV6000</t>
  </si>
  <si>
    <t>AE295LA5880</t>
  </si>
  <si>
    <t>AE295LA7100</t>
  </si>
  <si>
    <t>AE29501LA7100</t>
  </si>
  <si>
    <t>AE5000LA7100</t>
  </si>
  <si>
    <t>PU39LA5880</t>
  </si>
  <si>
    <t>PU39LA7000</t>
  </si>
  <si>
    <t>PU91LA5880</t>
  </si>
  <si>
    <t>PU91LA7000</t>
  </si>
  <si>
    <t>CE18501LA5880</t>
  </si>
  <si>
    <t>CE18502LA5880</t>
  </si>
  <si>
    <t>GC38X120LA5880BR10</t>
  </si>
  <si>
    <t>PS2LA5880</t>
  </si>
  <si>
    <t>PU02LA7000</t>
  </si>
  <si>
    <t>PU02LA5880</t>
  </si>
  <si>
    <t>PU12LA5880</t>
  </si>
  <si>
    <t>TP10AA35880</t>
  </si>
  <si>
    <t>TP10GV3000</t>
  </si>
  <si>
    <t>TP10I3000</t>
  </si>
  <si>
    <t>PU12LA7000</t>
  </si>
  <si>
    <t>CU06LAI</t>
  </si>
  <si>
    <t>CU09LA</t>
  </si>
  <si>
    <t>PALI78BR</t>
  </si>
  <si>
    <t>RP78ABR</t>
  </si>
  <si>
    <t>LY06LAI</t>
  </si>
  <si>
    <t>LY121LAI</t>
  </si>
  <si>
    <t>EC50LA</t>
  </si>
  <si>
    <t>EC50LG</t>
  </si>
  <si>
    <t>EI5202LAI</t>
  </si>
  <si>
    <t>REGLAI</t>
  </si>
  <si>
    <t>EI12302LAI</t>
  </si>
  <si>
    <t>C185PLAI</t>
  </si>
  <si>
    <t>CU08I</t>
  </si>
  <si>
    <t>0612LAI</t>
  </si>
  <si>
    <t>EB12PLAI</t>
  </si>
  <si>
    <t>EB25PLAI</t>
  </si>
  <si>
    <t>EG08TLAI1</t>
  </si>
  <si>
    <t>EG08TLAI2</t>
  </si>
  <si>
    <t>EG10LAI</t>
  </si>
  <si>
    <t>EG12LAI</t>
  </si>
  <si>
    <t>EG14LAI</t>
  </si>
  <si>
    <t>EG16LAI</t>
  </si>
  <si>
    <t>EG18A</t>
  </si>
  <si>
    <t>0610LAI1</t>
  </si>
  <si>
    <t>0610LAI2</t>
  </si>
  <si>
    <t>0615LAI1</t>
  </si>
  <si>
    <t>0615LAI2</t>
  </si>
  <si>
    <t>0618LAI</t>
  </si>
  <si>
    <t>EB0612PLAI1</t>
  </si>
  <si>
    <t>EB0612PLAI2</t>
  </si>
  <si>
    <t>EBPU602LAI1</t>
  </si>
  <si>
    <t>EBPU602LAI2</t>
  </si>
  <si>
    <t>FUM34LAI</t>
  </si>
  <si>
    <t>EI21009LAI1</t>
  </si>
  <si>
    <t>EI21009LAI2</t>
  </si>
  <si>
    <t>FUM60201NT1</t>
  </si>
  <si>
    <t>FUM60201NT2</t>
  </si>
  <si>
    <t>S26001LAI</t>
  </si>
  <si>
    <t>KITC185PLAI</t>
  </si>
  <si>
    <t>PL150I</t>
  </si>
  <si>
    <t>SU16LA</t>
  </si>
  <si>
    <t>J18503LA</t>
  </si>
  <si>
    <t>J18502LAI1</t>
  </si>
  <si>
    <t>J18502LAI2</t>
  </si>
  <si>
    <t>C260/280LAI</t>
  </si>
  <si>
    <t>EO548PLG</t>
  </si>
  <si>
    <t>EOI170BR</t>
  </si>
  <si>
    <t>EOI178BR</t>
  </si>
  <si>
    <t>EOI270BR</t>
  </si>
  <si>
    <t>EOI278BR</t>
  </si>
  <si>
    <t>EOI370BR</t>
  </si>
  <si>
    <t>EOI370LBR</t>
  </si>
  <si>
    <t>EOI378BR</t>
  </si>
  <si>
    <t>EOI378LBR</t>
  </si>
  <si>
    <t>EOI378TLBR</t>
  </si>
  <si>
    <t>J295LAI</t>
  </si>
  <si>
    <t>J5000LAI</t>
  </si>
  <si>
    <t>SAI295LAI</t>
  </si>
  <si>
    <t>SAI5000LAI</t>
  </si>
  <si>
    <t>EB39PLAI1</t>
  </si>
  <si>
    <t>EB39PLAI2</t>
  </si>
  <si>
    <t>EB46PLAI</t>
  </si>
  <si>
    <t>MFCP120LA</t>
  </si>
  <si>
    <t>MFCPLA140</t>
  </si>
  <si>
    <t>MFCPLA160</t>
  </si>
  <si>
    <t>MFCPLA180</t>
  </si>
  <si>
    <t>MFCPLA200</t>
  </si>
  <si>
    <t>TA1/5RLAI</t>
  </si>
  <si>
    <t>TA1/9LAI</t>
  </si>
  <si>
    <t>TA1/9TLLAI</t>
  </si>
  <si>
    <t>TAI1/11LAI</t>
  </si>
  <si>
    <t>BMMYYSG300LA1E</t>
  </si>
  <si>
    <t>BMMYYSG350LA1E</t>
  </si>
  <si>
    <t>BMMYYSG350LA2E</t>
  </si>
  <si>
    <t>BMMYYSG375LA1E</t>
  </si>
  <si>
    <t>BMMYYSG375LA2E</t>
  </si>
  <si>
    <t>BMMYYSG400LA1E</t>
  </si>
  <si>
    <t>BMMYYSG400LA2E</t>
  </si>
  <si>
    <t>BOFYYDC100LA1E</t>
  </si>
  <si>
    <t>BOFYYDC100LA2E</t>
  </si>
  <si>
    <t>BOFYYDC125LA1E</t>
  </si>
  <si>
    <t>BOFYYDC125LA2E</t>
  </si>
  <si>
    <t>BOFYYDC150LA1S</t>
  </si>
  <si>
    <t>BOFYYDC150LA2S</t>
  </si>
  <si>
    <t>BOFYYDC175LA1S</t>
  </si>
  <si>
    <t>BOFYYDC175LA2S</t>
  </si>
  <si>
    <t>BOFYYDC200LA1S</t>
  </si>
  <si>
    <t>BOFYYDC200LA2S</t>
  </si>
  <si>
    <t>BOFYYDC225LA1S</t>
  </si>
  <si>
    <t>BOFYYDC225LA2S</t>
  </si>
  <si>
    <t>BOFYYDC250LA1S</t>
  </si>
  <si>
    <t>BOFYYDC250LA2S</t>
  </si>
  <si>
    <t>BOFYYDC275LA1E</t>
  </si>
  <si>
    <t>BOFYYDC275LA2E</t>
  </si>
  <si>
    <t>BOFYYDC300LA1S</t>
  </si>
  <si>
    <t>BOFYYDC300LA2S</t>
  </si>
  <si>
    <t>BOMFXDC350LA1E</t>
  </si>
  <si>
    <t>BOMFXDC350LA2E</t>
  </si>
  <si>
    <t>BOMYYDC350LA1E</t>
  </si>
  <si>
    <t>BOMYYDC350LA2E</t>
  </si>
  <si>
    <t>REFERENCES</t>
  </si>
  <si>
    <t>Entrées</t>
  </si>
  <si>
    <t xml:space="preserve"> Mini</t>
  </si>
  <si>
    <t>Rupture de stock</t>
  </si>
  <si>
    <t>GM100</t>
  </si>
  <si>
    <t>C1440PLA</t>
  </si>
  <si>
    <t>CU12ALAI</t>
  </si>
  <si>
    <t>DI0404LAI1</t>
  </si>
  <si>
    <t>DI0404LAI2</t>
  </si>
  <si>
    <t>EB144002LAI1</t>
  </si>
  <si>
    <t>EB144002LAI2</t>
  </si>
  <si>
    <t>EBJ31MPLA</t>
  </si>
  <si>
    <t>EBJ31TPLA</t>
  </si>
  <si>
    <t>EI26508LAI1</t>
  </si>
  <si>
    <t>EI26508LAI2</t>
  </si>
  <si>
    <t>ST04LA</t>
  </si>
  <si>
    <t>ST05LA</t>
  </si>
  <si>
    <t>ST09LAI</t>
  </si>
  <si>
    <t>ST10LAI</t>
  </si>
  <si>
    <t>ST1903LAI</t>
  </si>
  <si>
    <t>ST20BLAI</t>
  </si>
  <si>
    <t>EBPPV4603LAI1</t>
  </si>
  <si>
    <t>EBPPV4603LAI2</t>
  </si>
  <si>
    <t>ST24LAI</t>
  </si>
  <si>
    <t>ST25LAI</t>
  </si>
  <si>
    <t>ST28LAI</t>
  </si>
  <si>
    <t>ST31LAI</t>
  </si>
  <si>
    <t>TA1/16TLLAI</t>
  </si>
  <si>
    <t>TA1/16LAI</t>
  </si>
  <si>
    <t>ST27LA</t>
  </si>
  <si>
    <t>CU12PLA</t>
  </si>
  <si>
    <t>AE240LA4800</t>
  </si>
  <si>
    <t>AE26501LA6000</t>
  </si>
  <si>
    <t>AE26502LA6000</t>
  </si>
  <si>
    <t>PU1440LA6000</t>
  </si>
  <si>
    <t>TAC60X30LA4500</t>
  </si>
  <si>
    <t>TAC80LA5100</t>
  </si>
  <si>
    <t>TAC80LA6000</t>
  </si>
  <si>
    <t>PPV4603LA6000</t>
  </si>
  <si>
    <t>CE22505LA6000</t>
  </si>
  <si>
    <t>P1LA5880</t>
  </si>
  <si>
    <t>PC2LA5880 (55mm)</t>
  </si>
  <si>
    <t>PC6LA5880 (45mm)</t>
  </si>
  <si>
    <t>PC7LA5880 (35mm)</t>
  </si>
  <si>
    <t>P1A35880</t>
  </si>
  <si>
    <t>PC2A35880 (55mm)</t>
  </si>
  <si>
    <t>PC6A35880 (45mm)</t>
  </si>
  <si>
    <t>PC7A35880 (35mm)</t>
  </si>
  <si>
    <t>D05</t>
  </si>
  <si>
    <t>EC09LA</t>
  </si>
  <si>
    <t>EC10LA</t>
  </si>
  <si>
    <t>EC11ALA</t>
  </si>
  <si>
    <t>EC11BISLA</t>
  </si>
  <si>
    <t>EC11LAZ</t>
  </si>
  <si>
    <t>EC12LAZ</t>
  </si>
  <si>
    <t>EC13LA</t>
  </si>
  <si>
    <t>EC15LLA</t>
  </si>
  <si>
    <t>EC16LAI</t>
  </si>
  <si>
    <t>EC17LA</t>
  </si>
  <si>
    <t>EC24</t>
  </si>
  <si>
    <t>EC27LAI</t>
  </si>
  <si>
    <t>EC28LA</t>
  </si>
  <si>
    <t>EC48LAI</t>
  </si>
  <si>
    <t>EC49LAI</t>
  </si>
  <si>
    <t>EC51LAI</t>
  </si>
  <si>
    <t>EC52LAI</t>
  </si>
  <si>
    <t>EC53LAI</t>
  </si>
  <si>
    <t>EC63LAI</t>
  </si>
  <si>
    <t>EC64LAI</t>
  </si>
  <si>
    <t>EC65LAI</t>
  </si>
  <si>
    <t>EC66LAI</t>
  </si>
  <si>
    <t>EC67LAI</t>
  </si>
  <si>
    <t>EC68LAI</t>
  </si>
  <si>
    <t>EC69LAI</t>
  </si>
  <si>
    <t>EC70LA</t>
  </si>
  <si>
    <t>EF02LAI</t>
  </si>
  <si>
    <t>EF03LAI</t>
  </si>
  <si>
    <t>EU150LA</t>
  </si>
  <si>
    <t>EU350LA</t>
  </si>
  <si>
    <t>JC05</t>
  </si>
  <si>
    <t>PO03</t>
  </si>
  <si>
    <t>SIJCLA</t>
  </si>
  <si>
    <t>TRIANGLE PO3</t>
  </si>
  <si>
    <t>EC09NTB</t>
  </si>
  <si>
    <t>EC10NTB</t>
  </si>
  <si>
    <t xml:space="preserve">EC11ANTB </t>
  </si>
  <si>
    <t>EC11BISNTB</t>
  </si>
  <si>
    <t>EC11NTB</t>
  </si>
  <si>
    <t>EC12NTB</t>
  </si>
  <si>
    <t>EC13NTB</t>
  </si>
  <si>
    <t>EC14NTB</t>
  </si>
  <si>
    <t>EC15LNTB</t>
  </si>
  <si>
    <t>EC16NTB</t>
  </si>
  <si>
    <t>EC17NTB</t>
  </si>
  <si>
    <t>EC27NTB</t>
  </si>
  <si>
    <t>EC28</t>
  </si>
  <si>
    <t>EC48NTB</t>
  </si>
  <si>
    <t>EC49NTB</t>
  </si>
  <si>
    <t>EC51NTB</t>
  </si>
  <si>
    <t>EC52NTB</t>
  </si>
  <si>
    <t>EC53NTB</t>
  </si>
  <si>
    <t>EC63NTB</t>
  </si>
  <si>
    <t>EC64NTB</t>
  </si>
  <si>
    <t>EC65NTB</t>
  </si>
  <si>
    <t>EC66NTB</t>
  </si>
  <si>
    <t>EC67NTB</t>
  </si>
  <si>
    <t>EC68NTB</t>
  </si>
  <si>
    <t>EC69NTB</t>
  </si>
  <si>
    <t>EC70NTB</t>
  </si>
  <si>
    <t>EF02NTB</t>
  </si>
  <si>
    <t>EF03NT</t>
  </si>
  <si>
    <t>EQ14NT</t>
  </si>
  <si>
    <t>EU150NT</t>
  </si>
  <si>
    <t>EU350NT</t>
  </si>
  <si>
    <t>SIJ/CNTB</t>
  </si>
  <si>
    <t>SIJ/LNTB</t>
  </si>
  <si>
    <t>TA1/9NTI</t>
  </si>
  <si>
    <t>AC12LC1</t>
  </si>
  <si>
    <t>AC12LC2</t>
  </si>
  <si>
    <t>C03</t>
  </si>
  <si>
    <t>C03 en rl</t>
  </si>
  <si>
    <t>CU14BRI</t>
  </si>
  <si>
    <t>CU1602PLA</t>
  </si>
  <si>
    <t>CV01LA5100</t>
  </si>
  <si>
    <t>CV01LA7000</t>
  </si>
  <si>
    <t>CV02LA5000</t>
  </si>
  <si>
    <t>CV02LA7000</t>
  </si>
  <si>
    <t>CV03LA5040</t>
  </si>
  <si>
    <t>CV03LA7000</t>
  </si>
  <si>
    <t>EB0802LAI</t>
  </si>
  <si>
    <t>EB13502ALAI1</t>
  </si>
  <si>
    <t>EB13502ALAI2</t>
  </si>
  <si>
    <t>EB3705LA</t>
  </si>
  <si>
    <t>EB814LAI1</t>
  </si>
  <si>
    <t>EB814LAI2</t>
  </si>
  <si>
    <t>EBJSV04LAI</t>
  </si>
  <si>
    <t>EBPU814LAI</t>
  </si>
  <si>
    <t>EI125ALAI1</t>
  </si>
  <si>
    <t>EI125ALAI2</t>
  </si>
  <si>
    <t>EO678PLG</t>
  </si>
  <si>
    <t>FUM07NTI</t>
  </si>
  <si>
    <t>FUM42NTI</t>
  </si>
  <si>
    <t>FUM4202NTI</t>
  </si>
  <si>
    <t>JSV01ALAI1</t>
  </si>
  <si>
    <t>JSV01ALAI2</t>
  </si>
  <si>
    <t>JSV01ULAI</t>
  </si>
  <si>
    <t>JSV03ALAI1</t>
  </si>
  <si>
    <t>JSV03ALAI2</t>
  </si>
  <si>
    <t>JSV03AULAI</t>
  </si>
  <si>
    <t>JSV04LAI1</t>
  </si>
  <si>
    <t>JSV04LAI2</t>
  </si>
  <si>
    <t>KITSVXL02LAI</t>
  </si>
  <si>
    <t>PO16PLAI</t>
  </si>
  <si>
    <t>PO20</t>
  </si>
  <si>
    <t>PO2102NTI</t>
  </si>
  <si>
    <t>PO21NTB</t>
  </si>
  <si>
    <t>PU13505LA6000</t>
  </si>
  <si>
    <t>PU3705LA5880</t>
  </si>
  <si>
    <t>PU3706LA5880</t>
  </si>
  <si>
    <t>PU3707LA5880</t>
  </si>
  <si>
    <t>PU37LA5100</t>
  </si>
  <si>
    <t>PU37LA7000</t>
  </si>
  <si>
    <t>PU80702LA5880</t>
  </si>
  <si>
    <t>PU807LA5000</t>
  </si>
  <si>
    <t>PU807LA7000</t>
  </si>
  <si>
    <t>PU814LA6000</t>
  </si>
  <si>
    <t>SV02LAI</t>
  </si>
  <si>
    <t>SV03ALAI</t>
  </si>
  <si>
    <t>SV04LAI</t>
  </si>
  <si>
    <t>SV05LAI1</t>
  </si>
  <si>
    <t>SV05LAI2</t>
  </si>
  <si>
    <t>SV06ALAI</t>
  </si>
  <si>
    <t>SV0802LAI1</t>
  </si>
  <si>
    <t>SV0802LAI2</t>
  </si>
  <si>
    <t>SV09LAI</t>
  </si>
  <si>
    <t>SV10LAI</t>
  </si>
  <si>
    <t>SV11LAI</t>
  </si>
  <si>
    <t>SV12ALAI</t>
  </si>
  <si>
    <t>SV13ALAI</t>
  </si>
  <si>
    <t>SV14LAI</t>
  </si>
  <si>
    <t>SV15ALAI</t>
  </si>
  <si>
    <t>SV24LAI</t>
  </si>
  <si>
    <t>SV32LAI1</t>
  </si>
  <si>
    <t>SV32LAI2</t>
  </si>
  <si>
    <t>SV3403LA</t>
  </si>
  <si>
    <t>SV3402LAI</t>
  </si>
  <si>
    <t>SV35LAI</t>
  </si>
  <si>
    <t>SV3503LAI</t>
  </si>
  <si>
    <t>SV36LAI1</t>
  </si>
  <si>
    <t>SV36LAI2</t>
  </si>
  <si>
    <t>SV37LAI1</t>
  </si>
  <si>
    <t>SV37LAI2</t>
  </si>
  <si>
    <t>SV40LAI1</t>
  </si>
  <si>
    <t>SV40LAI2</t>
  </si>
  <si>
    <t>TR19</t>
  </si>
  <si>
    <t>TR1902</t>
  </si>
  <si>
    <t>KITVJSV01A</t>
  </si>
  <si>
    <t>PU3706LE6000</t>
  </si>
  <si>
    <t>PU3707LE6000</t>
  </si>
  <si>
    <t>PU37LE7000</t>
  </si>
  <si>
    <t>PU80702LE6000</t>
  </si>
  <si>
    <t>PU807LE7000</t>
  </si>
  <si>
    <t>SV02LEI</t>
  </si>
  <si>
    <t>SV03ALEI</t>
  </si>
  <si>
    <t>SV04LEI</t>
  </si>
  <si>
    <t>SV05LEI1</t>
  </si>
  <si>
    <t>SV05LEI2</t>
  </si>
  <si>
    <t>SV06ALEI</t>
  </si>
  <si>
    <t>SV0802LEI1</t>
  </si>
  <si>
    <t>SV0802LEI2</t>
  </si>
  <si>
    <t>SV09LEI</t>
  </si>
  <si>
    <t>SV10LEI</t>
  </si>
  <si>
    <t>SV11LEI</t>
  </si>
  <si>
    <t>SV12ALEI</t>
  </si>
  <si>
    <t>SV14LEI</t>
  </si>
  <si>
    <t>SV15ALEI</t>
  </si>
  <si>
    <t>SV24LEI</t>
  </si>
  <si>
    <t>SV32LE1</t>
  </si>
  <si>
    <t>SV32LE2</t>
  </si>
  <si>
    <t>SV3403LEI</t>
  </si>
  <si>
    <t>SV3503LEI</t>
  </si>
  <si>
    <t>SV40LEI1</t>
  </si>
  <si>
    <t>SV40LEI2</t>
  </si>
  <si>
    <t>BODFCDC150LA1E</t>
  </si>
  <si>
    <t>BODFCDC150LA2E</t>
  </si>
  <si>
    <t>BODFCDC175LA1E</t>
  </si>
  <si>
    <t>BODFCDC175LA2E</t>
  </si>
  <si>
    <t>BODFCDC200LA1E</t>
  </si>
  <si>
    <t>BODFCDC225LA1E</t>
  </si>
  <si>
    <t>BODFCDC225LA2E</t>
  </si>
  <si>
    <t>BODFCDC250LA1E</t>
  </si>
  <si>
    <t>BODFCDC250LA2E</t>
  </si>
  <si>
    <t>BODFCDC275LA1E</t>
  </si>
  <si>
    <t>BODFCDC275LA2E</t>
  </si>
  <si>
    <t>BODFCDC300LA1E</t>
  </si>
  <si>
    <t>BODFCDC300LA2E</t>
  </si>
  <si>
    <t>BODFCDC325LA1E</t>
  </si>
  <si>
    <t>BODFCDC325LA2E</t>
  </si>
  <si>
    <t>BODFCDC350LA1E</t>
  </si>
  <si>
    <t>BODFCDC350LA2E</t>
  </si>
  <si>
    <t>BODFCDC375LA1E</t>
  </si>
  <si>
    <t>BODFCDC375LA2E</t>
  </si>
  <si>
    <t>BODFCDC400LA1E</t>
  </si>
  <si>
    <t>BODFCDC400LA2E</t>
  </si>
  <si>
    <t>BODFCDC150LA1S</t>
  </si>
  <si>
    <t>BODFCDC150LA2S</t>
  </si>
  <si>
    <t>BODFCDC175LA1S</t>
  </si>
  <si>
    <t>BODFCDC175LA2S</t>
  </si>
  <si>
    <t>BODFCDC200LA1S</t>
  </si>
  <si>
    <t>BODFCDC225LA1S</t>
  </si>
  <si>
    <t>BODFCDC225LA2S</t>
  </si>
  <si>
    <t>BODFCDC250LA1S</t>
  </si>
  <si>
    <t>BODFCDC250LA2S</t>
  </si>
  <si>
    <t>BODFCDC275LA1S</t>
  </si>
  <si>
    <t>BODFCDC275LA2S</t>
  </si>
  <si>
    <t>BODFCDC300LA1S</t>
  </si>
  <si>
    <t>BODFCDC300LA2S</t>
  </si>
  <si>
    <t>BODFCDC325LA1S</t>
  </si>
  <si>
    <t>BODFCDC325LA2S</t>
  </si>
  <si>
    <t>BODFCDC350LA1S</t>
  </si>
  <si>
    <t>BODFCDC350LA2S</t>
  </si>
  <si>
    <t>BODFCDC375LA1S</t>
  </si>
  <si>
    <t>BODFCDC375LA2S</t>
  </si>
  <si>
    <t>BODFCDC400LA1S</t>
  </si>
  <si>
    <t>BODFCDC400LA2S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</si>
</sst>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43" formatCode="_-* #,##0.00\ _€_-;\-* #,##0.00\ _€_-;_-* &quot;-&quot;??\ _€_-;_-@_-"/>
    <numFmt numFmtId="164" formatCode="[$-40C]d\-mmm;@"/>
    <numFmt numFmtId="165" formatCode="_-* #,##0\ _€_-;\-* #,##0\ _€_-;_-* &quot;-&quot;??\ _€_-;_-@_-"/>
    <numFmt numFmtId="166" formatCode="#,##0.00\ &quot;€&quot;;[Red]#,##0.00\ &quot;€&quot;"/>
    <numFmt numFmtId="167" formatCode="[$-F800]dddd\,\ mmmm\ dd\,\ yyyy"/>
  </numFmts>
  <fonts count="213">
    <font>
      <sz val="10"/>
      <name val="Arial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8"/>
      <color indexed="9"/>
      <name val="Arial"/>
      <family val="2"/>
    </font>
    <font>
      <b/>
      <sz val="9"/>
      <name val="Arial"/>
      <family val="2"/>
    </font>
    <font>
      <b/>
      <sz val="10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1"/>
      <name val="Tahoma"/>
      <family val="2"/>
    </font>
    <font>
      <b/>
      <sz val="10"/>
      <color rgb="FFFF0000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3" tint="-0.249977111117893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indexed="9"/>
      <name val="Calibri"/>
      <family val="2"/>
      <scheme val="minor"/>
    </font>
    <font>
      <sz val="10"/>
      <name val="Calibri"/>
      <family val="2"/>
      <scheme val="minor"/>
    </font>
    <font>
      <sz val="9"/>
      <name val="Arial"/>
      <family val="2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indexed="81"/>
      <name val="Tahoma"/>
      <charset val="1"/>
    </font>
    <font>
      <b/>
      <sz val="10"/>
      <color indexed="81"/>
      <name val="Tahoma"/>
      <charset val="1"/>
    </font>
    <font>
      <b/>
      <sz val="8"/>
      <color theme="1"/>
      <name val="Arial"/>
      <family val="2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</borders>
  <cellStyleXfs count="257">
    <xf numFmtId="0" fontId="0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81" fillId="0" borderId="0"/>
    <xf numFmtId="0" fontId="171" fillId="0" borderId="0"/>
    <xf numFmtId="0" fontId="171" fillId="0" borderId="0"/>
    <xf numFmtId="0" fontId="170" fillId="0" borderId="0"/>
    <xf numFmtId="0" fontId="170" fillId="0" borderId="0"/>
    <xf numFmtId="0" fontId="170" fillId="0" borderId="0"/>
    <xf numFmtId="0" fontId="169" fillId="0" borderId="0"/>
    <xf numFmtId="0" fontId="168" fillId="0" borderId="0"/>
    <xf numFmtId="0" fontId="168" fillId="0" borderId="0"/>
    <xf numFmtId="0" fontId="167" fillId="0" borderId="0"/>
    <xf numFmtId="0" fontId="167" fillId="0" borderId="0"/>
    <xf numFmtId="0" fontId="166" fillId="0" borderId="0"/>
    <xf numFmtId="0" fontId="165" fillId="0" borderId="0"/>
    <xf numFmtId="0" fontId="164" fillId="0" borderId="0"/>
    <xf numFmtId="0" fontId="163" fillId="0" borderId="0"/>
    <xf numFmtId="0" fontId="162" fillId="0" borderId="0"/>
    <xf numFmtId="0" fontId="162" fillId="0" borderId="0"/>
    <xf numFmtId="0" fontId="161" fillId="0" borderId="0"/>
    <xf numFmtId="0" fontId="160" fillId="0" borderId="0"/>
    <xf numFmtId="0" fontId="159" fillId="0" borderId="0"/>
    <xf numFmtId="0" fontId="158" fillId="0" borderId="0"/>
    <xf numFmtId="0" fontId="157" fillId="0" borderId="0"/>
    <xf numFmtId="0" fontId="157" fillId="0" borderId="0"/>
    <xf numFmtId="0" fontId="156" fillId="0" borderId="0"/>
    <xf numFmtId="0" fontId="156" fillId="0" borderId="0"/>
    <xf numFmtId="0" fontId="155" fillId="0" borderId="0"/>
    <xf numFmtId="0" fontId="155" fillId="0" borderId="0"/>
    <xf numFmtId="0" fontId="154" fillId="0" borderId="0"/>
    <xf numFmtId="0" fontId="154" fillId="0" borderId="0"/>
    <xf numFmtId="0" fontId="153" fillId="0" borderId="0"/>
    <xf numFmtId="0" fontId="152" fillId="0" borderId="0"/>
    <xf numFmtId="0" fontId="151" fillId="0" borderId="0"/>
    <xf numFmtId="0" fontId="150" fillId="0" borderId="0"/>
    <xf numFmtId="0" fontId="149" fillId="0" borderId="0"/>
    <xf numFmtId="0" fontId="149" fillId="0" borderId="0"/>
    <xf numFmtId="0" fontId="148" fillId="0" borderId="0"/>
    <xf numFmtId="0" fontId="147" fillId="0" borderId="0"/>
    <xf numFmtId="0" fontId="147" fillId="0" borderId="0"/>
    <xf numFmtId="0" fontId="146" fillId="0" borderId="0"/>
    <xf numFmtId="0" fontId="146" fillId="0" borderId="0"/>
    <xf numFmtId="0" fontId="146" fillId="0" borderId="0"/>
    <xf numFmtId="0" fontId="145" fillId="0" borderId="0"/>
    <xf numFmtId="0" fontId="145" fillId="0" borderId="0"/>
    <xf numFmtId="0" fontId="144" fillId="0" borderId="0"/>
    <xf numFmtId="0" fontId="144" fillId="0" borderId="0"/>
    <xf numFmtId="0" fontId="143" fillId="0" borderId="0"/>
    <xf numFmtId="0" fontId="143" fillId="0" borderId="0"/>
    <xf numFmtId="0" fontId="142" fillId="0" borderId="0"/>
    <xf numFmtId="0" fontId="141" fillId="0" borderId="0"/>
    <xf numFmtId="0" fontId="141" fillId="0" borderId="0"/>
    <xf numFmtId="0" fontId="141" fillId="0" borderId="0"/>
    <xf numFmtId="0" fontId="140" fillId="0" borderId="0"/>
    <xf numFmtId="0" fontId="140" fillId="0" borderId="0"/>
    <xf numFmtId="0" fontId="139" fillId="0" borderId="0"/>
    <xf numFmtId="0" fontId="138" fillId="0" borderId="0"/>
    <xf numFmtId="0" fontId="137" fillId="0" borderId="0"/>
    <xf numFmtId="0" fontId="136" fillId="0" borderId="0"/>
    <xf numFmtId="0" fontId="135" fillId="0" borderId="0"/>
    <xf numFmtId="0" fontId="135" fillId="0" borderId="0"/>
    <xf numFmtId="0" fontId="134" fillId="0" borderId="0"/>
    <xf numFmtId="0" fontId="133" fillId="0" borderId="0"/>
    <xf numFmtId="0" fontId="132" fillId="0" borderId="0"/>
    <xf numFmtId="0" fontId="131" fillId="0" borderId="0"/>
    <xf numFmtId="0" fontId="131" fillId="0" borderId="0"/>
    <xf numFmtId="0" fontId="131" fillId="0" borderId="0"/>
    <xf numFmtId="0" fontId="130" fillId="0" borderId="0"/>
    <xf numFmtId="0" fontId="129" fillId="0" borderId="0"/>
    <xf numFmtId="0" fontId="129" fillId="0" borderId="0"/>
    <xf numFmtId="0" fontId="128" fillId="0" borderId="0"/>
    <xf numFmtId="0" fontId="128" fillId="0" borderId="0"/>
    <xf numFmtId="0" fontId="127" fillId="0" borderId="0"/>
    <xf numFmtId="0" fontId="126" fillId="0" borderId="0"/>
    <xf numFmtId="0" fontId="126" fillId="0" borderId="0"/>
    <xf numFmtId="0" fontId="125" fillId="0" borderId="0"/>
    <xf numFmtId="0" fontId="124" fillId="0" borderId="0"/>
    <xf numFmtId="0" fontId="124" fillId="0" borderId="0"/>
    <xf numFmtId="0" fontId="123" fillId="0" borderId="0"/>
    <xf numFmtId="0" fontId="122" fillId="0" borderId="0"/>
    <xf numFmtId="0" fontId="121" fillId="0" borderId="0"/>
    <xf numFmtId="0" fontId="120" fillId="0" borderId="0"/>
    <xf numFmtId="0" fontId="120" fillId="0" borderId="0"/>
    <xf numFmtId="0" fontId="119" fillId="0" borderId="0"/>
    <xf numFmtId="0" fontId="118" fillId="0" borderId="0"/>
    <xf numFmtId="0" fontId="118" fillId="0" borderId="0"/>
    <xf numFmtId="0" fontId="117" fillId="0" borderId="0"/>
    <xf numFmtId="0" fontId="116" fillId="0" borderId="0"/>
    <xf numFmtId="0" fontId="115" fillId="0" borderId="0"/>
    <xf numFmtId="0" fontId="114" fillId="0" borderId="0"/>
    <xf numFmtId="0" fontId="113" fillId="0" borderId="0"/>
    <xf numFmtId="0" fontId="113" fillId="0" borderId="0"/>
    <xf numFmtId="0" fontId="113" fillId="0" borderId="0"/>
    <xf numFmtId="0" fontId="112" fillId="0" borderId="0"/>
    <xf numFmtId="0" fontId="111" fillId="0" borderId="0"/>
    <xf numFmtId="0" fontId="111" fillId="0" borderId="0"/>
    <xf numFmtId="0" fontId="110" fillId="0" borderId="0"/>
    <xf numFmtId="0" fontId="109" fillId="0" borderId="0"/>
    <xf numFmtId="0" fontId="108" fillId="0" borderId="0"/>
    <xf numFmtId="0" fontId="107" fillId="0" borderId="0"/>
    <xf numFmtId="0" fontId="106" fillId="0" borderId="0"/>
    <xf numFmtId="0" fontId="105" fillId="0" borderId="0"/>
    <xf numFmtId="0" fontId="105" fillId="0" borderId="0"/>
    <xf numFmtId="0" fontId="104" fillId="0" borderId="0"/>
    <xf numFmtId="0" fontId="103" fillId="0" borderId="0"/>
    <xf numFmtId="0" fontId="102" fillId="0" borderId="0"/>
    <xf numFmtId="0" fontId="101" fillId="0" borderId="0"/>
    <xf numFmtId="0" fontId="100" fillId="0" borderId="0"/>
    <xf numFmtId="0" fontId="99" fillId="0" borderId="0"/>
    <xf numFmtId="0" fontId="98" fillId="0" borderId="0"/>
    <xf numFmtId="0" fontId="97" fillId="0" borderId="0"/>
    <xf numFmtId="0" fontId="97" fillId="0" borderId="0"/>
    <xf numFmtId="0" fontId="96" fillId="0" borderId="0"/>
    <xf numFmtId="0" fontId="95" fillId="0" borderId="0"/>
    <xf numFmtId="0" fontId="94" fillId="0" borderId="0"/>
    <xf numFmtId="43" fontId="187" fillId="0" borderId="0" applyFont="0" applyFill="0" applyBorder="0" applyAlignment="0" applyProtection="0"/>
    <xf numFmtId="0" fontId="93" fillId="0" borderId="0"/>
    <xf numFmtId="0" fontId="92" fillId="0" borderId="0"/>
    <xf numFmtId="0" fontId="91" fillId="0" borderId="0"/>
    <xf numFmtId="0" fontId="90" fillId="0" borderId="0"/>
    <xf numFmtId="0" fontId="89" fillId="0" borderId="0"/>
    <xf numFmtId="0" fontId="89" fillId="0" borderId="0"/>
    <xf numFmtId="0" fontId="88" fillId="0" borderId="0"/>
    <xf numFmtId="0" fontId="87" fillId="0" borderId="0"/>
    <xf numFmtId="0" fontId="86" fillId="0" borderId="0"/>
    <xf numFmtId="0" fontId="85" fillId="0" borderId="0"/>
    <xf numFmtId="0" fontId="84" fillId="0" borderId="0"/>
    <xf numFmtId="0" fontId="83" fillId="0" borderId="0"/>
    <xf numFmtId="0" fontId="82" fillId="0" borderId="0"/>
    <xf numFmtId="0" fontId="82" fillId="0" borderId="0"/>
    <xf numFmtId="0" fontId="81" fillId="0" borderId="0"/>
    <xf numFmtId="0" fontId="80" fillId="0" borderId="0"/>
    <xf numFmtId="0" fontId="80" fillId="0" borderId="0"/>
    <xf numFmtId="0" fontId="79" fillId="0" borderId="0"/>
    <xf numFmtId="0" fontId="79" fillId="0" borderId="0"/>
    <xf numFmtId="0" fontId="79" fillId="0" borderId="0"/>
    <xf numFmtId="0" fontId="79" fillId="0" borderId="0"/>
    <xf numFmtId="0" fontId="79" fillId="0" borderId="0"/>
    <xf numFmtId="0" fontId="79" fillId="0" borderId="0"/>
    <xf numFmtId="0" fontId="79" fillId="0" borderId="0"/>
    <xf numFmtId="0" fontId="78" fillId="0" borderId="0"/>
    <xf numFmtId="0" fontId="77" fillId="0" borderId="0"/>
    <xf numFmtId="0" fontId="76" fillId="0" borderId="0"/>
    <xf numFmtId="0" fontId="75" fillId="0" borderId="0"/>
    <xf numFmtId="0" fontId="74" fillId="0" borderId="0"/>
    <xf numFmtId="0" fontId="73" fillId="0" borderId="0"/>
    <xf numFmtId="0" fontId="72" fillId="0" borderId="0"/>
    <xf numFmtId="0" fontId="71" fillId="0" borderId="0"/>
    <xf numFmtId="0" fontId="70" fillId="0" borderId="0"/>
    <xf numFmtId="0" fontId="69" fillId="0" borderId="0"/>
    <xf numFmtId="0" fontId="68" fillId="0" borderId="0"/>
    <xf numFmtId="0" fontId="67" fillId="0" borderId="0"/>
    <xf numFmtId="0" fontId="66" fillId="0" borderId="0"/>
    <xf numFmtId="0" fontId="65" fillId="0" borderId="0"/>
    <xf numFmtId="0" fontId="64" fillId="0" borderId="0"/>
    <xf numFmtId="0" fontId="64" fillId="0" borderId="0"/>
    <xf numFmtId="0" fontId="63" fillId="0" borderId="0"/>
    <xf numFmtId="0" fontId="62" fillId="0" borderId="0"/>
    <xf numFmtId="0" fontId="61" fillId="0" borderId="0"/>
    <xf numFmtId="0" fontId="60" fillId="0" borderId="0"/>
    <xf numFmtId="0" fontId="59" fillId="0" borderId="0"/>
    <xf numFmtId="0" fontId="58" fillId="0" borderId="0"/>
    <xf numFmtId="0" fontId="57" fillId="0" borderId="0"/>
    <xf numFmtId="0" fontId="56" fillId="0" borderId="0"/>
    <xf numFmtId="0" fontId="55" fillId="0" borderId="0"/>
    <xf numFmtId="0" fontId="54" fillId="0" borderId="0"/>
    <xf numFmtId="0" fontId="53" fillId="0" borderId="0"/>
    <xf numFmtId="0" fontId="52" fillId="0" borderId="0"/>
    <xf numFmtId="0" fontId="51" fillId="0" borderId="0"/>
    <xf numFmtId="0" fontId="50" fillId="0" borderId="0"/>
    <xf numFmtId="0" fontId="49" fillId="0" borderId="0"/>
    <xf numFmtId="0" fontId="48" fillId="0" borderId="0"/>
    <xf numFmtId="0" fontId="47" fillId="0" borderId="0"/>
    <xf numFmtId="0" fontId="46" fillId="0" borderId="0"/>
    <xf numFmtId="0" fontId="45" fillId="0" borderId="0"/>
    <xf numFmtId="0" fontId="44" fillId="0" borderId="0"/>
    <xf numFmtId="0" fontId="43" fillId="0" borderId="0"/>
    <xf numFmtId="0" fontId="42" fillId="0" borderId="0"/>
    <xf numFmtId="0" fontId="41" fillId="0" borderId="0"/>
    <xf numFmtId="0" fontId="40" fillId="0" borderId="0"/>
    <xf numFmtId="0" fontId="39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0" fillId="0" borderId="0"/>
    <xf numFmtId="0" fontId="9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1" fillId="0" borderId="0"/>
  </cellStyleXfs>
  <cellXfs count="840">
    <xf numFmtId="0" fontId="0" fillId="0" borderId="0" xfId="0"/>
    <xf numFmtId="0" fontId="174" fillId="0" borderId="0" xfId="0" applyFont="1"/>
    <xf numFmtId="0" fontId="173" fillId="0" borderId="1" xfId="0" applyFont="1" applyBorder="1"/>
    <xf numFmtId="0" fontId="173" fillId="0" borderId="0" xfId="0" applyFont="1"/>
    <xf numFmtId="0" fontId="176" fillId="0" borderId="0" xfId="0" applyFont="1"/>
    <xf numFmtId="49" fontId="173" fillId="0" borderId="1" xfId="0" applyNumberFormat="1" applyFont="1" applyBorder="1" applyAlignment="1">
      <alignment horizontal="left"/>
    </xf>
    <xf numFmtId="0" fontId="172" fillId="0" borderId="0" xfId="0" applyFont="1"/>
    <xf numFmtId="0" fontId="176" fillId="0" borderId="0" xfId="0" applyFont="1" applyAlignment="1">
      <alignment horizontal="left"/>
    </xf>
    <xf numFmtId="0" fontId="174" fillId="0" borderId="0" xfId="0" applyFont="1" applyAlignment="1">
      <alignment horizontal="left"/>
    </xf>
    <xf numFmtId="0" fontId="173" fillId="0" borderId="1" xfId="0" applyFont="1" applyBorder="1" applyAlignment="1">
      <alignment horizontal="left"/>
    </xf>
    <xf numFmtId="0" fontId="173" fillId="0" borderId="0" xfId="0" applyFont="1" applyAlignment="1">
      <alignment horizontal="left"/>
    </xf>
    <xf numFmtId="0" fontId="178" fillId="0" borderId="2" xfId="0" applyFont="1" applyBorder="1" applyAlignment="1">
      <alignment horizontal="left"/>
    </xf>
    <xf numFmtId="1" fontId="174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179" fillId="2" borderId="5" xfId="0" applyFont="1" applyFill="1" applyBorder="1" applyAlignment="1">
      <alignment horizontal="center"/>
    </xf>
    <xf numFmtId="8" fontId="172" fillId="3" borderId="5" xfId="0" applyNumberFormat="1" applyFont="1" applyFill="1" applyBorder="1" applyAlignment="1">
      <alignment horizontal="center"/>
    </xf>
    <xf numFmtId="16" fontId="174" fillId="0" borderId="0" xfId="0" applyNumberFormat="1" applyFont="1" applyAlignment="1">
      <alignment horizontal="left"/>
    </xf>
    <xf numFmtId="0" fontId="183" fillId="0" borderId="0" xfId="0" applyFont="1"/>
    <xf numFmtId="0" fontId="173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4" fontId="172" fillId="0" borderId="0" xfId="0" applyNumberFormat="1" applyFont="1" applyAlignment="1">
      <alignment horizontal="left"/>
    </xf>
    <xf numFmtId="0" fontId="185" fillId="6" borderId="11" xfId="16" applyNumberFormat="1" applyFont="1" applyFill="1" applyBorder="1" applyAlignment="1">
      <alignment horizontal="center"/>
    </xf>
    <xf numFmtId="0" fontId="186" fillId="6" borderId="11" xfId="16" applyNumberFormat="1" applyFont="1" applyFill="1" applyBorder="1" applyAlignment="1">
      <alignment horizontal="center"/>
    </xf>
    <xf numFmtId="17" fontId="0" fillId="0" borderId="0" xfId="0" applyNumberFormat="1"/>
    <xf numFmtId="17" fontId="176" fillId="0" borderId="0" xfId="0" applyNumberFormat="1" applyFont="1"/>
    <xf numFmtId="0" fontId="176" fillId="0" borderId="0" xfId="0" applyFont="1" applyFill="1" applyBorder="1"/>
    <xf numFmtId="0" fontId="176" fillId="0" borderId="0" xfId="0" applyFont="1" applyAlignment="1">
      <alignment horizontal="right"/>
    </xf>
    <xf numFmtId="0" fontId="182" fillId="0" borderId="0" xfId="0" applyFont="1"/>
    <xf numFmtId="0" fontId="188" fillId="0" borderId="1" xfId="3" applyFont="1" applyBorder="1"/>
    <xf numFmtId="0" fontId="172" fillId="0" borderId="0" xfId="0" applyFont="1" applyAlignment="1"/>
    <xf numFmtId="0" fontId="191" fillId="0" borderId="1" xfId="0" applyFont="1" applyBorder="1" applyAlignment="1">
      <alignment horizontal="center"/>
    </xf>
    <xf numFmtId="49" fontId="191" fillId="0" borderId="1" xfId="0" applyNumberFormat="1" applyFont="1" applyBorder="1" applyAlignment="1">
      <alignment horizontal="left"/>
    </xf>
    <xf numFmtId="0" fontId="191" fillId="0" borderId="1" xfId="0" applyFont="1" applyBorder="1"/>
    <xf numFmtId="0" fontId="191" fillId="0" borderId="1" xfId="0" applyFont="1" applyBorder="1" applyAlignment="1">
      <alignment horizontal="left"/>
    </xf>
    <xf numFmtId="0" fontId="191" fillId="0" borderId="1" xfId="0" applyFont="1" applyBorder="1" applyAlignment="1">
      <alignment horizontal="right"/>
    </xf>
    <xf numFmtId="0" fontId="193" fillId="6" borderId="11" xfId="16" applyNumberFormat="1" applyFont="1" applyFill="1" applyBorder="1" applyAlignment="1">
      <alignment horizontal="center"/>
    </xf>
    <xf numFmtId="0" fontId="194" fillId="6" borderId="11" xfId="16" applyNumberFormat="1" applyFont="1" applyFill="1" applyBorder="1" applyAlignment="1">
      <alignment horizontal="center"/>
    </xf>
    <xf numFmtId="0" fontId="195" fillId="0" borderId="0" xfId="0" applyFont="1"/>
    <xf numFmtId="0" fontId="192" fillId="0" borderId="1" xfId="0" applyFont="1" applyBorder="1" applyAlignment="1">
      <alignment horizontal="center"/>
    </xf>
    <xf numFmtId="2" fontId="192" fillId="0" borderId="6" xfId="0" applyNumberFormat="1" applyFont="1" applyBorder="1" applyAlignment="1">
      <alignment horizontal="center"/>
    </xf>
    <xf numFmtId="8" fontId="196" fillId="3" borderId="5" xfId="0" applyNumberFormat="1" applyFont="1" applyFill="1" applyBorder="1" applyAlignment="1">
      <alignment horizontal="center"/>
    </xf>
    <xf numFmtId="0" fontId="196" fillId="0" borderId="0" xfId="0" applyFont="1" applyAlignment="1">
      <alignment horizontal="left"/>
    </xf>
    <xf numFmtId="0" fontId="196" fillId="0" borderId="1" xfId="0" applyFont="1" applyBorder="1"/>
    <xf numFmtId="49" fontId="196" fillId="0" borderId="1" xfId="0" applyNumberFormat="1" applyFont="1" applyBorder="1" applyAlignment="1">
      <alignment horizontal="left"/>
    </xf>
    <xf numFmtId="0" fontId="192" fillId="0" borderId="0" xfId="0" applyFont="1"/>
    <xf numFmtId="0" fontId="197" fillId="0" borderId="0" xfId="0" applyFont="1"/>
    <xf numFmtId="164" fontId="197" fillId="0" borderId="0" xfId="0" applyNumberFormat="1" applyFont="1" applyAlignment="1">
      <alignment horizontal="left"/>
    </xf>
    <xf numFmtId="0" fontId="198" fillId="0" borderId="1" xfId="0" applyFont="1" applyBorder="1" applyAlignment="1">
      <alignment horizontal="center"/>
    </xf>
    <xf numFmtId="0" fontId="197" fillId="0" borderId="0" xfId="0" applyFont="1" applyAlignment="1">
      <alignment horizontal="left"/>
    </xf>
    <xf numFmtId="0" fontId="199" fillId="6" borderId="11" xfId="16" applyNumberFormat="1" applyFont="1" applyFill="1" applyBorder="1" applyAlignment="1">
      <alignment horizontal="center"/>
    </xf>
    <xf numFmtId="0" fontId="200" fillId="6" borderId="11" xfId="16" applyNumberFormat="1" applyFont="1" applyFill="1" applyBorder="1" applyAlignment="1">
      <alignment horizontal="center"/>
    </xf>
    <xf numFmtId="16" fontId="197" fillId="0" borderId="0" xfId="0" applyNumberFormat="1" applyFont="1" applyAlignment="1">
      <alignment horizontal="left"/>
    </xf>
    <xf numFmtId="0" fontId="201" fillId="0" borderId="0" xfId="0" applyFont="1" applyAlignment="1">
      <alignment horizontal="left"/>
    </xf>
    <xf numFmtId="0" fontId="202" fillId="0" borderId="0" xfId="0" applyFont="1" applyAlignment="1">
      <alignment horizontal="left"/>
    </xf>
    <xf numFmtId="16" fontId="202" fillId="0" borderId="0" xfId="0" applyNumberFormat="1" applyFont="1" applyAlignment="1">
      <alignment horizontal="left"/>
    </xf>
    <xf numFmtId="0" fontId="196" fillId="2" borderId="5" xfId="0" applyFont="1" applyFill="1" applyBorder="1" applyAlignment="1">
      <alignment horizontal="center"/>
    </xf>
    <xf numFmtId="0" fontId="196" fillId="5" borderId="5" xfId="0" applyFont="1" applyFill="1" applyBorder="1" applyAlignment="1"/>
    <xf numFmtId="0" fontId="196" fillId="0" borderId="6" xfId="0" applyFont="1" applyBorder="1" applyAlignment="1">
      <alignment horizontal="center"/>
    </xf>
    <xf numFmtId="165" fontId="196" fillId="0" borderId="6" xfId="0" applyNumberFormat="1" applyFont="1" applyBorder="1" applyAlignment="1">
      <alignment horizontal="center"/>
    </xf>
    <xf numFmtId="0" fontId="196" fillId="0" borderId="6" xfId="0" applyNumberFormat="1" applyFont="1" applyBorder="1" applyAlignment="1">
      <alignment horizontal="center"/>
    </xf>
    <xf numFmtId="0" fontId="196" fillId="0" borderId="4" xfId="0" applyFont="1" applyBorder="1" applyAlignment="1">
      <alignment horizontal="center"/>
    </xf>
    <xf numFmtId="0" fontId="203" fillId="0" borderId="4" xfId="0" applyFont="1" applyBorder="1" applyAlignment="1">
      <alignment horizontal="center"/>
    </xf>
    <xf numFmtId="0" fontId="196" fillId="0" borderId="1" xfId="0" applyFont="1" applyBorder="1" applyAlignment="1">
      <alignment horizontal="center"/>
    </xf>
    <xf numFmtId="0" fontId="196" fillId="0" borderId="1" xfId="0" applyFont="1" applyBorder="1" applyAlignment="1">
      <alignment horizontal="left"/>
    </xf>
    <xf numFmtId="0" fontId="196" fillId="0" borderId="1" xfId="0" applyFont="1" applyBorder="1" applyAlignment="1">
      <alignment horizontal="right"/>
    </xf>
    <xf numFmtId="0" fontId="34" fillId="4" borderId="8" xfId="225" applyFont="1" applyFill="1" applyBorder="1"/>
    <xf numFmtId="165" fontId="188" fillId="4" borderId="8" xfId="158" applyNumberFormat="1" applyFont="1" applyFill="1" applyBorder="1"/>
    <xf numFmtId="0" fontId="196" fillId="4" borderId="8" xfId="0" applyNumberFormat="1" applyFont="1" applyFill="1" applyBorder="1" applyAlignment="1">
      <alignment horizontal="center"/>
    </xf>
    <xf numFmtId="0" fontId="196" fillId="4" borderId="8" xfId="0" applyFont="1" applyFill="1" applyBorder="1" applyAlignment="1">
      <alignment horizontal="left"/>
    </xf>
    <xf numFmtId="0" fontId="196" fillId="4" borderId="8" xfId="0" applyFont="1" applyFill="1" applyBorder="1"/>
    <xf numFmtId="165" fontId="188" fillId="3" borderId="8" xfId="158" applyNumberFormat="1" applyFont="1" applyFill="1" applyBorder="1"/>
    <xf numFmtId="0" fontId="196" fillId="3" borderId="8" xfId="0" applyFont="1" applyFill="1" applyBorder="1" applyAlignment="1">
      <alignment horizontal="left"/>
    </xf>
    <xf numFmtId="0" fontId="196" fillId="3" borderId="8" xfId="0" applyFont="1" applyFill="1" applyBorder="1"/>
    <xf numFmtId="165" fontId="188" fillId="2" borderId="8" xfId="158" applyNumberFormat="1" applyFont="1" applyFill="1" applyBorder="1"/>
    <xf numFmtId="0" fontId="196" fillId="2" borderId="8" xfId="0" applyNumberFormat="1" applyFont="1" applyFill="1" applyBorder="1" applyAlignment="1">
      <alignment horizontal="center"/>
    </xf>
    <xf numFmtId="0" fontId="196" fillId="2" borderId="8" xfId="0" applyFont="1" applyFill="1" applyBorder="1" applyAlignment="1">
      <alignment horizontal="left"/>
    </xf>
    <xf numFmtId="0" fontId="196" fillId="2" borderId="8" xfId="0" applyFont="1" applyFill="1" applyBorder="1"/>
    <xf numFmtId="0" fontId="196" fillId="0" borderId="2" xfId="0" applyFont="1" applyBorder="1" applyAlignment="1">
      <alignment horizontal="center"/>
    </xf>
    <xf numFmtId="1" fontId="196" fillId="0" borderId="2" xfId="0" applyNumberFormat="1" applyFont="1" applyBorder="1" applyAlignment="1">
      <alignment horizontal="center"/>
    </xf>
    <xf numFmtId="0" fontId="203" fillId="0" borderId="2" xfId="0" applyFont="1" applyBorder="1" applyAlignment="1">
      <alignment horizontal="left"/>
    </xf>
    <xf numFmtId="0" fontId="204" fillId="0" borderId="0" xfId="0" applyFont="1" applyAlignment="1">
      <alignment horizontal="left"/>
    </xf>
    <xf numFmtId="1" fontId="196" fillId="0" borderId="1" xfId="0" applyNumberFormat="1" applyFont="1" applyBorder="1" applyAlignment="1">
      <alignment horizontal="center"/>
    </xf>
    <xf numFmtId="0" fontId="205" fillId="0" borderId="0" xfId="0" applyFont="1" applyAlignment="1">
      <alignment horizontal="left"/>
    </xf>
    <xf numFmtId="8" fontId="196" fillId="2" borderId="5" xfId="0" applyNumberFormat="1" applyFont="1" applyFill="1" applyBorder="1" applyAlignment="1">
      <alignment horizontal="center"/>
    </xf>
    <xf numFmtId="164" fontId="204" fillId="0" borderId="0" xfId="0" applyNumberFormat="1" applyFont="1" applyAlignment="1">
      <alignment horizontal="left"/>
    </xf>
    <xf numFmtId="0" fontId="196" fillId="0" borderId="1" xfId="0" applyNumberFormat="1" applyFont="1" applyBorder="1" applyAlignment="1">
      <alignment horizontal="center"/>
    </xf>
    <xf numFmtId="164" fontId="205" fillId="0" borderId="0" xfId="0" applyNumberFormat="1" applyFont="1" applyAlignment="1">
      <alignment horizontal="left"/>
    </xf>
    <xf numFmtId="14" fontId="196" fillId="2" borderId="8" xfId="0" applyNumberFormat="1" applyFont="1" applyFill="1" applyBorder="1" applyAlignment="1">
      <alignment horizontal="center"/>
    </xf>
    <xf numFmtId="14" fontId="196" fillId="4" borderId="8" xfId="0" applyNumberFormat="1" applyFont="1" applyFill="1" applyBorder="1" applyAlignment="1">
      <alignment horizontal="center"/>
    </xf>
    <xf numFmtId="0" fontId="33" fillId="2" borderId="8" xfId="228" applyFill="1" applyBorder="1"/>
    <xf numFmtId="14" fontId="33" fillId="2" borderId="8" xfId="228" applyNumberFormat="1" applyFill="1" applyBorder="1"/>
    <xf numFmtId="0" fontId="188" fillId="2" borderId="8" xfId="228" applyFont="1" applyFill="1" applyBorder="1"/>
    <xf numFmtId="0" fontId="173" fillId="2" borderId="8" xfId="0" applyFont="1" applyFill="1" applyBorder="1" applyAlignment="1">
      <alignment horizontal="left"/>
    </xf>
    <xf numFmtId="0" fontId="172" fillId="2" borderId="8" xfId="0" applyFont="1" applyFill="1" applyBorder="1"/>
    <xf numFmtId="0" fontId="188" fillId="4" borderId="8" xfId="228" applyFont="1" applyFill="1" applyBorder="1"/>
    <xf numFmtId="14" fontId="33" fillId="4" borderId="8" xfId="228" applyNumberFormat="1" applyFill="1" applyBorder="1"/>
    <xf numFmtId="0" fontId="188" fillId="2" borderId="8" xfId="229" applyFont="1" applyFill="1" applyBorder="1"/>
    <xf numFmtId="0" fontId="32" fillId="2" borderId="8" xfId="229" applyFill="1" applyBorder="1"/>
    <xf numFmtId="14" fontId="32" fillId="2" borderId="8" xfId="229" applyNumberFormat="1" applyFill="1" applyBorder="1"/>
    <xf numFmtId="14" fontId="50" fillId="2" borderId="8" xfId="229" applyNumberFormat="1" applyFont="1" applyFill="1" applyBorder="1"/>
    <xf numFmtId="0" fontId="31" fillId="2" borderId="8" xfId="229" applyFont="1" applyFill="1" applyBorder="1"/>
    <xf numFmtId="0" fontId="198" fillId="2" borderId="8" xfId="0" applyFont="1" applyFill="1" applyBorder="1"/>
    <xf numFmtId="14" fontId="172" fillId="2" borderId="8" xfId="0" applyNumberFormat="1" applyFont="1" applyFill="1" applyBorder="1" applyAlignment="1">
      <alignment horizontal="center"/>
    </xf>
    <xf numFmtId="0" fontId="188" fillId="2" borderId="8" xfId="230" applyFont="1" applyFill="1" applyBorder="1"/>
    <xf numFmtId="14" fontId="188" fillId="4" borderId="8" xfId="225" applyNumberFormat="1" applyFont="1" applyFill="1" applyBorder="1"/>
    <xf numFmtId="14" fontId="188" fillId="4" borderId="8" xfId="228" applyNumberFormat="1" applyFont="1" applyFill="1" applyBorder="1"/>
    <xf numFmtId="14" fontId="188" fillId="2" borderId="8" xfId="228" applyNumberFormat="1" applyFont="1" applyFill="1" applyBorder="1"/>
    <xf numFmtId="14" fontId="188" fillId="2" borderId="8" xfId="229" applyNumberFormat="1" applyFont="1" applyFill="1" applyBorder="1"/>
    <xf numFmtId="14" fontId="188" fillId="2" borderId="8" xfId="230" applyNumberFormat="1" applyFont="1" applyFill="1" applyBorder="1"/>
    <xf numFmtId="0" fontId="188" fillId="5" borderId="8" xfId="229" applyFont="1" applyFill="1" applyBorder="1"/>
    <xf numFmtId="0" fontId="188" fillId="4" borderId="8" xfId="225" applyFont="1" applyFill="1" applyBorder="1"/>
    <xf numFmtId="0" fontId="33" fillId="4" borderId="8" xfId="225" applyFont="1" applyFill="1" applyBorder="1"/>
    <xf numFmtId="14" fontId="34" fillId="4" borderId="8" xfId="225" applyNumberFormat="1" applyFont="1" applyFill="1" applyBorder="1"/>
    <xf numFmtId="14" fontId="196" fillId="2" borderId="8" xfId="229" applyNumberFormat="1" applyFont="1" applyFill="1" applyBorder="1"/>
    <xf numFmtId="14" fontId="196" fillId="2" borderId="8" xfId="230" applyNumberFormat="1" applyFont="1" applyFill="1" applyBorder="1"/>
    <xf numFmtId="0" fontId="188" fillId="4" borderId="8" xfId="229" applyFont="1" applyFill="1" applyBorder="1"/>
    <xf numFmtId="14" fontId="196" fillId="4" borderId="8" xfId="229" applyNumberFormat="1" applyFont="1" applyFill="1" applyBorder="1"/>
    <xf numFmtId="14" fontId="30" fillId="4" borderId="8" xfId="228" applyNumberFormat="1" applyFont="1" applyFill="1" applyBorder="1"/>
    <xf numFmtId="14" fontId="30" fillId="4" borderId="8" xfId="229" applyNumberFormat="1" applyFont="1" applyFill="1" applyBorder="1"/>
    <xf numFmtId="0" fontId="172" fillId="4" borderId="8" xfId="0" applyFont="1" applyFill="1" applyBorder="1"/>
    <xf numFmtId="14" fontId="196" fillId="4" borderId="8" xfId="0" applyNumberFormat="1" applyFont="1" applyFill="1" applyBorder="1"/>
    <xf numFmtId="0" fontId="188" fillId="5" borderId="8" xfId="231" applyFont="1" applyFill="1" applyBorder="1"/>
    <xf numFmtId="0" fontId="188" fillId="2" borderId="8" xfId="231" applyFont="1" applyFill="1" applyBorder="1"/>
    <xf numFmtId="0" fontId="29" fillId="2" borderId="8" xfId="231" applyFont="1" applyFill="1" applyBorder="1"/>
    <xf numFmtId="14" fontId="29" fillId="2" borderId="8" xfId="231" applyNumberFormat="1" applyFont="1" applyFill="1" applyBorder="1"/>
    <xf numFmtId="1" fontId="196" fillId="2" borderId="8" xfId="0" applyNumberFormat="1" applyFont="1" applyFill="1" applyBorder="1" applyAlignment="1">
      <alignment horizontal="center"/>
    </xf>
    <xf numFmtId="0" fontId="29" fillId="2" borderId="8" xfId="230" applyFont="1" applyFill="1" applyBorder="1"/>
    <xf numFmtId="14" fontId="29" fillId="2" borderId="8" xfId="230" applyNumberFormat="1" applyFont="1" applyFill="1" applyBorder="1"/>
    <xf numFmtId="0" fontId="188" fillId="4" borderId="8" xfId="231" applyFont="1" applyFill="1" applyBorder="1"/>
    <xf numFmtId="0" fontId="29" fillId="4" borderId="8" xfId="231" applyFont="1" applyFill="1" applyBorder="1"/>
    <xf numFmtId="14" fontId="29" fillId="4" borderId="8" xfId="231" applyNumberFormat="1" applyFont="1" applyFill="1" applyBorder="1"/>
    <xf numFmtId="0" fontId="29" fillId="4" borderId="8" xfId="229" applyFont="1" applyFill="1" applyBorder="1"/>
    <xf numFmtId="14" fontId="29" fillId="4" borderId="8" xfId="229" applyNumberFormat="1" applyFont="1" applyFill="1" applyBorder="1"/>
    <xf numFmtId="14" fontId="188" fillId="2" borderId="8" xfId="231" applyNumberFormat="1" applyFont="1" applyFill="1" applyBorder="1"/>
    <xf numFmtId="14" fontId="188" fillId="4" borderId="8" xfId="231" applyNumberFormat="1" applyFont="1" applyFill="1" applyBorder="1"/>
    <xf numFmtId="0" fontId="30" fillId="4" borderId="8" xfId="231" applyFill="1" applyBorder="1"/>
    <xf numFmtId="14" fontId="30" fillId="4" borderId="8" xfId="231" applyNumberFormat="1" applyFill="1" applyBorder="1"/>
    <xf numFmtId="1" fontId="196" fillId="4" borderId="8" xfId="0" applyNumberFormat="1" applyFont="1" applyFill="1" applyBorder="1" applyAlignment="1">
      <alignment horizontal="center"/>
    </xf>
    <xf numFmtId="0" fontId="188" fillId="4" borderId="8" xfId="230" applyFont="1" applyFill="1" applyBorder="1"/>
    <xf numFmtId="14" fontId="196" fillId="4" borderId="8" xfId="230" applyNumberFormat="1" applyFont="1" applyFill="1" applyBorder="1"/>
    <xf numFmtId="0" fontId="205" fillId="4" borderId="8" xfId="0" applyNumberFormat="1" applyFont="1" applyFill="1" applyBorder="1" applyAlignment="1">
      <alignment horizontal="center"/>
    </xf>
    <xf numFmtId="0" fontId="188" fillId="5" borderId="8" xfId="230" applyFont="1" applyFill="1" applyBorder="1"/>
    <xf numFmtId="14" fontId="196" fillId="4" borderId="8" xfId="228" applyNumberFormat="1" applyFont="1" applyFill="1" applyBorder="1"/>
    <xf numFmtId="0" fontId="188" fillId="2" borderId="8" xfId="232" applyFont="1" applyFill="1" applyBorder="1"/>
    <xf numFmtId="14" fontId="188" fillId="4" borderId="8" xfId="229" applyNumberFormat="1" applyFont="1" applyFill="1" applyBorder="1"/>
    <xf numFmtId="14" fontId="188" fillId="2" borderId="8" xfId="232" applyNumberFormat="1" applyFont="1" applyFill="1" applyBorder="1"/>
    <xf numFmtId="14" fontId="196" fillId="2" borderId="8" xfId="0" applyNumberFormat="1" applyFont="1" applyFill="1" applyBorder="1"/>
    <xf numFmtId="14" fontId="188" fillId="4" borderId="8" xfId="230" applyNumberFormat="1" applyFont="1" applyFill="1" applyBorder="1"/>
    <xf numFmtId="166" fontId="183" fillId="0" borderId="0" xfId="0" applyNumberFormat="1" applyFont="1"/>
    <xf numFmtId="166" fontId="188" fillId="4" borderId="8" xfId="233" applyNumberFormat="1" applyFont="1" applyFill="1" applyBorder="1"/>
    <xf numFmtId="166" fontId="188" fillId="3" borderId="8" xfId="233" applyNumberFormat="1" applyFont="1" applyFill="1" applyBorder="1"/>
    <xf numFmtId="166" fontId="196" fillId="0" borderId="10" xfId="0" applyNumberFormat="1" applyFont="1" applyBorder="1" applyAlignment="1">
      <alignment horizontal="center"/>
    </xf>
    <xf numFmtId="166" fontId="196" fillId="0" borderId="1" xfId="0" applyNumberFormat="1" applyFont="1" applyBorder="1"/>
    <xf numFmtId="166" fontId="188" fillId="2" borderId="8" xfId="231" applyNumberFormat="1" applyFont="1" applyFill="1" applyBorder="1"/>
    <xf numFmtId="166" fontId="188" fillId="2" borderId="8" xfId="232" applyNumberFormat="1" applyFont="1" applyFill="1" applyBorder="1"/>
    <xf numFmtId="166" fontId="173" fillId="0" borderId="0" xfId="0" applyNumberFormat="1" applyFont="1"/>
    <xf numFmtId="166" fontId="196" fillId="0" borderId="6" xfId="0" applyNumberFormat="1" applyFont="1" applyBorder="1" applyAlignment="1">
      <alignment horizontal="right"/>
    </xf>
    <xf numFmtId="166" fontId="196" fillId="0" borderId="1" xfId="0" applyNumberFormat="1" applyFont="1" applyBorder="1" applyAlignment="1">
      <alignment horizontal="right"/>
    </xf>
    <xf numFmtId="166" fontId="188" fillId="4" borderId="8" xfId="231" applyNumberFormat="1" applyFont="1" applyFill="1" applyBorder="1"/>
    <xf numFmtId="166" fontId="172" fillId="0" borderId="0" xfId="0" applyNumberFormat="1" applyFont="1"/>
    <xf numFmtId="166" fontId="188" fillId="4" borderId="8" xfId="230" applyNumberFormat="1" applyFont="1" applyFill="1" applyBorder="1"/>
    <xf numFmtId="166" fontId="188" fillId="3" borderId="8" xfId="231" applyNumberFormat="1" applyFont="1" applyFill="1" applyBorder="1"/>
    <xf numFmtId="166" fontId="188" fillId="2" borderId="8" xfId="230" applyNumberFormat="1" applyFont="1" applyFill="1" applyBorder="1"/>
    <xf numFmtId="166" fontId="188" fillId="2" borderId="0" xfId="233" applyNumberFormat="1" applyFont="1" applyFill="1" applyBorder="1"/>
    <xf numFmtId="0" fontId="188" fillId="2" borderId="8" xfId="233" applyFont="1" applyFill="1" applyBorder="1"/>
    <xf numFmtId="0" fontId="27" fillId="2" borderId="8" xfId="233" applyFill="1" applyBorder="1"/>
    <xf numFmtId="14" fontId="188" fillId="2" borderId="8" xfId="233" applyNumberFormat="1" applyFont="1" applyFill="1" applyBorder="1"/>
    <xf numFmtId="14" fontId="27" fillId="2" borderId="8" xfId="233" applyNumberFormat="1" applyFill="1" applyBorder="1"/>
    <xf numFmtId="166" fontId="188" fillId="2" borderId="8" xfId="233" applyNumberFormat="1" applyFont="1" applyFill="1" applyBorder="1"/>
    <xf numFmtId="0" fontId="196" fillId="0" borderId="0" xfId="0" applyFont="1"/>
    <xf numFmtId="0" fontId="188" fillId="2" borderId="12" xfId="231" applyFont="1" applyFill="1" applyBorder="1"/>
    <xf numFmtId="0" fontId="29" fillId="2" borderId="12" xfId="231" applyFont="1" applyFill="1" applyBorder="1"/>
    <xf numFmtId="14" fontId="188" fillId="2" borderId="12" xfId="231" applyNumberFormat="1" applyFont="1" applyFill="1" applyBorder="1"/>
    <xf numFmtId="14" fontId="29" fillId="2" borderId="12" xfId="231" applyNumberFormat="1" applyFont="1" applyFill="1" applyBorder="1"/>
    <xf numFmtId="165" fontId="188" fillId="2" borderId="12" xfId="158" applyNumberFormat="1" applyFont="1" applyFill="1" applyBorder="1"/>
    <xf numFmtId="0" fontId="196" fillId="2" borderId="12" xfId="0" applyFont="1" applyFill="1" applyBorder="1" applyAlignment="1">
      <alignment horizontal="left"/>
    </xf>
    <xf numFmtId="0" fontId="196" fillId="2" borderId="12" xfId="0" applyFont="1" applyFill="1" applyBorder="1"/>
    <xf numFmtId="0" fontId="196" fillId="0" borderId="0" xfId="0" applyFont="1" applyAlignment="1">
      <alignment horizontal="center"/>
    </xf>
    <xf numFmtId="0" fontId="188" fillId="4" borderId="8" xfId="233" applyFont="1" applyFill="1" applyBorder="1"/>
    <xf numFmtId="0" fontId="27" fillId="4" borderId="8" xfId="233" applyFill="1" applyBorder="1"/>
    <xf numFmtId="14" fontId="188" fillId="4" borderId="8" xfId="233" applyNumberFormat="1" applyFont="1" applyFill="1" applyBorder="1"/>
    <xf numFmtId="14" fontId="27" fillId="4" borderId="8" xfId="233" applyNumberFormat="1" applyFill="1" applyBorder="1"/>
    <xf numFmtId="0" fontId="188" fillId="4" borderId="8" xfId="232" applyFont="1" applyFill="1" applyBorder="1"/>
    <xf numFmtId="0" fontId="28" fillId="4" borderId="8" xfId="232" applyFill="1" applyBorder="1"/>
    <xf numFmtId="14" fontId="188" fillId="4" borderId="8" xfId="232" applyNumberFormat="1" applyFont="1" applyFill="1" applyBorder="1"/>
    <xf numFmtId="14" fontId="28" fillId="4" borderId="8" xfId="232" applyNumberFormat="1" applyFill="1" applyBorder="1"/>
    <xf numFmtId="165" fontId="196" fillId="0" borderId="6" xfId="0" applyNumberFormat="1" applyFont="1" applyBorder="1" applyAlignment="1"/>
    <xf numFmtId="0" fontId="196" fillId="0" borderId="1" xfId="0" applyFont="1" applyBorder="1" applyAlignment="1"/>
    <xf numFmtId="165" fontId="188" fillId="4" borderId="8" xfId="158" applyNumberFormat="1" applyFont="1" applyFill="1" applyBorder="1" applyAlignment="1"/>
    <xf numFmtId="165" fontId="188" fillId="2" borderId="8" xfId="158" applyNumberFormat="1" applyFont="1" applyFill="1" applyBorder="1" applyAlignment="1"/>
    <xf numFmtId="0" fontId="26" fillId="4" borderId="8" xfId="228" applyFont="1" applyFill="1" applyBorder="1"/>
    <xf numFmtId="14" fontId="26" fillId="4" borderId="8" xfId="228" applyNumberFormat="1" applyFont="1" applyFill="1" applyBorder="1"/>
    <xf numFmtId="0" fontId="26" fillId="4" borderId="8" xfId="229" applyFont="1" applyFill="1" applyBorder="1"/>
    <xf numFmtId="14" fontId="26" fillId="4" borderId="8" xfId="229" applyNumberFormat="1" applyFont="1" applyFill="1" applyBorder="1"/>
    <xf numFmtId="0" fontId="26" fillId="2" borderId="8" xfId="229" applyFont="1" applyFill="1" applyBorder="1"/>
    <xf numFmtId="14" fontId="26" fillId="2" borderId="8" xfId="229" applyNumberFormat="1" applyFont="1" applyFill="1" applyBorder="1"/>
    <xf numFmtId="0" fontId="26" fillId="4" borderId="8" xfId="230" applyFont="1" applyFill="1" applyBorder="1"/>
    <xf numFmtId="0" fontId="26" fillId="2" borderId="8" xfId="231" applyFont="1" applyFill="1" applyBorder="1"/>
    <xf numFmtId="0" fontId="26" fillId="4" borderId="8" xfId="231" applyFont="1" applyFill="1" applyBorder="1"/>
    <xf numFmtId="0" fontId="26" fillId="2" borderId="8" xfId="232" applyFont="1" applyFill="1" applyBorder="1"/>
    <xf numFmtId="0" fontId="26" fillId="2" borderId="8" xfId="233" applyFont="1" applyFill="1" applyBorder="1"/>
    <xf numFmtId="16" fontId="176" fillId="0" borderId="0" xfId="0" applyNumberFormat="1" applyFont="1" applyAlignment="1">
      <alignment horizontal="left"/>
    </xf>
    <xf numFmtId="0" fontId="176" fillId="4" borderId="8" xfId="0" applyFont="1" applyFill="1" applyBorder="1"/>
    <xf numFmtId="0" fontId="176" fillId="2" borderId="8" xfId="0" applyFont="1" applyFill="1" applyBorder="1"/>
    <xf numFmtId="1" fontId="176" fillId="2" borderId="8" xfId="0" applyNumberFormat="1" applyFont="1" applyFill="1" applyBorder="1" applyAlignment="1">
      <alignment horizontal="center"/>
    </xf>
    <xf numFmtId="0" fontId="196" fillId="0" borderId="0" xfId="0" applyFont="1" applyAlignment="1"/>
    <xf numFmtId="0" fontId="196" fillId="0" borderId="10" xfId="0" applyFont="1" applyBorder="1" applyAlignment="1">
      <alignment horizontal="center"/>
    </xf>
    <xf numFmtId="0" fontId="25" fillId="0" borderId="0" xfId="235" applyBorder="1"/>
    <xf numFmtId="0" fontId="25" fillId="2" borderId="8" xfId="235" applyFill="1" applyBorder="1"/>
    <xf numFmtId="14" fontId="188" fillId="2" borderId="8" xfId="235" applyNumberFormat="1" applyFont="1" applyFill="1" applyBorder="1"/>
    <xf numFmtId="0" fontId="188" fillId="2" borderId="8" xfId="235" applyFont="1" applyFill="1" applyBorder="1"/>
    <xf numFmtId="0" fontId="26" fillId="4" borderId="8" xfId="233" applyFont="1" applyFill="1" applyBorder="1"/>
    <xf numFmtId="0" fontId="188" fillId="4" borderId="8" xfId="234" applyFont="1" applyFill="1" applyBorder="1"/>
    <xf numFmtId="14" fontId="188" fillId="4" borderId="8" xfId="234" applyNumberFormat="1" applyFont="1" applyFill="1" applyBorder="1"/>
    <xf numFmtId="0" fontId="26" fillId="4" borderId="8" xfId="234" applyFill="1" applyBorder="1"/>
    <xf numFmtId="0" fontId="188" fillId="4" borderId="8" xfId="235" applyFont="1" applyFill="1" applyBorder="1"/>
    <xf numFmtId="14" fontId="188" fillId="4" borderId="8" xfId="235" applyNumberFormat="1" applyFont="1" applyFill="1" applyBorder="1"/>
    <xf numFmtId="0" fontId="24" fillId="4" borderId="8" xfId="235" applyFont="1" applyFill="1" applyBorder="1"/>
    <xf numFmtId="14" fontId="24" fillId="4" borderId="8" xfId="235" applyNumberFormat="1" applyFont="1" applyFill="1" applyBorder="1"/>
    <xf numFmtId="0" fontId="188" fillId="2" borderId="8" xfId="234" applyFont="1" applyFill="1" applyBorder="1"/>
    <xf numFmtId="14" fontId="188" fillId="2" borderId="8" xfId="234" applyNumberFormat="1" applyFont="1" applyFill="1" applyBorder="1"/>
    <xf numFmtId="0" fontId="24" fillId="0" borderId="8" xfId="236" applyBorder="1"/>
    <xf numFmtId="0" fontId="24" fillId="2" borderId="8" xfId="236" applyFill="1" applyBorder="1"/>
    <xf numFmtId="14" fontId="24" fillId="2" borderId="8" xfId="236" applyNumberFormat="1" applyFill="1" applyBorder="1"/>
    <xf numFmtId="0" fontId="188" fillId="2" borderId="8" xfId="236" applyFont="1" applyFill="1" applyBorder="1"/>
    <xf numFmtId="14" fontId="188" fillId="2" borderId="8" xfId="236" applyNumberFormat="1" applyFont="1" applyFill="1" applyBorder="1"/>
    <xf numFmtId="16" fontId="206" fillId="0" borderId="0" xfId="0" applyNumberFormat="1" applyFont="1" applyAlignment="1">
      <alignment horizontal="left"/>
    </xf>
    <xf numFmtId="0" fontId="206" fillId="0" borderId="0" xfId="0" applyFont="1" applyAlignment="1">
      <alignment horizontal="left"/>
    </xf>
    <xf numFmtId="165" fontId="188" fillId="4" borderId="12" xfId="158" applyNumberFormat="1" applyFont="1" applyFill="1" applyBorder="1"/>
    <xf numFmtId="0" fontId="26" fillId="4" borderId="8" xfId="232" applyFont="1" applyFill="1" applyBorder="1"/>
    <xf numFmtId="14" fontId="188" fillId="2" borderId="8" xfId="236" applyNumberFormat="1" applyFont="1" applyFill="1" applyBorder="1" applyAlignment="1">
      <alignment horizontal="center"/>
    </xf>
    <xf numFmtId="0" fontId="188" fillId="4" borderId="8" xfId="236" applyFont="1" applyFill="1" applyBorder="1"/>
    <xf numFmtId="0" fontId="24" fillId="4" borderId="8" xfId="236" applyFill="1" applyBorder="1"/>
    <xf numFmtId="14" fontId="188" fillId="4" borderId="8" xfId="236" applyNumberFormat="1" applyFont="1" applyFill="1" applyBorder="1"/>
    <xf numFmtId="0" fontId="24" fillId="0" borderId="0" xfId="236" applyBorder="1"/>
    <xf numFmtId="14" fontId="196" fillId="2" borderId="12" xfId="0" applyNumberFormat="1" applyFont="1" applyFill="1" applyBorder="1" applyAlignment="1">
      <alignment horizontal="center"/>
    </xf>
    <xf numFmtId="0" fontId="23" fillId="0" borderId="8" xfId="237" applyBorder="1"/>
    <xf numFmtId="166" fontId="173" fillId="0" borderId="0" xfId="0" applyNumberFormat="1" applyFont="1" applyAlignment="1">
      <alignment horizontal="left"/>
    </xf>
    <xf numFmtId="14" fontId="196" fillId="6" borderId="8" xfId="0" applyNumberFormat="1" applyFont="1" applyFill="1" applyBorder="1" applyAlignment="1">
      <alignment horizontal="center"/>
    </xf>
    <xf numFmtId="166" fontId="188" fillId="0" borderId="0" xfId="234" applyNumberFormat="1" applyFont="1" applyBorder="1"/>
    <xf numFmtId="166" fontId="188" fillId="0" borderId="8" xfId="236" applyNumberFormat="1" applyFont="1" applyBorder="1"/>
    <xf numFmtId="166" fontId="188" fillId="0" borderId="8" xfId="237" applyNumberFormat="1" applyFont="1" applyBorder="1"/>
    <xf numFmtId="0" fontId="188" fillId="5" borderId="8" xfId="237" applyFont="1" applyFill="1" applyBorder="1"/>
    <xf numFmtId="14" fontId="188" fillId="2" borderId="8" xfId="237" applyNumberFormat="1" applyFont="1" applyFill="1" applyBorder="1"/>
    <xf numFmtId="0" fontId="188" fillId="2" borderId="8" xfId="237" applyFont="1" applyFill="1" applyBorder="1"/>
    <xf numFmtId="0" fontId="188" fillId="4" borderId="8" xfId="237" applyFont="1" applyFill="1" applyBorder="1"/>
    <xf numFmtId="0" fontId="23" fillId="4" borderId="8" xfId="237" applyFill="1" applyBorder="1"/>
    <xf numFmtId="14" fontId="188" fillId="4" borderId="8" xfId="237" applyNumberFormat="1" applyFont="1" applyFill="1" applyBorder="1"/>
    <xf numFmtId="14" fontId="23" fillId="4" borderId="8" xfId="237" applyNumberFormat="1" applyFill="1" applyBorder="1"/>
    <xf numFmtId="0" fontId="196" fillId="0" borderId="6" xfId="0" applyFont="1" applyBorder="1" applyAlignment="1"/>
    <xf numFmtId="0" fontId="24" fillId="4" borderId="8" xfId="236" applyFont="1" applyFill="1" applyBorder="1"/>
    <xf numFmtId="14" fontId="24" fillId="4" borderId="8" xfId="236" applyNumberFormat="1" applyFont="1" applyFill="1" applyBorder="1"/>
    <xf numFmtId="0" fontId="23" fillId="2" borderId="8" xfId="237" applyFont="1" applyFill="1" applyBorder="1"/>
    <xf numFmtId="14" fontId="23" fillId="2" borderId="8" xfId="237" applyNumberFormat="1" applyFont="1" applyFill="1" applyBorder="1"/>
    <xf numFmtId="0" fontId="22" fillId="0" borderId="0" xfId="238" applyBorder="1"/>
    <xf numFmtId="0" fontId="188" fillId="2" borderId="8" xfId="238" applyFont="1" applyFill="1" applyBorder="1"/>
    <xf numFmtId="14" fontId="188" fillId="2" borderId="8" xfId="238" applyNumberFormat="1" applyFont="1" applyFill="1" applyBorder="1"/>
    <xf numFmtId="0" fontId="188" fillId="4" borderId="8" xfId="238" applyFont="1" applyFill="1" applyBorder="1"/>
    <xf numFmtId="0" fontId="22" fillId="4" borderId="8" xfId="238" applyFill="1" applyBorder="1"/>
    <xf numFmtId="14" fontId="188" fillId="4" borderId="8" xfId="238" applyNumberFormat="1" applyFont="1" applyFill="1" applyBorder="1"/>
    <xf numFmtId="0" fontId="21" fillId="2" borderId="8" xfId="238" applyFont="1" applyFill="1" applyBorder="1"/>
    <xf numFmtId="14" fontId="21" fillId="2" borderId="8" xfId="238" applyNumberFormat="1" applyFont="1" applyFill="1" applyBorder="1"/>
    <xf numFmtId="0" fontId="21" fillId="0" borderId="8" xfId="239" applyBorder="1"/>
    <xf numFmtId="0" fontId="188" fillId="2" borderId="8" xfId="239" applyFont="1" applyFill="1" applyBorder="1"/>
    <xf numFmtId="0" fontId="21" fillId="2" borderId="8" xfId="239" applyFill="1" applyBorder="1"/>
    <xf numFmtId="14" fontId="188" fillId="2" borderId="8" xfId="239" applyNumberFormat="1" applyFont="1" applyFill="1" applyBorder="1"/>
    <xf numFmtId="14" fontId="21" fillId="2" borderId="8" xfId="239" applyNumberFormat="1" applyFill="1" applyBorder="1"/>
    <xf numFmtId="0" fontId="188" fillId="5" borderId="8" xfId="239" applyFont="1" applyFill="1" applyBorder="1"/>
    <xf numFmtId="0" fontId="190" fillId="0" borderId="12" xfId="125" applyFont="1" applyBorder="1"/>
    <xf numFmtId="49" fontId="190" fillId="0" borderId="12" xfId="125" applyNumberFormat="1" applyFont="1" applyBorder="1"/>
    <xf numFmtId="166" fontId="188" fillId="0" borderId="12" xfId="233" applyNumberFormat="1" applyFont="1" applyBorder="1"/>
    <xf numFmtId="0" fontId="20" fillId="0" borderId="8" xfId="240" applyBorder="1"/>
    <xf numFmtId="14" fontId="196" fillId="6" borderId="0" xfId="0" applyNumberFormat="1" applyFont="1" applyFill="1" applyBorder="1" applyAlignment="1">
      <alignment horizontal="center"/>
    </xf>
    <xf numFmtId="0" fontId="188" fillId="5" borderId="8" xfId="240" applyFont="1" applyFill="1" applyBorder="1"/>
    <xf numFmtId="0" fontId="188" fillId="2" borderId="8" xfId="240" applyFont="1" applyFill="1" applyBorder="1"/>
    <xf numFmtId="0" fontId="20" fillId="2" borderId="8" xfId="240" applyFill="1" applyBorder="1"/>
    <xf numFmtId="14" fontId="188" fillId="2" borderId="8" xfId="240" applyNumberFormat="1" applyFont="1" applyFill="1" applyBorder="1"/>
    <xf numFmtId="0" fontId="188" fillId="5" borderId="8" xfId="238" applyFont="1" applyFill="1" applyBorder="1"/>
    <xf numFmtId="0" fontId="188" fillId="4" borderId="8" xfId="239" applyFont="1" applyFill="1" applyBorder="1"/>
    <xf numFmtId="0" fontId="21" fillId="4" borderId="8" xfId="239" applyFill="1" applyBorder="1"/>
    <xf numFmtId="14" fontId="188" fillId="4" borderId="8" xfId="239" applyNumberFormat="1" applyFont="1" applyFill="1" applyBorder="1"/>
    <xf numFmtId="14" fontId="21" fillId="4" borderId="8" xfId="239" applyNumberFormat="1" applyFill="1" applyBorder="1"/>
    <xf numFmtId="14" fontId="20" fillId="2" borderId="8" xfId="240" applyNumberFormat="1" applyFill="1" applyBorder="1"/>
    <xf numFmtId="0" fontId="188" fillId="4" borderId="8" xfId="240" applyFont="1" applyFill="1" applyBorder="1"/>
    <xf numFmtId="0" fontId="20" fillId="4" borderId="8" xfId="240" applyFill="1" applyBorder="1"/>
    <xf numFmtId="14" fontId="188" fillId="4" borderId="8" xfId="240" applyNumberFormat="1" applyFont="1" applyFill="1" applyBorder="1"/>
    <xf numFmtId="14" fontId="20" fillId="4" borderId="8" xfId="240" applyNumberFormat="1" applyFill="1" applyBorder="1"/>
    <xf numFmtId="0" fontId="188" fillId="5" borderId="8" xfId="236" applyFont="1" applyFill="1" applyBorder="1"/>
    <xf numFmtId="0" fontId="19" fillId="0" borderId="8" xfId="241" applyBorder="1"/>
    <xf numFmtId="0" fontId="18" fillId="0" borderId="8" xfId="242" applyBorder="1"/>
    <xf numFmtId="0" fontId="18" fillId="2" borderId="8" xfId="242" applyFill="1" applyBorder="1"/>
    <xf numFmtId="0" fontId="188" fillId="2" borderId="8" xfId="242" applyFont="1" applyFill="1" applyBorder="1"/>
    <xf numFmtId="14" fontId="188" fillId="2" borderId="8" xfId="242" applyNumberFormat="1" applyFont="1" applyFill="1" applyBorder="1"/>
    <xf numFmtId="14" fontId="18" fillId="2" borderId="8" xfId="242" applyNumberFormat="1" applyFont="1" applyFill="1" applyBorder="1"/>
    <xf numFmtId="0" fontId="17" fillId="2" borderId="8" xfId="242" applyFont="1" applyFill="1" applyBorder="1"/>
    <xf numFmtId="0" fontId="17" fillId="0" borderId="0" xfId="243" applyBorder="1"/>
    <xf numFmtId="164" fontId="174" fillId="0" borderId="0" xfId="0" applyNumberFormat="1" applyFont="1" applyAlignment="1">
      <alignment horizontal="left"/>
    </xf>
    <xf numFmtId="0" fontId="188" fillId="2" borderId="8" xfId="243" applyFont="1" applyFill="1" applyBorder="1"/>
    <xf numFmtId="0" fontId="17" fillId="2" borderId="8" xfId="243" applyFill="1" applyBorder="1"/>
    <xf numFmtId="14" fontId="188" fillId="2" borderId="8" xfId="243" applyNumberFormat="1" applyFont="1" applyFill="1" applyBorder="1"/>
    <xf numFmtId="14" fontId="17" fillId="2" borderId="8" xfId="243" applyNumberFormat="1" applyFill="1" applyBorder="1"/>
    <xf numFmtId="14" fontId="196" fillId="4" borderId="8" xfId="0" applyNumberFormat="1" applyFont="1" applyFill="1" applyBorder="1" applyAlignment="1"/>
    <xf numFmtId="0" fontId="196" fillId="3" borderId="8" xfId="0" applyFont="1" applyFill="1" applyBorder="1" applyAlignment="1"/>
    <xf numFmtId="14" fontId="196" fillId="2" borderId="8" xfId="0" applyNumberFormat="1" applyFont="1" applyFill="1" applyBorder="1" applyAlignment="1"/>
    <xf numFmtId="0" fontId="188" fillId="2" borderId="8" xfId="244" applyFont="1" applyFill="1" applyBorder="1"/>
    <xf numFmtId="14" fontId="188" fillId="2" borderId="8" xfId="244" applyNumberFormat="1" applyFont="1" applyFill="1" applyBorder="1"/>
    <xf numFmtId="165" fontId="188" fillId="3" borderId="8" xfId="158" applyNumberFormat="1" applyFont="1" applyFill="1" applyBorder="1" applyAlignment="1"/>
    <xf numFmtId="0" fontId="15" fillId="0" borderId="0" xfId="245" applyBorder="1"/>
    <xf numFmtId="0" fontId="15" fillId="0" borderId="8" xfId="245" applyBorder="1"/>
    <xf numFmtId="0" fontId="188" fillId="5" borderId="8" xfId="245" applyFont="1" applyFill="1" applyBorder="1"/>
    <xf numFmtId="0" fontId="15" fillId="2" borderId="8" xfId="245" applyFill="1" applyBorder="1"/>
    <xf numFmtId="14" fontId="188" fillId="2" borderId="8" xfId="245" applyNumberFormat="1" applyFont="1" applyFill="1" applyBorder="1"/>
    <xf numFmtId="14" fontId="15" fillId="2" borderId="8" xfId="245" applyNumberFormat="1" applyFill="1" applyBorder="1"/>
    <xf numFmtId="0" fontId="188" fillId="2" borderId="8" xfId="245" applyFont="1" applyFill="1" applyBorder="1"/>
    <xf numFmtId="0" fontId="188" fillId="4" borderId="8" xfId="242" applyFont="1" applyFill="1" applyBorder="1"/>
    <xf numFmtId="0" fontId="18" fillId="4" borderId="8" xfId="242" applyFill="1" applyBorder="1"/>
    <xf numFmtId="14" fontId="188" fillId="4" borderId="8" xfId="242" applyNumberFormat="1" applyFont="1" applyFill="1" applyBorder="1"/>
    <xf numFmtId="0" fontId="188" fillId="4" borderId="8" xfId="241" applyFont="1" applyFill="1" applyBorder="1"/>
    <xf numFmtId="0" fontId="19" fillId="4" borderId="8" xfId="241" applyFill="1" applyBorder="1"/>
    <xf numFmtId="14" fontId="188" fillId="4" borderId="8" xfId="241" applyNumberFormat="1" applyFont="1" applyFill="1" applyBorder="1"/>
    <xf numFmtId="0" fontId="188" fillId="4" borderId="8" xfId="244" applyFont="1" applyFill="1" applyBorder="1"/>
    <xf numFmtId="14" fontId="188" fillId="4" borderId="8" xfId="244" applyNumberFormat="1" applyFont="1" applyFill="1" applyBorder="1"/>
    <xf numFmtId="0" fontId="188" fillId="4" borderId="8" xfId="245" applyFont="1" applyFill="1" applyBorder="1"/>
    <xf numFmtId="0" fontId="15" fillId="4" borderId="8" xfId="245" applyFill="1" applyBorder="1"/>
    <xf numFmtId="14" fontId="188" fillId="4" borderId="8" xfId="245" applyNumberFormat="1" applyFont="1" applyFill="1" applyBorder="1"/>
    <xf numFmtId="14" fontId="15" fillId="4" borderId="8" xfId="245" applyNumberFormat="1" applyFill="1" applyBorder="1"/>
    <xf numFmtId="0" fontId="15" fillId="4" borderId="8" xfId="245" applyFont="1" applyFill="1" applyBorder="1"/>
    <xf numFmtId="14" fontId="15" fillId="4" borderId="8" xfId="245" applyNumberFormat="1" applyFont="1" applyFill="1" applyBorder="1"/>
    <xf numFmtId="0" fontId="15" fillId="0" borderId="0" xfId="245" applyBorder="1"/>
    <xf numFmtId="0" fontId="15" fillId="8" borderId="8" xfId="245" applyFill="1" applyBorder="1"/>
    <xf numFmtId="14" fontId="15" fillId="8" borderId="8" xfId="245" applyNumberFormat="1" applyFill="1" applyBorder="1"/>
    <xf numFmtId="14" fontId="196" fillId="8" borderId="8" xfId="0" applyNumberFormat="1" applyFont="1" applyFill="1" applyBorder="1" applyAlignment="1">
      <alignment horizontal="center"/>
    </xf>
    <xf numFmtId="165" fontId="188" fillId="8" borderId="8" xfId="158" applyNumberFormat="1" applyFont="1" applyFill="1" applyBorder="1"/>
    <xf numFmtId="0" fontId="196" fillId="8" borderId="8" xfId="0" applyFont="1" applyFill="1" applyBorder="1" applyAlignment="1">
      <alignment horizontal="left"/>
    </xf>
    <xf numFmtId="0" fontId="196" fillId="8" borderId="8" xfId="0" applyFont="1" applyFill="1" applyBorder="1"/>
    <xf numFmtId="8" fontId="196" fillId="3" borderId="5" xfId="0" applyNumberFormat="1" applyFont="1" applyFill="1" applyBorder="1" applyAlignment="1">
      <alignment horizontal="center" vertical="center"/>
    </xf>
    <xf numFmtId="0" fontId="196" fillId="2" borderId="5" xfId="0" applyFont="1" applyFill="1" applyBorder="1" applyAlignment="1">
      <alignment horizontal="center" vertical="center"/>
    </xf>
    <xf numFmtId="0" fontId="15" fillId="2" borderId="8" xfId="240" applyFont="1" applyFill="1" applyBorder="1"/>
    <xf numFmtId="0" fontId="14" fillId="0" borderId="8" xfId="246" applyBorder="1"/>
    <xf numFmtId="0" fontId="14" fillId="2" borderId="8" xfId="246" applyFill="1" applyBorder="1"/>
    <xf numFmtId="14" fontId="14" fillId="2" borderId="8" xfId="246" applyNumberFormat="1" applyFill="1" applyBorder="1"/>
    <xf numFmtId="0" fontId="188" fillId="5" borderId="8" xfId="246" applyFont="1" applyFill="1" applyBorder="1"/>
    <xf numFmtId="14" fontId="188" fillId="2" borderId="8" xfId="246" applyNumberFormat="1" applyFont="1" applyFill="1" applyBorder="1"/>
    <xf numFmtId="0" fontId="14" fillId="3" borderId="8" xfId="246" applyFill="1" applyBorder="1"/>
    <xf numFmtId="14" fontId="188" fillId="3" borderId="8" xfId="246" applyNumberFormat="1" applyFont="1" applyFill="1" applyBorder="1"/>
    <xf numFmtId="0" fontId="188" fillId="2" borderId="8" xfId="246" applyFont="1" applyFill="1" applyBorder="1"/>
    <xf numFmtId="0" fontId="14" fillId="0" borderId="0" xfId="246" applyBorder="1"/>
    <xf numFmtId="14" fontId="188" fillId="4" borderId="8" xfId="158" applyNumberFormat="1" applyFont="1" applyFill="1" applyBorder="1" applyAlignment="1"/>
    <xf numFmtId="0" fontId="205" fillId="2" borderId="8" xfId="0" applyNumberFormat="1" applyFont="1" applyFill="1" applyBorder="1" applyAlignment="1">
      <alignment horizontal="center"/>
    </xf>
    <xf numFmtId="0" fontId="196" fillId="5" borderId="5" xfId="0" applyFont="1" applyFill="1" applyBorder="1" applyAlignment="1">
      <alignment horizontal="center"/>
    </xf>
    <xf numFmtId="0" fontId="196" fillId="4" borderId="8" xfId="0" applyFont="1" applyFill="1" applyBorder="1" applyAlignment="1"/>
    <xf numFmtId="165" fontId="188" fillId="4" borderId="8" xfId="158" applyNumberFormat="1" applyFont="1" applyFill="1" applyBorder="1" applyAlignment="1">
      <alignment horizontal="center"/>
    </xf>
    <xf numFmtId="165" fontId="188" fillId="2" borderId="8" xfId="158" applyNumberFormat="1" applyFont="1" applyFill="1" applyBorder="1" applyAlignment="1">
      <alignment horizontal="center"/>
    </xf>
    <xf numFmtId="0" fontId="188" fillId="4" borderId="8" xfId="246" applyFont="1" applyFill="1" applyBorder="1"/>
    <xf numFmtId="0" fontId="14" fillId="4" borderId="8" xfId="246" applyFill="1" applyBorder="1"/>
    <xf numFmtId="14" fontId="188" fillId="4" borderId="8" xfId="246" applyNumberFormat="1" applyFont="1" applyFill="1" applyBorder="1"/>
    <xf numFmtId="0" fontId="13" fillId="0" borderId="0" xfId="247" applyBorder="1"/>
    <xf numFmtId="0" fontId="13" fillId="0" borderId="8" xfId="247" applyBorder="1"/>
    <xf numFmtId="0" fontId="188" fillId="2" borderId="8" xfId="247" applyFont="1" applyFill="1" applyBorder="1"/>
    <xf numFmtId="0" fontId="13" fillId="2" borderId="8" xfId="247" applyFill="1" applyBorder="1"/>
    <xf numFmtId="14" fontId="188" fillId="2" borderId="8" xfId="247" applyNumberFormat="1" applyFont="1" applyFill="1" applyBorder="1"/>
    <xf numFmtId="14" fontId="13" fillId="2" borderId="8" xfId="247" applyNumberFormat="1" applyFill="1" applyBorder="1"/>
    <xf numFmtId="0" fontId="13" fillId="3" borderId="8" xfId="247" applyFill="1" applyBorder="1"/>
    <xf numFmtId="14" fontId="188" fillId="3" borderId="8" xfId="247" applyNumberFormat="1" applyFont="1" applyFill="1" applyBorder="1"/>
    <xf numFmtId="0" fontId="188" fillId="5" borderId="8" xfId="247" applyFont="1" applyFill="1" applyBorder="1"/>
    <xf numFmtId="14" fontId="14" fillId="4" borderId="8" xfId="246" applyNumberFormat="1" applyFill="1" applyBorder="1"/>
    <xf numFmtId="1" fontId="174" fillId="4" borderId="8" xfId="0" applyNumberFormat="1" applyFont="1" applyFill="1" applyBorder="1" applyAlignment="1">
      <alignment horizontal="center"/>
    </xf>
    <xf numFmtId="0" fontId="188" fillId="4" borderId="8" xfId="247" applyFont="1" applyFill="1" applyBorder="1"/>
    <xf numFmtId="0" fontId="13" fillId="4" borderId="8" xfId="247" applyFill="1" applyBorder="1"/>
    <xf numFmtId="14" fontId="188" fillId="4" borderId="8" xfId="247" applyNumberFormat="1" applyFont="1" applyFill="1" applyBorder="1"/>
    <xf numFmtId="14" fontId="13" fillId="4" borderId="8" xfId="247" applyNumberFormat="1" applyFill="1" applyBorder="1"/>
    <xf numFmtId="0" fontId="12" fillId="0" borderId="8" xfId="248" applyBorder="1"/>
    <xf numFmtId="0" fontId="196" fillId="5" borderId="5" xfId="0" applyFont="1" applyFill="1" applyBorder="1" applyAlignment="1">
      <alignment horizontal="center" vertical="center"/>
    </xf>
    <xf numFmtId="0" fontId="196" fillId="4" borderId="5" xfId="0" applyFont="1" applyFill="1" applyBorder="1" applyAlignment="1">
      <alignment horizontal="center" vertical="center" textRotation="180"/>
    </xf>
    <xf numFmtId="49" fontId="188" fillId="0" borderId="1" xfId="3" applyNumberFormat="1" applyFont="1" applyBorder="1"/>
    <xf numFmtId="0" fontId="196" fillId="0" borderId="3" xfId="0" applyNumberFormat="1" applyFont="1" applyBorder="1" applyAlignment="1">
      <alignment horizontal="center"/>
    </xf>
    <xf numFmtId="165" fontId="196" fillId="0" borderId="6" xfId="0" applyNumberFormat="1" applyFont="1" applyBorder="1" applyAlignment="1">
      <alignment horizontal="left"/>
    </xf>
    <xf numFmtId="1" fontId="196" fillId="0" borderId="3" xfId="0" applyNumberFormat="1" applyFont="1" applyBorder="1" applyAlignment="1"/>
    <xf numFmtId="1" fontId="207" fillId="0" borderId="2" xfId="0" applyNumberFormat="1" applyFont="1" applyBorder="1" applyAlignment="1">
      <alignment horizontal="left"/>
    </xf>
    <xf numFmtId="0" fontId="205" fillId="0" borderId="0" xfId="0" applyFont="1"/>
    <xf numFmtId="0" fontId="188" fillId="0" borderId="1" xfId="3" applyFont="1" applyBorder="1" applyAlignment="1">
      <alignment horizontal="center"/>
    </xf>
    <xf numFmtId="0" fontId="188" fillId="0" borderId="1" xfId="3" applyFont="1" applyBorder="1" applyAlignment="1">
      <alignment horizontal="left"/>
    </xf>
    <xf numFmtId="0" fontId="12" fillId="4" borderId="8" xfId="245" applyFont="1" applyFill="1" applyBorder="1"/>
    <xf numFmtId="14" fontId="12" fillId="4" borderId="8" xfId="245" applyNumberFormat="1" applyFont="1" applyFill="1" applyBorder="1"/>
    <xf numFmtId="0" fontId="196" fillId="4" borderId="8" xfId="0" applyNumberFormat="1" applyFont="1" applyFill="1" applyBorder="1" applyAlignment="1">
      <alignment horizontal="left"/>
    </xf>
    <xf numFmtId="0" fontId="196" fillId="4" borderId="8" xfId="0" applyFont="1" applyFill="1" applyBorder="1" applyAlignment="1">
      <alignment horizontal="center"/>
    </xf>
    <xf numFmtId="0" fontId="12" fillId="4" borderId="8" xfId="246" applyFont="1" applyFill="1" applyBorder="1"/>
    <xf numFmtId="14" fontId="12" fillId="4" borderId="8" xfId="246" applyNumberFormat="1" applyFont="1" applyFill="1" applyBorder="1"/>
    <xf numFmtId="0" fontId="12" fillId="3" borderId="8" xfId="246" applyFont="1" applyFill="1" applyBorder="1"/>
    <xf numFmtId="0" fontId="12" fillId="3" borderId="8" xfId="247" applyFont="1" applyFill="1" applyBorder="1"/>
    <xf numFmtId="0" fontId="12" fillId="2" borderId="8" xfId="247" applyFont="1" applyFill="1" applyBorder="1"/>
    <xf numFmtId="14" fontId="12" fillId="2" borderId="8" xfId="247" applyNumberFormat="1" applyFont="1" applyFill="1" applyBorder="1"/>
    <xf numFmtId="0" fontId="12" fillId="0" borderId="8" xfId="247" applyFont="1" applyBorder="1"/>
    <xf numFmtId="0" fontId="12" fillId="0" borderId="8" xfId="248" applyFont="1" applyBorder="1"/>
    <xf numFmtId="165" fontId="188" fillId="3" borderId="8" xfId="158" applyNumberFormat="1" applyFont="1" applyFill="1" applyBorder="1" applyAlignment="1">
      <alignment horizontal="center"/>
    </xf>
    <xf numFmtId="0" fontId="196" fillId="3" borderId="8" xfId="0" applyFont="1" applyFill="1" applyBorder="1" applyAlignment="1">
      <alignment horizontal="center"/>
    </xf>
    <xf numFmtId="0" fontId="196" fillId="3" borderId="8" xfId="0" applyNumberFormat="1" applyFont="1" applyFill="1" applyBorder="1" applyAlignment="1">
      <alignment horizontal="left"/>
    </xf>
    <xf numFmtId="0" fontId="196" fillId="2" borderId="8" xfId="0" applyFont="1" applyFill="1" applyBorder="1" applyAlignment="1">
      <alignment horizontal="center"/>
    </xf>
    <xf numFmtId="0" fontId="196" fillId="2" borderId="8" xfId="0" applyNumberFormat="1" applyFont="1" applyFill="1" applyBorder="1" applyAlignment="1">
      <alignment horizontal="left"/>
    </xf>
    <xf numFmtId="0" fontId="196" fillId="2" borderId="8" xfId="0" applyFont="1" applyFill="1" applyBorder="1" applyAlignment="1"/>
    <xf numFmtId="0" fontId="188" fillId="2" borderId="8" xfId="248" applyFont="1" applyFill="1" applyBorder="1"/>
    <xf numFmtId="0" fontId="12" fillId="2" borderId="8" xfId="248" applyFill="1" applyBorder="1"/>
    <xf numFmtId="14" fontId="188" fillId="2" borderId="8" xfId="248" applyNumberFormat="1" applyFont="1" applyFill="1" applyBorder="1"/>
    <xf numFmtId="14" fontId="12" fillId="2" borderId="8" xfId="248" applyNumberFormat="1" applyFill="1" applyBorder="1"/>
    <xf numFmtId="0" fontId="12" fillId="3" borderId="8" xfId="248" applyFill="1" applyBorder="1"/>
    <xf numFmtId="14" fontId="188" fillId="3" borderId="8" xfId="248" applyNumberFormat="1" applyFont="1" applyFill="1" applyBorder="1"/>
    <xf numFmtId="0" fontId="188" fillId="5" borderId="8" xfId="248" applyFont="1" applyFill="1" applyBorder="1"/>
    <xf numFmtId="0" fontId="12" fillId="2" borderId="8" xfId="248" applyFont="1" applyFill="1" applyBorder="1"/>
    <xf numFmtId="14" fontId="12" fillId="2" borderId="8" xfId="248" applyNumberFormat="1" applyFont="1" applyFill="1" applyBorder="1"/>
    <xf numFmtId="0" fontId="12" fillId="3" borderId="8" xfId="248" applyFont="1" applyFill="1" applyBorder="1"/>
    <xf numFmtId="1" fontId="173" fillId="2" borderId="8" xfId="0" applyNumberFormat="1" applyFont="1" applyFill="1" applyBorder="1" applyAlignment="1">
      <alignment horizontal="center"/>
    </xf>
    <xf numFmtId="14" fontId="188" fillId="4" borderId="8" xfId="158" applyNumberFormat="1" applyFont="1" applyFill="1" applyBorder="1"/>
    <xf numFmtId="0" fontId="12" fillId="0" borderId="8" xfId="242" applyFont="1" applyBorder="1"/>
    <xf numFmtId="0" fontId="12" fillId="0" borderId="0" xfId="243" applyFont="1" applyBorder="1"/>
    <xf numFmtId="0" fontId="12" fillId="0" borderId="0" xfId="244" applyFont="1" applyBorder="1"/>
    <xf numFmtId="0" fontId="12" fillId="0" borderId="0" xfId="245" applyFont="1" applyBorder="1"/>
    <xf numFmtId="0" fontId="12" fillId="0" borderId="7" xfId="245" applyFont="1" applyBorder="1"/>
    <xf numFmtId="0" fontId="12" fillId="0" borderId="8" xfId="246" applyFont="1" applyBorder="1"/>
    <xf numFmtId="0" fontId="12" fillId="0" borderId="0" xfId="246" applyFont="1" applyBorder="1"/>
    <xf numFmtId="0" fontId="12" fillId="0" borderId="0" xfId="247" applyFont="1" applyBorder="1"/>
    <xf numFmtId="166" fontId="196" fillId="0" borderId="0" xfId="0" applyNumberFormat="1" applyFont="1"/>
    <xf numFmtId="0" fontId="205" fillId="0" borderId="0" xfId="0" applyFont="1" applyAlignment="1">
      <alignment horizontal="center"/>
    </xf>
    <xf numFmtId="0" fontId="205" fillId="0" borderId="0" xfId="0" applyNumberFormat="1" applyFont="1" applyAlignment="1">
      <alignment horizontal="left"/>
    </xf>
    <xf numFmtId="166" fontId="196" fillId="0" borderId="9" xfId="0" applyNumberFormat="1" applyFont="1" applyBorder="1" applyAlignment="1">
      <alignment horizontal="center" vertical="center"/>
    </xf>
    <xf numFmtId="166" fontId="188" fillId="0" borderId="1" xfId="3" applyNumberFormat="1" applyFont="1" applyBorder="1"/>
    <xf numFmtId="0" fontId="12" fillId="2" borderId="8" xfId="228" applyFont="1" applyFill="1" applyBorder="1"/>
    <xf numFmtId="14" fontId="12" fillId="2" borderId="8" xfId="228" applyNumberFormat="1" applyFont="1" applyFill="1" applyBorder="1"/>
    <xf numFmtId="165" fontId="188" fillId="2" borderId="8" xfId="158" applyNumberFormat="1" applyFont="1" applyFill="1" applyBorder="1" applyAlignment="1">
      <alignment horizontal="left"/>
    </xf>
    <xf numFmtId="0" fontId="205" fillId="2" borderId="8" xfId="0" applyNumberFormat="1" applyFont="1" applyFill="1" applyBorder="1" applyAlignment="1">
      <alignment horizontal="left"/>
    </xf>
    <xf numFmtId="0" fontId="12" fillId="4" borderId="8" xfId="229" applyFont="1" applyFill="1" applyBorder="1"/>
    <xf numFmtId="14" fontId="12" fillId="4" borderId="8" xfId="229" applyNumberFormat="1" applyFont="1" applyFill="1" applyBorder="1"/>
    <xf numFmtId="165" fontId="188" fillId="4" borderId="8" xfId="158" applyNumberFormat="1" applyFont="1" applyFill="1" applyBorder="1" applyAlignment="1">
      <alignment horizontal="left"/>
    </xf>
    <xf numFmtId="0" fontId="12" fillId="4" borderId="8" xfId="230" applyFont="1" applyFill="1" applyBorder="1"/>
    <xf numFmtId="14" fontId="12" fillId="4" borderId="8" xfId="230" applyNumberFormat="1" applyFont="1" applyFill="1" applyBorder="1"/>
    <xf numFmtId="0" fontId="12" fillId="2" borderId="8" xfId="230" applyFont="1" applyFill="1" applyBorder="1"/>
    <xf numFmtId="14" fontId="12" fillId="2" borderId="8" xfId="230" applyNumberFormat="1" applyFont="1" applyFill="1" applyBorder="1"/>
    <xf numFmtId="0" fontId="12" fillId="2" borderId="8" xfId="231" applyFont="1" applyFill="1" applyBorder="1"/>
    <xf numFmtId="14" fontId="12" fillId="2" borderId="8" xfId="231" applyNumberFormat="1" applyFont="1" applyFill="1" applyBorder="1"/>
    <xf numFmtId="0" fontId="12" fillId="4" borderId="8" xfId="231" applyFont="1" applyFill="1" applyBorder="1"/>
    <xf numFmtId="14" fontId="12" fillId="4" borderId="8" xfId="231" applyNumberFormat="1" applyFont="1" applyFill="1" applyBorder="1"/>
    <xf numFmtId="0" fontId="188" fillId="5" borderId="8" xfId="233" applyFont="1" applyFill="1" applyBorder="1"/>
    <xf numFmtId="0" fontId="12" fillId="4" borderId="8" xfId="233" applyFont="1" applyFill="1" applyBorder="1"/>
    <xf numFmtId="14" fontId="12" fillId="4" borderId="8" xfId="233" applyNumberFormat="1" applyFont="1" applyFill="1" applyBorder="1"/>
    <xf numFmtId="0" fontId="12" fillId="4" borderId="8" xfId="234" applyFont="1" applyFill="1" applyBorder="1"/>
    <xf numFmtId="14" fontId="12" fillId="4" borderId="8" xfId="234" applyNumberFormat="1" applyFont="1" applyFill="1" applyBorder="1"/>
    <xf numFmtId="166" fontId="188" fillId="0" borderId="8" xfId="234" applyNumberFormat="1" applyFont="1" applyBorder="1"/>
    <xf numFmtId="0" fontId="12" fillId="4" borderId="8" xfId="235" applyFont="1" applyFill="1" applyBorder="1"/>
    <xf numFmtId="14" fontId="12" fillId="4" borderId="8" xfId="235" applyNumberFormat="1" applyFont="1" applyFill="1" applyBorder="1"/>
    <xf numFmtId="0" fontId="12" fillId="0" borderId="0" xfId="235" applyFont="1" applyBorder="1"/>
    <xf numFmtId="0" fontId="188" fillId="5" borderId="8" xfId="235" applyFont="1" applyFill="1" applyBorder="1"/>
    <xf numFmtId="0" fontId="12" fillId="2" borderId="8" xfId="235" applyFont="1" applyFill="1" applyBorder="1"/>
    <xf numFmtId="14" fontId="12" fillId="2" borderId="8" xfId="235" applyNumberFormat="1" applyFont="1" applyFill="1" applyBorder="1"/>
    <xf numFmtId="0" fontId="196" fillId="3" borderId="7" xfId="0" applyFont="1" applyFill="1" applyBorder="1" applyAlignment="1">
      <alignment horizontal="left"/>
    </xf>
    <xf numFmtId="14" fontId="188" fillId="2" borderId="8" xfId="158" applyNumberFormat="1" applyFont="1" applyFill="1" applyBorder="1" applyAlignment="1">
      <alignment horizontal="center"/>
    </xf>
    <xf numFmtId="0" fontId="205" fillId="4" borderId="8" xfId="0" applyFont="1" applyFill="1" applyBorder="1" applyAlignment="1">
      <alignment horizontal="left"/>
    </xf>
    <xf numFmtId="14" fontId="205" fillId="4" borderId="8" xfId="0" applyNumberFormat="1" applyFont="1" applyFill="1" applyBorder="1"/>
    <xf numFmtId="0" fontId="12" fillId="4" borderId="8" xfId="236" applyFont="1" applyFill="1" applyBorder="1"/>
    <xf numFmtId="14" fontId="12" fillId="4" borderId="8" xfId="236" applyNumberFormat="1" applyFont="1" applyFill="1" applyBorder="1"/>
    <xf numFmtId="0" fontId="12" fillId="0" borderId="8" xfId="236" applyFont="1" applyBorder="1"/>
    <xf numFmtId="14" fontId="188" fillId="4" borderId="8" xfId="236" applyNumberFormat="1" applyFont="1" applyFill="1" applyBorder="1" applyAlignment="1">
      <alignment horizontal="center"/>
    </xf>
    <xf numFmtId="0" fontId="12" fillId="2" borderId="8" xfId="236" applyFont="1" applyFill="1" applyBorder="1"/>
    <xf numFmtId="14" fontId="12" fillId="2" borderId="8" xfId="236" applyNumberFormat="1" applyFont="1" applyFill="1" applyBorder="1"/>
    <xf numFmtId="0" fontId="12" fillId="0" borderId="0" xfId="236" applyFont="1" applyBorder="1"/>
    <xf numFmtId="0" fontId="12" fillId="4" borderId="8" xfId="239" applyFont="1" applyFill="1" applyBorder="1"/>
    <xf numFmtId="14" fontId="12" fillId="4" borderId="8" xfId="239" applyNumberFormat="1" applyFont="1" applyFill="1" applyBorder="1"/>
    <xf numFmtId="0" fontId="12" fillId="4" borderId="8" xfId="237" applyFont="1" applyFill="1" applyBorder="1"/>
    <xf numFmtId="14" fontId="12" fillId="4" borderId="8" xfId="237" applyNumberFormat="1" applyFont="1" applyFill="1" applyBorder="1"/>
    <xf numFmtId="14" fontId="188" fillId="4" borderId="8" xfId="158" applyNumberFormat="1" applyFont="1" applyFill="1" applyBorder="1" applyAlignment="1">
      <alignment horizontal="center"/>
    </xf>
    <xf numFmtId="0" fontId="12" fillId="0" borderId="8" xfId="237" applyFont="1" applyBorder="1"/>
    <xf numFmtId="0" fontId="12" fillId="2" borderId="8" xfId="238" applyFont="1" applyFill="1" applyBorder="1"/>
    <xf numFmtId="14" fontId="12" fillId="2" borderId="8" xfId="238" applyNumberFormat="1" applyFont="1" applyFill="1" applyBorder="1"/>
    <xf numFmtId="0" fontId="12" fillId="0" borderId="0" xfId="238" applyFont="1" applyBorder="1"/>
    <xf numFmtId="14" fontId="188" fillId="2" borderId="8" xfId="238" applyNumberFormat="1" applyFont="1" applyFill="1" applyBorder="1" applyAlignment="1">
      <alignment horizontal="center"/>
    </xf>
    <xf numFmtId="0" fontId="12" fillId="0" borderId="8" xfId="239" applyFont="1" applyBorder="1"/>
    <xf numFmtId="14" fontId="188" fillId="4" borderId="8" xfId="238" applyNumberFormat="1" applyFont="1" applyFill="1" applyBorder="1" applyAlignment="1">
      <alignment horizontal="center"/>
    </xf>
    <xf numFmtId="0" fontId="12" fillId="4" borderId="8" xfId="240" applyFont="1" applyFill="1" applyBorder="1"/>
    <xf numFmtId="14" fontId="12" fillId="4" borderId="8" xfId="240" applyNumberFormat="1" applyFont="1" applyFill="1" applyBorder="1"/>
    <xf numFmtId="0" fontId="12" fillId="0" borderId="8" xfId="240" applyFont="1" applyBorder="1"/>
    <xf numFmtId="0" fontId="12" fillId="2" borderId="8" xfId="240" applyFont="1" applyFill="1" applyBorder="1"/>
    <xf numFmtId="14" fontId="12" fillId="2" borderId="8" xfId="240" applyNumberFormat="1" applyFont="1" applyFill="1" applyBorder="1"/>
    <xf numFmtId="0" fontId="12" fillId="0" borderId="0" xfId="240" applyFont="1" applyBorder="1"/>
    <xf numFmtId="0" fontId="12" fillId="2" borderId="8" xfId="242" applyFont="1" applyFill="1" applyBorder="1"/>
    <xf numFmtId="14" fontId="12" fillId="2" borderId="8" xfId="242" applyNumberFormat="1" applyFont="1" applyFill="1" applyBorder="1"/>
    <xf numFmtId="0" fontId="12" fillId="4" borderId="8" xfId="242" applyFont="1" applyFill="1" applyBorder="1"/>
    <xf numFmtId="14" fontId="12" fillId="4" borderId="8" xfId="242" applyNumberFormat="1" applyFont="1" applyFill="1" applyBorder="1"/>
    <xf numFmtId="14" fontId="188" fillId="6" borderId="8" xfId="238" applyNumberFormat="1" applyFont="1" applyFill="1" applyBorder="1" applyAlignment="1">
      <alignment horizontal="center"/>
    </xf>
    <xf numFmtId="0" fontId="12" fillId="2" borderId="8" xfId="243" applyFont="1" applyFill="1" applyBorder="1"/>
    <xf numFmtId="14" fontId="12" fillId="2" borderId="8" xfId="243" applyNumberFormat="1" applyFont="1" applyFill="1" applyBorder="1"/>
    <xf numFmtId="0" fontId="188" fillId="4" borderId="8" xfId="243" applyFont="1" applyFill="1" applyBorder="1"/>
    <xf numFmtId="0" fontId="12" fillId="4" borderId="8" xfId="243" applyFont="1" applyFill="1" applyBorder="1"/>
    <xf numFmtId="14" fontId="188" fillId="4" borderId="8" xfId="243" applyNumberFormat="1" applyFont="1" applyFill="1" applyBorder="1"/>
    <xf numFmtId="14" fontId="12" fillId="4" borderId="8" xfId="243" applyNumberFormat="1" applyFont="1" applyFill="1" applyBorder="1"/>
    <xf numFmtId="0" fontId="188" fillId="5" borderId="8" xfId="243" applyFont="1" applyFill="1" applyBorder="1"/>
    <xf numFmtId="0" fontId="12" fillId="4" borderId="8" xfId="244" applyFont="1" applyFill="1" applyBorder="1"/>
    <xf numFmtId="14" fontId="12" fillId="4" borderId="8" xfId="244" applyNumberFormat="1" applyFont="1" applyFill="1" applyBorder="1"/>
    <xf numFmtId="0" fontId="12" fillId="2" borderId="8" xfId="244" applyFont="1" applyFill="1" applyBorder="1"/>
    <xf numFmtId="14" fontId="12" fillId="2" borderId="8" xfId="244" applyNumberFormat="1" applyFont="1" applyFill="1" applyBorder="1"/>
    <xf numFmtId="0" fontId="12" fillId="2" borderId="8" xfId="245" applyFont="1" applyFill="1" applyBorder="1"/>
    <xf numFmtId="14" fontId="12" fillId="2" borderId="8" xfId="245" applyNumberFormat="1" applyFont="1" applyFill="1" applyBorder="1"/>
    <xf numFmtId="0" fontId="12" fillId="2" borderId="8" xfId="246" applyFont="1" applyFill="1" applyBorder="1"/>
    <xf numFmtId="14" fontId="12" fillId="2" borderId="8" xfId="246" applyNumberFormat="1" applyFont="1" applyFill="1" applyBorder="1"/>
    <xf numFmtId="0" fontId="208" fillId="0" borderId="0" xfId="0" applyFont="1" applyAlignment="1">
      <alignment horizontal="left"/>
    </xf>
    <xf numFmtId="2" fontId="196" fillId="0" borderId="6" xfId="0" applyNumberFormat="1" applyFont="1" applyBorder="1" applyAlignment="1">
      <alignment horizontal="center"/>
    </xf>
    <xf numFmtId="0" fontId="12" fillId="4" borderId="8" xfId="228" applyFont="1" applyFill="1" applyBorder="1"/>
    <xf numFmtId="14" fontId="12" fillId="4" borderId="8" xfId="228" applyNumberFormat="1" applyFont="1" applyFill="1" applyBorder="1"/>
    <xf numFmtId="16" fontId="205" fillId="0" borderId="0" xfId="0" applyNumberFormat="1" applyFont="1" applyAlignment="1">
      <alignment horizontal="left"/>
    </xf>
    <xf numFmtId="0" fontId="12" fillId="2" borderId="8" xfId="229" applyFont="1" applyFill="1" applyBorder="1"/>
    <xf numFmtId="14" fontId="12" fillId="2" borderId="8" xfId="229" applyNumberFormat="1" applyFont="1" applyFill="1" applyBorder="1"/>
    <xf numFmtId="0" fontId="12" fillId="2" borderId="8" xfId="233" applyFont="1" applyFill="1" applyBorder="1"/>
    <xf numFmtId="14" fontId="12" fillId="2" borderId="8" xfId="233" applyNumberFormat="1" applyFont="1" applyFill="1" applyBorder="1"/>
    <xf numFmtId="0" fontId="12" fillId="0" borderId="0" xfId="234" applyFont="1" applyBorder="1"/>
    <xf numFmtId="0" fontId="12" fillId="2" borderId="8" xfId="234" applyFont="1" applyFill="1" applyBorder="1"/>
    <xf numFmtId="14" fontId="12" fillId="2" borderId="8" xfId="234" applyNumberFormat="1" applyFont="1" applyFill="1" applyBorder="1"/>
    <xf numFmtId="0" fontId="12" fillId="2" borderId="8" xfId="237" applyFont="1" applyFill="1" applyBorder="1"/>
    <xf numFmtId="14" fontId="12" fillId="2" borderId="8" xfId="237" applyNumberFormat="1" applyFont="1" applyFill="1" applyBorder="1"/>
    <xf numFmtId="0" fontId="12" fillId="4" borderId="8" xfId="238" applyFont="1" applyFill="1" applyBorder="1"/>
    <xf numFmtId="14" fontId="12" fillId="4" borderId="8" xfId="238" applyNumberFormat="1" applyFont="1" applyFill="1" applyBorder="1"/>
    <xf numFmtId="0" fontId="12" fillId="2" borderId="8" xfId="239" applyFont="1" applyFill="1" applyBorder="1"/>
    <xf numFmtId="14" fontId="12" fillId="2" borderId="8" xfId="239" applyNumberFormat="1" applyFont="1" applyFill="1" applyBorder="1"/>
    <xf numFmtId="166" fontId="196" fillId="0" borderId="0" xfId="0" applyNumberFormat="1" applyFont="1" applyAlignment="1">
      <alignment horizontal="right"/>
    </xf>
    <xf numFmtId="166" fontId="196" fillId="3" borderId="0" xfId="0" applyNumberFormat="1" applyFont="1" applyFill="1" applyAlignment="1">
      <alignment horizontal="right"/>
    </xf>
    <xf numFmtId="0" fontId="205" fillId="0" borderId="8" xfId="0" applyFont="1" applyBorder="1" applyAlignment="1"/>
    <xf numFmtId="0" fontId="12" fillId="4" borderId="0" xfId="245" applyFont="1" applyFill="1" applyBorder="1"/>
    <xf numFmtId="0" fontId="205" fillId="0" borderId="0" xfId="0" applyFont="1" applyAlignment="1"/>
    <xf numFmtId="0" fontId="205" fillId="0" borderId="0" xfId="0" applyFont="1" applyAlignment="1">
      <alignment horizontal="right"/>
    </xf>
    <xf numFmtId="0" fontId="205" fillId="0" borderId="0" xfId="0" applyNumberFormat="1" applyFont="1" applyAlignment="1">
      <alignment horizontal="center"/>
    </xf>
    <xf numFmtId="0" fontId="12" fillId="4" borderId="8" xfId="247" applyFont="1" applyFill="1" applyBorder="1"/>
    <xf numFmtId="14" fontId="12" fillId="4" borderId="8" xfId="247" applyNumberFormat="1" applyFont="1" applyFill="1" applyBorder="1"/>
    <xf numFmtId="0" fontId="15" fillId="4" borderId="8" xfId="240" applyFont="1" applyFill="1" applyBorder="1"/>
    <xf numFmtId="0" fontId="11" fillId="3" borderId="8" xfId="248" applyFont="1" applyFill="1" applyBorder="1"/>
    <xf numFmtId="0" fontId="11" fillId="4" borderId="8" xfId="246" applyFont="1" applyFill="1" applyBorder="1"/>
    <xf numFmtId="1" fontId="173" fillId="4" borderId="8" xfId="0" applyNumberFormat="1" applyFont="1" applyFill="1" applyBorder="1" applyAlignment="1">
      <alignment horizontal="center"/>
    </xf>
    <xf numFmtId="0" fontId="188" fillId="4" borderId="8" xfId="248" applyFont="1" applyFill="1" applyBorder="1"/>
    <xf numFmtId="0" fontId="12" fillId="4" borderId="8" xfId="248" applyFill="1" applyBorder="1"/>
    <xf numFmtId="14" fontId="188" fillId="4" borderId="8" xfId="248" applyNumberFormat="1" applyFont="1" applyFill="1" applyBorder="1"/>
    <xf numFmtId="14" fontId="12" fillId="4" borderId="8" xfId="248" applyNumberFormat="1" applyFill="1" applyBorder="1"/>
    <xf numFmtId="0" fontId="10" fillId="2" borderId="8" xfId="248" applyFont="1" applyFill="1" applyBorder="1"/>
    <xf numFmtId="0" fontId="188" fillId="3" borderId="13" xfId="245" applyFont="1" applyFill="1" applyBorder="1"/>
    <xf numFmtId="0" fontId="12" fillId="3" borderId="14" xfId="245" applyFont="1" applyFill="1" applyBorder="1"/>
    <xf numFmtId="14" fontId="188" fillId="3" borderId="14" xfId="245" applyNumberFormat="1" applyFont="1" applyFill="1" applyBorder="1"/>
    <xf numFmtId="0" fontId="15" fillId="3" borderId="14" xfId="245" applyFill="1" applyBorder="1"/>
    <xf numFmtId="0" fontId="196" fillId="3" borderId="14" xfId="0" applyFont="1" applyFill="1" applyBorder="1" applyAlignment="1">
      <alignment horizontal="left"/>
    </xf>
    <xf numFmtId="0" fontId="196" fillId="3" borderId="15" xfId="0" applyFont="1" applyFill="1" applyBorder="1"/>
    <xf numFmtId="0" fontId="188" fillId="3" borderId="16" xfId="246" applyFont="1" applyFill="1" applyBorder="1"/>
    <xf numFmtId="0" fontId="196" fillId="3" borderId="17" xfId="0" applyFont="1" applyFill="1" applyBorder="1"/>
    <xf numFmtId="0" fontId="188" fillId="5" borderId="16" xfId="246" applyFont="1" applyFill="1" applyBorder="1"/>
    <xf numFmtId="0" fontId="188" fillId="3" borderId="16" xfId="247" applyFont="1" applyFill="1" applyBorder="1"/>
    <xf numFmtId="0" fontId="188" fillId="5" borderId="16" xfId="247" applyFont="1" applyFill="1" applyBorder="1"/>
    <xf numFmtId="0" fontId="196" fillId="2" borderId="17" xfId="0" applyFont="1" applyFill="1" applyBorder="1"/>
    <xf numFmtId="0" fontId="188" fillId="2" borderId="16" xfId="247" applyFont="1" applyFill="1" applyBorder="1"/>
    <xf numFmtId="0" fontId="188" fillId="2" borderId="16" xfId="248" applyFont="1" applyFill="1" applyBorder="1"/>
    <xf numFmtId="0" fontId="188" fillId="3" borderId="16" xfId="248" applyFont="1" applyFill="1" applyBorder="1"/>
    <xf numFmtId="0" fontId="188" fillId="5" borderId="16" xfId="248" applyFont="1" applyFill="1" applyBorder="1"/>
    <xf numFmtId="0" fontId="188" fillId="3" borderId="18" xfId="248" applyFont="1" applyFill="1" applyBorder="1"/>
    <xf numFmtId="0" fontId="12" fillId="3" borderId="19" xfId="248" applyFill="1" applyBorder="1"/>
    <xf numFmtId="14" fontId="188" fillId="3" borderId="19" xfId="248" applyNumberFormat="1" applyFont="1" applyFill="1" applyBorder="1"/>
    <xf numFmtId="0" fontId="196" fillId="3" borderId="19" xfId="0" applyFont="1" applyFill="1" applyBorder="1" applyAlignment="1">
      <alignment horizontal="left"/>
    </xf>
    <xf numFmtId="0" fontId="196" fillId="3" borderId="20" xfId="0" applyFont="1" applyFill="1" applyBorder="1"/>
    <xf numFmtId="0" fontId="188" fillId="2" borderId="18" xfId="248" applyFont="1" applyFill="1" applyBorder="1"/>
    <xf numFmtId="0" fontId="12" fillId="2" borderId="19" xfId="248" applyFill="1" applyBorder="1"/>
    <xf numFmtId="14" fontId="188" fillId="2" borderId="19" xfId="248" applyNumberFormat="1" applyFont="1" applyFill="1" applyBorder="1"/>
    <xf numFmtId="0" fontId="196" fillId="2" borderId="19" xfId="0" applyFont="1" applyFill="1" applyBorder="1" applyAlignment="1">
      <alignment horizontal="left"/>
    </xf>
    <xf numFmtId="0" fontId="196" fillId="2" borderId="20" xfId="0" applyFont="1" applyFill="1" applyBorder="1"/>
    <xf numFmtId="0" fontId="10" fillId="0" borderId="8" xfId="249" applyBorder="1"/>
    <xf numFmtId="0" fontId="188" fillId="2" borderId="8" xfId="249" applyFont="1" applyFill="1" applyBorder="1"/>
    <xf numFmtId="0" fontId="10" fillId="2" borderId="8" xfId="249" applyFill="1" applyBorder="1"/>
    <xf numFmtId="14" fontId="188" fillId="2" borderId="8" xfId="249" applyNumberFormat="1" applyFont="1" applyFill="1" applyBorder="1"/>
    <xf numFmtId="14" fontId="10" fillId="2" borderId="8" xfId="249" applyNumberFormat="1" applyFill="1" applyBorder="1"/>
    <xf numFmtId="0" fontId="188" fillId="5" borderId="8" xfId="249" applyFont="1" applyFill="1" applyBorder="1"/>
    <xf numFmtId="0" fontId="12" fillId="4" borderId="8" xfId="248" applyFont="1" applyFill="1" applyBorder="1"/>
    <xf numFmtId="14" fontId="12" fillId="4" borderId="8" xfId="248" applyNumberFormat="1" applyFont="1" applyFill="1" applyBorder="1"/>
    <xf numFmtId="0" fontId="9" fillId="0" borderId="8" xfId="250" applyBorder="1"/>
    <xf numFmtId="0" fontId="188" fillId="2" borderId="8" xfId="250" applyFont="1" applyFill="1" applyBorder="1"/>
    <xf numFmtId="0" fontId="9" fillId="2" borderId="8" xfId="250" applyFill="1" applyBorder="1"/>
    <xf numFmtId="14" fontId="188" fillId="2" borderId="8" xfId="250" applyNumberFormat="1" applyFont="1" applyFill="1" applyBorder="1"/>
    <xf numFmtId="14" fontId="9" fillId="2" borderId="8" xfId="250" applyNumberFormat="1" applyFill="1" applyBorder="1"/>
    <xf numFmtId="0" fontId="188" fillId="4" borderId="8" xfId="249" applyFont="1" applyFill="1" applyBorder="1"/>
    <xf numFmtId="0" fontId="10" fillId="4" borderId="8" xfId="249" applyFill="1" applyBorder="1"/>
    <xf numFmtId="14" fontId="188" fillId="4" borderId="8" xfId="249" applyNumberFormat="1" applyFont="1" applyFill="1" applyBorder="1"/>
    <xf numFmtId="14" fontId="10" fillId="4" borderId="8" xfId="249" applyNumberFormat="1" applyFill="1" applyBorder="1"/>
    <xf numFmtId="0" fontId="188" fillId="5" borderId="8" xfId="250" applyFont="1" applyFill="1" applyBorder="1"/>
    <xf numFmtId="0" fontId="7" fillId="0" borderId="8" xfId="251" applyBorder="1"/>
    <xf numFmtId="0" fontId="7" fillId="2" borderId="8" xfId="251" applyFill="1" applyBorder="1"/>
    <xf numFmtId="14" fontId="7" fillId="2" borderId="8" xfId="251" applyNumberFormat="1" applyFill="1" applyBorder="1"/>
    <xf numFmtId="0" fontId="188" fillId="2" borderId="8" xfId="251" applyFont="1" applyFill="1" applyBorder="1"/>
    <xf numFmtId="14" fontId="188" fillId="2" borderId="8" xfId="251" applyNumberFormat="1" applyFont="1" applyFill="1" applyBorder="1"/>
    <xf numFmtId="0" fontId="7" fillId="3" borderId="8" xfId="251" applyFill="1" applyBorder="1"/>
    <xf numFmtId="0" fontId="188" fillId="4" borderId="8" xfId="250" applyFont="1" applyFill="1" applyBorder="1"/>
    <xf numFmtId="0" fontId="9" fillId="4" borderId="8" xfId="250" applyFill="1" applyBorder="1"/>
    <xf numFmtId="14" fontId="188" fillId="4" borderId="8" xfId="250" applyNumberFormat="1" applyFont="1" applyFill="1" applyBorder="1"/>
    <xf numFmtId="14" fontId="9" fillId="4" borderId="8" xfId="250" applyNumberFormat="1" applyFill="1" applyBorder="1"/>
    <xf numFmtId="0" fontId="7" fillId="4" borderId="8" xfId="246" applyFont="1" applyFill="1" applyBorder="1"/>
    <xf numFmtId="0" fontId="188" fillId="5" borderId="8" xfId="251" applyFont="1" applyFill="1" applyBorder="1"/>
    <xf numFmtId="0" fontId="188" fillId="4" borderId="8" xfId="251" applyFont="1" applyFill="1" applyBorder="1"/>
    <xf numFmtId="0" fontId="7" fillId="4" borderId="8" xfId="251" applyFill="1" applyBorder="1"/>
    <xf numFmtId="14" fontId="188" fillId="4" borderId="8" xfId="251" applyNumberFormat="1" applyFont="1" applyFill="1" applyBorder="1"/>
    <xf numFmtId="14" fontId="7" fillId="4" borderId="8" xfId="251" applyNumberFormat="1" applyFill="1" applyBorder="1"/>
    <xf numFmtId="0" fontId="6" fillId="0" borderId="8" xfId="252" applyBorder="1"/>
    <xf numFmtId="0" fontId="11" fillId="4" borderId="8" xfId="248" applyFont="1" applyFill="1" applyBorder="1"/>
    <xf numFmtId="0" fontId="8" fillId="4" borderId="8" xfId="249" applyFont="1" applyFill="1" applyBorder="1"/>
    <xf numFmtId="0" fontId="5" fillId="0" borderId="8" xfId="253" applyBorder="1"/>
    <xf numFmtId="0" fontId="188" fillId="2" borderId="8" xfId="253" applyFont="1" applyFill="1" applyBorder="1"/>
    <xf numFmtId="0" fontId="5" fillId="2" borderId="8" xfId="253" applyFill="1" applyBorder="1"/>
    <xf numFmtId="14" fontId="188" fillId="2" borderId="8" xfId="253" applyNumberFormat="1" applyFont="1" applyFill="1" applyBorder="1"/>
    <xf numFmtId="14" fontId="5" fillId="2" borderId="8" xfId="253" applyNumberFormat="1" applyFill="1" applyBorder="1"/>
    <xf numFmtId="0" fontId="188" fillId="5" borderId="8" xfId="253" applyFont="1" applyFill="1" applyBorder="1"/>
    <xf numFmtId="0" fontId="5" fillId="4" borderId="8" xfId="251" applyFont="1" applyFill="1" applyBorder="1"/>
    <xf numFmtId="0" fontId="5" fillId="4" borderId="8" xfId="250" applyFont="1" applyFill="1" applyBorder="1"/>
    <xf numFmtId="0" fontId="7" fillId="4" borderId="8" xfId="250" applyFont="1" applyFill="1" applyBorder="1"/>
    <xf numFmtId="0" fontId="7" fillId="4" borderId="8" xfId="247" applyFont="1" applyFill="1" applyBorder="1"/>
    <xf numFmtId="0" fontId="4" fillId="0" borderId="0" xfId="254" applyBorder="1"/>
    <xf numFmtId="0" fontId="4" fillId="3" borderId="8" xfId="254" applyFill="1" applyBorder="1"/>
    <xf numFmtId="14" fontId="188" fillId="3" borderId="8" xfId="254" applyNumberFormat="1" applyFont="1" applyFill="1" applyBorder="1"/>
    <xf numFmtId="14" fontId="4" fillId="3" borderId="8" xfId="254" applyNumberFormat="1" applyFill="1" applyBorder="1"/>
    <xf numFmtId="0" fontId="205" fillId="3" borderId="8" xfId="0" applyNumberFormat="1" applyFont="1" applyFill="1" applyBorder="1" applyAlignment="1">
      <alignment horizontal="center"/>
    </xf>
    <xf numFmtId="0" fontId="188" fillId="5" borderId="8" xfId="254" applyFont="1" applyFill="1" applyBorder="1"/>
    <xf numFmtId="0" fontId="188" fillId="3" borderId="8" xfId="254" applyFont="1" applyFill="1" applyBorder="1"/>
    <xf numFmtId="1" fontId="174" fillId="3" borderId="8" xfId="0" applyNumberFormat="1" applyFont="1" applyFill="1" applyBorder="1" applyAlignment="1">
      <alignment horizontal="center"/>
    </xf>
    <xf numFmtId="0" fontId="4" fillId="2" borderId="8" xfId="254" applyFill="1" applyBorder="1"/>
    <xf numFmtId="14" fontId="188" fillId="2" borderId="8" xfId="254" applyNumberFormat="1" applyFont="1" applyFill="1" applyBorder="1"/>
    <xf numFmtId="14" fontId="4" fillId="2" borderId="8" xfId="254" applyNumberFormat="1" applyFill="1" applyBorder="1"/>
    <xf numFmtId="0" fontId="205" fillId="2" borderId="8" xfId="0" applyFont="1" applyFill="1" applyBorder="1" applyAlignment="1"/>
    <xf numFmtId="0" fontId="205" fillId="3" borderId="8" xfId="0" applyNumberFormat="1" applyFont="1" applyFill="1" applyBorder="1" applyAlignment="1">
      <alignment horizontal="left"/>
    </xf>
    <xf numFmtId="0" fontId="188" fillId="2" borderId="8" xfId="254" applyFont="1" applyFill="1" applyBorder="1"/>
    <xf numFmtId="1" fontId="174" fillId="2" borderId="8" xfId="0" applyNumberFormat="1" applyFont="1" applyFill="1" applyBorder="1" applyAlignment="1">
      <alignment horizontal="center"/>
    </xf>
    <xf numFmtId="1" fontId="196" fillId="3" borderId="8" xfId="0" applyNumberFormat="1" applyFont="1" applyFill="1" applyBorder="1" applyAlignment="1">
      <alignment horizontal="center"/>
    </xf>
    <xf numFmtId="0" fontId="4" fillId="0" borderId="0" xfId="254" applyBorder="1"/>
    <xf numFmtId="0" fontId="4" fillId="4" borderId="8" xfId="251" applyFont="1" applyFill="1" applyBorder="1"/>
    <xf numFmtId="0" fontId="4" fillId="2" borderId="8" xfId="248" applyFont="1" applyFill="1" applyBorder="1"/>
    <xf numFmtId="0" fontId="188" fillId="4" borderId="8" xfId="252" applyFont="1" applyFill="1" applyBorder="1"/>
    <xf numFmtId="0" fontId="6" fillId="4" borderId="8" xfId="252" applyFill="1" applyBorder="1"/>
    <xf numFmtId="14" fontId="188" fillId="4" borderId="8" xfId="252" applyNumberFormat="1" applyFont="1" applyFill="1" applyBorder="1"/>
    <xf numFmtId="14" fontId="6" fillId="4" borderId="8" xfId="252" applyNumberFormat="1" applyFill="1" applyBorder="1"/>
    <xf numFmtId="0" fontId="188" fillId="4" borderId="8" xfId="253" applyFont="1" applyFill="1" applyBorder="1"/>
    <xf numFmtId="0" fontId="5" fillId="4" borderId="8" xfId="253" applyFill="1" applyBorder="1"/>
    <xf numFmtId="14" fontId="188" fillId="4" borderId="8" xfId="253" applyNumberFormat="1" applyFont="1" applyFill="1" applyBorder="1"/>
    <xf numFmtId="14" fontId="5" fillId="4" borderId="8" xfId="253" applyNumberFormat="1" applyFill="1" applyBorder="1"/>
    <xf numFmtId="0" fontId="188" fillId="4" borderId="8" xfId="254" applyFont="1" applyFill="1" applyBorder="1"/>
    <xf numFmtId="0" fontId="4" fillId="4" borderId="8" xfId="254" applyFill="1" applyBorder="1"/>
    <xf numFmtId="14" fontId="188" fillId="4" borderId="8" xfId="254" applyNumberFormat="1" applyFont="1" applyFill="1" applyBorder="1"/>
    <xf numFmtId="14" fontId="4" fillId="4" borderId="8" xfId="254" applyNumberFormat="1" applyFill="1" applyBorder="1"/>
    <xf numFmtId="0" fontId="205" fillId="4" borderId="8" xfId="0" applyNumberFormat="1" applyFont="1" applyFill="1" applyBorder="1" applyAlignment="1">
      <alignment horizontal="left"/>
    </xf>
    <xf numFmtId="0" fontId="4" fillId="0" borderId="0" xfId="254" applyBorder="1"/>
    <xf numFmtId="0" fontId="4" fillId="0" borderId="0" xfId="254" applyBorder="1"/>
    <xf numFmtId="0" fontId="205" fillId="4" borderId="8" xfId="0" applyFont="1" applyFill="1" applyBorder="1" applyAlignment="1"/>
    <xf numFmtId="165" fontId="188" fillId="2" borderId="12" xfId="158" applyNumberFormat="1" applyFont="1" applyFill="1" applyBorder="1" applyAlignment="1"/>
    <xf numFmtId="0" fontId="4" fillId="4" borderId="8" xfId="252" applyFont="1" applyFill="1" applyBorder="1"/>
    <xf numFmtId="0" fontId="3" fillId="0" borderId="0" xfId="255" applyBorder="1"/>
    <xf numFmtId="0" fontId="3" fillId="0" borderId="8" xfId="255" applyBorder="1"/>
    <xf numFmtId="0" fontId="3" fillId="3" borderId="8" xfId="255" applyFill="1" applyBorder="1"/>
    <xf numFmtId="0" fontId="188" fillId="3" borderId="8" xfId="255" applyFont="1" applyFill="1" applyBorder="1"/>
    <xf numFmtId="14" fontId="188" fillId="3" borderId="8" xfId="255" applyNumberFormat="1" applyFont="1" applyFill="1" applyBorder="1"/>
    <xf numFmtId="14" fontId="3" fillId="3" borderId="8" xfId="255" applyNumberFormat="1" applyFill="1" applyBorder="1"/>
    <xf numFmtId="0" fontId="205" fillId="3" borderId="8" xfId="0" applyFont="1" applyFill="1" applyBorder="1" applyAlignment="1"/>
    <xf numFmtId="0" fontId="188" fillId="2" borderId="8" xfId="255" applyFont="1" applyFill="1" applyBorder="1"/>
    <xf numFmtId="0" fontId="3" fillId="2" borderId="8" xfId="255" applyFill="1" applyBorder="1"/>
    <xf numFmtId="14" fontId="188" fillId="2" borderId="8" xfId="255" applyNumberFormat="1" applyFont="1" applyFill="1" applyBorder="1"/>
    <xf numFmtId="14" fontId="3" fillId="2" borderId="8" xfId="255" applyNumberFormat="1" applyFill="1" applyBorder="1"/>
    <xf numFmtId="0" fontId="205" fillId="2" borderId="8" xfId="0" applyFont="1" applyFill="1" applyBorder="1" applyAlignment="1">
      <alignment horizontal="center"/>
    </xf>
    <xf numFmtId="0" fontId="205" fillId="2" borderId="8" xfId="0" applyFont="1" applyFill="1" applyBorder="1" applyAlignment="1">
      <alignment horizontal="left"/>
    </xf>
    <xf numFmtId="0" fontId="205" fillId="3" borderId="8" xfId="0" applyFont="1" applyFill="1" applyBorder="1" applyAlignment="1">
      <alignment horizontal="center"/>
    </xf>
    <xf numFmtId="0" fontId="188" fillId="5" borderId="8" xfId="255" applyFont="1" applyFill="1" applyBorder="1"/>
    <xf numFmtId="0" fontId="205" fillId="3" borderId="8" xfId="0" applyFont="1" applyFill="1" applyBorder="1" applyAlignment="1">
      <alignment horizontal="left"/>
    </xf>
    <xf numFmtId="0" fontId="188" fillId="4" borderId="12" xfId="254" applyFont="1" applyFill="1" applyBorder="1"/>
    <xf numFmtId="0" fontId="4" fillId="4" borderId="12" xfId="254" applyFont="1" applyFill="1" applyBorder="1"/>
    <xf numFmtId="14" fontId="188" fillId="4" borderId="12" xfId="254" applyNumberFormat="1" applyFont="1" applyFill="1" applyBorder="1"/>
    <xf numFmtId="14" fontId="4" fillId="4" borderId="12" xfId="254" applyNumberFormat="1" applyFont="1" applyFill="1" applyBorder="1"/>
    <xf numFmtId="0" fontId="196" fillId="4" borderId="12" xfId="0" applyFont="1" applyFill="1" applyBorder="1"/>
    <xf numFmtId="165" fontId="188" fillId="4" borderId="12" xfId="158" applyNumberFormat="1" applyFont="1" applyFill="1" applyBorder="1" applyAlignment="1">
      <alignment horizontal="center"/>
    </xf>
    <xf numFmtId="0" fontId="3" fillId="2" borderId="0" xfId="255" applyFill="1" applyBorder="1"/>
    <xf numFmtId="166" fontId="196" fillId="2" borderId="8" xfId="0" applyNumberFormat="1" applyFont="1" applyFill="1" applyBorder="1"/>
    <xf numFmtId="14" fontId="196" fillId="3" borderId="8" xfId="0" applyNumberFormat="1" applyFont="1" applyFill="1" applyBorder="1" applyAlignment="1">
      <alignment horizontal="center"/>
    </xf>
    <xf numFmtId="0" fontId="188" fillId="4" borderId="8" xfId="255" applyFont="1" applyFill="1" applyBorder="1"/>
    <xf numFmtId="0" fontId="3" fillId="4" borderId="8" xfId="255" applyFill="1" applyBorder="1"/>
    <xf numFmtId="14" fontId="188" fillId="4" borderId="8" xfId="255" applyNumberFormat="1" applyFont="1" applyFill="1" applyBorder="1"/>
    <xf numFmtId="14" fontId="3" fillId="4" borderId="8" xfId="255" applyNumberFormat="1" applyFill="1" applyBorder="1"/>
    <xf numFmtId="0" fontId="205" fillId="4" borderId="8" xfId="0" applyFont="1" applyFill="1" applyBorder="1" applyAlignment="1">
      <alignment horizontal="center"/>
    </xf>
    <xf numFmtId="0" fontId="3" fillId="0" borderId="7" xfId="255" applyBorder="1"/>
    <xf numFmtId="0" fontId="196" fillId="2" borderId="21" xfId="0" applyFont="1" applyFill="1" applyBorder="1"/>
    <xf numFmtId="0" fontId="205" fillId="2" borderId="21" xfId="0" applyFont="1" applyFill="1" applyBorder="1"/>
    <xf numFmtId="14" fontId="196" fillId="2" borderId="21" xfId="0" applyNumberFormat="1" applyFont="1" applyFill="1" applyBorder="1"/>
    <xf numFmtId="165" fontId="188" fillId="2" borderId="21" xfId="158" applyNumberFormat="1" applyFont="1" applyFill="1" applyBorder="1"/>
    <xf numFmtId="1" fontId="205" fillId="2" borderId="21" xfId="0" applyNumberFormat="1" applyFont="1" applyFill="1" applyBorder="1" applyAlignment="1">
      <alignment horizontal="center"/>
    </xf>
    <xf numFmtId="0" fontId="196" fillId="2" borderId="21" xfId="0" applyFont="1" applyFill="1" applyBorder="1" applyAlignment="1">
      <alignment horizontal="left"/>
    </xf>
    <xf numFmtId="0" fontId="174" fillId="0" borderId="8" xfId="0" applyFont="1" applyBorder="1"/>
    <xf numFmtId="14" fontId="30" fillId="4" borderId="7" xfId="228" applyNumberFormat="1" applyFont="1" applyFill="1" applyBorder="1"/>
    <xf numFmtId="0" fontId="4" fillId="0" borderId="8" xfId="254" applyBorder="1"/>
    <xf numFmtId="0" fontId="7" fillId="0" borderId="0" xfId="251" applyBorder="1"/>
    <xf numFmtId="166" fontId="173" fillId="0" borderId="8" xfId="0" applyNumberFormat="1" applyFont="1" applyBorder="1"/>
    <xf numFmtId="0" fontId="10" fillId="0" borderId="0" xfId="249" applyBorder="1"/>
    <xf numFmtId="0" fontId="12" fillId="0" borderId="0" xfId="248" applyBorder="1"/>
    <xf numFmtId="166" fontId="173" fillId="0" borderId="0" xfId="0" applyNumberFormat="1" applyFont="1" applyBorder="1"/>
    <xf numFmtId="0" fontId="173" fillId="0" borderId="0" xfId="0" applyFont="1" applyBorder="1"/>
    <xf numFmtId="0" fontId="15" fillId="3" borderId="0" xfId="245" applyFill="1" applyBorder="1"/>
    <xf numFmtId="0" fontId="20" fillId="0" borderId="0" xfId="240" applyBorder="1"/>
    <xf numFmtId="0" fontId="22" fillId="0" borderId="8" xfId="238" applyBorder="1"/>
    <xf numFmtId="0" fontId="25" fillId="0" borderId="8" xfId="235" applyBorder="1"/>
    <xf numFmtId="0" fontId="174" fillId="3" borderId="8" xfId="0" applyFont="1" applyFill="1" applyBorder="1"/>
    <xf numFmtId="0" fontId="2" fillId="3" borderId="8" xfId="255" applyFont="1" applyFill="1" applyBorder="1"/>
    <xf numFmtId="0" fontId="1" fillId="0" borderId="0" xfId="256" applyBorder="1"/>
    <xf numFmtId="14" fontId="1" fillId="0" borderId="0" xfId="256" applyNumberFormat="1" applyBorder="1"/>
    <xf numFmtId="0" fontId="1" fillId="0" borderId="8" xfId="256" applyBorder="1"/>
    <xf numFmtId="14" fontId="1" fillId="0" borderId="8" xfId="256" applyNumberFormat="1" applyBorder="1"/>
    <xf numFmtId="0" fontId="188" fillId="0" borderId="8" xfId="256" applyFont="1" applyBorder="1"/>
    <xf numFmtId="0" fontId="188" fillId="2" borderId="8" xfId="256" applyFont="1" applyFill="1" applyBorder="1"/>
    <xf numFmtId="0" fontId="1" fillId="2" borderId="8" xfId="256" applyFill="1" applyBorder="1"/>
    <xf numFmtId="14" fontId="188" fillId="2" borderId="8" xfId="256" applyNumberFormat="1" applyFont="1" applyFill="1" applyBorder="1"/>
    <xf numFmtId="0" fontId="174" fillId="2" borderId="8" xfId="0" applyFont="1" applyFill="1" applyBorder="1"/>
    <xf numFmtId="0" fontId="188" fillId="3" borderId="8" xfId="256" applyFont="1" applyFill="1" applyBorder="1"/>
    <xf numFmtId="0" fontId="1" fillId="3" borderId="8" xfId="256" applyFill="1" applyBorder="1"/>
    <xf numFmtId="14" fontId="188" fillId="3" borderId="8" xfId="256" applyNumberFormat="1" applyFont="1" applyFill="1" applyBorder="1"/>
    <xf numFmtId="0" fontId="0" fillId="0" borderId="8" xfId="0" applyBorder="1"/>
    <xf numFmtId="14" fontId="1" fillId="3" borderId="8" xfId="256" applyNumberFormat="1" applyFill="1" applyBorder="1"/>
    <xf numFmtId="0" fontId="1" fillId="3" borderId="8" xfId="256" applyFont="1" applyFill="1" applyBorder="1"/>
    <xf numFmtId="14" fontId="1" fillId="3" borderId="8" xfId="256" applyNumberFormat="1" applyFont="1" applyFill="1" applyBorder="1"/>
    <xf numFmtId="14" fontId="1" fillId="2" borderId="8" xfId="256" applyNumberFormat="1" applyFill="1" applyBorder="1"/>
    <xf numFmtId="0" fontId="176" fillId="9" borderId="8" xfId="0" applyFont="1" applyFill="1" applyBorder="1"/>
    <xf numFmtId="0" fontId="17" fillId="6" borderId="8" xfId="243" applyFill="1" applyBorder="1"/>
    <xf numFmtId="0" fontId="12" fillId="6" borderId="8" xfId="231" applyFont="1" applyFill="1" applyBorder="1"/>
    <xf numFmtId="0" fontId="10" fillId="6" borderId="8" xfId="249" applyFill="1" applyBorder="1"/>
    <xf numFmtId="0" fontId="12" fillId="6" borderId="8" xfId="246" applyFont="1" applyFill="1" applyBorder="1"/>
    <xf numFmtId="0" fontId="6" fillId="6" borderId="8" xfId="252" applyFill="1" applyBorder="1"/>
    <xf numFmtId="0" fontId="12" fillId="6" borderId="8" xfId="229" applyFont="1" applyFill="1" applyBorder="1"/>
    <xf numFmtId="0" fontId="3" fillId="6" borderId="8" xfId="255" applyFill="1" applyBorder="1"/>
    <xf numFmtId="0" fontId="4" fillId="6" borderId="8" xfId="254" applyFill="1" applyBorder="1"/>
    <xf numFmtId="0" fontId="7" fillId="6" borderId="8" xfId="250" applyFont="1" applyFill="1" applyBorder="1"/>
    <xf numFmtId="0" fontId="12" fillId="6" borderId="8" xfId="248" applyFill="1" applyBorder="1"/>
    <xf numFmtId="0" fontId="12" fillId="6" borderId="8" xfId="245" applyFont="1" applyFill="1" applyBorder="1"/>
    <xf numFmtId="0" fontId="12" fillId="6" borderId="8" xfId="240" applyFont="1" applyFill="1" applyBorder="1"/>
    <xf numFmtId="0" fontId="12" fillId="6" borderId="8" xfId="230" applyFont="1" applyFill="1" applyBorder="1"/>
    <xf numFmtId="0" fontId="12" fillId="6" borderId="8" xfId="237" applyFont="1" applyFill="1" applyBorder="1"/>
    <xf numFmtId="0" fontId="27" fillId="6" borderId="8" xfId="233" applyFill="1" applyBorder="1"/>
    <xf numFmtId="0" fontId="18" fillId="6" borderId="8" xfId="242" applyFill="1" applyBorder="1"/>
    <xf numFmtId="0" fontId="7" fillId="6" borderId="8" xfId="251" applyFill="1" applyBorder="1"/>
    <xf numFmtId="0" fontId="12" fillId="6" borderId="8" xfId="247" applyFont="1" applyFill="1" applyBorder="1"/>
    <xf numFmtId="0" fontId="22" fillId="6" borderId="8" xfId="238" applyFill="1" applyBorder="1"/>
    <xf numFmtId="0" fontId="12" fillId="6" borderId="8" xfId="248" applyFont="1" applyFill="1" applyBorder="1"/>
    <xf numFmtId="0" fontId="5" fillId="6" borderId="8" xfId="253" applyFill="1" applyBorder="1"/>
    <xf numFmtId="0" fontId="23" fillId="6" borderId="8" xfId="237" applyFill="1" applyBorder="1"/>
    <xf numFmtId="0" fontId="15" fillId="6" borderId="8" xfId="245" applyFill="1" applyBorder="1"/>
    <xf numFmtId="0" fontId="12" fillId="6" borderId="8" xfId="228" applyFont="1" applyFill="1" applyBorder="1"/>
    <xf numFmtId="0" fontId="26" fillId="6" borderId="8" xfId="228" applyFont="1" applyFill="1" applyBorder="1"/>
    <xf numFmtId="0" fontId="29" fillId="6" borderId="8" xfId="231" applyFont="1" applyFill="1" applyBorder="1"/>
    <xf numFmtId="0" fontId="29" fillId="6" borderId="8" xfId="230" applyFont="1" applyFill="1" applyBorder="1"/>
    <xf numFmtId="0" fontId="12" fillId="6" borderId="8" xfId="235" applyFont="1" applyFill="1" applyBorder="1"/>
    <xf numFmtId="0" fontId="12" fillId="6" borderId="8" xfId="233" applyFont="1" applyFill="1" applyBorder="1"/>
    <xf numFmtId="0" fontId="12" fillId="6" borderId="8" xfId="239" applyFont="1" applyFill="1" applyBorder="1"/>
    <xf numFmtId="0" fontId="13" fillId="6" borderId="8" xfId="247" applyFill="1" applyBorder="1"/>
    <xf numFmtId="0" fontId="12" fillId="6" borderId="8" xfId="243" applyFont="1" applyFill="1" applyBorder="1"/>
    <xf numFmtId="0" fontId="1" fillId="6" borderId="8" xfId="256" applyFill="1" applyBorder="1"/>
    <xf numFmtId="0" fontId="9" fillId="6" borderId="8" xfId="250" applyFill="1" applyBorder="1"/>
    <xf numFmtId="0" fontId="5" fillId="6" borderId="8" xfId="250" applyFont="1" applyFill="1" applyBorder="1"/>
    <xf numFmtId="0" fontId="12" fillId="6" borderId="8" xfId="234" applyFont="1" applyFill="1" applyBorder="1"/>
    <xf numFmtId="0" fontId="17" fillId="6" borderId="8" xfId="242" applyFont="1" applyFill="1" applyBorder="1"/>
    <xf numFmtId="0" fontId="205" fillId="6" borderId="8" xfId="0" applyFont="1" applyFill="1" applyBorder="1"/>
    <xf numFmtId="0" fontId="8" fillId="6" borderId="8" xfId="249" applyFont="1" applyFill="1" applyBorder="1"/>
    <xf numFmtId="0" fontId="19" fillId="6" borderId="8" xfId="241" applyFill="1" applyBorder="1"/>
    <xf numFmtId="0" fontId="11" fillId="6" borderId="8" xfId="248" applyFont="1" applyFill="1" applyBorder="1"/>
    <xf numFmtId="0" fontId="5" fillId="6" borderId="8" xfId="251" applyFont="1" applyFill="1" applyBorder="1"/>
    <xf numFmtId="0" fontId="12" fillId="6" borderId="8" xfId="238" applyFont="1" applyFill="1" applyBorder="1"/>
    <xf numFmtId="0" fontId="12" fillId="6" borderId="8" xfId="242" applyFont="1" applyFill="1" applyBorder="1"/>
    <xf numFmtId="0" fontId="24" fillId="6" borderId="8" xfId="236" applyFont="1" applyFill="1" applyBorder="1"/>
    <xf numFmtId="0" fontId="20" fillId="6" borderId="8" xfId="240" applyFill="1" applyBorder="1"/>
    <xf numFmtId="0" fontId="2" fillId="6" borderId="8" xfId="255" applyFont="1" applyFill="1" applyBorder="1"/>
    <xf numFmtId="0" fontId="26" fillId="6" borderId="8" xfId="231" applyFont="1" applyFill="1" applyBorder="1"/>
    <xf numFmtId="0" fontId="10" fillId="6" borderId="12" xfId="249" applyFill="1" applyBorder="1"/>
    <xf numFmtId="0" fontId="33" fillId="6" borderId="8" xfId="228" applyFill="1" applyBorder="1"/>
    <xf numFmtId="0" fontId="24" fillId="6" borderId="8" xfId="236" applyFill="1" applyBorder="1"/>
    <xf numFmtId="0" fontId="10" fillId="6" borderId="8" xfId="248" applyFont="1" applyFill="1" applyBorder="1"/>
    <xf numFmtId="0" fontId="25" fillId="6" borderId="8" xfId="235" applyFill="1" applyBorder="1"/>
    <xf numFmtId="0" fontId="12" fillId="6" borderId="8" xfId="236" applyFont="1" applyFill="1" applyBorder="1"/>
    <xf numFmtId="0" fontId="14" fillId="6" borderId="8" xfId="246" applyFill="1" applyBorder="1"/>
    <xf numFmtId="0" fontId="12" fillId="6" borderId="8" xfId="244" applyFont="1" applyFill="1" applyBorder="1"/>
    <xf numFmtId="166" fontId="173" fillId="0" borderId="8" xfId="0" applyNumberFormat="1" applyFont="1" applyBorder="1" applyAlignment="1">
      <alignment horizontal="left"/>
    </xf>
    <xf numFmtId="0" fontId="17" fillId="6" borderId="21" xfId="243" applyFill="1" applyBorder="1"/>
    <xf numFmtId="0" fontId="0" fillId="0" borderId="21" xfId="0" applyBorder="1"/>
    <xf numFmtId="166" fontId="173" fillId="0" borderId="21" xfId="0" applyNumberFormat="1" applyFont="1" applyBorder="1" applyAlignment="1">
      <alignment horizontal="left"/>
    </xf>
    <xf numFmtId="167" fontId="0" fillId="0" borderId="0" xfId="0" applyNumberFormat="1" applyAlignment="1">
      <alignment horizontal="center" vertical="top"/>
    </xf>
    <xf numFmtId="167" fontId="0" fillId="0" borderId="0" xfId="0" applyNumberFormat="1" applyAlignment="1">
      <alignment vertical="center"/>
    </xf>
    <xf numFmtId="0" fontId="176" fillId="6" borderId="22" xfId="0" applyFont="1" applyFill="1" applyBorder="1" applyAlignment="1">
      <alignment horizontal="center"/>
    </xf>
    <xf numFmtId="0" fontId="176" fillId="6" borderId="23" xfId="0" applyFont="1" applyFill="1" applyBorder="1" applyAlignment="1">
      <alignment horizontal="center"/>
    </xf>
    <xf numFmtId="0" fontId="0" fillId="0" borderId="10" xfId="0" applyBorder="1" applyAlignment="1"/>
    <xf numFmtId="0" fontId="176" fillId="0" borderId="5" xfId="0" applyFont="1" applyBorder="1" applyAlignment="1"/>
    <xf numFmtId="0" fontId="196" fillId="10" borderId="1" xfId="0" applyFont="1" applyFill="1" applyBorder="1" applyAlignment="1">
      <alignment horizontal="center"/>
    </xf>
    <xf numFmtId="0" fontId="1" fillId="6" borderId="21" xfId="243" applyFont="1" applyFill="1" applyBorder="1"/>
    <xf numFmtId="0" fontId="1" fillId="6" borderId="8" xfId="251" applyFont="1" applyFill="1" applyBorder="1"/>
    <xf numFmtId="0" fontId="176" fillId="0" borderId="21" xfId="0" applyFont="1" applyBorder="1"/>
    <xf numFmtId="49" fontId="196" fillId="10" borderId="1" xfId="0" applyNumberFormat="1" applyFont="1" applyFill="1" applyBorder="1" applyAlignment="1">
      <alignment horizontal="center"/>
    </xf>
    <xf numFmtId="166" fontId="196" fillId="10" borderId="1" xfId="0" applyNumberFormat="1" applyFont="1" applyFill="1" applyBorder="1" applyAlignment="1">
      <alignment horizontal="center"/>
    </xf>
    <xf numFmtId="0" fontId="176" fillId="0" borderId="8" xfId="0" applyFont="1" applyBorder="1" applyAlignment="1">
      <alignment horizontal="center"/>
    </xf>
    <xf numFmtId="0" fontId="176" fillId="0" borderId="12" xfId="0" applyFont="1" applyBorder="1" applyAlignment="1">
      <alignment horizontal="center"/>
    </xf>
    <xf numFmtId="0" fontId="0" fillId="0" borderId="7" xfId="0" applyBorder="1"/>
    <xf numFmtId="0" fontId="176" fillId="0" borderId="8" xfId="0" applyFont="1" applyFill="1" applyBorder="1" applyAlignment="1">
      <alignment horizontal="center"/>
    </xf>
    <xf numFmtId="0" fontId="189" fillId="6" borderId="8" xfId="0" applyFont="1" applyFill="1" applyBorder="1" applyAlignment="1" applyProtection="1">
      <alignment horizontal="center" vertical="center"/>
      <protection hidden="1"/>
    </xf>
    <xf numFmtId="0" fontId="211" fillId="10" borderId="22" xfId="0" applyFont="1" applyFill="1" applyBorder="1" applyAlignment="1">
      <alignment horizontal="center" vertical="center"/>
    </xf>
    <xf numFmtId="0" fontId="189" fillId="10" borderId="22" xfId="0" applyFont="1" applyFill="1" applyBorder="1" applyAlignment="1">
      <alignment horizontal="center" vertical="center"/>
    </xf>
    <xf numFmtId="0" fontId="189" fillId="6" borderId="8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89" fillId="10" borderId="24" xfId="0" applyFont="1" applyFill="1" applyBorder="1" applyAlignment="1">
      <alignment horizontal="center" vertical="center"/>
    </xf>
    <xf numFmtId="0" fontId="189" fillId="10" borderId="6" xfId="0" applyFont="1" applyFill="1" applyBorder="1" applyAlignment="1">
      <alignment horizontal="center" vertical="center"/>
    </xf>
    <xf numFmtId="0" fontId="189" fillId="6" borderId="8" xfId="0" applyFont="1" applyFill="1" applyBorder="1" applyAlignment="1" applyProtection="1">
      <alignment horizontal="center" vertical="center"/>
      <protection locked="0" hidden="1"/>
    </xf>
    <xf numFmtId="0" fontId="189" fillId="6" borderId="8" xfId="0" applyFont="1" applyFill="1" applyBorder="1" applyAlignment="1">
      <alignment horizontal="left" vertical="center"/>
    </xf>
    <xf numFmtId="0" fontId="212" fillId="6" borderId="8" xfId="0" applyFont="1" applyFill="1" applyBorder="1" applyAlignment="1">
      <alignment horizontal="center" vertical="center"/>
    </xf>
    <xf numFmtId="0" fontId="189" fillId="10" borderId="25" xfId="0" applyFont="1" applyFill="1" applyBorder="1" applyAlignment="1">
      <alignment horizontal="center" vertical="center"/>
    </xf>
    <xf numFmtId="0" fontId="189" fillId="6" borderId="8" xfId="0" applyFont="1" applyFill="1" applyBorder="1" applyAlignment="1" applyProtection="1">
      <alignment horizontal="center"/>
      <protection locked="0" hidden="1"/>
    </xf>
    <xf numFmtId="0" fontId="189" fillId="6" borderId="8" xfId="0" applyFont="1" applyFill="1" applyBorder="1" applyAlignment="1" applyProtection="1">
      <alignment horizontal="left" vertical="center"/>
      <protection hidden="1"/>
    </xf>
    <xf numFmtId="0" fontId="189" fillId="6" borderId="8" xfId="0" applyFont="1" applyFill="1" applyBorder="1" applyAlignment="1" applyProtection="1">
      <alignment horizontal="center"/>
      <protection hidden="1"/>
    </xf>
    <xf numFmtId="0" fontId="189" fillId="6" borderId="8" xfId="0" applyFont="1" applyFill="1" applyBorder="1" applyAlignment="1">
      <alignment horizontal="left"/>
    </xf>
    <xf numFmtId="0" fontId="212" fillId="6" borderId="8" xfId="0" applyFont="1" applyFill="1" applyBorder="1" applyAlignment="1">
      <alignment horizontal="center"/>
    </xf>
    <xf numFmtId="0" fontId="17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76" fillId="0" borderId="5" xfId="0" applyFont="1" applyBorder="1" applyAlignment="1">
      <alignment horizontal="left" wrapText="1"/>
    </xf>
    <xf numFmtId="0" fontId="176" fillId="0" borderId="10" xfId="0" applyFont="1" applyBorder="1" applyAlignment="1">
      <alignment horizontal="left" wrapText="1"/>
    </xf>
    <xf numFmtId="0" fontId="196" fillId="4" borderId="5" xfId="0" applyFont="1" applyFill="1" applyBorder="1" applyAlignment="1">
      <alignment horizontal="center" vertical="center"/>
    </xf>
    <xf numFmtId="0" fontId="196" fillId="4" borderId="10" xfId="0" applyFont="1" applyFill="1" applyBorder="1" applyAlignment="1">
      <alignment horizontal="center" vertical="center"/>
    </xf>
    <xf numFmtId="0" fontId="196" fillId="0" borderId="5" xfId="0" applyFont="1" applyBorder="1" applyAlignment="1">
      <alignment horizontal="center"/>
    </xf>
    <xf numFmtId="0" fontId="196" fillId="0" borderId="9" xfId="0" applyFont="1" applyBorder="1" applyAlignment="1">
      <alignment horizontal="center"/>
    </xf>
    <xf numFmtId="0" fontId="196" fillId="0" borderId="10" xfId="0" applyFont="1" applyBorder="1" applyAlignment="1">
      <alignment horizontal="center"/>
    </xf>
    <xf numFmtId="0" fontId="196" fillId="0" borderId="5" xfId="0" applyFont="1" applyBorder="1" applyAlignment="1">
      <alignment horizontal="center" vertical="center"/>
    </xf>
    <xf numFmtId="0" fontId="196" fillId="0" borderId="9" xfId="0" applyFont="1" applyBorder="1" applyAlignment="1">
      <alignment horizontal="center" vertical="center"/>
    </xf>
    <xf numFmtId="0" fontId="196" fillId="0" borderId="10" xfId="0" applyFont="1" applyBorder="1" applyAlignment="1">
      <alignment horizontal="center" vertical="center"/>
    </xf>
    <xf numFmtId="8" fontId="196" fillId="3" borderId="5" xfId="0" applyNumberFormat="1" applyFont="1" applyFill="1" applyBorder="1" applyAlignment="1">
      <alignment horizontal="center" vertical="center" textRotation="180"/>
    </xf>
    <xf numFmtId="8" fontId="196" fillId="3" borderId="2" xfId="0" applyNumberFormat="1" applyFont="1" applyFill="1" applyBorder="1" applyAlignment="1">
      <alignment horizontal="center" vertical="center" textRotation="180"/>
    </xf>
    <xf numFmtId="0" fontId="196" fillId="0" borderId="3" xfId="0" applyFont="1" applyBorder="1" applyAlignment="1">
      <alignment horizontal="center"/>
    </xf>
    <xf numFmtId="0" fontId="196" fillId="0" borderId="2" xfId="0" applyFont="1" applyBorder="1" applyAlignment="1">
      <alignment horizontal="center"/>
    </xf>
    <xf numFmtId="0" fontId="196" fillId="4" borderId="5" xfId="0" applyFont="1" applyFill="1" applyBorder="1" applyAlignment="1">
      <alignment horizontal="center"/>
    </xf>
    <xf numFmtId="0" fontId="196" fillId="4" borderId="2" xfId="0" applyFont="1" applyFill="1" applyBorder="1" applyAlignment="1">
      <alignment horizontal="center"/>
    </xf>
    <xf numFmtId="8" fontId="196" fillId="4" borderId="5" xfId="0" applyNumberFormat="1" applyFont="1" applyFill="1" applyBorder="1" applyAlignment="1">
      <alignment horizontal="center"/>
    </xf>
    <xf numFmtId="8" fontId="196" fillId="4" borderId="2" xfId="0" applyNumberFormat="1" applyFont="1" applyFill="1" applyBorder="1" applyAlignment="1">
      <alignment horizontal="center"/>
    </xf>
    <xf numFmtId="166" fontId="196" fillId="0" borderId="9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72" fillId="4" borderId="5" xfId="0" applyFont="1" applyFill="1" applyBorder="1" applyAlignment="1">
      <alignment horizontal="center"/>
    </xf>
    <xf numFmtId="0" fontId="172" fillId="4" borderId="2" xfId="0" applyFont="1" applyFill="1" applyBorder="1" applyAlignment="1">
      <alignment horizontal="center"/>
    </xf>
    <xf numFmtId="0" fontId="177" fillId="0" borderId="5" xfId="0" applyFont="1" applyBorder="1" applyAlignment="1">
      <alignment horizontal="center"/>
    </xf>
    <xf numFmtId="0" fontId="177" fillId="0" borderId="3" xfId="0" applyFont="1" applyBorder="1" applyAlignment="1">
      <alignment horizontal="center"/>
    </xf>
    <xf numFmtId="0" fontId="177" fillId="0" borderId="2" xfId="0" applyFont="1" applyBorder="1" applyAlignment="1">
      <alignment horizontal="center"/>
    </xf>
    <xf numFmtId="0" fontId="177" fillId="0" borderId="9" xfId="0" applyFont="1" applyBorder="1" applyAlignment="1">
      <alignment horizontal="center"/>
    </xf>
    <xf numFmtId="0" fontId="177" fillId="0" borderId="10" xfId="0" applyFont="1" applyBorder="1" applyAlignment="1">
      <alignment horizontal="center"/>
    </xf>
    <xf numFmtId="0" fontId="172" fillId="0" borderId="0" xfId="0" applyFont="1" applyAlignment="1">
      <alignment horizontal="center"/>
    </xf>
    <xf numFmtId="0" fontId="0" fillId="7" borderId="0" xfId="0" applyFill="1" applyAlignment="1">
      <alignment horizontal="center"/>
    </xf>
  </cellXfs>
  <cellStyles count="257">
    <cellStyle name="Milliers" xfId="158" builtinId="3"/>
    <cellStyle name="Normal" xfId="0" builtinId="0"/>
    <cellStyle name="Normal 10" xfId="54"/>
    <cellStyle name="Normal 100" xfId="144"/>
    <cellStyle name="Normal 101" xfId="145"/>
    <cellStyle name="Normal 102" xfId="146"/>
    <cellStyle name="Normal 103" xfId="147"/>
    <cellStyle name="Normal 104" xfId="148"/>
    <cellStyle name="Normal 105" xfId="149"/>
    <cellStyle name="Normal 106" xfId="150"/>
    <cellStyle name="Normal 107" xfId="151"/>
    <cellStyle name="Normal 108" xfId="152"/>
    <cellStyle name="Normal 109" xfId="153"/>
    <cellStyle name="Normal 11" xfId="55"/>
    <cellStyle name="Normal 110" xfId="155"/>
    <cellStyle name="Normal 111" xfId="154"/>
    <cellStyle name="Normal 112" xfId="156"/>
    <cellStyle name="Normal 113" xfId="157"/>
    <cellStyle name="Normal 114" xfId="159"/>
    <cellStyle name="Normal 115" xfId="160"/>
    <cellStyle name="Normal 116" xfId="161"/>
    <cellStyle name="Normal 117" xfId="163"/>
    <cellStyle name="Normal 118" xfId="162"/>
    <cellStyle name="Normal 119" xfId="164"/>
    <cellStyle name="Normal 12" xfId="56"/>
    <cellStyle name="Normal 120" xfId="165"/>
    <cellStyle name="Normal 121" xfId="166"/>
    <cellStyle name="Normal 122" xfId="167"/>
    <cellStyle name="Normal 123" xfId="168"/>
    <cellStyle name="Normal 124" xfId="169"/>
    <cellStyle name="Normal 125" xfId="170"/>
    <cellStyle name="Normal 126" xfId="171"/>
    <cellStyle name="Normal 127" xfId="172"/>
    <cellStyle name="Normal 128" xfId="173"/>
    <cellStyle name="Normal 129" xfId="174"/>
    <cellStyle name="Normal 13" xfId="57"/>
    <cellStyle name="Normal 130" xfId="176"/>
    <cellStyle name="Normal 131" xfId="175"/>
    <cellStyle name="Normal 132" xfId="177"/>
    <cellStyle name="Normal 133" xfId="178"/>
    <cellStyle name="Normal 134" xfId="179"/>
    <cellStyle name="Normal 135" xfId="180"/>
    <cellStyle name="Normal 136" xfId="181"/>
    <cellStyle name="Normal 137" xfId="182"/>
    <cellStyle name="Normal 138" xfId="183"/>
    <cellStyle name="Normal 139" xfId="184"/>
    <cellStyle name="Normal 14" xfId="59"/>
    <cellStyle name="Normal 140" xfId="185"/>
    <cellStyle name="Normal 141" xfId="186"/>
    <cellStyle name="Normal 142" xfId="187"/>
    <cellStyle name="Normal 143" xfId="188"/>
    <cellStyle name="Normal 144" xfId="189"/>
    <cellStyle name="Normal 145" xfId="190"/>
    <cellStyle name="Normal 146" xfId="191"/>
    <cellStyle name="Normal 147" xfId="193"/>
    <cellStyle name="Normal 148" xfId="192"/>
    <cellStyle name="Normal 149" xfId="194"/>
    <cellStyle name="Normal 15" xfId="58"/>
    <cellStyle name="Normal 150" xfId="195"/>
    <cellStyle name="Normal 151" xfId="196"/>
    <cellStyle name="Normal 152" xfId="197"/>
    <cellStyle name="Normal 153" xfId="199"/>
    <cellStyle name="Normal 154" xfId="198"/>
    <cellStyle name="Normal 155" xfId="200"/>
    <cellStyle name="Normal 156" xfId="201"/>
    <cellStyle name="Normal 157" xfId="202"/>
    <cellStyle name="Normal 158" xfId="203"/>
    <cellStyle name="Normal 159" xfId="204"/>
    <cellStyle name="Normal 16" xfId="60"/>
    <cellStyle name="Normal 160" xfId="205"/>
    <cellStyle name="Normal 161" xfId="206"/>
    <cellStyle name="Normal 162" xfId="207"/>
    <cellStyle name="Normal 163" xfId="208"/>
    <cellStyle name="Normal 164" xfId="1"/>
    <cellStyle name="Normal 165" xfId="2"/>
    <cellStyle name="Normal 166" xfId="209"/>
    <cellStyle name="Normal 167" xfId="210"/>
    <cellStyle name="Normal 168" xfId="211"/>
    <cellStyle name="Normal 169" xfId="212"/>
    <cellStyle name="Normal 17" xfId="62"/>
    <cellStyle name="Normal 170" xfId="3"/>
    <cellStyle name="Normal 171" xfId="213"/>
    <cellStyle name="Normal 172" xfId="4"/>
    <cellStyle name="Normal 173" xfId="5"/>
    <cellStyle name="Normal 174" xfId="214"/>
    <cellStyle name="Normal 175" xfId="6"/>
    <cellStyle name="Normal 176" xfId="215"/>
    <cellStyle name="Normal 177" xfId="7"/>
    <cellStyle name="Normal 178" xfId="216"/>
    <cellStyle name="Normal 179" xfId="8"/>
    <cellStyle name="Normal 18" xfId="61"/>
    <cellStyle name="Normal 180" xfId="9"/>
    <cellStyle name="Normal 181" xfId="10"/>
    <cellStyle name="Normal 182" xfId="11"/>
    <cellStyle name="Normal 183" xfId="217"/>
    <cellStyle name="Normal 184" xfId="12"/>
    <cellStyle name="Normal 185" xfId="13"/>
    <cellStyle name="Normal 186" xfId="14"/>
    <cellStyle name="Normal 187" xfId="15"/>
    <cellStyle name="Normal 188" xfId="218"/>
    <cellStyle name="Normal 189" xfId="219"/>
    <cellStyle name="Normal 19" xfId="63"/>
    <cellStyle name="Normal 190" xfId="16"/>
    <cellStyle name="Normal 191" xfId="220"/>
    <cellStyle name="Normal 192" xfId="17"/>
    <cellStyle name="Normal 193" xfId="221"/>
    <cellStyle name="Normal 194" xfId="18"/>
    <cellStyle name="Normal 195" xfId="222"/>
    <cellStyle name="Normal 196" xfId="19"/>
    <cellStyle name="Normal 197" xfId="20"/>
    <cellStyle name="Normal 198" xfId="21"/>
    <cellStyle name="Normal 199" xfId="22"/>
    <cellStyle name="Normal 2" xfId="48"/>
    <cellStyle name="Normal 20" xfId="64"/>
    <cellStyle name="Normal 200" xfId="23"/>
    <cellStyle name="Normal 201" xfId="24"/>
    <cellStyle name="Normal 202" xfId="25"/>
    <cellStyle name="Normal 203" xfId="26"/>
    <cellStyle name="Normal 204" xfId="27"/>
    <cellStyle name="Normal 205" xfId="223"/>
    <cellStyle name="Normal 206" xfId="28"/>
    <cellStyle name="Normal 207" xfId="29"/>
    <cellStyle name="Normal 208" xfId="30"/>
    <cellStyle name="Normal 209" xfId="31"/>
    <cellStyle name="Normal 21" xfId="65"/>
    <cellStyle name="Normal 210" xfId="32"/>
    <cellStyle name="Normal 211" xfId="33"/>
    <cellStyle name="Normal 212" xfId="34"/>
    <cellStyle name="Normal 213" xfId="35"/>
    <cellStyle name="Normal 214" xfId="36"/>
    <cellStyle name="Normal 215" xfId="37"/>
    <cellStyle name="Normal 216" xfId="38"/>
    <cellStyle name="Normal 217" xfId="39"/>
    <cellStyle name="Normal 218" xfId="40"/>
    <cellStyle name="Normal 219" xfId="224"/>
    <cellStyle name="Normal 22" xfId="66"/>
    <cellStyle name="Normal 220" xfId="225"/>
    <cellStyle name="Normal 221" xfId="41"/>
    <cellStyle name="Normal 222" xfId="42"/>
    <cellStyle name="Normal 223" xfId="43"/>
    <cellStyle name="Normal 224" xfId="44"/>
    <cellStyle name="Normal 225" xfId="45"/>
    <cellStyle name="Normal 226" xfId="226"/>
    <cellStyle name="Normal 227" xfId="227"/>
    <cellStyle name="Normal 228" xfId="228"/>
    <cellStyle name="Normal 229" xfId="229"/>
    <cellStyle name="Normal 23" xfId="68"/>
    <cellStyle name="Normal 230" xfId="230"/>
    <cellStyle name="Normal 231" xfId="231"/>
    <cellStyle name="Normal 232" xfId="232"/>
    <cellStyle name="Normal 233" xfId="233"/>
    <cellStyle name="Normal 234" xfId="234"/>
    <cellStyle name="Normal 235" xfId="235"/>
    <cellStyle name="Normal 236" xfId="236"/>
    <cellStyle name="Normal 237" xfId="237"/>
    <cellStyle name="Normal 238" xfId="238"/>
    <cellStyle name="Normal 239" xfId="239"/>
    <cellStyle name="Normal 24" xfId="67"/>
    <cellStyle name="Normal 240" xfId="240"/>
    <cellStyle name="Normal 241" xfId="241"/>
    <cellStyle name="Normal 242" xfId="242"/>
    <cellStyle name="Normal 243" xfId="243"/>
    <cellStyle name="Normal 244" xfId="244"/>
    <cellStyle name="Normal 245" xfId="245"/>
    <cellStyle name="Normal 246" xfId="246"/>
    <cellStyle name="Normal 247" xfId="247"/>
    <cellStyle name="Normal 248" xfId="248"/>
    <cellStyle name="Normal 249" xfId="249"/>
    <cellStyle name="Normal 25" xfId="69"/>
    <cellStyle name="Normal 250" xfId="250"/>
    <cellStyle name="Normal 251" xfId="251"/>
    <cellStyle name="Normal 252" xfId="252"/>
    <cellStyle name="Normal 253" xfId="253"/>
    <cellStyle name="Normal 254" xfId="254"/>
    <cellStyle name="Normal 255" xfId="255"/>
    <cellStyle name="Normal 256" xfId="256"/>
    <cellStyle name="Normal 26" xfId="70"/>
    <cellStyle name="Normal 27" xfId="71"/>
    <cellStyle name="Normal 28" xfId="72"/>
    <cellStyle name="Normal 29" xfId="73"/>
    <cellStyle name="Normal 3" xfId="46"/>
    <cellStyle name="Normal 30" xfId="74"/>
    <cellStyle name="Normal 31" xfId="75"/>
    <cellStyle name="Normal 32" xfId="76"/>
    <cellStyle name="Normal 33" xfId="77"/>
    <cellStyle name="Normal 34" xfId="78"/>
    <cellStyle name="Normal 35" xfId="79"/>
    <cellStyle name="Normal 36" xfId="80"/>
    <cellStyle name="Normal 37" xfId="81"/>
    <cellStyle name="Normal 38" xfId="82"/>
    <cellStyle name="Normal 39" xfId="83"/>
    <cellStyle name="Normal 4" xfId="47"/>
    <cellStyle name="Normal 40" xfId="84"/>
    <cellStyle name="Normal 41" xfId="85"/>
    <cellStyle name="Normal 42" xfId="86"/>
    <cellStyle name="Normal 43" xfId="87"/>
    <cellStyle name="Normal 44" xfId="88"/>
    <cellStyle name="Normal 45" xfId="89"/>
    <cellStyle name="Normal 46" xfId="90"/>
    <cellStyle name="Normal 47" xfId="91"/>
    <cellStyle name="Normal 48" xfId="92"/>
    <cellStyle name="Normal 49" xfId="93"/>
    <cellStyle name="Normal 5" xfId="49"/>
    <cellStyle name="Normal 50" xfId="94"/>
    <cellStyle name="Normal 51" xfId="95"/>
    <cellStyle name="Normal 52" xfId="96"/>
    <cellStyle name="Normal 53" xfId="97"/>
    <cellStyle name="Normal 54" xfId="98"/>
    <cellStyle name="Normal 55" xfId="99"/>
    <cellStyle name="Normal 56" xfId="100"/>
    <cellStyle name="Normal 57" xfId="101"/>
    <cellStyle name="Normal 58" xfId="102"/>
    <cellStyle name="Normal 59" xfId="103"/>
    <cellStyle name="Normal 6" xfId="50"/>
    <cellStyle name="Normal 60" xfId="104"/>
    <cellStyle name="Normal 61" xfId="105"/>
    <cellStyle name="Normal 62" xfId="106"/>
    <cellStyle name="Normal 63" xfId="110"/>
    <cellStyle name="Normal 64" xfId="107"/>
    <cellStyle name="Normal 65" xfId="108"/>
    <cellStyle name="Normal 66" xfId="109"/>
    <cellStyle name="Normal 67" xfId="111"/>
    <cellStyle name="Normal 68" xfId="112"/>
    <cellStyle name="Normal 69" xfId="113"/>
    <cellStyle name="Normal 7" xfId="51"/>
    <cellStyle name="Normal 70" xfId="114"/>
    <cellStyle name="Normal 71" xfId="115"/>
    <cellStyle name="Normal 72" xfId="116"/>
    <cellStyle name="Normal 73" xfId="118"/>
    <cellStyle name="Normal 74" xfId="117"/>
    <cellStyle name="Normal 75" xfId="119"/>
    <cellStyle name="Normal 76" xfId="120"/>
    <cellStyle name="Normal 77" xfId="121"/>
    <cellStyle name="Normal 78" xfId="122"/>
    <cellStyle name="Normal 79" xfId="123"/>
    <cellStyle name="Normal 8" xfId="52"/>
    <cellStyle name="Normal 80" xfId="124"/>
    <cellStyle name="Normal 81" xfId="125"/>
    <cellStyle name="Normal 82" xfId="126"/>
    <cellStyle name="Normal 83" xfId="127"/>
    <cellStyle name="Normal 84" xfId="128"/>
    <cellStyle name="Normal 85" xfId="129"/>
    <cellStyle name="Normal 86" xfId="130"/>
    <cellStyle name="Normal 87" xfId="131"/>
    <cellStyle name="Normal 88" xfId="132"/>
    <cellStyle name="Normal 89" xfId="133"/>
    <cellStyle name="Normal 9" xfId="53"/>
    <cellStyle name="Normal 90" xfId="134"/>
    <cellStyle name="Normal 91" xfId="135"/>
    <cellStyle name="Normal 92" xfId="136"/>
    <cellStyle name="Normal 93" xfId="137"/>
    <cellStyle name="Normal 94" xfId="138"/>
    <cellStyle name="Normal 95" xfId="139"/>
    <cellStyle name="Normal 96" xfId="140"/>
    <cellStyle name="Normal 97" xfId="141"/>
    <cellStyle name="Normal 98" xfId="142"/>
    <cellStyle name="Normal 99" xfId="14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3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7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6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5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teliers/Productions%20Ateliers/arm%20&amp;%20pap/Monobloc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teliers/Productions%20Ateliers/verandas/Stock%20Veranda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Ateliers/Productions%20Ateliers/abris%20de%20terrasses/Abris%20de%20Terrass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Ateliers/Productions%20Ateliers/arm%20&amp;%20pap/Loggia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Ateliers/Productions%20Ateliers/arm%20&amp;%20pap/Ind&#233;pendant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Ateliers/Productions%20Ateliers/arm%20&amp;%20pap/Bras%20simples%20et%20coffres%20110%20105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Ateliers/Productions%20Ateliers/arm%20&amp;%20pap/Auvent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Ateliers/Productions%20Ateliers/corbeilles%20&amp;%20screens%20&amp;%20st%20de%20fenetres/corbeilles%20hal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100"/>
      <sheetName val="M300A"/>
      <sheetName val="M505"/>
      <sheetName val="M510"/>
      <sheetName val="M520"/>
      <sheetName val="M530"/>
      <sheetName val="M560"/>
      <sheetName val="M600"/>
      <sheetName val="600EX"/>
      <sheetName val="M640EX"/>
      <sheetName val="M1440"/>
      <sheetName val="M1450"/>
      <sheetName val="M1710"/>
      <sheetName val="M5000"/>
      <sheetName val="PU43"/>
      <sheetName val="cummul"/>
      <sheetName val="Feuil1"/>
    </sheetNames>
    <sheetDataSet>
      <sheetData sheetId="0">
        <row r="5">
          <cell r="Z5">
            <v>6</v>
          </cell>
        </row>
        <row r="8">
          <cell r="Z8">
            <v>2</v>
          </cell>
        </row>
        <row r="9">
          <cell r="Z9">
            <v>0</v>
          </cell>
        </row>
        <row r="38">
          <cell r="Z38">
            <v>0</v>
          </cell>
        </row>
        <row r="41">
          <cell r="Z41">
            <v>0</v>
          </cell>
        </row>
        <row r="42">
          <cell r="Z42">
            <v>0</v>
          </cell>
        </row>
      </sheetData>
      <sheetData sheetId="1">
        <row r="5">
          <cell r="Z5">
            <v>0</v>
          </cell>
        </row>
        <row r="8">
          <cell r="Z8">
            <v>1</v>
          </cell>
        </row>
        <row r="9">
          <cell r="Z9">
            <v>0</v>
          </cell>
        </row>
      </sheetData>
      <sheetData sheetId="2">
        <row r="5">
          <cell r="Z5">
            <v>4</v>
          </cell>
        </row>
        <row r="8">
          <cell r="Z8">
            <v>5</v>
          </cell>
        </row>
        <row r="9">
          <cell r="Z9">
            <v>0</v>
          </cell>
        </row>
      </sheetData>
      <sheetData sheetId="3">
        <row r="5">
          <cell r="X5">
            <v>0</v>
          </cell>
        </row>
        <row r="8">
          <cell r="X8">
            <v>0</v>
          </cell>
        </row>
        <row r="9">
          <cell r="X9">
            <v>0</v>
          </cell>
        </row>
      </sheetData>
      <sheetData sheetId="4"/>
      <sheetData sheetId="5"/>
      <sheetData sheetId="6">
        <row r="5">
          <cell r="O5">
            <v>2</v>
          </cell>
        </row>
        <row r="26">
          <cell r="K26">
            <v>3</v>
          </cell>
        </row>
      </sheetData>
      <sheetData sheetId="7">
        <row r="4">
          <cell r="Q4">
            <v>1</v>
          </cell>
        </row>
        <row r="7">
          <cell r="Q7">
            <v>0</v>
          </cell>
        </row>
        <row r="8">
          <cell r="Q8">
            <v>0</v>
          </cell>
        </row>
      </sheetData>
      <sheetData sheetId="8">
        <row r="22">
          <cell r="O22">
            <v>1</v>
          </cell>
        </row>
        <row r="23">
          <cell r="G23">
            <v>22</v>
          </cell>
        </row>
        <row r="24">
          <cell r="O24">
            <v>1</v>
          </cell>
        </row>
        <row r="34">
          <cell r="C34">
            <v>5</v>
          </cell>
          <cell r="D34">
            <v>13</v>
          </cell>
        </row>
      </sheetData>
      <sheetData sheetId="9">
        <row r="22">
          <cell r="O22">
            <v>0</v>
          </cell>
        </row>
        <row r="23">
          <cell r="G23">
            <v>6</v>
          </cell>
        </row>
        <row r="24">
          <cell r="O24">
            <v>0</v>
          </cell>
        </row>
        <row r="34">
          <cell r="C34">
            <v>1</v>
          </cell>
          <cell r="D34">
            <v>6</v>
          </cell>
        </row>
      </sheetData>
      <sheetData sheetId="10">
        <row r="26">
          <cell r="K26">
            <v>2</v>
          </cell>
        </row>
      </sheetData>
      <sheetData sheetId="11">
        <row r="26">
          <cell r="J26">
            <v>0</v>
          </cell>
        </row>
      </sheetData>
      <sheetData sheetId="12">
        <row r="22">
          <cell r="K22">
            <v>0</v>
          </cell>
        </row>
      </sheetData>
      <sheetData sheetId="13">
        <row r="16">
          <cell r="E16">
            <v>1</v>
          </cell>
          <cell r="K16">
            <v>0</v>
          </cell>
        </row>
      </sheetData>
      <sheetData sheetId="14">
        <row r="3">
          <cell r="A3">
            <v>1</v>
          </cell>
        </row>
        <row r="7">
          <cell r="A7">
            <v>1</v>
          </cell>
        </row>
      </sheetData>
      <sheetData sheetId="15">
        <row r="2">
          <cell r="B2">
            <v>13</v>
          </cell>
        </row>
        <row r="3">
          <cell r="B3">
            <v>6</v>
          </cell>
          <cell r="D3">
            <v>0</v>
          </cell>
          <cell r="E3">
            <v>7</v>
          </cell>
          <cell r="F3">
            <v>1</v>
          </cell>
          <cell r="G3">
            <v>10</v>
          </cell>
          <cell r="H3">
            <v>1</v>
          </cell>
          <cell r="I3">
            <v>7</v>
          </cell>
          <cell r="J3">
            <v>2</v>
          </cell>
          <cell r="K3">
            <v>7</v>
          </cell>
          <cell r="L3">
            <v>3</v>
          </cell>
        </row>
        <row r="4">
          <cell r="L4">
            <v>38</v>
          </cell>
        </row>
        <row r="5">
          <cell r="B5">
            <v>6</v>
          </cell>
        </row>
        <row r="6">
          <cell r="B6">
            <v>3</v>
          </cell>
        </row>
        <row r="7">
          <cell r="B7">
            <v>51</v>
          </cell>
          <cell r="C7">
            <v>38</v>
          </cell>
          <cell r="O7">
            <v>36</v>
          </cell>
        </row>
        <row r="8">
          <cell r="D8">
            <v>0</v>
          </cell>
          <cell r="E8">
            <v>2</v>
          </cell>
          <cell r="F8">
            <v>0</v>
          </cell>
          <cell r="G8">
            <v>2</v>
          </cell>
          <cell r="H8">
            <v>0</v>
          </cell>
          <cell r="I8">
            <v>2</v>
          </cell>
          <cell r="J8">
            <v>0</v>
          </cell>
          <cell r="K8">
            <v>6</v>
          </cell>
          <cell r="L8">
            <v>6</v>
          </cell>
          <cell r="O8">
            <v>1</v>
          </cell>
        </row>
        <row r="9">
          <cell r="L9">
            <v>18</v>
          </cell>
        </row>
        <row r="12">
          <cell r="B12">
            <v>16</v>
          </cell>
        </row>
        <row r="14">
          <cell r="H14">
            <v>7</v>
          </cell>
        </row>
        <row r="17">
          <cell r="B17">
            <v>13</v>
          </cell>
        </row>
        <row r="18">
          <cell r="B18">
            <v>13</v>
          </cell>
        </row>
        <row r="19">
          <cell r="B19">
            <v>17</v>
          </cell>
          <cell r="H19">
            <v>4</v>
          </cell>
        </row>
        <row r="20">
          <cell r="B20">
            <v>2</v>
          </cell>
        </row>
        <row r="23">
          <cell r="B23">
            <v>18</v>
          </cell>
        </row>
        <row r="24">
          <cell r="B24">
            <v>0</v>
          </cell>
        </row>
        <row r="25">
          <cell r="B25">
            <v>4</v>
          </cell>
        </row>
        <row r="27">
          <cell r="B27">
            <v>13</v>
          </cell>
        </row>
      </sheetData>
      <sheetData sheetId="1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9010"/>
      <sheetName val="8019"/>
      <sheetName val="BRAS"/>
      <sheetName val="VERANDA"/>
      <sheetName val="V L"/>
      <sheetName val="V XL"/>
      <sheetName val="V L XL"/>
      <sheetName val="V A BRAS"/>
      <sheetName val="CUMMUL 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1">
          <cell r="J11">
            <v>2</v>
          </cell>
        </row>
        <row r="14">
          <cell r="B14">
            <v>38</v>
          </cell>
        </row>
        <row r="16">
          <cell r="B16">
            <v>0</v>
          </cell>
        </row>
        <row r="17">
          <cell r="B17">
            <v>88</v>
          </cell>
        </row>
        <row r="18">
          <cell r="B18">
            <v>33</v>
          </cell>
        </row>
        <row r="21">
          <cell r="B21">
            <v>38</v>
          </cell>
        </row>
        <row r="22">
          <cell r="B22">
            <v>121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érie40"/>
      <sheetName val="série80"/>
      <sheetName val="série240"/>
      <sheetName val="série265"/>
      <sheetName val="265 SOLAIRE"/>
      <sheetName val="Feuil1"/>
      <sheetName val="Feuil2"/>
    </sheetNames>
    <sheetDataSet>
      <sheetData sheetId="0">
        <row r="5">
          <cell r="H5">
            <v>1</v>
          </cell>
        </row>
        <row r="20">
          <cell r="F20">
            <v>3</v>
          </cell>
        </row>
      </sheetData>
      <sheetData sheetId="1">
        <row r="6">
          <cell r="L6">
            <v>1</v>
          </cell>
        </row>
        <row r="23">
          <cell r="J23">
            <v>6</v>
          </cell>
        </row>
        <row r="27">
          <cell r="C27">
            <v>0</v>
          </cell>
        </row>
        <row r="28">
          <cell r="C28">
            <v>0</v>
          </cell>
        </row>
      </sheetData>
      <sheetData sheetId="2">
        <row r="7">
          <cell r="H7">
            <v>9</v>
          </cell>
        </row>
        <row r="9">
          <cell r="S9">
            <v>1</v>
          </cell>
        </row>
        <row r="23">
          <cell r="H23">
            <v>86</v>
          </cell>
        </row>
      </sheetData>
      <sheetData sheetId="3">
        <row r="6">
          <cell r="L6">
            <v>87</v>
          </cell>
        </row>
        <row r="7">
          <cell r="J7">
            <v>66</v>
          </cell>
        </row>
        <row r="14">
          <cell r="J14">
            <v>104</v>
          </cell>
        </row>
        <row r="21">
          <cell r="J21">
            <v>7</v>
          </cell>
        </row>
        <row r="23">
          <cell r="J23">
            <v>177</v>
          </cell>
        </row>
        <row r="27">
          <cell r="C27">
            <v>12</v>
          </cell>
        </row>
        <row r="28">
          <cell r="C28">
            <v>8</v>
          </cell>
        </row>
      </sheetData>
      <sheetData sheetId="4">
        <row r="7">
          <cell r="H7">
            <v>6</v>
          </cell>
        </row>
        <row r="12">
          <cell r="C12">
            <v>2</v>
          </cell>
        </row>
        <row r="13">
          <cell r="C13">
            <v>0</v>
          </cell>
        </row>
      </sheetData>
      <sheetData sheetId="5">
        <row r="1">
          <cell r="B1">
            <v>76</v>
          </cell>
          <cell r="N1">
            <v>49</v>
          </cell>
        </row>
        <row r="2">
          <cell r="B2">
            <v>80</v>
          </cell>
          <cell r="N2">
            <v>84</v>
          </cell>
        </row>
        <row r="3">
          <cell r="B3">
            <v>104</v>
          </cell>
          <cell r="N3">
            <v>50</v>
          </cell>
        </row>
        <row r="5">
          <cell r="C5">
            <v>88</v>
          </cell>
        </row>
        <row r="7">
          <cell r="N7">
            <v>15</v>
          </cell>
        </row>
        <row r="8">
          <cell r="N8">
            <v>57</v>
          </cell>
        </row>
        <row r="9">
          <cell r="D9">
            <v>10</v>
          </cell>
          <cell r="E9">
            <v>104</v>
          </cell>
          <cell r="F9">
            <v>36</v>
          </cell>
          <cell r="G9">
            <v>208</v>
          </cell>
          <cell r="I9">
            <v>140</v>
          </cell>
          <cell r="J9">
            <v>4</v>
          </cell>
          <cell r="K9">
            <v>110</v>
          </cell>
          <cell r="N9">
            <v>55</v>
          </cell>
        </row>
        <row r="14">
          <cell r="D14">
            <v>10</v>
          </cell>
          <cell r="F14">
            <v>36</v>
          </cell>
          <cell r="G14">
            <v>208</v>
          </cell>
          <cell r="H14">
            <v>10</v>
          </cell>
          <cell r="I14">
            <v>140</v>
          </cell>
          <cell r="J14">
            <v>4</v>
          </cell>
          <cell r="K14">
            <v>110</v>
          </cell>
        </row>
        <row r="17">
          <cell r="B17">
            <v>2</v>
          </cell>
          <cell r="E17">
            <v>3</v>
          </cell>
        </row>
        <row r="18">
          <cell r="B18">
            <v>0</v>
          </cell>
          <cell r="E18">
            <v>6</v>
          </cell>
        </row>
        <row r="19">
          <cell r="B19">
            <v>23</v>
          </cell>
        </row>
      </sheetData>
      <sheetData sheetId="6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L100"/>
      <sheetName val="L112"/>
      <sheetName val="L300A"/>
      <sheetName val="L505"/>
      <sheetName val="L510"/>
      <sheetName val="L520"/>
      <sheetName val="L1710"/>
      <sheetName val="CUMMUL"/>
    </sheetNames>
    <sheetDataSet>
      <sheetData sheetId="0">
        <row r="16">
          <cell r="J16">
            <v>0</v>
          </cell>
        </row>
        <row r="17">
          <cell r="J17">
            <v>3</v>
          </cell>
        </row>
      </sheetData>
      <sheetData sheetId="1"/>
      <sheetData sheetId="2">
        <row r="17">
          <cell r="K17">
            <v>1</v>
          </cell>
        </row>
      </sheetData>
      <sheetData sheetId="3">
        <row r="17">
          <cell r="J17">
            <v>0</v>
          </cell>
        </row>
      </sheetData>
      <sheetData sheetId="4">
        <row r="17">
          <cell r="J17">
            <v>0</v>
          </cell>
        </row>
      </sheetData>
      <sheetData sheetId="5">
        <row r="6">
          <cell r="K6">
            <v>0</v>
          </cell>
        </row>
      </sheetData>
      <sheetData sheetId="6">
        <row r="17">
          <cell r="J17">
            <v>0</v>
          </cell>
        </row>
      </sheetData>
      <sheetData sheetId="7">
        <row r="2">
          <cell r="B2">
            <v>0</v>
          </cell>
          <cell r="D2">
            <v>0</v>
          </cell>
          <cell r="E2">
            <v>1</v>
          </cell>
          <cell r="F2">
            <v>0</v>
          </cell>
          <cell r="G2">
            <v>1</v>
          </cell>
          <cell r="H2">
            <v>0</v>
          </cell>
          <cell r="I2">
            <v>2</v>
          </cell>
          <cell r="J2">
            <v>0</v>
          </cell>
          <cell r="K2">
            <v>0</v>
          </cell>
        </row>
        <row r="3">
          <cell r="B3">
            <v>3</v>
          </cell>
        </row>
        <row r="4">
          <cell r="B4">
            <v>4</v>
          </cell>
          <cell r="C4">
            <v>1</v>
          </cell>
        </row>
        <row r="6">
          <cell r="B6">
            <v>4</v>
          </cell>
        </row>
        <row r="8">
          <cell r="B8">
            <v>2</v>
          </cell>
        </row>
        <row r="9">
          <cell r="B9">
            <v>2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IND100P"/>
      <sheetName val="IND100F"/>
      <sheetName val="IND600"/>
      <sheetName val="cummul"/>
    </sheetNames>
    <sheetDataSet>
      <sheetData sheetId="0">
        <row r="26">
          <cell r="K26">
            <v>0</v>
          </cell>
          <cell r="V26">
            <v>0</v>
          </cell>
        </row>
      </sheetData>
      <sheetData sheetId="1">
        <row r="26">
          <cell r="K26">
            <v>0</v>
          </cell>
          <cell r="V26">
            <v>0</v>
          </cell>
        </row>
      </sheetData>
      <sheetData sheetId="2">
        <row r="4">
          <cell r="Q4">
            <v>0</v>
          </cell>
        </row>
        <row r="5">
          <cell r="Q5">
            <v>0</v>
          </cell>
        </row>
        <row r="6">
          <cell r="Q6">
            <v>0</v>
          </cell>
        </row>
        <row r="7">
          <cell r="Q7">
            <v>0</v>
          </cell>
        </row>
        <row r="8">
          <cell r="Q8">
            <v>0</v>
          </cell>
        </row>
        <row r="9">
          <cell r="Q9">
            <v>0</v>
          </cell>
        </row>
      </sheetData>
      <sheetData sheetId="3">
        <row r="2">
          <cell r="B2">
            <v>0</v>
          </cell>
        </row>
        <row r="3">
          <cell r="B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</row>
        <row r="4">
          <cell r="B4">
            <v>0</v>
          </cell>
          <cell r="L4">
            <v>0</v>
          </cell>
        </row>
        <row r="5">
          <cell r="B5">
            <v>0</v>
          </cell>
        </row>
        <row r="6">
          <cell r="C6">
            <v>0</v>
          </cell>
        </row>
        <row r="7">
          <cell r="B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</row>
        <row r="8">
          <cell r="L8">
            <v>0</v>
          </cell>
        </row>
        <row r="10">
          <cell r="B10">
            <v>0</v>
          </cell>
        </row>
        <row r="12">
          <cell r="B12">
            <v>0</v>
          </cell>
        </row>
        <row r="13">
          <cell r="B13">
            <v>0</v>
          </cell>
        </row>
        <row r="14">
          <cell r="B14">
            <v>0</v>
          </cell>
        </row>
        <row r="21">
          <cell r="B21">
            <v>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STguides"/>
      <sheetName val="STbrassimple"/>
      <sheetName val="Coffre110"/>
      <sheetName val="Coffre105"/>
      <sheetName val="CUMMUL"/>
    </sheetNames>
    <sheetDataSet>
      <sheetData sheetId="0">
        <row r="11">
          <cell r="Y11">
            <v>159</v>
          </cell>
        </row>
        <row r="12">
          <cell r="Y12">
            <v>159</v>
          </cell>
        </row>
        <row r="14">
          <cell r="U14">
            <v>2</v>
          </cell>
          <cell r="V14">
            <v>20</v>
          </cell>
        </row>
        <row r="29">
          <cell r="E29">
            <v>102</v>
          </cell>
          <cell r="J29">
            <v>29</v>
          </cell>
          <cell r="O29">
            <v>4</v>
          </cell>
          <cell r="P29">
            <v>119</v>
          </cell>
          <cell r="U29">
            <v>3</v>
          </cell>
          <cell r="V29">
            <v>40</v>
          </cell>
        </row>
      </sheetData>
      <sheetData sheetId="1">
        <row r="4">
          <cell r="K4">
            <v>0</v>
          </cell>
        </row>
        <row r="5">
          <cell r="K5">
            <v>0</v>
          </cell>
        </row>
        <row r="22">
          <cell r="H22">
            <v>0</v>
          </cell>
        </row>
      </sheetData>
      <sheetData sheetId="2"/>
      <sheetData sheetId="3">
        <row r="7">
          <cell r="K7">
            <v>0</v>
          </cell>
        </row>
        <row r="21">
          <cell r="H21">
            <v>0</v>
          </cell>
        </row>
      </sheetData>
      <sheetData sheetId="4">
        <row r="2">
          <cell r="B2">
            <v>2</v>
          </cell>
        </row>
        <row r="3">
          <cell r="B3">
            <v>217</v>
          </cell>
        </row>
        <row r="6">
          <cell r="C6">
            <v>73</v>
          </cell>
        </row>
        <row r="11">
          <cell r="B11">
            <v>580</v>
          </cell>
        </row>
        <row r="14">
          <cell r="B14">
            <v>202</v>
          </cell>
        </row>
        <row r="15">
          <cell r="B15">
            <v>71</v>
          </cell>
        </row>
        <row r="16">
          <cell r="B16">
            <v>17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E1">
            <v>103</v>
          </cell>
        </row>
        <row r="11">
          <cell r="B11">
            <v>11</v>
          </cell>
        </row>
      </sheetData>
      <sheetData sheetId="1"/>
      <sheetData sheetId="2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corbeille 35nat"/>
      <sheetName val="corbeille 45 nat"/>
      <sheetName val="corbeille 55 nat"/>
      <sheetName val="corbeille 35 blanc"/>
      <sheetName val="corbeille 45 blanc"/>
      <sheetName val="corbeille 55 blanc"/>
      <sheetName val="hall-CAN 55 NAT"/>
      <sheetName val="CANAD BLANC"/>
      <sheetName val="CUMMUL"/>
    </sheetNames>
    <sheetDataSet>
      <sheetData sheetId="0">
        <row r="41">
          <cell r="K41">
            <v>2</v>
          </cell>
          <cell r="W41">
            <v>0</v>
          </cell>
        </row>
        <row r="44">
          <cell r="B44">
            <v>1</v>
          </cell>
          <cell r="F44">
            <v>0</v>
          </cell>
          <cell r="J44">
            <v>2</v>
          </cell>
        </row>
        <row r="48">
          <cell r="B48">
            <v>2</v>
          </cell>
        </row>
        <row r="49">
          <cell r="F49">
            <v>5</v>
          </cell>
        </row>
        <row r="51">
          <cell r="P51">
            <v>15</v>
          </cell>
        </row>
      </sheetData>
      <sheetData sheetId="1">
        <row r="49">
          <cell r="K49">
            <v>5</v>
          </cell>
          <cell r="W49">
            <v>0</v>
          </cell>
        </row>
        <row r="52">
          <cell r="B52">
            <v>0</v>
          </cell>
          <cell r="F52">
            <v>14</v>
          </cell>
          <cell r="J52">
            <v>3</v>
          </cell>
        </row>
        <row r="56">
          <cell r="B56">
            <v>5</v>
          </cell>
        </row>
        <row r="57">
          <cell r="F57">
            <v>22</v>
          </cell>
        </row>
        <row r="61">
          <cell r="P61">
            <v>68</v>
          </cell>
        </row>
      </sheetData>
      <sheetData sheetId="2">
        <row r="61">
          <cell r="K61">
            <v>1</v>
          </cell>
          <cell r="W61">
            <v>1</v>
          </cell>
        </row>
        <row r="65">
          <cell r="B65">
            <v>8</v>
          </cell>
          <cell r="F65">
            <v>9</v>
          </cell>
          <cell r="J65">
            <v>3</v>
          </cell>
        </row>
        <row r="69">
          <cell r="B69">
            <v>2</v>
          </cell>
        </row>
        <row r="70">
          <cell r="F70">
            <v>22</v>
          </cell>
        </row>
        <row r="77">
          <cell r="P77">
            <v>81</v>
          </cell>
        </row>
      </sheetData>
      <sheetData sheetId="3">
        <row r="42">
          <cell r="K42">
            <v>4</v>
          </cell>
          <cell r="W42">
            <v>0</v>
          </cell>
        </row>
        <row r="44">
          <cell r="F44">
            <v>4</v>
          </cell>
        </row>
        <row r="48">
          <cell r="B48">
            <v>0</v>
          </cell>
        </row>
        <row r="49">
          <cell r="F49">
            <v>4</v>
          </cell>
        </row>
        <row r="51">
          <cell r="P51">
            <v>9</v>
          </cell>
        </row>
      </sheetData>
      <sheetData sheetId="4">
        <row r="50">
          <cell r="K50">
            <v>15</v>
          </cell>
          <cell r="W50">
            <v>0</v>
          </cell>
        </row>
        <row r="52">
          <cell r="F52">
            <v>11</v>
          </cell>
        </row>
        <row r="56">
          <cell r="B56">
            <v>3</v>
          </cell>
        </row>
        <row r="57">
          <cell r="F57">
            <v>15</v>
          </cell>
        </row>
        <row r="61">
          <cell r="P61">
            <v>47</v>
          </cell>
        </row>
      </sheetData>
      <sheetData sheetId="5">
        <row r="62">
          <cell r="K62">
            <v>19</v>
          </cell>
          <cell r="W62">
            <v>7</v>
          </cell>
        </row>
        <row r="65">
          <cell r="F65">
            <v>17</v>
          </cell>
        </row>
        <row r="69">
          <cell r="B69">
            <v>4</v>
          </cell>
        </row>
        <row r="70">
          <cell r="F70">
            <v>28</v>
          </cell>
        </row>
        <row r="77">
          <cell r="P77">
            <v>117</v>
          </cell>
        </row>
      </sheetData>
      <sheetData sheetId="6">
        <row r="12">
          <cell r="J12">
            <v>5</v>
          </cell>
          <cell r="U12">
            <v>103</v>
          </cell>
        </row>
        <row r="15">
          <cell r="X15">
            <v>0</v>
          </cell>
        </row>
        <row r="16">
          <cell r="X16">
            <v>15</v>
          </cell>
        </row>
        <row r="17">
          <cell r="X17">
            <v>5</v>
          </cell>
        </row>
        <row r="18">
          <cell r="C18">
            <v>126</v>
          </cell>
          <cell r="X18">
            <v>15</v>
          </cell>
        </row>
        <row r="19">
          <cell r="X19">
            <v>20</v>
          </cell>
        </row>
        <row r="20">
          <cell r="X20">
            <v>24</v>
          </cell>
        </row>
        <row r="21">
          <cell r="I21">
            <v>62</v>
          </cell>
          <cell r="X21">
            <v>7</v>
          </cell>
        </row>
        <row r="22">
          <cell r="I22">
            <v>256</v>
          </cell>
          <cell r="Z22">
            <v>352</v>
          </cell>
        </row>
        <row r="23">
          <cell r="I23">
            <v>62</v>
          </cell>
          <cell r="U23">
            <v>18</v>
          </cell>
        </row>
      </sheetData>
      <sheetData sheetId="7">
        <row r="3">
          <cell r="P3">
            <v>0</v>
          </cell>
        </row>
        <row r="4">
          <cell r="P4">
            <v>30</v>
          </cell>
        </row>
        <row r="5">
          <cell r="P5">
            <v>5</v>
          </cell>
        </row>
        <row r="6">
          <cell r="P6">
            <v>10</v>
          </cell>
        </row>
        <row r="7">
          <cell r="P7">
            <v>10</v>
          </cell>
        </row>
        <row r="8">
          <cell r="P8">
            <v>24</v>
          </cell>
        </row>
        <row r="9">
          <cell r="P9">
            <v>0</v>
          </cell>
        </row>
        <row r="10">
          <cell r="R10">
            <v>280</v>
          </cell>
        </row>
        <row r="11">
          <cell r="M11">
            <v>19</v>
          </cell>
        </row>
      </sheetData>
      <sheetData sheetId="8">
        <row r="1">
          <cell r="B1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5"/>
  <dimension ref="A2:M23"/>
  <sheetViews>
    <sheetView tabSelected="1" view="pageLayout" zoomScaleNormal="100" workbookViewId="0">
      <selection activeCell="O4" sqref="O4"/>
    </sheetView>
  </sheetViews>
  <sheetFormatPr baseColWidth="10" defaultRowHeight="13.2"/>
  <cols>
    <col min="1" max="1" width="21.77734375" customWidth="1"/>
    <col min="2" max="2" width="6.88671875" bestFit="1" customWidth="1"/>
    <col min="3" max="3" width="6.6640625" bestFit="1" customWidth="1"/>
    <col min="4" max="4" width="5" bestFit="1" customWidth="1"/>
    <col min="5" max="5" width="6.88671875" bestFit="1" customWidth="1"/>
    <col min="6" max="6" width="3.88671875" bestFit="1" customWidth="1"/>
    <col min="7" max="7" width="4.44140625" bestFit="1" customWidth="1"/>
    <col min="8" max="8" width="5.5546875" bestFit="1" customWidth="1"/>
    <col min="9" max="9" width="4.6640625" bestFit="1" customWidth="1"/>
    <col min="10" max="10" width="9.77734375" bestFit="1" customWidth="1"/>
    <col min="11" max="11" width="7.44140625" bestFit="1" customWidth="1"/>
    <col min="12" max="12" width="9.109375" bestFit="1" customWidth="1"/>
  </cols>
  <sheetData>
    <row r="2" spans="1:13">
      <c r="B2" s="790" t="s">
        <v>1217</v>
      </c>
      <c r="C2" s="790" t="s">
        <v>1218</v>
      </c>
      <c r="D2" s="790" t="s">
        <v>1219</v>
      </c>
      <c r="E2" s="790" t="s">
        <v>1220</v>
      </c>
      <c r="F2" s="790" t="s">
        <v>1221</v>
      </c>
      <c r="G2" s="790" t="s">
        <v>1222</v>
      </c>
      <c r="H2" s="790" t="s">
        <v>1223</v>
      </c>
      <c r="I2" s="790" t="s">
        <v>1224</v>
      </c>
      <c r="J2" s="790" t="s">
        <v>1225</v>
      </c>
      <c r="K2" s="790" t="s">
        <v>1226</v>
      </c>
      <c r="L2" s="790" t="s">
        <v>1227</v>
      </c>
      <c r="M2" s="790" t="s">
        <v>1228</v>
      </c>
    </row>
    <row r="3" spans="1:13">
      <c r="A3" s="789" t="s">
        <v>1229</v>
      </c>
      <c r="B3" s="791"/>
      <c r="C3" s="711"/>
      <c r="D3" s="711"/>
      <c r="E3" s="711"/>
      <c r="F3" s="711"/>
      <c r="G3" s="711"/>
      <c r="H3" s="711"/>
      <c r="I3" s="711"/>
      <c r="J3" s="711"/>
      <c r="K3" s="711"/>
      <c r="L3" s="711"/>
      <c r="M3" s="711"/>
    </row>
    <row r="4" spans="1:13">
      <c r="A4" s="789" t="s">
        <v>1230</v>
      </c>
      <c r="B4" s="791"/>
      <c r="C4" s="711"/>
      <c r="D4" s="711"/>
      <c r="E4" s="711"/>
      <c r="F4" s="711"/>
      <c r="G4" s="711"/>
      <c r="H4" s="711"/>
      <c r="I4" s="711"/>
      <c r="J4" s="711"/>
      <c r="K4" s="711"/>
      <c r="L4" s="711"/>
      <c r="M4" s="711"/>
    </row>
    <row r="5" spans="1:13">
      <c r="A5" s="789" t="s">
        <v>15</v>
      </c>
      <c r="B5" s="791"/>
      <c r="C5" s="711"/>
      <c r="D5" s="711"/>
      <c r="E5" s="711"/>
      <c r="F5" s="711"/>
      <c r="G5" s="711"/>
      <c r="H5" s="711"/>
      <c r="I5" s="711"/>
      <c r="J5" s="711"/>
      <c r="K5" s="711"/>
      <c r="L5" s="711"/>
      <c r="M5" s="711"/>
    </row>
    <row r="6" spans="1:13">
      <c r="A6" s="792" t="s">
        <v>1231</v>
      </c>
      <c r="B6" s="791"/>
      <c r="C6" s="711"/>
      <c r="D6" s="711"/>
      <c r="E6" s="711"/>
      <c r="F6" s="711"/>
      <c r="G6" s="711"/>
      <c r="H6" s="711"/>
      <c r="I6" s="711"/>
      <c r="J6" s="711"/>
      <c r="K6" s="711"/>
      <c r="L6" s="711"/>
      <c r="M6" s="711"/>
    </row>
    <row r="7" spans="1:13">
      <c r="A7" s="792" t="s">
        <v>1232</v>
      </c>
      <c r="B7" s="791"/>
      <c r="C7" s="711"/>
      <c r="D7" s="711"/>
      <c r="E7" s="711"/>
      <c r="F7" s="711"/>
      <c r="G7" s="711"/>
      <c r="H7" s="711"/>
      <c r="I7" s="711"/>
      <c r="J7" s="711"/>
      <c r="K7" s="711"/>
      <c r="L7" s="711"/>
      <c r="M7" s="711"/>
    </row>
    <row r="8" spans="1:13">
      <c r="A8" s="792" t="s">
        <v>1233</v>
      </c>
      <c r="B8" s="791"/>
      <c r="C8" s="711"/>
      <c r="D8" s="711"/>
      <c r="E8" s="711"/>
      <c r="F8" s="711"/>
      <c r="G8" s="711"/>
      <c r="H8" s="711"/>
      <c r="I8" s="711"/>
      <c r="J8" s="711"/>
      <c r="K8" s="711"/>
      <c r="L8" s="711"/>
      <c r="M8" s="711"/>
    </row>
    <row r="9" spans="1:13">
      <c r="A9" s="792" t="s">
        <v>1234</v>
      </c>
      <c r="B9" s="791"/>
      <c r="C9" s="711"/>
      <c r="D9" s="711"/>
      <c r="E9" s="711"/>
      <c r="F9" s="711"/>
      <c r="G9" s="711"/>
      <c r="H9" s="711"/>
      <c r="I9" s="711"/>
      <c r="J9" s="711"/>
      <c r="K9" s="711"/>
      <c r="L9" s="711"/>
      <c r="M9" s="711"/>
    </row>
    <row r="10" spans="1:13">
      <c r="A10" s="792" t="s">
        <v>1235</v>
      </c>
      <c r="B10" s="791"/>
      <c r="C10" s="711"/>
      <c r="D10" s="711"/>
      <c r="E10" s="711"/>
      <c r="F10" s="711"/>
      <c r="G10" s="711"/>
      <c r="H10" s="711"/>
      <c r="I10" s="711"/>
      <c r="J10" s="711"/>
      <c r="K10" s="711"/>
      <c r="L10" s="711"/>
      <c r="M10" s="711"/>
    </row>
    <row r="11" spans="1:13">
      <c r="A11" s="792" t="s">
        <v>1236</v>
      </c>
      <c r="B11" s="791"/>
      <c r="C11" s="711"/>
      <c r="D11" s="711"/>
      <c r="E11" s="711"/>
      <c r="F11" s="711"/>
      <c r="G11" s="711"/>
      <c r="H11" s="711"/>
      <c r="I11" s="711"/>
      <c r="J11" s="711"/>
      <c r="K11" s="711"/>
      <c r="L11" s="711"/>
      <c r="M11" s="711"/>
    </row>
    <row r="18" spans="1:2">
      <c r="A18" s="809" t="s">
        <v>1194</v>
      </c>
      <c r="B18" s="810"/>
    </row>
    <row r="19" spans="1:2">
      <c r="A19" s="716" t="s">
        <v>1195</v>
      </c>
    </row>
    <row r="20" spans="1:2">
      <c r="A20" s="716" t="s">
        <v>1196</v>
      </c>
    </row>
    <row r="21" spans="1:2">
      <c r="A21" s="716" t="s">
        <v>1197</v>
      </c>
    </row>
    <row r="22" spans="1:2">
      <c r="A22" s="716" t="s">
        <v>1190</v>
      </c>
    </row>
    <row r="23" spans="1:2">
      <c r="A23" s="716" t="s">
        <v>1193</v>
      </c>
    </row>
  </sheetData>
  <mergeCells count="1">
    <mergeCell ref="A18:B18"/>
  </mergeCells>
  <pageMargins left="0" right="8.3333333333333329E-2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G11"/>
  <sheetViews>
    <sheetView view="pageLayout" topLeftCell="A2" zoomScaleNormal="90" workbookViewId="0">
      <selection activeCell="F7" sqref="F7"/>
    </sheetView>
  </sheetViews>
  <sheetFormatPr baseColWidth="10" defaultRowHeight="13.2"/>
  <cols>
    <col min="1" max="1" width="14.5546875" bestFit="1" customWidth="1"/>
    <col min="2" max="2" width="20" bestFit="1" customWidth="1"/>
    <col min="3" max="3" width="10.5546875" customWidth="1"/>
    <col min="4" max="4" width="30" bestFit="1" customWidth="1"/>
    <col min="5" max="5" width="7" bestFit="1" customWidth="1"/>
    <col min="6" max="6" width="28.88671875" bestFit="1" customWidth="1"/>
    <col min="9" max="9" width="7.109375" bestFit="1" customWidth="1"/>
  </cols>
  <sheetData>
    <row r="1" spans="1:7" ht="52.8" customHeight="1" thickBot="1">
      <c r="A1" s="811" t="s">
        <v>1202</v>
      </c>
      <c r="B1" s="812"/>
      <c r="F1" s="778">
        <f ca="1">TODAY()</f>
        <v>42331</v>
      </c>
      <c r="G1" s="777"/>
    </row>
    <row r="2" spans="1:7" ht="13.8" thickBot="1"/>
    <row r="3" spans="1:7">
      <c r="A3" s="4"/>
      <c r="B3" s="4"/>
      <c r="C3" s="4"/>
      <c r="D3" s="4"/>
      <c r="E3" s="4"/>
      <c r="F3" s="779" t="s">
        <v>1216</v>
      </c>
    </row>
    <row r="4" spans="1:7">
      <c r="F4" s="780" t="str">
        <f>VLOOKUP('Ordre de Fabrication'!F3,Clients!A:G,4,0)</f>
        <v>12 ,,,,</v>
      </c>
    </row>
    <row r="5" spans="1:7">
      <c r="F5" s="780" t="str">
        <f>CONCATENATE(VLOOKUP('Ordre de Fabrication'!F3,Clients!A:G,5,0)," ",VLOOKUP('Ordre de Fabrication'!F3,Clients!A:G,6,0))</f>
        <v>34200 Toulouse</v>
      </c>
    </row>
    <row r="6" spans="1:7">
      <c r="F6" s="780" t="str">
        <f>VLOOKUP('Ordre de Fabrication'!F3,Clients!A:G,7,0)</f>
        <v>04 67 32 24 35</v>
      </c>
    </row>
    <row r="8" spans="1:7" ht="13.8" thickBot="1"/>
    <row r="9" spans="1:7" ht="13.8" thickBot="1">
      <c r="B9" s="26" t="s">
        <v>1203</v>
      </c>
      <c r="C9" s="782" t="s">
        <v>1208</v>
      </c>
      <c r="D9" s="781"/>
    </row>
    <row r="11" spans="1:7">
      <c r="A11" s="4" t="s">
        <v>1204</v>
      </c>
      <c r="B11" s="4" t="s">
        <v>1205</v>
      </c>
      <c r="C11" s="4" t="s">
        <v>1206</v>
      </c>
      <c r="D11" s="4" t="s">
        <v>1207</v>
      </c>
    </row>
  </sheetData>
  <mergeCells count="1">
    <mergeCell ref="A1:B1"/>
  </mergeCells>
  <dataValidations count="1">
    <dataValidation type="list" allowBlank="1" showInputMessage="1" showErrorMessage="1" sqref="F3">
      <formula1>Identifiant</formula1>
    </dataValidation>
  </dataValidations>
  <pageMargins left="0.19685039370078741" right="0.19685039370078741" top="0.66" bottom="0.74803149606299213" header="0.15748031496062992" footer="0.31496062992125984"/>
  <pageSetup paperSize="9" scale="1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 filterMode="1"/>
  <dimension ref="A1:T474"/>
  <sheetViews>
    <sheetView zoomScale="120" zoomScaleNormal="120" workbookViewId="0">
      <pane ySplit="2" topLeftCell="A135" activePane="bottomLeft" state="frozen"/>
      <selection pane="bottomLeft" activeCell="D166" sqref="D166"/>
    </sheetView>
  </sheetViews>
  <sheetFormatPr baseColWidth="10" defaultColWidth="11.44140625" defaultRowHeight="13.8"/>
  <cols>
    <col min="1" max="1" width="1.88671875" style="169" customWidth="1"/>
    <col min="2" max="2" width="15.44140625" style="177" customWidth="1"/>
    <col min="3" max="3" width="19.33203125" style="379" customWidth="1"/>
    <col min="4" max="4" width="11.5546875" style="169" customWidth="1"/>
    <col min="5" max="5" width="4.5546875" style="379" customWidth="1"/>
    <col min="6" max="6" width="4.88671875" style="379" customWidth="1"/>
    <col min="7" max="7" width="35.5546875" style="379" customWidth="1"/>
    <col min="8" max="8" width="5.33203125" style="82" customWidth="1"/>
    <col min="9" max="9" width="12.33203125" style="524" customWidth="1"/>
    <col min="10" max="10" width="12.33203125" style="519" hidden="1" customWidth="1"/>
    <col min="11" max="11" width="11.33203125" style="523" customWidth="1"/>
    <col min="12" max="12" width="6.109375" style="523" customWidth="1"/>
    <col min="13" max="13" width="13.88671875" style="525" customWidth="1"/>
    <col min="14" max="14" width="15.88671875" style="41" bestFit="1" customWidth="1"/>
    <col min="15" max="15" width="15.109375" style="169" customWidth="1"/>
    <col min="16" max="16" width="8.109375" style="82" customWidth="1"/>
    <col min="17" max="17" width="15.44140625" style="525" customWidth="1"/>
    <col min="18" max="18" width="14.88671875" style="379" customWidth="1"/>
    <col min="19" max="16384" width="11.44140625" style="379"/>
  </cols>
  <sheetData>
    <row r="1" spans="2:18" ht="21" customHeight="1" thickBot="1">
      <c r="B1" s="335" t="s">
        <v>41</v>
      </c>
      <c r="C1" s="336" t="s">
        <v>16</v>
      </c>
      <c r="D1" s="813" t="s">
        <v>21</v>
      </c>
      <c r="E1" s="814"/>
      <c r="F1" s="349" t="s">
        <v>200</v>
      </c>
      <c r="G1" s="815" t="s">
        <v>12</v>
      </c>
      <c r="H1" s="816"/>
      <c r="I1" s="817"/>
      <c r="J1" s="156"/>
      <c r="K1" s="249"/>
      <c r="L1" s="186"/>
      <c r="M1" s="59">
        <f>SUBTOTAL(9,F3:F2148)</f>
        <v>23</v>
      </c>
      <c r="N1" s="60"/>
      <c r="O1" s="61">
        <v>34</v>
      </c>
      <c r="P1" s="501">
        <v>28</v>
      </c>
      <c r="Q1" s="502"/>
    </row>
    <row r="2" spans="2:18" ht="14.4" thickBot="1">
      <c r="B2" s="62" t="s">
        <v>1</v>
      </c>
      <c r="C2" s="43" t="s">
        <v>2</v>
      </c>
      <c r="D2" s="42" t="s">
        <v>11</v>
      </c>
      <c r="E2" s="42" t="s">
        <v>3</v>
      </c>
      <c r="F2" s="42" t="s">
        <v>9</v>
      </c>
      <c r="G2" s="42" t="s">
        <v>4</v>
      </c>
      <c r="H2" s="63" t="s">
        <v>0</v>
      </c>
      <c r="I2" s="64" t="s">
        <v>10</v>
      </c>
      <c r="J2" s="157"/>
      <c r="K2" s="187" t="s">
        <v>43</v>
      </c>
      <c r="L2" s="187" t="s">
        <v>253</v>
      </c>
      <c r="M2" s="62"/>
      <c r="N2" s="63">
        <f>SUM(E3:E572)</f>
        <v>243</v>
      </c>
      <c r="O2" s="42"/>
      <c r="P2" s="41" t="s">
        <v>45</v>
      </c>
      <c r="Q2" s="62" t="s">
        <v>129</v>
      </c>
      <c r="R2" s="63" t="s">
        <v>981</v>
      </c>
    </row>
    <row r="3" spans="2:18" hidden="1">
      <c r="B3" s="94" t="s">
        <v>279</v>
      </c>
      <c r="C3" s="503" t="s">
        <v>54</v>
      </c>
      <c r="D3" s="105">
        <v>42034</v>
      </c>
      <c r="E3" s="503">
        <v>1</v>
      </c>
      <c r="F3" s="503">
        <v>1</v>
      </c>
      <c r="G3" s="503" t="s">
        <v>216</v>
      </c>
      <c r="H3" s="503" t="s">
        <v>7</v>
      </c>
      <c r="I3" s="504">
        <v>42010</v>
      </c>
      <c r="J3" s="504"/>
      <c r="K3" s="301">
        <v>42019</v>
      </c>
      <c r="L3" s="188">
        <f>IF(ISBLANK(K3),"",NETWORKDAYS(I3,K3))</f>
        <v>8</v>
      </c>
      <c r="M3" s="140"/>
      <c r="N3" s="68" t="s">
        <v>123</v>
      </c>
      <c r="O3" s="69" t="s">
        <v>35</v>
      </c>
      <c r="P3" s="505">
        <v>42017</v>
      </c>
      <c r="Q3" s="21">
        <f t="shared" ref="Q3:Q11" si="0">IF(ISBLANK(K3),0,SUM(K3,-I3))</f>
        <v>9</v>
      </c>
      <c r="R3" s="22">
        <f t="shared" ref="R3:R11" si="1">IF(ISBLANK(P3),0,SUM(P3,-I3))</f>
        <v>7</v>
      </c>
    </row>
    <row r="4" spans="2:18" hidden="1">
      <c r="B4" s="94" t="s">
        <v>278</v>
      </c>
      <c r="C4" s="503" t="s">
        <v>69</v>
      </c>
      <c r="D4" s="105">
        <v>42034</v>
      </c>
      <c r="E4" s="503">
        <v>1</v>
      </c>
      <c r="F4" s="503">
        <v>1</v>
      </c>
      <c r="G4" s="503" t="s">
        <v>75</v>
      </c>
      <c r="H4" s="503" t="s">
        <v>7</v>
      </c>
      <c r="I4" s="504">
        <v>42011</v>
      </c>
      <c r="J4" s="504"/>
      <c r="K4" s="301">
        <v>42019</v>
      </c>
      <c r="L4" s="188">
        <f>IF(ISBLANK(K4),"",NETWORKDAYS(I4,K4))</f>
        <v>7</v>
      </c>
      <c r="M4" s="140"/>
      <c r="N4" s="68" t="s">
        <v>123</v>
      </c>
      <c r="O4" s="69" t="s">
        <v>35</v>
      </c>
      <c r="P4" s="505">
        <v>42017</v>
      </c>
      <c r="Q4" s="21">
        <f t="shared" si="0"/>
        <v>8</v>
      </c>
      <c r="R4" s="22">
        <f t="shared" si="1"/>
        <v>6</v>
      </c>
    </row>
    <row r="5" spans="2:18" hidden="1">
      <c r="B5" s="91" t="s">
        <v>272</v>
      </c>
      <c r="C5" s="425" t="s">
        <v>273</v>
      </c>
      <c r="D5" s="106">
        <v>42023</v>
      </c>
      <c r="E5" s="425">
        <v>4</v>
      </c>
      <c r="F5" s="425">
        <v>4</v>
      </c>
      <c r="G5" s="425" t="s">
        <v>132</v>
      </c>
      <c r="H5" s="425" t="s">
        <v>6</v>
      </c>
      <c r="I5" s="426">
        <v>42011</v>
      </c>
      <c r="J5" s="426"/>
      <c r="K5" s="303">
        <v>42020</v>
      </c>
      <c r="L5" s="189">
        <f>IF(ISBLANK(K5),"",NETWORKDAYS(I5,K5))</f>
        <v>8</v>
      </c>
      <c r="M5" s="348"/>
      <c r="N5" s="75" t="s">
        <v>36</v>
      </c>
      <c r="O5" s="76"/>
      <c r="Q5" s="21">
        <f t="shared" si="0"/>
        <v>9</v>
      </c>
      <c r="R5" s="22">
        <f t="shared" si="1"/>
        <v>0</v>
      </c>
    </row>
    <row r="6" spans="2:18" hidden="1">
      <c r="B6" s="91" t="s">
        <v>272</v>
      </c>
      <c r="C6" s="425" t="s">
        <v>90</v>
      </c>
      <c r="D6" s="106">
        <v>42023</v>
      </c>
      <c r="E6" s="425">
        <v>4</v>
      </c>
      <c r="F6" s="425">
        <v>4</v>
      </c>
      <c r="G6" s="425" t="s">
        <v>132</v>
      </c>
      <c r="H6" s="425" t="s">
        <v>6</v>
      </c>
      <c r="I6" s="426">
        <v>42011</v>
      </c>
      <c r="J6" s="426"/>
      <c r="K6" s="303">
        <v>42020</v>
      </c>
      <c r="L6" s="189">
        <f>IF(ISBLANK(K6),"",NETWORKDAYS(I6,K6))</f>
        <v>8</v>
      </c>
      <c r="M6" s="74"/>
      <c r="N6" s="75" t="s">
        <v>36</v>
      </c>
      <c r="O6" s="76"/>
      <c r="Q6" s="21">
        <f t="shared" si="0"/>
        <v>9</v>
      </c>
      <c r="R6" s="22">
        <f t="shared" si="1"/>
        <v>0</v>
      </c>
    </row>
    <row r="7" spans="2:18" hidden="1">
      <c r="B7" s="94" t="s">
        <v>280</v>
      </c>
      <c r="C7" s="503" t="s">
        <v>26</v>
      </c>
      <c r="D7" s="142">
        <v>42041</v>
      </c>
      <c r="E7" s="503">
        <v>1</v>
      </c>
      <c r="F7" s="503">
        <v>1</v>
      </c>
      <c r="G7" s="503" t="s">
        <v>254</v>
      </c>
      <c r="H7" s="503" t="s">
        <v>6</v>
      </c>
      <c r="I7" s="504">
        <v>42016</v>
      </c>
      <c r="J7" s="504"/>
      <c r="K7" s="301">
        <v>42038</v>
      </c>
      <c r="L7" s="188">
        <f>IF(ISBLANK(K7),"",NETWORKDAYS(I7,K7))</f>
        <v>17</v>
      </c>
      <c r="M7" s="67"/>
      <c r="N7" s="68" t="s">
        <v>123</v>
      </c>
      <c r="O7" s="69" t="s">
        <v>34</v>
      </c>
      <c r="P7" s="505">
        <v>42034</v>
      </c>
      <c r="Q7" s="21">
        <f t="shared" si="0"/>
        <v>22</v>
      </c>
      <c r="R7" s="22">
        <f t="shared" si="1"/>
        <v>18</v>
      </c>
    </row>
    <row r="8" spans="2:18" hidden="1">
      <c r="B8" s="115" t="s">
        <v>291</v>
      </c>
      <c r="C8" s="429" t="s">
        <v>61</v>
      </c>
      <c r="D8" s="116">
        <v>42034</v>
      </c>
      <c r="E8" s="429">
        <v>1</v>
      </c>
      <c r="F8" s="429">
        <v>1</v>
      </c>
      <c r="G8" s="429" t="s">
        <v>5</v>
      </c>
      <c r="H8" s="429" t="s">
        <v>7</v>
      </c>
      <c r="I8" s="430">
        <v>42018</v>
      </c>
      <c r="J8" s="430"/>
      <c r="K8" s="301">
        <v>42038</v>
      </c>
      <c r="L8" s="188">
        <f t="shared" ref="L8:L17" si="2">IF(ISBLANK(K8),"",NETWORKDAYS(I8,K8))</f>
        <v>15</v>
      </c>
      <c r="M8" s="67"/>
      <c r="N8" s="68" t="s">
        <v>123</v>
      </c>
      <c r="O8" s="69" t="s">
        <v>35</v>
      </c>
      <c r="P8" s="505">
        <v>42025</v>
      </c>
      <c r="Q8" s="21">
        <f t="shared" si="0"/>
        <v>20</v>
      </c>
      <c r="R8" s="22">
        <f t="shared" si="1"/>
        <v>7</v>
      </c>
    </row>
    <row r="9" spans="2:18" hidden="1">
      <c r="B9" s="96" t="s">
        <v>292</v>
      </c>
      <c r="C9" s="506" t="s">
        <v>27</v>
      </c>
      <c r="D9" s="107">
        <v>42034</v>
      </c>
      <c r="E9" s="506">
        <v>2</v>
      </c>
      <c r="F9" s="506">
        <v>2</v>
      </c>
      <c r="G9" s="506" t="s">
        <v>107</v>
      </c>
      <c r="H9" s="506" t="s">
        <v>6</v>
      </c>
      <c r="I9" s="507">
        <v>42018</v>
      </c>
      <c r="J9" s="507"/>
      <c r="K9" s="303">
        <v>42026</v>
      </c>
      <c r="L9" s="189">
        <f t="shared" si="2"/>
        <v>7</v>
      </c>
      <c r="M9" s="74"/>
      <c r="N9" s="75" t="s">
        <v>36</v>
      </c>
      <c r="O9" s="76"/>
      <c r="Q9" s="21">
        <f t="shared" si="0"/>
        <v>8</v>
      </c>
      <c r="R9" s="22">
        <f t="shared" si="1"/>
        <v>0</v>
      </c>
    </row>
    <row r="10" spans="2:18" hidden="1">
      <c r="B10" s="96" t="s">
        <v>296</v>
      </c>
      <c r="C10" s="506" t="s">
        <v>199</v>
      </c>
      <c r="D10" s="113">
        <v>42041</v>
      </c>
      <c r="E10" s="506">
        <v>1</v>
      </c>
      <c r="F10" s="506">
        <v>1</v>
      </c>
      <c r="G10" s="506" t="s">
        <v>85</v>
      </c>
      <c r="H10" s="506" t="s">
        <v>6</v>
      </c>
      <c r="I10" s="507">
        <v>42019</v>
      </c>
      <c r="J10" s="507"/>
      <c r="K10" s="303">
        <v>42038</v>
      </c>
      <c r="L10" s="189">
        <f t="shared" si="2"/>
        <v>14</v>
      </c>
      <c r="M10" s="74"/>
      <c r="N10" s="75" t="s">
        <v>36</v>
      </c>
      <c r="O10" s="76"/>
      <c r="Q10" s="21">
        <f t="shared" si="0"/>
        <v>19</v>
      </c>
      <c r="R10" s="22">
        <f t="shared" si="1"/>
        <v>0</v>
      </c>
    </row>
    <row r="11" spans="2:18" hidden="1">
      <c r="B11" s="109" t="s">
        <v>297</v>
      </c>
      <c r="C11" s="506" t="s">
        <v>204</v>
      </c>
      <c r="D11" s="113">
        <v>42034</v>
      </c>
      <c r="E11" s="506">
        <v>1</v>
      </c>
      <c r="F11" s="506">
        <v>1</v>
      </c>
      <c r="G11" s="506" t="s">
        <v>298</v>
      </c>
      <c r="H11" s="506" t="s">
        <v>6</v>
      </c>
      <c r="I11" s="507">
        <v>42020</v>
      </c>
      <c r="J11" s="507"/>
      <c r="K11" s="303">
        <v>42038</v>
      </c>
      <c r="L11" s="189">
        <f t="shared" si="2"/>
        <v>13</v>
      </c>
      <c r="M11" s="74"/>
      <c r="N11" s="75" t="s">
        <v>36</v>
      </c>
      <c r="O11" s="76"/>
      <c r="Q11" s="21">
        <f t="shared" si="0"/>
        <v>18</v>
      </c>
      <c r="R11" s="22">
        <f t="shared" si="1"/>
        <v>0</v>
      </c>
    </row>
    <row r="12" spans="2:18" hidden="1">
      <c r="B12" s="103" t="s">
        <v>317</v>
      </c>
      <c r="C12" s="434" t="s">
        <v>64</v>
      </c>
      <c r="D12" s="108">
        <v>42031</v>
      </c>
      <c r="E12" s="434">
        <v>1</v>
      </c>
      <c r="F12" s="434">
        <v>1</v>
      </c>
      <c r="G12" s="434" t="s">
        <v>52</v>
      </c>
      <c r="H12" s="434" t="s">
        <v>6</v>
      </c>
      <c r="I12" s="435">
        <v>42023</v>
      </c>
      <c r="J12" s="435"/>
      <c r="K12" s="303">
        <v>42026</v>
      </c>
      <c r="L12" s="189">
        <f t="shared" si="2"/>
        <v>4</v>
      </c>
      <c r="M12" s="74"/>
      <c r="N12" s="75" t="s">
        <v>36</v>
      </c>
      <c r="O12" s="76"/>
      <c r="Q12" s="21">
        <f t="shared" ref="Q12:Q20" si="3">IF(ISBLANK(K12),0,SUM(K12,-I12))</f>
        <v>3</v>
      </c>
      <c r="R12" s="22">
        <f t="shared" ref="R12:R20" si="4">IF(ISBLANK(P12),0,SUM(P12,-I12))</f>
        <v>0</v>
      </c>
    </row>
    <row r="13" spans="2:18" hidden="1">
      <c r="B13" s="103" t="s">
        <v>304</v>
      </c>
      <c r="C13" s="434" t="s">
        <v>134</v>
      </c>
      <c r="D13" s="108">
        <v>42034</v>
      </c>
      <c r="E13" s="434">
        <v>2</v>
      </c>
      <c r="F13" s="434">
        <v>2</v>
      </c>
      <c r="G13" s="434" t="s">
        <v>195</v>
      </c>
      <c r="H13" s="434" t="s">
        <v>6</v>
      </c>
      <c r="I13" s="435">
        <v>42023</v>
      </c>
      <c r="J13" s="435"/>
      <c r="K13" s="303">
        <v>42031</v>
      </c>
      <c r="L13" s="189">
        <f t="shared" si="2"/>
        <v>7</v>
      </c>
      <c r="M13" s="348"/>
      <c r="N13" s="75" t="s">
        <v>36</v>
      </c>
      <c r="O13" s="76"/>
      <c r="Q13" s="21">
        <f t="shared" si="3"/>
        <v>8</v>
      </c>
      <c r="R13" s="22">
        <f t="shared" si="4"/>
        <v>0</v>
      </c>
    </row>
    <row r="14" spans="2:18" hidden="1">
      <c r="B14" s="138" t="s">
        <v>305</v>
      </c>
      <c r="C14" s="432" t="s">
        <v>25</v>
      </c>
      <c r="D14" s="139">
        <v>42034</v>
      </c>
      <c r="E14" s="432">
        <v>1</v>
      </c>
      <c r="F14" s="432">
        <v>1</v>
      </c>
      <c r="G14" s="432" t="s">
        <v>5</v>
      </c>
      <c r="H14" s="432" t="s">
        <v>7</v>
      </c>
      <c r="I14" s="433">
        <v>42024</v>
      </c>
      <c r="J14" s="433"/>
      <c r="K14" s="301">
        <v>42038</v>
      </c>
      <c r="L14" s="188">
        <f t="shared" si="2"/>
        <v>11</v>
      </c>
      <c r="M14" s="140"/>
      <c r="N14" s="68" t="s">
        <v>123</v>
      </c>
      <c r="O14" s="69" t="s">
        <v>33</v>
      </c>
      <c r="P14" s="505">
        <v>42031</v>
      </c>
      <c r="Q14" s="21">
        <f t="shared" si="3"/>
        <v>14</v>
      </c>
      <c r="R14" s="22">
        <f t="shared" si="4"/>
        <v>7</v>
      </c>
    </row>
    <row r="15" spans="2:18" hidden="1">
      <c r="B15" s="138" t="s">
        <v>311</v>
      </c>
      <c r="C15" s="432" t="s">
        <v>68</v>
      </c>
      <c r="D15" s="139">
        <v>42036</v>
      </c>
      <c r="E15" s="432">
        <v>1</v>
      </c>
      <c r="F15" s="432">
        <v>1</v>
      </c>
      <c r="G15" s="432" t="s">
        <v>5</v>
      </c>
      <c r="H15" s="432" t="s">
        <v>7</v>
      </c>
      <c r="I15" s="433">
        <v>42024</v>
      </c>
      <c r="J15" s="433"/>
      <c r="K15" s="301">
        <v>42038</v>
      </c>
      <c r="L15" s="188">
        <f t="shared" si="2"/>
        <v>11</v>
      </c>
      <c r="M15" s="140"/>
      <c r="N15" s="68" t="s">
        <v>96</v>
      </c>
      <c r="O15" s="69"/>
      <c r="Q15" s="21">
        <f t="shared" si="3"/>
        <v>14</v>
      </c>
      <c r="R15" s="22">
        <f t="shared" si="4"/>
        <v>0</v>
      </c>
    </row>
    <row r="16" spans="2:18" hidden="1">
      <c r="B16" s="138" t="s">
        <v>311</v>
      </c>
      <c r="C16" s="432" t="s">
        <v>50</v>
      </c>
      <c r="D16" s="139">
        <v>42036</v>
      </c>
      <c r="E16" s="432">
        <v>1</v>
      </c>
      <c r="F16" s="432">
        <v>1</v>
      </c>
      <c r="G16" s="432" t="s">
        <v>5</v>
      </c>
      <c r="H16" s="432" t="s">
        <v>7</v>
      </c>
      <c r="I16" s="433">
        <v>42024</v>
      </c>
      <c r="J16" s="433"/>
      <c r="K16" s="301">
        <v>42038</v>
      </c>
      <c r="L16" s="188">
        <f t="shared" si="2"/>
        <v>11</v>
      </c>
      <c r="M16" s="140"/>
      <c r="N16" s="68" t="s">
        <v>123</v>
      </c>
      <c r="O16" s="69" t="s">
        <v>33</v>
      </c>
      <c r="P16" s="505">
        <v>42031</v>
      </c>
      <c r="Q16" s="21">
        <f t="shared" si="3"/>
        <v>14</v>
      </c>
      <c r="R16" s="22">
        <f t="shared" si="4"/>
        <v>7</v>
      </c>
    </row>
    <row r="17" spans="2:18" hidden="1">
      <c r="B17" s="138" t="s">
        <v>312</v>
      </c>
      <c r="C17" s="432" t="s">
        <v>194</v>
      </c>
      <c r="D17" s="139">
        <v>42037</v>
      </c>
      <c r="E17" s="432">
        <v>1</v>
      </c>
      <c r="F17" s="432">
        <v>1</v>
      </c>
      <c r="G17" s="432" t="s">
        <v>5</v>
      </c>
      <c r="H17" s="432" t="s">
        <v>7</v>
      </c>
      <c r="I17" s="433">
        <v>42024</v>
      </c>
      <c r="J17" s="160">
        <v>502.99</v>
      </c>
      <c r="K17" s="301">
        <v>42046</v>
      </c>
      <c r="L17" s="188">
        <f t="shared" si="2"/>
        <v>17</v>
      </c>
      <c r="M17" s="140"/>
      <c r="N17" s="68" t="s">
        <v>123</v>
      </c>
      <c r="O17" s="69" t="s">
        <v>34</v>
      </c>
      <c r="P17" s="505">
        <v>42045</v>
      </c>
      <c r="Q17" s="21">
        <f t="shared" si="3"/>
        <v>22</v>
      </c>
      <c r="R17" s="22">
        <f t="shared" si="4"/>
        <v>21</v>
      </c>
    </row>
    <row r="18" spans="2:18" hidden="1">
      <c r="B18" s="103" t="s">
        <v>315</v>
      </c>
      <c r="C18" s="434" t="s">
        <v>47</v>
      </c>
      <c r="D18" s="114">
        <v>42037</v>
      </c>
      <c r="E18" s="434">
        <v>1</v>
      </c>
      <c r="F18" s="434">
        <v>1</v>
      </c>
      <c r="G18" s="434" t="s">
        <v>132</v>
      </c>
      <c r="H18" s="434" t="s">
        <v>6</v>
      </c>
      <c r="I18" s="435">
        <v>42025</v>
      </c>
      <c r="J18" s="435"/>
      <c r="K18" s="303">
        <v>42039</v>
      </c>
      <c r="L18" s="189">
        <f>IF(ISBLANK(K18),"",NETWORKDAYS(I18,K18))</f>
        <v>11</v>
      </c>
      <c r="M18" s="348"/>
      <c r="N18" s="75" t="s">
        <v>36</v>
      </c>
      <c r="O18" s="76"/>
      <c r="Q18" s="21">
        <f t="shared" si="3"/>
        <v>14</v>
      </c>
      <c r="R18" s="22">
        <f t="shared" si="4"/>
        <v>0</v>
      </c>
    </row>
    <row r="19" spans="2:18" hidden="1">
      <c r="B19" s="103" t="s">
        <v>316</v>
      </c>
      <c r="C19" s="434" t="s">
        <v>47</v>
      </c>
      <c r="D19" s="114">
        <v>42037</v>
      </c>
      <c r="E19" s="434">
        <v>1</v>
      </c>
      <c r="F19" s="434">
        <v>1</v>
      </c>
      <c r="G19" s="434" t="s">
        <v>132</v>
      </c>
      <c r="H19" s="434" t="s">
        <v>6</v>
      </c>
      <c r="I19" s="435">
        <v>42025</v>
      </c>
      <c r="J19" s="435"/>
      <c r="K19" s="303">
        <v>42039</v>
      </c>
      <c r="L19" s="189">
        <f>IF(ISBLANK(K19),"",NETWORKDAYS(I19,K19))</f>
        <v>11</v>
      </c>
      <c r="M19" s="348"/>
      <c r="N19" s="75" t="s">
        <v>36</v>
      </c>
      <c r="O19" s="76"/>
      <c r="Q19" s="21">
        <f t="shared" si="3"/>
        <v>14</v>
      </c>
      <c r="R19" s="22">
        <f t="shared" si="4"/>
        <v>0</v>
      </c>
    </row>
    <row r="20" spans="2:18" hidden="1">
      <c r="B20" s="121" t="s">
        <v>318</v>
      </c>
      <c r="C20" s="438" t="s">
        <v>202</v>
      </c>
      <c r="D20" s="134">
        <v>42045</v>
      </c>
      <c r="E20" s="438">
        <v>6</v>
      </c>
      <c r="F20" s="438">
        <v>6</v>
      </c>
      <c r="G20" s="438" t="s">
        <v>319</v>
      </c>
      <c r="H20" s="438" t="s">
        <v>7</v>
      </c>
      <c r="I20" s="439">
        <v>42025</v>
      </c>
      <c r="J20" s="158">
        <v>3634.8</v>
      </c>
      <c r="K20" s="301">
        <v>42054</v>
      </c>
      <c r="L20" s="188">
        <f>IF(ISBLANK(K20),"",NETWORKDAYS(I20,K20))</f>
        <v>22</v>
      </c>
      <c r="M20" s="140"/>
      <c r="N20" s="68" t="s">
        <v>123</v>
      </c>
      <c r="O20" s="69" t="s">
        <v>34</v>
      </c>
      <c r="P20" s="505">
        <v>42047</v>
      </c>
      <c r="Q20" s="21">
        <f t="shared" si="3"/>
        <v>29</v>
      </c>
      <c r="R20" s="22">
        <f t="shared" si="4"/>
        <v>22</v>
      </c>
    </row>
    <row r="21" spans="2:18" hidden="1">
      <c r="B21" s="128" t="s">
        <v>320</v>
      </c>
      <c r="C21" s="438" t="s">
        <v>53</v>
      </c>
      <c r="D21" s="134">
        <v>42034</v>
      </c>
      <c r="E21" s="438">
        <v>1</v>
      </c>
      <c r="F21" s="438">
        <v>1</v>
      </c>
      <c r="G21" s="438" t="s">
        <v>48</v>
      </c>
      <c r="H21" s="438" t="s">
        <v>7</v>
      </c>
      <c r="I21" s="439">
        <v>42026</v>
      </c>
      <c r="J21" s="439"/>
      <c r="K21" s="301">
        <v>42041</v>
      </c>
      <c r="L21" s="188">
        <f t="shared" ref="L21:L26" si="5">IF(ISBLANK(K21),"",NETWORKDAYS(I21,K21))</f>
        <v>12</v>
      </c>
      <c r="M21" s="140"/>
      <c r="N21" s="68" t="s">
        <v>123</v>
      </c>
      <c r="O21" s="69" t="s">
        <v>33</v>
      </c>
      <c r="P21" s="505">
        <v>42037</v>
      </c>
      <c r="Q21" s="21">
        <f t="shared" ref="Q21:Q34" si="6">IF(ISBLANK(K21),0,SUM(K21,-I21))</f>
        <v>15</v>
      </c>
      <c r="R21" s="22">
        <f t="shared" ref="R21:R44" si="7">IF(ISBLANK(P21),0,SUM(P21,-I21))</f>
        <v>11</v>
      </c>
    </row>
    <row r="22" spans="2:18" hidden="1">
      <c r="B22" s="121" t="s">
        <v>321</v>
      </c>
      <c r="C22" s="438" t="s">
        <v>53</v>
      </c>
      <c r="D22" s="134">
        <v>42051</v>
      </c>
      <c r="E22" s="438">
        <v>1</v>
      </c>
      <c r="F22" s="438">
        <v>1</v>
      </c>
      <c r="G22" s="438" t="s">
        <v>203</v>
      </c>
      <c r="H22" s="438" t="s">
        <v>251</v>
      </c>
      <c r="I22" s="439">
        <v>42026</v>
      </c>
      <c r="J22" s="161">
        <v>1417.2</v>
      </c>
      <c r="K22" s="301">
        <v>42060</v>
      </c>
      <c r="L22" s="188">
        <f t="shared" si="5"/>
        <v>25</v>
      </c>
      <c r="M22" s="140"/>
      <c r="N22" s="68" t="s">
        <v>123</v>
      </c>
      <c r="O22" s="69" t="s">
        <v>35</v>
      </c>
      <c r="P22" s="505">
        <v>42060</v>
      </c>
      <c r="Q22" s="21">
        <f t="shared" si="6"/>
        <v>34</v>
      </c>
      <c r="R22" s="22">
        <f t="shared" si="7"/>
        <v>34</v>
      </c>
    </row>
    <row r="23" spans="2:18" hidden="1">
      <c r="B23" s="128" t="s">
        <v>342</v>
      </c>
      <c r="C23" s="438" t="s">
        <v>37</v>
      </c>
      <c r="D23" s="134">
        <v>42051</v>
      </c>
      <c r="E23" s="438">
        <v>2</v>
      </c>
      <c r="F23" s="438">
        <v>2</v>
      </c>
      <c r="G23" s="438" t="s">
        <v>102</v>
      </c>
      <c r="H23" s="438" t="s">
        <v>7</v>
      </c>
      <c r="I23" s="439">
        <v>42026</v>
      </c>
      <c r="J23" s="439"/>
      <c r="K23" s="301">
        <v>42041</v>
      </c>
      <c r="L23" s="188">
        <f t="shared" si="5"/>
        <v>12</v>
      </c>
      <c r="M23" s="140"/>
      <c r="N23" s="68" t="s">
        <v>123</v>
      </c>
      <c r="O23" s="69" t="s">
        <v>35</v>
      </c>
      <c r="P23" s="505">
        <v>42033</v>
      </c>
      <c r="Q23" s="21">
        <f t="shared" si="6"/>
        <v>15</v>
      </c>
      <c r="R23" s="22">
        <f t="shared" si="7"/>
        <v>7</v>
      </c>
    </row>
    <row r="24" spans="2:18" hidden="1">
      <c r="B24" s="121" t="s">
        <v>325</v>
      </c>
      <c r="C24" s="438" t="s">
        <v>269</v>
      </c>
      <c r="D24" s="134">
        <v>42055</v>
      </c>
      <c r="E24" s="438">
        <v>1</v>
      </c>
      <c r="F24" s="438">
        <v>1</v>
      </c>
      <c r="G24" s="438" t="s">
        <v>326</v>
      </c>
      <c r="H24" s="438" t="s">
        <v>7</v>
      </c>
      <c r="I24" s="439">
        <v>42027</v>
      </c>
      <c r="J24" s="161">
        <v>953.34</v>
      </c>
      <c r="K24" s="301">
        <v>42065</v>
      </c>
      <c r="L24" s="188">
        <f t="shared" si="5"/>
        <v>27</v>
      </c>
      <c r="M24" s="140"/>
      <c r="N24" s="68" t="s">
        <v>123</v>
      </c>
      <c r="O24" s="69" t="s">
        <v>67</v>
      </c>
      <c r="P24" s="505">
        <v>42048</v>
      </c>
      <c r="Q24" s="21">
        <f t="shared" si="6"/>
        <v>38</v>
      </c>
      <c r="R24" s="22">
        <f t="shared" si="7"/>
        <v>21</v>
      </c>
    </row>
    <row r="25" spans="2:18" hidden="1">
      <c r="B25" s="128" t="s">
        <v>330</v>
      </c>
      <c r="C25" s="438" t="s">
        <v>37</v>
      </c>
      <c r="D25" s="134">
        <v>42040</v>
      </c>
      <c r="E25" s="438">
        <v>1</v>
      </c>
      <c r="F25" s="438">
        <v>1</v>
      </c>
      <c r="G25" s="438" t="s">
        <v>38</v>
      </c>
      <c r="H25" s="438" t="s">
        <v>7</v>
      </c>
      <c r="I25" s="439">
        <v>42030</v>
      </c>
      <c r="J25" s="439"/>
      <c r="K25" s="301">
        <v>42041</v>
      </c>
      <c r="L25" s="188">
        <f t="shared" si="5"/>
        <v>10</v>
      </c>
      <c r="M25" s="140"/>
      <c r="N25" s="68" t="s">
        <v>123</v>
      </c>
      <c r="O25" s="69" t="s">
        <v>35</v>
      </c>
      <c r="P25" s="505">
        <v>42033</v>
      </c>
      <c r="Q25" s="21">
        <f t="shared" si="6"/>
        <v>11</v>
      </c>
      <c r="R25" s="22">
        <f t="shared" si="7"/>
        <v>3</v>
      </c>
    </row>
    <row r="26" spans="2:18" hidden="1">
      <c r="B26" s="122" t="s">
        <v>334</v>
      </c>
      <c r="C26" s="436" t="s">
        <v>47</v>
      </c>
      <c r="D26" s="133">
        <v>42044</v>
      </c>
      <c r="E26" s="436">
        <v>1</v>
      </c>
      <c r="F26" s="436">
        <v>1</v>
      </c>
      <c r="G26" s="436" t="s">
        <v>335</v>
      </c>
      <c r="H26" s="436" t="s">
        <v>6</v>
      </c>
      <c r="I26" s="437">
        <v>42030</v>
      </c>
      <c r="J26" s="437"/>
      <c r="K26" s="303">
        <v>42039</v>
      </c>
      <c r="L26" s="189">
        <f t="shared" si="5"/>
        <v>8</v>
      </c>
      <c r="M26" s="348"/>
      <c r="N26" s="75" t="s">
        <v>36</v>
      </c>
      <c r="O26" s="76"/>
      <c r="Q26" s="21">
        <f t="shared" si="6"/>
        <v>9</v>
      </c>
      <c r="R26" s="22">
        <f t="shared" si="7"/>
        <v>0</v>
      </c>
    </row>
    <row r="27" spans="2:18" hidden="1">
      <c r="B27" s="122" t="s">
        <v>343</v>
      </c>
      <c r="C27" s="436" t="s">
        <v>69</v>
      </c>
      <c r="D27" s="133">
        <v>42034</v>
      </c>
      <c r="E27" s="436">
        <v>1</v>
      </c>
      <c r="F27" s="436">
        <v>1</v>
      </c>
      <c r="G27" s="436" t="s">
        <v>70</v>
      </c>
      <c r="H27" s="436" t="s">
        <v>6</v>
      </c>
      <c r="I27" s="437">
        <v>42032</v>
      </c>
      <c r="J27" s="437"/>
      <c r="K27" s="303">
        <v>42039</v>
      </c>
      <c r="L27" s="189">
        <f>IF(ISBLANK(K27),"",NETWORKDAYS(I27,K27))</f>
        <v>6</v>
      </c>
      <c r="M27" s="348"/>
      <c r="N27" s="75" t="s">
        <v>36</v>
      </c>
      <c r="O27" s="76"/>
      <c r="Q27" s="21">
        <f t="shared" si="6"/>
        <v>7</v>
      </c>
      <c r="R27" s="22">
        <f t="shared" si="7"/>
        <v>0</v>
      </c>
    </row>
    <row r="28" spans="2:18" hidden="1">
      <c r="B28" s="128" t="s">
        <v>351</v>
      </c>
      <c r="C28" s="438" t="s">
        <v>202</v>
      </c>
      <c r="D28" s="134">
        <v>42051</v>
      </c>
      <c r="E28" s="438">
        <v>1</v>
      </c>
      <c r="F28" s="438">
        <v>1</v>
      </c>
      <c r="G28" s="438" t="s">
        <v>93</v>
      </c>
      <c r="H28" s="438" t="s">
        <v>7</v>
      </c>
      <c r="I28" s="439">
        <v>42030</v>
      </c>
      <c r="J28" s="158">
        <v>315.04000000000002</v>
      </c>
      <c r="K28" s="301">
        <v>42051</v>
      </c>
      <c r="L28" s="188">
        <f>IF(ISBLANK(K28),"",NETWORKDAYS(I28,K28))</f>
        <v>16</v>
      </c>
      <c r="M28" s="140"/>
      <c r="N28" s="68" t="s">
        <v>123</v>
      </c>
      <c r="O28" s="69" t="s">
        <v>34</v>
      </c>
      <c r="P28" s="505">
        <v>42045</v>
      </c>
      <c r="Q28" s="21">
        <f t="shared" si="6"/>
        <v>21</v>
      </c>
      <c r="R28" s="22">
        <f t="shared" si="7"/>
        <v>15</v>
      </c>
    </row>
    <row r="29" spans="2:18" hidden="1">
      <c r="B29" s="128" t="s">
        <v>352</v>
      </c>
      <c r="C29" s="438" t="s">
        <v>202</v>
      </c>
      <c r="D29" s="134">
        <v>42045</v>
      </c>
      <c r="E29" s="438">
        <v>2</v>
      </c>
      <c r="F29" s="438">
        <v>2</v>
      </c>
      <c r="G29" s="438" t="s">
        <v>28</v>
      </c>
      <c r="H29" s="438" t="s">
        <v>7</v>
      </c>
      <c r="I29" s="439">
        <v>42031</v>
      </c>
      <c r="J29" s="161">
        <v>945</v>
      </c>
      <c r="K29" s="301">
        <v>42059</v>
      </c>
      <c r="L29" s="188">
        <f>IF(ISBLANK(K29),"",NETWORKDAYS(I29,K29))</f>
        <v>21</v>
      </c>
      <c r="M29" s="140"/>
      <c r="N29" s="68" t="s">
        <v>123</v>
      </c>
      <c r="O29" s="69" t="s">
        <v>34</v>
      </c>
      <c r="P29" s="505">
        <v>42052</v>
      </c>
      <c r="Q29" s="21">
        <f t="shared" si="6"/>
        <v>28</v>
      </c>
      <c r="R29" s="22">
        <f t="shared" si="7"/>
        <v>21</v>
      </c>
    </row>
    <row r="30" spans="2:18" hidden="1">
      <c r="B30" s="128" t="s">
        <v>346</v>
      </c>
      <c r="C30" s="438" t="s">
        <v>198</v>
      </c>
      <c r="D30" s="134">
        <v>42045</v>
      </c>
      <c r="E30" s="438">
        <v>3</v>
      </c>
      <c r="F30" s="438">
        <v>3</v>
      </c>
      <c r="G30" s="438" t="s">
        <v>5</v>
      </c>
      <c r="H30" s="438" t="s">
        <v>7</v>
      </c>
      <c r="I30" s="439">
        <v>42032</v>
      </c>
      <c r="J30" s="161">
        <v>1105.18</v>
      </c>
      <c r="K30" s="301">
        <v>42059</v>
      </c>
      <c r="L30" s="188">
        <f>IF(ISBLANK(K30),"",NETWORKDAYS(I30,K30))</f>
        <v>20</v>
      </c>
      <c r="M30" s="140"/>
      <c r="N30" s="68" t="s">
        <v>123</v>
      </c>
      <c r="O30" s="69" t="s">
        <v>34</v>
      </c>
      <c r="P30" s="505">
        <v>42052</v>
      </c>
      <c r="Q30" s="21">
        <f t="shared" si="6"/>
        <v>27</v>
      </c>
      <c r="R30" s="22">
        <f t="shared" si="7"/>
        <v>20</v>
      </c>
    </row>
    <row r="31" spans="2:18" hidden="1">
      <c r="B31" s="128" t="s">
        <v>347</v>
      </c>
      <c r="C31" s="438" t="s">
        <v>372</v>
      </c>
      <c r="D31" s="134">
        <v>42045</v>
      </c>
      <c r="E31" s="438">
        <v>1</v>
      </c>
      <c r="F31" s="438">
        <v>1</v>
      </c>
      <c r="G31" s="438" t="s">
        <v>5</v>
      </c>
      <c r="H31" s="438" t="s">
        <v>7</v>
      </c>
      <c r="I31" s="439">
        <v>42034</v>
      </c>
      <c r="J31" s="161">
        <v>822.62</v>
      </c>
      <c r="K31" s="301">
        <v>42058</v>
      </c>
      <c r="L31" s="188">
        <f>IF(ISBLANK(K31),"",NETWORKDAYS(I31,K31))</f>
        <v>17</v>
      </c>
      <c r="M31" s="140"/>
      <c r="N31" s="68" t="s">
        <v>123</v>
      </c>
      <c r="O31" s="69" t="s">
        <v>34</v>
      </c>
      <c r="P31" s="505">
        <v>42052</v>
      </c>
      <c r="Q31" s="21">
        <f>IF(ISBLANK(K31),0,SUM(K31,-I31))</f>
        <v>24</v>
      </c>
      <c r="R31" s="22">
        <f t="shared" si="7"/>
        <v>18</v>
      </c>
    </row>
    <row r="32" spans="2:18" hidden="1">
      <c r="B32" s="121" t="s">
        <v>373</v>
      </c>
      <c r="C32" s="436" t="s">
        <v>27</v>
      </c>
      <c r="D32" s="133">
        <v>42079</v>
      </c>
      <c r="E32" s="436">
        <v>6</v>
      </c>
      <c r="F32" s="436">
        <v>6</v>
      </c>
      <c r="G32" s="436" t="s">
        <v>101</v>
      </c>
      <c r="H32" s="436" t="s">
        <v>6</v>
      </c>
      <c r="I32" s="437">
        <v>42039</v>
      </c>
      <c r="J32" s="153">
        <v>2179.2199999999998</v>
      </c>
      <c r="K32" s="303">
        <v>42076</v>
      </c>
      <c r="L32" s="189">
        <f t="shared" ref="L32:L43" si="8">IF(ISBLANK(K32),"",NETWORKDAYS(I32,K32))</f>
        <v>28</v>
      </c>
      <c r="M32" s="348"/>
      <c r="N32" s="75" t="s">
        <v>36</v>
      </c>
      <c r="O32" s="76"/>
      <c r="Q32" s="21">
        <f>IF(ISBLANK(K32),0,SUM(K32,-I32))</f>
        <v>37</v>
      </c>
      <c r="R32" s="22">
        <f t="shared" si="7"/>
        <v>0</v>
      </c>
    </row>
    <row r="33" spans="2:18" hidden="1">
      <c r="B33" s="164" t="s">
        <v>366</v>
      </c>
      <c r="C33" s="508" t="s">
        <v>27</v>
      </c>
      <c r="D33" s="166">
        <v>42051</v>
      </c>
      <c r="E33" s="508">
        <v>1</v>
      </c>
      <c r="F33" s="508">
        <v>1</v>
      </c>
      <c r="G33" s="508" t="s">
        <v>127</v>
      </c>
      <c r="H33" s="508" t="s">
        <v>6</v>
      </c>
      <c r="I33" s="509">
        <v>42040</v>
      </c>
      <c r="J33" s="168">
        <v>329.4</v>
      </c>
      <c r="K33" s="303">
        <v>42051</v>
      </c>
      <c r="L33" s="189">
        <f t="shared" si="8"/>
        <v>8</v>
      </c>
      <c r="M33" s="348"/>
      <c r="N33" s="75" t="s">
        <v>36</v>
      </c>
      <c r="O33" s="76"/>
      <c r="Q33" s="21">
        <f>IF(ISBLANK(K33),0,SUM(K33,-I33))</f>
        <v>11</v>
      </c>
      <c r="R33" s="22">
        <f>IF(ISBLANK(P33),0,SUM(P33,-I33))</f>
        <v>0</v>
      </c>
    </row>
    <row r="34" spans="2:18" hidden="1">
      <c r="B34" s="178" t="s">
        <v>361</v>
      </c>
      <c r="C34" s="441" t="s">
        <v>26</v>
      </c>
      <c r="D34" s="180">
        <v>42065</v>
      </c>
      <c r="E34" s="441">
        <v>2</v>
      </c>
      <c r="F34" s="441">
        <v>2</v>
      </c>
      <c r="G34" s="441" t="s">
        <v>59</v>
      </c>
      <c r="H34" s="441" t="s">
        <v>7</v>
      </c>
      <c r="I34" s="442">
        <v>42041</v>
      </c>
      <c r="J34" s="150">
        <v>554.04</v>
      </c>
      <c r="K34" s="301">
        <v>42051</v>
      </c>
      <c r="L34" s="188">
        <f t="shared" si="8"/>
        <v>7</v>
      </c>
      <c r="M34" s="140"/>
      <c r="N34" s="68" t="s">
        <v>123</v>
      </c>
      <c r="O34" s="69" t="s">
        <v>35</v>
      </c>
      <c r="P34" s="505">
        <v>42047</v>
      </c>
      <c r="Q34" s="21">
        <f t="shared" si="6"/>
        <v>10</v>
      </c>
      <c r="R34" s="22">
        <f t="shared" si="7"/>
        <v>6</v>
      </c>
    </row>
    <row r="35" spans="2:18" hidden="1">
      <c r="B35" s="178" t="s">
        <v>367</v>
      </c>
      <c r="C35" s="441" t="s">
        <v>194</v>
      </c>
      <c r="D35" s="180">
        <v>42060</v>
      </c>
      <c r="E35" s="441">
        <v>2</v>
      </c>
      <c r="F35" s="441">
        <v>2</v>
      </c>
      <c r="G35" s="441" t="s">
        <v>5</v>
      </c>
      <c r="H35" s="441" t="s">
        <v>7</v>
      </c>
      <c r="I35" s="442">
        <v>42044</v>
      </c>
      <c r="J35" s="150">
        <v>1005.48</v>
      </c>
      <c r="K35" s="301">
        <v>42051</v>
      </c>
      <c r="L35" s="188">
        <f t="shared" si="8"/>
        <v>6</v>
      </c>
      <c r="M35" s="140"/>
      <c r="N35" s="68" t="s">
        <v>123</v>
      </c>
      <c r="O35" s="69" t="s">
        <v>33</v>
      </c>
      <c r="P35" s="505">
        <v>42048</v>
      </c>
      <c r="Q35" s="21">
        <f t="shared" ref="Q35:Q75" si="9">IF(ISBLANK(K35),0,SUM(K35,-I35))</f>
        <v>7</v>
      </c>
      <c r="R35" s="22">
        <f>IF(ISBLANK(P35),0,SUM(P35,-I35))</f>
        <v>4</v>
      </c>
    </row>
    <row r="36" spans="2:18" hidden="1">
      <c r="B36" s="178" t="s">
        <v>363</v>
      </c>
      <c r="C36" s="441" t="s">
        <v>198</v>
      </c>
      <c r="D36" s="180">
        <v>42061</v>
      </c>
      <c r="E36" s="441">
        <v>1</v>
      </c>
      <c r="F36" s="441">
        <v>1</v>
      </c>
      <c r="G36" s="441" t="s">
        <v>364</v>
      </c>
      <c r="H36" s="441" t="s">
        <v>7</v>
      </c>
      <c r="I36" s="442">
        <v>42045</v>
      </c>
      <c r="J36" s="150">
        <v>1452</v>
      </c>
      <c r="K36" s="301">
        <v>42066</v>
      </c>
      <c r="L36" s="188">
        <f t="shared" si="8"/>
        <v>16</v>
      </c>
      <c r="M36" s="140"/>
      <c r="N36" s="68" t="s">
        <v>123</v>
      </c>
      <c r="O36" s="69" t="s">
        <v>33</v>
      </c>
      <c r="P36" s="505">
        <v>42062</v>
      </c>
      <c r="Q36" s="21">
        <f t="shared" si="9"/>
        <v>21</v>
      </c>
      <c r="R36" s="22">
        <f t="shared" si="7"/>
        <v>17</v>
      </c>
    </row>
    <row r="37" spans="2:18" hidden="1">
      <c r="B37" s="164" t="s">
        <v>365</v>
      </c>
      <c r="C37" s="508" t="s">
        <v>64</v>
      </c>
      <c r="D37" s="166">
        <v>42055</v>
      </c>
      <c r="E37" s="508">
        <v>1</v>
      </c>
      <c r="F37" s="508">
        <v>1</v>
      </c>
      <c r="G37" s="508" t="s">
        <v>59</v>
      </c>
      <c r="H37" s="508" t="s">
        <v>6</v>
      </c>
      <c r="I37" s="509">
        <v>42045</v>
      </c>
      <c r="J37" s="168">
        <v>260.27999999999997</v>
      </c>
      <c r="K37" s="303">
        <v>42051</v>
      </c>
      <c r="L37" s="189">
        <f t="shared" si="8"/>
        <v>5</v>
      </c>
      <c r="M37" s="348"/>
      <c r="N37" s="75" t="s">
        <v>36</v>
      </c>
      <c r="O37" s="76"/>
      <c r="Q37" s="21">
        <f t="shared" si="9"/>
        <v>6</v>
      </c>
      <c r="R37" s="22">
        <f>IF(ISBLANK(P37),0,SUM(P37,-I37))</f>
        <v>0</v>
      </c>
    </row>
    <row r="38" spans="2:18" hidden="1">
      <c r="B38" s="212" t="s">
        <v>377</v>
      </c>
      <c r="C38" s="443" t="s">
        <v>26</v>
      </c>
      <c r="D38" s="213">
        <v>42060</v>
      </c>
      <c r="E38" s="443">
        <v>1</v>
      </c>
      <c r="F38" s="443">
        <v>1</v>
      </c>
      <c r="G38" s="443" t="s">
        <v>38</v>
      </c>
      <c r="H38" s="443" t="s">
        <v>7</v>
      </c>
      <c r="I38" s="444">
        <v>42048</v>
      </c>
      <c r="J38" s="510">
        <v>337.18</v>
      </c>
      <c r="K38" s="301">
        <v>42059</v>
      </c>
      <c r="L38" s="188">
        <f t="shared" si="8"/>
        <v>8</v>
      </c>
      <c r="M38" s="67"/>
      <c r="N38" s="68" t="s">
        <v>123</v>
      </c>
      <c r="O38" s="69" t="s">
        <v>33</v>
      </c>
      <c r="P38" s="505">
        <v>42053</v>
      </c>
      <c r="Q38" s="21">
        <f t="shared" si="9"/>
        <v>11</v>
      </c>
      <c r="R38" s="22">
        <f t="shared" si="7"/>
        <v>5</v>
      </c>
    </row>
    <row r="39" spans="2:18" hidden="1">
      <c r="B39" s="212" t="s">
        <v>377</v>
      </c>
      <c r="C39" s="443" t="s">
        <v>26</v>
      </c>
      <c r="D39" s="213">
        <v>42060</v>
      </c>
      <c r="E39" s="443">
        <v>1</v>
      </c>
      <c r="F39" s="443">
        <v>1</v>
      </c>
      <c r="G39" s="443" t="s">
        <v>38</v>
      </c>
      <c r="H39" s="443" t="s">
        <v>7</v>
      </c>
      <c r="I39" s="444">
        <v>42048</v>
      </c>
      <c r="J39" s="510">
        <v>337.18</v>
      </c>
      <c r="K39" s="301">
        <v>42059</v>
      </c>
      <c r="L39" s="188">
        <f t="shared" si="8"/>
        <v>8</v>
      </c>
      <c r="M39" s="67"/>
      <c r="N39" s="68" t="s">
        <v>123</v>
      </c>
      <c r="O39" s="69" t="s">
        <v>33</v>
      </c>
      <c r="P39" s="505">
        <v>42053</v>
      </c>
      <c r="Q39" s="21">
        <f t="shared" si="9"/>
        <v>11</v>
      </c>
      <c r="R39" s="22">
        <f t="shared" si="7"/>
        <v>5</v>
      </c>
    </row>
    <row r="40" spans="2:18" hidden="1">
      <c r="B40" s="219" t="s">
        <v>391</v>
      </c>
      <c r="C40" s="511" t="s">
        <v>64</v>
      </c>
      <c r="D40" s="220">
        <v>42064</v>
      </c>
      <c r="E40" s="511">
        <v>1</v>
      </c>
      <c r="F40" s="511">
        <v>1</v>
      </c>
      <c r="G40" s="511" t="s">
        <v>52</v>
      </c>
      <c r="H40" s="511" t="s">
        <v>6</v>
      </c>
      <c r="I40" s="512">
        <v>42051</v>
      </c>
      <c r="J40" s="239"/>
      <c r="K40" s="303">
        <v>42074</v>
      </c>
      <c r="L40" s="189">
        <f t="shared" si="8"/>
        <v>18</v>
      </c>
      <c r="M40" s="74"/>
      <c r="N40" s="75" t="s">
        <v>36</v>
      </c>
      <c r="O40" s="76"/>
      <c r="P40" s="505"/>
      <c r="Q40" s="21">
        <f t="shared" si="9"/>
        <v>23</v>
      </c>
      <c r="R40" s="22">
        <f t="shared" si="7"/>
        <v>0</v>
      </c>
    </row>
    <row r="41" spans="2:18" hidden="1">
      <c r="B41" s="210" t="s">
        <v>382</v>
      </c>
      <c r="C41" s="450" t="s">
        <v>27</v>
      </c>
      <c r="D41" s="209">
        <v>42072</v>
      </c>
      <c r="E41" s="450">
        <v>1</v>
      </c>
      <c r="F41" s="450">
        <v>1</v>
      </c>
      <c r="G41" s="450" t="s">
        <v>187</v>
      </c>
      <c r="H41" s="450" t="s">
        <v>6</v>
      </c>
      <c r="I41" s="451">
        <v>42052</v>
      </c>
      <c r="J41" s="448">
        <v>441.61</v>
      </c>
      <c r="K41" s="303">
        <v>42060</v>
      </c>
      <c r="L41" s="189">
        <f t="shared" si="8"/>
        <v>7</v>
      </c>
      <c r="M41" s="74"/>
      <c r="N41" s="75" t="s">
        <v>36</v>
      </c>
      <c r="O41" s="76"/>
      <c r="Q41" s="21">
        <f t="shared" si="9"/>
        <v>8</v>
      </c>
      <c r="R41" s="22">
        <f t="shared" si="7"/>
        <v>0</v>
      </c>
    </row>
    <row r="42" spans="2:18" hidden="1">
      <c r="B42" s="210" t="s">
        <v>383</v>
      </c>
      <c r="C42" s="450" t="s">
        <v>64</v>
      </c>
      <c r="D42" s="209">
        <v>42072</v>
      </c>
      <c r="E42" s="450">
        <v>2</v>
      </c>
      <c r="F42" s="450">
        <v>2</v>
      </c>
      <c r="G42" s="450" t="s">
        <v>59</v>
      </c>
      <c r="H42" s="450" t="s">
        <v>6</v>
      </c>
      <c r="I42" s="451">
        <v>42052</v>
      </c>
      <c r="J42" s="448">
        <v>477.36</v>
      </c>
      <c r="K42" s="303">
        <v>42060</v>
      </c>
      <c r="L42" s="189">
        <f t="shared" si="8"/>
        <v>7</v>
      </c>
      <c r="M42" s="74"/>
      <c r="N42" s="75" t="s">
        <v>36</v>
      </c>
      <c r="O42" s="76"/>
      <c r="Q42" s="21">
        <f t="shared" si="9"/>
        <v>8</v>
      </c>
      <c r="R42" s="22">
        <f t="shared" si="7"/>
        <v>0</v>
      </c>
    </row>
    <row r="43" spans="2:18" hidden="1">
      <c r="B43" s="224" t="s">
        <v>403</v>
      </c>
      <c r="C43" s="460" t="s">
        <v>64</v>
      </c>
      <c r="D43" s="225">
        <v>42080</v>
      </c>
      <c r="E43" s="460">
        <v>2</v>
      </c>
      <c r="F43" s="460">
        <v>2</v>
      </c>
      <c r="G43" s="460" t="s">
        <v>117</v>
      </c>
      <c r="H43" s="460" t="s">
        <v>6</v>
      </c>
      <c r="I43" s="461">
        <v>42059</v>
      </c>
      <c r="J43" s="462">
        <v>163.08000000000001</v>
      </c>
      <c r="K43" s="303">
        <v>42060</v>
      </c>
      <c r="L43" s="189">
        <f t="shared" si="8"/>
        <v>2</v>
      </c>
      <c r="M43" s="74"/>
      <c r="N43" s="75" t="s">
        <v>36</v>
      </c>
      <c r="O43" s="76"/>
      <c r="Q43" s="21">
        <f t="shared" si="9"/>
        <v>1</v>
      </c>
      <c r="R43" s="22">
        <f>IF(ISBLANK(P43),0,SUM(P43,-I43))</f>
        <v>0</v>
      </c>
    </row>
    <row r="44" spans="2:18" hidden="1">
      <c r="B44" s="224" t="s">
        <v>411</v>
      </c>
      <c r="C44" s="460" t="s">
        <v>27</v>
      </c>
      <c r="D44" s="225">
        <v>42079</v>
      </c>
      <c r="E44" s="460">
        <v>2</v>
      </c>
      <c r="F44" s="460">
        <v>2</v>
      </c>
      <c r="G44" s="460" t="s">
        <v>109</v>
      </c>
      <c r="H44" s="460" t="s">
        <v>6</v>
      </c>
      <c r="I44" s="461">
        <v>42061</v>
      </c>
      <c r="J44" s="240">
        <v>562.79999999999995</v>
      </c>
      <c r="K44" s="303">
        <v>42069</v>
      </c>
      <c r="L44" s="189">
        <f t="shared" ref="L44:L53" si="10">IF(ISBLANK(K44),"",NETWORKDAYS(I44,K44))</f>
        <v>7</v>
      </c>
      <c r="M44" s="74"/>
      <c r="N44" s="75" t="s">
        <v>36</v>
      </c>
      <c r="O44" s="76"/>
      <c r="Q44" s="21">
        <f t="shared" si="9"/>
        <v>8</v>
      </c>
      <c r="R44" s="22">
        <f t="shared" si="7"/>
        <v>0</v>
      </c>
    </row>
    <row r="45" spans="2:18" hidden="1">
      <c r="B45" s="242" t="s">
        <v>421</v>
      </c>
      <c r="C45" s="513" t="s">
        <v>27</v>
      </c>
      <c r="D45" s="243">
        <v>42107</v>
      </c>
      <c r="E45" s="513">
        <v>1</v>
      </c>
      <c r="F45" s="513">
        <v>1</v>
      </c>
      <c r="G45" s="513" t="s">
        <v>127</v>
      </c>
      <c r="H45" s="513" t="s">
        <v>251</v>
      </c>
      <c r="I45" s="514">
        <v>42065</v>
      </c>
      <c r="J45" s="238"/>
      <c r="K45" s="303">
        <v>42081</v>
      </c>
      <c r="L45" s="189">
        <f t="shared" si="10"/>
        <v>13</v>
      </c>
      <c r="M45" s="74"/>
      <c r="N45" s="75" t="s">
        <v>36</v>
      </c>
      <c r="O45" s="76"/>
      <c r="Q45" s="21">
        <f t="shared" ref="Q45:Q53" si="11">IF(ISBLANK(K45),0,SUM(K45,-I45))</f>
        <v>16</v>
      </c>
      <c r="R45" s="22">
        <f t="shared" ref="R45:R56" si="12">IF(ISBLANK(P45),0,SUM(P45,-I45))</f>
        <v>0</v>
      </c>
    </row>
    <row r="46" spans="2:18" hidden="1">
      <c r="B46" s="242" t="s">
        <v>421</v>
      </c>
      <c r="C46" s="513" t="s">
        <v>27</v>
      </c>
      <c r="D46" s="243">
        <v>42107</v>
      </c>
      <c r="E46" s="513">
        <v>1</v>
      </c>
      <c r="F46" s="513">
        <v>1</v>
      </c>
      <c r="G46" s="513" t="s">
        <v>127</v>
      </c>
      <c r="H46" s="513" t="s">
        <v>251</v>
      </c>
      <c r="I46" s="514">
        <v>42065</v>
      </c>
      <c r="J46" s="238"/>
      <c r="K46" s="303">
        <v>42081</v>
      </c>
      <c r="L46" s="189">
        <f t="shared" si="10"/>
        <v>13</v>
      </c>
      <c r="M46" s="74"/>
      <c r="N46" s="75" t="s">
        <v>36</v>
      </c>
      <c r="O46" s="76"/>
      <c r="Q46" s="21">
        <f t="shared" si="11"/>
        <v>16</v>
      </c>
      <c r="R46" s="22">
        <f t="shared" si="12"/>
        <v>0</v>
      </c>
    </row>
    <row r="47" spans="2:18" hidden="1">
      <c r="B47" s="242" t="s">
        <v>422</v>
      </c>
      <c r="C47" s="465" t="s">
        <v>269</v>
      </c>
      <c r="D47" s="247">
        <v>42083</v>
      </c>
      <c r="E47" s="465">
        <v>1</v>
      </c>
      <c r="F47" s="465">
        <v>1</v>
      </c>
      <c r="G47" s="465" t="s">
        <v>5</v>
      </c>
      <c r="H47" s="465" t="s">
        <v>7</v>
      </c>
      <c r="I47" s="466">
        <v>42065</v>
      </c>
      <c r="J47" s="241">
        <v>443.74</v>
      </c>
      <c r="K47" s="301">
        <v>42079</v>
      </c>
      <c r="L47" s="188">
        <f t="shared" si="10"/>
        <v>11</v>
      </c>
      <c r="M47" s="67"/>
      <c r="N47" s="68" t="s">
        <v>123</v>
      </c>
      <c r="O47" s="69" t="s">
        <v>34</v>
      </c>
      <c r="P47" s="505">
        <v>42079</v>
      </c>
      <c r="Q47" s="21">
        <f t="shared" si="11"/>
        <v>14</v>
      </c>
      <c r="R47" s="22">
        <f t="shared" si="12"/>
        <v>14</v>
      </c>
    </row>
    <row r="48" spans="2:18" hidden="1">
      <c r="B48" s="245" t="s">
        <v>426</v>
      </c>
      <c r="C48" s="465" t="s">
        <v>54</v>
      </c>
      <c r="D48" s="247">
        <v>42069</v>
      </c>
      <c r="E48" s="465">
        <v>1</v>
      </c>
      <c r="F48" s="465">
        <v>1</v>
      </c>
      <c r="G48" s="465" t="s">
        <v>335</v>
      </c>
      <c r="H48" s="465" t="s">
        <v>7</v>
      </c>
      <c r="I48" s="466">
        <v>42065</v>
      </c>
      <c r="J48" s="241"/>
      <c r="K48" s="301">
        <v>42073</v>
      </c>
      <c r="L48" s="188">
        <f t="shared" si="10"/>
        <v>7</v>
      </c>
      <c r="M48" s="67"/>
      <c r="N48" s="68" t="s">
        <v>123</v>
      </c>
      <c r="O48" s="69" t="s">
        <v>33</v>
      </c>
      <c r="P48" s="505">
        <v>42072</v>
      </c>
      <c r="Q48" s="21">
        <f t="shared" si="11"/>
        <v>8</v>
      </c>
      <c r="R48" s="22">
        <f t="shared" si="12"/>
        <v>7</v>
      </c>
    </row>
    <row r="49" spans="1:18" hidden="1">
      <c r="B49" s="244" t="s">
        <v>425</v>
      </c>
      <c r="C49" s="513" t="s">
        <v>64</v>
      </c>
      <c r="D49" s="243">
        <v>42072</v>
      </c>
      <c r="E49" s="513">
        <v>2</v>
      </c>
      <c r="F49" s="513">
        <v>2</v>
      </c>
      <c r="G49" s="513" t="s">
        <v>52</v>
      </c>
      <c r="H49" s="513" t="s">
        <v>6</v>
      </c>
      <c r="I49" s="514">
        <v>42065</v>
      </c>
      <c r="J49" s="241"/>
      <c r="K49" s="303">
        <v>42081</v>
      </c>
      <c r="L49" s="189">
        <f t="shared" si="10"/>
        <v>13</v>
      </c>
      <c r="M49" s="74"/>
      <c r="N49" s="75" t="s">
        <v>36</v>
      </c>
      <c r="O49" s="76"/>
      <c r="Q49" s="21">
        <f t="shared" si="11"/>
        <v>16</v>
      </c>
      <c r="R49" s="22">
        <f t="shared" si="12"/>
        <v>0</v>
      </c>
    </row>
    <row r="50" spans="1:18" hidden="1">
      <c r="B50" s="245" t="s">
        <v>417</v>
      </c>
      <c r="C50" s="465" t="s">
        <v>194</v>
      </c>
      <c r="D50" s="247">
        <v>42083</v>
      </c>
      <c r="E50" s="465">
        <v>2</v>
      </c>
      <c r="F50" s="465">
        <v>2</v>
      </c>
      <c r="G50" s="465" t="s">
        <v>5</v>
      </c>
      <c r="H50" s="465" t="s">
        <v>7</v>
      </c>
      <c r="I50" s="466">
        <v>42067</v>
      </c>
      <c r="J50" s="238"/>
      <c r="K50" s="347">
        <v>42089</v>
      </c>
      <c r="L50" s="188">
        <f t="shared" si="10"/>
        <v>17</v>
      </c>
      <c r="M50" s="68"/>
      <c r="N50" s="69" t="s">
        <v>123</v>
      </c>
      <c r="O50" s="69" t="s">
        <v>34</v>
      </c>
      <c r="P50" s="505">
        <v>42086</v>
      </c>
      <c r="Q50" s="21">
        <f t="shared" si="11"/>
        <v>22</v>
      </c>
      <c r="R50" s="22">
        <f t="shared" si="12"/>
        <v>19</v>
      </c>
    </row>
    <row r="51" spans="1:18" hidden="1">
      <c r="B51" s="245" t="s">
        <v>459</v>
      </c>
      <c r="C51" s="465" t="s">
        <v>460</v>
      </c>
      <c r="D51" s="247">
        <v>42093</v>
      </c>
      <c r="E51" s="465">
        <v>1</v>
      </c>
      <c r="F51" s="465">
        <v>1</v>
      </c>
      <c r="G51" s="465" t="s">
        <v>461</v>
      </c>
      <c r="H51" s="465" t="s">
        <v>7</v>
      </c>
      <c r="I51" s="466">
        <v>42073</v>
      </c>
      <c r="J51" s="272"/>
      <c r="K51" s="347">
        <v>42108</v>
      </c>
      <c r="L51" s="188">
        <f t="shared" si="10"/>
        <v>26</v>
      </c>
      <c r="M51" s="68"/>
      <c r="N51" s="69" t="s">
        <v>123</v>
      </c>
      <c r="O51" s="69" t="s">
        <v>42</v>
      </c>
      <c r="P51" s="505">
        <v>42104</v>
      </c>
      <c r="Q51" s="21">
        <f t="shared" si="11"/>
        <v>35</v>
      </c>
      <c r="R51" s="22">
        <f t="shared" si="12"/>
        <v>31</v>
      </c>
    </row>
    <row r="52" spans="1:18" hidden="1">
      <c r="B52" s="277" t="s">
        <v>433</v>
      </c>
      <c r="C52" s="515" t="s">
        <v>194</v>
      </c>
      <c r="D52" s="259">
        <v>42114</v>
      </c>
      <c r="E52" s="515">
        <v>1</v>
      </c>
      <c r="F52" s="515">
        <v>1</v>
      </c>
      <c r="G52" s="515" t="s">
        <v>126</v>
      </c>
      <c r="H52" s="515" t="s">
        <v>251</v>
      </c>
      <c r="I52" s="516">
        <v>42069</v>
      </c>
      <c r="J52" s="471">
        <v>945.34</v>
      </c>
      <c r="K52" s="301">
        <v>42110</v>
      </c>
      <c r="L52" s="188">
        <f t="shared" si="10"/>
        <v>30</v>
      </c>
      <c r="M52" s="67"/>
      <c r="N52" s="68" t="s">
        <v>123</v>
      </c>
      <c r="O52" s="69" t="s">
        <v>34</v>
      </c>
      <c r="P52" s="505">
        <v>42086</v>
      </c>
      <c r="Q52" s="21">
        <f t="shared" si="11"/>
        <v>41</v>
      </c>
      <c r="R52" s="22">
        <f t="shared" si="12"/>
        <v>17</v>
      </c>
    </row>
    <row r="53" spans="1:18" hidden="1">
      <c r="A53" s="169" t="s">
        <v>122</v>
      </c>
      <c r="B53" s="263" t="s">
        <v>437</v>
      </c>
      <c r="C53" s="517" t="s">
        <v>27</v>
      </c>
      <c r="D53" s="265">
        <v>42088</v>
      </c>
      <c r="E53" s="517">
        <v>2</v>
      </c>
      <c r="F53" s="517">
        <v>2</v>
      </c>
      <c r="G53" s="517" t="s">
        <v>119</v>
      </c>
      <c r="H53" s="517" t="s">
        <v>6</v>
      </c>
      <c r="I53" s="518">
        <v>42073</v>
      </c>
      <c r="J53" s="473">
        <v>904.32</v>
      </c>
      <c r="K53" s="303">
        <v>42082</v>
      </c>
      <c r="L53" s="189">
        <f t="shared" si="10"/>
        <v>8</v>
      </c>
      <c r="M53" s="74"/>
      <c r="N53" s="75" t="s">
        <v>36</v>
      </c>
      <c r="O53" s="76"/>
      <c r="Q53" s="21">
        <f t="shared" si="11"/>
        <v>9</v>
      </c>
      <c r="R53" s="22">
        <f t="shared" si="12"/>
        <v>0</v>
      </c>
    </row>
    <row r="54" spans="1:18" hidden="1">
      <c r="A54" s="169" t="s">
        <v>122</v>
      </c>
      <c r="B54" s="274" t="s">
        <v>438</v>
      </c>
      <c r="C54" s="478" t="s">
        <v>64</v>
      </c>
      <c r="D54" s="276">
        <v>42093</v>
      </c>
      <c r="E54" s="478">
        <v>1</v>
      </c>
      <c r="F54" s="478">
        <v>1</v>
      </c>
      <c r="G54" s="478" t="s">
        <v>59</v>
      </c>
      <c r="H54" s="478" t="s">
        <v>6</v>
      </c>
      <c r="I54" s="479">
        <v>42074</v>
      </c>
      <c r="J54" s="477">
        <v>193.86</v>
      </c>
      <c r="K54" s="303">
        <v>42082</v>
      </c>
      <c r="L54" s="189">
        <f t="shared" ref="L54:L60" si="13">IF(ISBLANK(K54),"",NETWORKDAYS(I54,K54))</f>
        <v>7</v>
      </c>
      <c r="M54" s="74"/>
      <c r="N54" s="75" t="s">
        <v>36</v>
      </c>
      <c r="O54" s="76"/>
      <c r="Q54" s="21">
        <f t="shared" si="9"/>
        <v>8</v>
      </c>
      <c r="R54" s="22">
        <f t="shared" si="12"/>
        <v>0</v>
      </c>
    </row>
    <row r="55" spans="1:18" hidden="1">
      <c r="A55" s="169" t="s">
        <v>122</v>
      </c>
      <c r="B55" s="274" t="s">
        <v>438</v>
      </c>
      <c r="C55" s="478" t="s">
        <v>64</v>
      </c>
      <c r="D55" s="276">
        <v>42093</v>
      </c>
      <c r="E55" s="478">
        <v>1</v>
      </c>
      <c r="F55" s="478">
        <v>1</v>
      </c>
      <c r="G55" s="478" t="s">
        <v>59</v>
      </c>
      <c r="H55" s="478" t="s">
        <v>6</v>
      </c>
      <c r="I55" s="479">
        <v>42074</v>
      </c>
      <c r="J55" s="477">
        <v>193.86</v>
      </c>
      <c r="K55" s="303">
        <v>42082</v>
      </c>
      <c r="L55" s="189">
        <f t="shared" si="13"/>
        <v>7</v>
      </c>
      <c r="M55" s="74"/>
      <c r="N55" s="75" t="s">
        <v>36</v>
      </c>
      <c r="O55" s="76"/>
      <c r="Q55" s="21">
        <f t="shared" si="9"/>
        <v>8</v>
      </c>
      <c r="R55" s="22">
        <f t="shared" si="12"/>
        <v>0</v>
      </c>
    </row>
    <row r="56" spans="1:18" hidden="1">
      <c r="A56" s="169" t="s">
        <v>122</v>
      </c>
      <c r="B56" s="274" t="s">
        <v>462</v>
      </c>
      <c r="C56" s="478" t="s">
        <v>27</v>
      </c>
      <c r="D56" s="276">
        <v>42100</v>
      </c>
      <c r="E56" s="478">
        <v>5</v>
      </c>
      <c r="F56" s="478">
        <v>5</v>
      </c>
      <c r="G56" s="478" t="s">
        <v>109</v>
      </c>
      <c r="H56" s="478" t="s">
        <v>6</v>
      </c>
      <c r="I56" s="479">
        <v>42075</v>
      </c>
      <c r="J56" s="477"/>
      <c r="K56" s="303">
        <v>42082</v>
      </c>
      <c r="L56" s="189">
        <f t="shared" si="13"/>
        <v>6</v>
      </c>
      <c r="M56" s="74"/>
      <c r="N56" s="75" t="s">
        <v>36</v>
      </c>
      <c r="O56" s="76"/>
      <c r="Q56" s="21">
        <f t="shared" si="9"/>
        <v>7</v>
      </c>
      <c r="R56" s="22">
        <f t="shared" si="12"/>
        <v>0</v>
      </c>
    </row>
    <row r="57" spans="1:18" hidden="1">
      <c r="B57" s="273" t="s">
        <v>449</v>
      </c>
      <c r="C57" s="475" t="s">
        <v>26</v>
      </c>
      <c r="D57" s="285">
        <v>42121</v>
      </c>
      <c r="E57" s="475">
        <v>1</v>
      </c>
      <c r="F57" s="475">
        <v>1</v>
      </c>
      <c r="G57" s="475" t="s">
        <v>448</v>
      </c>
      <c r="H57" s="475" t="s">
        <v>251</v>
      </c>
      <c r="I57" s="476">
        <v>42076</v>
      </c>
      <c r="J57" s="302"/>
      <c r="K57" s="301">
        <v>42094</v>
      </c>
      <c r="L57" s="188">
        <f t="shared" si="13"/>
        <v>13</v>
      </c>
      <c r="M57" s="67"/>
      <c r="N57" s="68" t="s">
        <v>123</v>
      </c>
      <c r="O57" s="69" t="s">
        <v>35</v>
      </c>
      <c r="P57" s="505">
        <v>42083</v>
      </c>
      <c r="Q57" s="21">
        <f t="shared" ref="Q57:Q66" si="14">IF(ISBLANK(K57),0,SUM(K57,-I57))</f>
        <v>18</v>
      </c>
      <c r="R57" s="22">
        <f t="shared" ref="R57:R66" si="15">IF(ISBLANK(P57),0,SUM(P57,-I57))</f>
        <v>7</v>
      </c>
    </row>
    <row r="58" spans="1:18" hidden="1">
      <c r="B58" s="274" t="s">
        <v>454</v>
      </c>
      <c r="C58" s="478" t="s">
        <v>64</v>
      </c>
      <c r="D58" s="276">
        <v>42100</v>
      </c>
      <c r="E58" s="478">
        <v>3</v>
      </c>
      <c r="F58" s="478">
        <v>3</v>
      </c>
      <c r="G58" s="478" t="s">
        <v>445</v>
      </c>
      <c r="H58" s="478" t="s">
        <v>6</v>
      </c>
      <c r="I58" s="479">
        <v>42076</v>
      </c>
      <c r="J58" s="477">
        <v>486</v>
      </c>
      <c r="K58" s="303">
        <v>42083</v>
      </c>
      <c r="L58" s="189">
        <f t="shared" si="13"/>
        <v>6</v>
      </c>
      <c r="M58" s="74"/>
      <c r="N58" s="75" t="s">
        <v>36</v>
      </c>
      <c r="O58" s="76"/>
      <c r="Q58" s="21">
        <f t="shared" si="14"/>
        <v>7</v>
      </c>
      <c r="R58" s="22">
        <f t="shared" si="15"/>
        <v>0</v>
      </c>
    </row>
    <row r="59" spans="1:18" hidden="1">
      <c r="B59" s="274" t="s">
        <v>454</v>
      </c>
      <c r="C59" s="478" t="s">
        <v>64</v>
      </c>
      <c r="D59" s="276">
        <v>42100</v>
      </c>
      <c r="E59" s="478">
        <v>5</v>
      </c>
      <c r="F59" s="478">
        <v>5</v>
      </c>
      <c r="G59" s="478" t="s">
        <v>445</v>
      </c>
      <c r="H59" s="478" t="s">
        <v>6</v>
      </c>
      <c r="I59" s="479">
        <v>42076</v>
      </c>
      <c r="J59" s="477">
        <v>823.5</v>
      </c>
      <c r="K59" s="303">
        <v>42083</v>
      </c>
      <c r="L59" s="189">
        <f t="shared" si="13"/>
        <v>6</v>
      </c>
      <c r="M59" s="74"/>
      <c r="N59" s="75" t="s">
        <v>36</v>
      </c>
      <c r="O59" s="76"/>
      <c r="Q59" s="21">
        <f t="shared" si="14"/>
        <v>7</v>
      </c>
      <c r="R59" s="22">
        <f t="shared" si="15"/>
        <v>0</v>
      </c>
    </row>
    <row r="60" spans="1:18" hidden="1">
      <c r="B60" s="283" t="s">
        <v>456</v>
      </c>
      <c r="C60" s="475" t="s">
        <v>54</v>
      </c>
      <c r="D60" s="285">
        <v>42107</v>
      </c>
      <c r="E60" s="475">
        <v>1</v>
      </c>
      <c r="F60" s="475">
        <v>1</v>
      </c>
      <c r="G60" s="475" t="s">
        <v>457</v>
      </c>
      <c r="H60" s="475" t="s">
        <v>7</v>
      </c>
      <c r="I60" s="476">
        <v>42079</v>
      </c>
      <c r="J60" s="477">
        <v>783.96</v>
      </c>
      <c r="K60" s="301">
        <v>42086</v>
      </c>
      <c r="L60" s="188">
        <f t="shared" si="13"/>
        <v>6</v>
      </c>
      <c r="M60" s="67"/>
      <c r="N60" s="68" t="s">
        <v>123</v>
      </c>
      <c r="O60" s="69" t="s">
        <v>35</v>
      </c>
      <c r="P60" s="505">
        <v>42083</v>
      </c>
      <c r="Q60" s="21">
        <f t="shared" si="14"/>
        <v>7</v>
      </c>
      <c r="R60" s="22">
        <f t="shared" si="15"/>
        <v>4</v>
      </c>
    </row>
    <row r="61" spans="1:18" hidden="1">
      <c r="B61" s="283" t="s">
        <v>482</v>
      </c>
      <c r="C61" s="475" t="s">
        <v>53</v>
      </c>
      <c r="D61" s="285">
        <v>42093</v>
      </c>
      <c r="E61" s="475">
        <v>1</v>
      </c>
      <c r="F61" s="475">
        <v>1</v>
      </c>
      <c r="G61" s="475" t="s">
        <v>483</v>
      </c>
      <c r="H61" s="475" t="s">
        <v>7</v>
      </c>
      <c r="I61" s="476">
        <v>42080</v>
      </c>
      <c r="J61" s="477">
        <v>784.96</v>
      </c>
      <c r="K61" s="301">
        <v>42086</v>
      </c>
      <c r="L61" s="188">
        <f>IF(ISBLANK(K61),"",NETWORKDAYS(I61,K61))</f>
        <v>5</v>
      </c>
      <c r="M61" s="67"/>
      <c r="N61" s="68" t="s">
        <v>36</v>
      </c>
      <c r="O61" s="69"/>
      <c r="P61" s="505"/>
      <c r="Q61" s="21">
        <f>IF(ISBLANK(K61),0,SUM(K61,-I61))</f>
        <v>6</v>
      </c>
      <c r="R61" s="22">
        <f>IF(ISBLANK(P61),0,SUM(P61,-I61))</f>
        <v>0</v>
      </c>
    </row>
    <row r="62" spans="1:18" hidden="1">
      <c r="B62" s="283" t="s">
        <v>467</v>
      </c>
      <c r="C62" s="475" t="s">
        <v>460</v>
      </c>
      <c r="D62" s="285">
        <v>42096</v>
      </c>
      <c r="E62" s="475">
        <v>1</v>
      </c>
      <c r="F62" s="475">
        <v>1</v>
      </c>
      <c r="G62" s="475" t="s">
        <v>468</v>
      </c>
      <c r="H62" s="475" t="s">
        <v>7</v>
      </c>
      <c r="I62" s="476">
        <v>42080</v>
      </c>
      <c r="J62" s="477">
        <v>1736.4</v>
      </c>
      <c r="K62" s="301">
        <v>42090</v>
      </c>
      <c r="L62" s="188">
        <f>IF(ISBLANK(K62),"",NETWORKDAYS(I62,K62))</f>
        <v>9</v>
      </c>
      <c r="M62" s="67"/>
      <c r="N62" s="68" t="s">
        <v>123</v>
      </c>
      <c r="O62" s="69" t="s">
        <v>33</v>
      </c>
      <c r="P62" s="505">
        <v>42083</v>
      </c>
      <c r="Q62" s="21">
        <f>IF(ISBLANK(K62),0,SUM(K62,-I62))</f>
        <v>10</v>
      </c>
      <c r="R62" s="22">
        <f>IF(ISBLANK(P62),0,SUM(P62,-I62))</f>
        <v>3</v>
      </c>
    </row>
    <row r="63" spans="1:18" hidden="1">
      <c r="B63" s="283" t="s">
        <v>467</v>
      </c>
      <c r="C63" s="475" t="s">
        <v>481</v>
      </c>
      <c r="D63" s="285">
        <v>42096</v>
      </c>
      <c r="E63" s="475">
        <v>1</v>
      </c>
      <c r="F63" s="475">
        <v>1</v>
      </c>
      <c r="G63" s="475" t="s">
        <v>468</v>
      </c>
      <c r="H63" s="475" t="s">
        <v>7</v>
      </c>
      <c r="I63" s="476">
        <v>42080</v>
      </c>
      <c r="K63" s="301">
        <v>42090</v>
      </c>
      <c r="L63" s="188">
        <f>IF(ISBLANK(K63),"",NETWORKDAYS(I63,K63))</f>
        <v>9</v>
      </c>
      <c r="M63" s="67"/>
      <c r="N63" s="68" t="s">
        <v>96</v>
      </c>
      <c r="O63" s="69"/>
      <c r="Q63" s="21">
        <f t="shared" si="14"/>
        <v>10</v>
      </c>
      <c r="R63" s="22">
        <f t="shared" si="15"/>
        <v>0</v>
      </c>
    </row>
    <row r="64" spans="1:18" hidden="1">
      <c r="B64" s="273" t="s">
        <v>487</v>
      </c>
      <c r="C64" s="475" t="s">
        <v>488</v>
      </c>
      <c r="D64" s="285">
        <v>42128</v>
      </c>
      <c r="E64" s="475">
        <v>1</v>
      </c>
      <c r="F64" s="475">
        <v>1</v>
      </c>
      <c r="G64" s="475" t="s">
        <v>489</v>
      </c>
      <c r="H64" s="475" t="s">
        <v>251</v>
      </c>
      <c r="I64" s="476">
        <v>42083</v>
      </c>
      <c r="J64" s="520"/>
      <c r="K64" s="301">
        <v>42094</v>
      </c>
      <c r="L64" s="188">
        <f>IF(ISBLANK(K64),"",NETWORKDAYS(I64,K64))</f>
        <v>8</v>
      </c>
      <c r="M64" s="67"/>
      <c r="N64" s="68" t="s">
        <v>123</v>
      </c>
      <c r="O64" s="69" t="s">
        <v>35</v>
      </c>
      <c r="P64" s="505">
        <v>42093</v>
      </c>
      <c r="Q64" s="21">
        <f t="shared" si="14"/>
        <v>11</v>
      </c>
      <c r="R64" s="22">
        <f t="shared" si="15"/>
        <v>10</v>
      </c>
    </row>
    <row r="65" spans="1:18" hidden="1">
      <c r="B65" s="273" t="s">
        <v>490</v>
      </c>
      <c r="C65" s="475" t="s">
        <v>488</v>
      </c>
      <c r="D65" s="285">
        <v>42121</v>
      </c>
      <c r="E65" s="475">
        <v>1</v>
      </c>
      <c r="F65" s="475">
        <v>1</v>
      </c>
      <c r="G65" s="475" t="s">
        <v>196</v>
      </c>
      <c r="H65" s="475" t="s">
        <v>251</v>
      </c>
      <c r="I65" s="476">
        <v>42086</v>
      </c>
      <c r="J65" s="520"/>
      <c r="K65" s="301">
        <v>42094</v>
      </c>
      <c r="L65" s="188">
        <f>IF(ISBLANK(K65),"",NETWORKDAYS(I65,K65))</f>
        <v>7</v>
      </c>
      <c r="M65" s="67"/>
      <c r="N65" s="68" t="s">
        <v>123</v>
      </c>
      <c r="O65" s="69" t="s">
        <v>35</v>
      </c>
      <c r="P65" s="505">
        <v>42094</v>
      </c>
      <c r="Q65" s="21">
        <f t="shared" si="14"/>
        <v>8</v>
      </c>
      <c r="R65" s="22">
        <f t="shared" si="15"/>
        <v>8</v>
      </c>
    </row>
    <row r="66" spans="1:18" hidden="1">
      <c r="B66" s="291" t="s">
        <v>503</v>
      </c>
      <c r="C66" s="481" t="s">
        <v>504</v>
      </c>
      <c r="D66" s="292">
        <v>42088</v>
      </c>
      <c r="E66" s="481">
        <v>1</v>
      </c>
      <c r="F66" s="481">
        <v>1</v>
      </c>
      <c r="G66" s="481" t="s">
        <v>505</v>
      </c>
      <c r="H66" s="481" t="s">
        <v>6</v>
      </c>
      <c r="I66" s="482">
        <v>42088</v>
      </c>
      <c r="J66" s="412">
        <v>0</v>
      </c>
      <c r="K66" s="303">
        <v>42093</v>
      </c>
      <c r="L66" s="189">
        <f t="shared" ref="L66:L74" si="16">IF(ISBLANK(K66),"",NETWORKDAYS(I66,K66))</f>
        <v>4</v>
      </c>
      <c r="M66" s="74"/>
      <c r="N66" s="75" t="s">
        <v>62</v>
      </c>
      <c r="O66" s="76"/>
      <c r="Q66" s="21">
        <f t="shared" si="14"/>
        <v>5</v>
      </c>
      <c r="R66" s="22">
        <f t="shared" si="15"/>
        <v>0</v>
      </c>
    </row>
    <row r="67" spans="1:18" hidden="1">
      <c r="B67" s="314" t="s">
        <v>501</v>
      </c>
      <c r="C67" s="483" t="s">
        <v>26</v>
      </c>
      <c r="D67" s="316">
        <v>42107</v>
      </c>
      <c r="E67" s="483">
        <v>1</v>
      </c>
      <c r="F67" s="483">
        <v>1</v>
      </c>
      <c r="G67" s="483" t="s">
        <v>502</v>
      </c>
      <c r="H67" s="483" t="s">
        <v>7</v>
      </c>
      <c r="I67" s="484">
        <v>42088</v>
      </c>
      <c r="J67" s="412">
        <v>648.96</v>
      </c>
      <c r="K67" s="301">
        <v>42104</v>
      </c>
      <c r="L67" s="188">
        <f t="shared" si="16"/>
        <v>13</v>
      </c>
      <c r="M67" s="67"/>
      <c r="N67" s="68" t="s">
        <v>123</v>
      </c>
      <c r="O67" s="69" t="s">
        <v>33</v>
      </c>
      <c r="P67" s="505">
        <v>42096</v>
      </c>
      <c r="Q67" s="21">
        <f t="shared" si="9"/>
        <v>16</v>
      </c>
      <c r="R67" s="22">
        <f t="shared" ref="R67:R75" si="17">IF(ISBLANK(P67),0,SUM(P67,-I67))</f>
        <v>8</v>
      </c>
    </row>
    <row r="68" spans="1:18" hidden="1">
      <c r="B68" s="297" t="s">
        <v>518</v>
      </c>
      <c r="C68" s="486" t="s">
        <v>27</v>
      </c>
      <c r="D68" s="299">
        <v>42107</v>
      </c>
      <c r="E68" s="486">
        <v>2</v>
      </c>
      <c r="F68" s="486">
        <v>2</v>
      </c>
      <c r="G68" s="486" t="s">
        <v>109</v>
      </c>
      <c r="H68" s="486" t="s">
        <v>6</v>
      </c>
      <c r="I68" s="487">
        <v>42089</v>
      </c>
      <c r="J68" s="413">
        <v>510</v>
      </c>
      <c r="K68" s="303">
        <v>42094</v>
      </c>
      <c r="L68" s="189">
        <f t="shared" si="16"/>
        <v>4</v>
      </c>
      <c r="M68" s="74"/>
      <c r="N68" s="75" t="s">
        <v>36</v>
      </c>
      <c r="O68" s="76"/>
      <c r="Q68" s="21">
        <f t="shared" si="9"/>
        <v>5</v>
      </c>
      <c r="R68" s="22">
        <f t="shared" si="17"/>
        <v>0</v>
      </c>
    </row>
    <row r="69" spans="1:18" hidden="1">
      <c r="B69" s="297" t="s">
        <v>540</v>
      </c>
      <c r="C69" s="486" t="s">
        <v>204</v>
      </c>
      <c r="D69" s="299">
        <v>42098</v>
      </c>
      <c r="E69" s="486">
        <v>3</v>
      </c>
      <c r="F69" s="486">
        <v>3</v>
      </c>
      <c r="G69" s="486" t="s">
        <v>541</v>
      </c>
      <c r="H69" s="486" t="s">
        <v>6</v>
      </c>
      <c r="I69" s="487">
        <v>42089</v>
      </c>
      <c r="J69" s="413" t="s">
        <v>542</v>
      </c>
      <c r="K69" s="303">
        <v>42107</v>
      </c>
      <c r="L69" s="189">
        <f t="shared" si="16"/>
        <v>13</v>
      </c>
      <c r="M69" s="74"/>
      <c r="N69" s="75" t="s">
        <v>36</v>
      </c>
      <c r="O69" s="76"/>
      <c r="Q69" s="21">
        <f t="shared" si="9"/>
        <v>18</v>
      </c>
      <c r="R69" s="22">
        <f t="shared" si="17"/>
        <v>0</v>
      </c>
    </row>
    <row r="70" spans="1:18" hidden="1">
      <c r="B70" s="304" t="s">
        <v>548</v>
      </c>
      <c r="C70" s="495" t="s">
        <v>64</v>
      </c>
      <c r="D70" s="305">
        <v>42114</v>
      </c>
      <c r="E70" s="495">
        <v>1</v>
      </c>
      <c r="F70" s="495">
        <v>1</v>
      </c>
      <c r="G70" s="495" t="s">
        <v>549</v>
      </c>
      <c r="H70" s="495" t="s">
        <v>6</v>
      </c>
      <c r="I70" s="496">
        <v>42094</v>
      </c>
      <c r="J70" s="414">
        <v>216.01</v>
      </c>
      <c r="K70" s="303">
        <v>42102</v>
      </c>
      <c r="L70" s="189">
        <f t="shared" si="16"/>
        <v>7</v>
      </c>
      <c r="M70" s="74"/>
      <c r="N70" s="75" t="s">
        <v>36</v>
      </c>
      <c r="O70" s="76"/>
      <c r="Q70" s="21">
        <f t="shared" si="9"/>
        <v>8</v>
      </c>
      <c r="R70" s="22">
        <f t="shared" si="17"/>
        <v>0</v>
      </c>
    </row>
    <row r="71" spans="1:18" hidden="1">
      <c r="B71" s="304" t="s">
        <v>548</v>
      </c>
      <c r="C71" s="495" t="s">
        <v>64</v>
      </c>
      <c r="D71" s="305">
        <v>42114</v>
      </c>
      <c r="E71" s="495">
        <v>1</v>
      </c>
      <c r="F71" s="495">
        <v>1</v>
      </c>
      <c r="G71" s="495" t="s">
        <v>549</v>
      </c>
      <c r="H71" s="495" t="s">
        <v>6</v>
      </c>
      <c r="I71" s="496">
        <v>42094</v>
      </c>
      <c r="J71" s="414">
        <v>216.01</v>
      </c>
      <c r="K71" s="303">
        <v>42102</v>
      </c>
      <c r="L71" s="189">
        <f t="shared" si="16"/>
        <v>7</v>
      </c>
      <c r="M71" s="74"/>
      <c r="N71" s="75" t="s">
        <v>36</v>
      </c>
      <c r="O71" s="76"/>
      <c r="Q71" s="21">
        <f t="shared" si="9"/>
        <v>8</v>
      </c>
      <c r="R71" s="22">
        <f t="shared" si="17"/>
        <v>0</v>
      </c>
    </row>
    <row r="72" spans="1:18" hidden="1">
      <c r="B72" s="304" t="s">
        <v>550</v>
      </c>
      <c r="C72" s="495" t="s">
        <v>64</v>
      </c>
      <c r="D72" s="305">
        <v>42114</v>
      </c>
      <c r="E72" s="495">
        <v>1</v>
      </c>
      <c r="F72" s="495">
        <v>1</v>
      </c>
      <c r="G72" s="495" t="s">
        <v>549</v>
      </c>
      <c r="H72" s="495" t="s">
        <v>6</v>
      </c>
      <c r="I72" s="496">
        <v>42094</v>
      </c>
      <c r="J72" s="414">
        <v>195.71</v>
      </c>
      <c r="K72" s="303">
        <v>42102</v>
      </c>
      <c r="L72" s="189">
        <f t="shared" si="16"/>
        <v>7</v>
      </c>
      <c r="M72" s="74"/>
      <c r="N72" s="75" t="s">
        <v>36</v>
      </c>
      <c r="O72" s="76"/>
      <c r="Q72" s="21">
        <f t="shared" si="9"/>
        <v>8</v>
      </c>
      <c r="R72" s="22">
        <f t="shared" si="17"/>
        <v>0</v>
      </c>
    </row>
    <row r="73" spans="1:18" hidden="1">
      <c r="B73" s="320" t="s">
        <v>553</v>
      </c>
      <c r="C73" s="493" t="s">
        <v>26</v>
      </c>
      <c r="D73" s="321">
        <v>42114</v>
      </c>
      <c r="E73" s="493">
        <v>1</v>
      </c>
      <c r="F73" s="493">
        <v>1</v>
      </c>
      <c r="G73" s="493" t="s">
        <v>554</v>
      </c>
      <c r="H73" s="493" t="s">
        <v>7</v>
      </c>
      <c r="I73" s="494">
        <v>42094</v>
      </c>
      <c r="J73" s="414">
        <v>533.03</v>
      </c>
      <c r="K73" s="301">
        <v>42108</v>
      </c>
      <c r="L73" s="188">
        <f t="shared" si="16"/>
        <v>11</v>
      </c>
      <c r="M73" s="67"/>
      <c r="N73" s="68" t="s">
        <v>123</v>
      </c>
      <c r="O73" s="69" t="s">
        <v>42</v>
      </c>
      <c r="P73" s="505">
        <v>42104</v>
      </c>
      <c r="Q73" s="21">
        <f t="shared" si="9"/>
        <v>14</v>
      </c>
      <c r="R73" s="22">
        <f t="shared" si="17"/>
        <v>10</v>
      </c>
    </row>
    <row r="74" spans="1:18" hidden="1">
      <c r="B74" s="304" t="s">
        <v>555</v>
      </c>
      <c r="C74" s="495" t="s">
        <v>199</v>
      </c>
      <c r="D74" s="305">
        <v>42104</v>
      </c>
      <c r="E74" s="495">
        <v>1</v>
      </c>
      <c r="F74" s="495">
        <v>1</v>
      </c>
      <c r="G74" s="495" t="s">
        <v>556</v>
      </c>
      <c r="H74" s="495" t="s">
        <v>6</v>
      </c>
      <c r="I74" s="496">
        <v>42095</v>
      </c>
      <c r="J74" s="414">
        <v>426.61</v>
      </c>
      <c r="K74" s="303">
        <v>42107</v>
      </c>
      <c r="L74" s="189">
        <f t="shared" si="16"/>
        <v>9</v>
      </c>
      <c r="M74" s="74"/>
      <c r="N74" s="75" t="s">
        <v>36</v>
      </c>
      <c r="O74" s="76"/>
      <c r="Q74" s="21">
        <f t="shared" si="9"/>
        <v>12</v>
      </c>
      <c r="R74" s="22">
        <f t="shared" si="17"/>
        <v>0</v>
      </c>
    </row>
    <row r="75" spans="1:18" hidden="1">
      <c r="B75" s="322" t="s">
        <v>583</v>
      </c>
      <c r="C75" s="382" t="s">
        <v>194</v>
      </c>
      <c r="D75" s="324">
        <v>42121</v>
      </c>
      <c r="E75" s="382">
        <v>4</v>
      </c>
      <c r="F75" s="382">
        <v>4</v>
      </c>
      <c r="G75" s="382" t="s">
        <v>584</v>
      </c>
      <c r="H75" s="382" t="s">
        <v>7</v>
      </c>
      <c r="I75" s="383">
        <v>42095</v>
      </c>
      <c r="J75" s="415">
        <v>564.41999999999996</v>
      </c>
      <c r="K75" s="301">
        <v>42124</v>
      </c>
      <c r="L75" s="188">
        <f>IF(ISBLANK(K75),"",NETWORKDAYS(I75,K75))</f>
        <v>22</v>
      </c>
      <c r="M75" s="67"/>
      <c r="N75" s="68" t="s">
        <v>123</v>
      </c>
      <c r="O75" s="69" t="s">
        <v>34</v>
      </c>
      <c r="P75" s="505">
        <v>42123</v>
      </c>
      <c r="Q75" s="21">
        <f t="shared" si="9"/>
        <v>29</v>
      </c>
      <c r="R75" s="22">
        <f t="shared" si="17"/>
        <v>28</v>
      </c>
    </row>
    <row r="76" spans="1:18" hidden="1">
      <c r="B76" s="313" t="s">
        <v>568</v>
      </c>
      <c r="C76" s="497" t="s">
        <v>27</v>
      </c>
      <c r="D76" s="311">
        <v>42114</v>
      </c>
      <c r="E76" s="497">
        <v>1</v>
      </c>
      <c r="F76" s="497">
        <v>1</v>
      </c>
      <c r="G76" s="497" t="s">
        <v>569</v>
      </c>
      <c r="H76" s="497" t="s">
        <v>6</v>
      </c>
      <c r="I76" s="498">
        <v>42095</v>
      </c>
      <c r="J76" s="415">
        <v>433.2</v>
      </c>
      <c r="K76" s="303">
        <v>42102</v>
      </c>
      <c r="L76" s="189">
        <f>IF(ISBLANK(K76),"",NETWORKDAYS(I76,K76))</f>
        <v>6</v>
      </c>
      <c r="M76" s="74"/>
      <c r="N76" s="75" t="s">
        <v>36</v>
      </c>
      <c r="O76" s="76"/>
      <c r="Q76" s="21">
        <f t="shared" ref="Q76:Q104" si="18">IF(ISBLANK(K76),0,SUM(K76,-I76))</f>
        <v>7</v>
      </c>
      <c r="R76" s="22">
        <f t="shared" ref="R76:R104" si="19">IF(ISBLANK(P76),0,SUM(P76,-I76))</f>
        <v>0</v>
      </c>
    </row>
    <row r="77" spans="1:18" hidden="1">
      <c r="B77" s="322" t="s">
        <v>566</v>
      </c>
      <c r="C77" s="382" t="s">
        <v>26</v>
      </c>
      <c r="D77" s="324">
        <v>42114</v>
      </c>
      <c r="E77" s="382">
        <v>1</v>
      </c>
      <c r="F77" s="382">
        <v>1</v>
      </c>
      <c r="G77" s="382" t="s">
        <v>567</v>
      </c>
      <c r="H77" s="382" t="s">
        <v>7</v>
      </c>
      <c r="I77" s="383">
        <v>42095</v>
      </c>
      <c r="J77" s="415">
        <v>334.46</v>
      </c>
      <c r="K77" s="301">
        <v>42110</v>
      </c>
      <c r="L77" s="188">
        <f>IF(ISBLANK(K77),"",NETWORKDAYS(I77,K77))</f>
        <v>12</v>
      </c>
      <c r="M77" s="67"/>
      <c r="N77" s="68" t="s">
        <v>123</v>
      </c>
      <c r="O77" s="69" t="s">
        <v>35</v>
      </c>
      <c r="P77" s="505">
        <v>42108</v>
      </c>
      <c r="Q77" s="21">
        <f t="shared" si="18"/>
        <v>15</v>
      </c>
      <c r="R77" s="22">
        <f t="shared" si="19"/>
        <v>13</v>
      </c>
    </row>
    <row r="78" spans="1:18" hidden="1">
      <c r="B78" s="309" t="s">
        <v>571</v>
      </c>
      <c r="C78" s="497" t="s">
        <v>64</v>
      </c>
      <c r="D78" s="311">
        <v>42128</v>
      </c>
      <c r="E78" s="497">
        <v>1</v>
      </c>
      <c r="F78" s="497">
        <v>1</v>
      </c>
      <c r="G78" s="497" t="s">
        <v>572</v>
      </c>
      <c r="H78" s="497" t="s">
        <v>251</v>
      </c>
      <c r="I78" s="498">
        <v>42096</v>
      </c>
      <c r="J78" s="415"/>
      <c r="K78" s="303">
        <v>42110</v>
      </c>
      <c r="L78" s="189">
        <f>IF(ISBLANK(K78),"",NETWORKDAYS(I78,K78))</f>
        <v>11</v>
      </c>
      <c r="M78" s="74"/>
      <c r="N78" s="75" t="s">
        <v>36</v>
      </c>
      <c r="O78" s="76"/>
      <c r="Q78" s="21">
        <f t="shared" ref="Q78:Q91" si="20">IF(ISBLANK(K78),0,SUM(K78,-I78))</f>
        <v>14</v>
      </c>
      <c r="R78" s="22">
        <f t="shared" ref="R78:R91" si="21">IF(ISBLANK(P78),0,SUM(P78,-I78))</f>
        <v>0</v>
      </c>
    </row>
    <row r="79" spans="1:18" hidden="1">
      <c r="B79" s="322" t="s">
        <v>570</v>
      </c>
      <c r="C79" s="382" t="s">
        <v>26</v>
      </c>
      <c r="D79" s="324">
        <v>42118</v>
      </c>
      <c r="E79" s="382">
        <v>3</v>
      </c>
      <c r="F79" s="382">
        <v>3</v>
      </c>
      <c r="G79" s="382" t="s">
        <v>254</v>
      </c>
      <c r="H79" s="382" t="s">
        <v>7</v>
      </c>
      <c r="I79" s="383">
        <v>42096</v>
      </c>
      <c r="J79" s="521"/>
      <c r="K79" s="347">
        <v>42116</v>
      </c>
      <c r="L79" s="188">
        <f>IF(ISBLANK(K79),"",NETWORKDAYS(I79,K79))</f>
        <v>15</v>
      </c>
      <c r="M79" s="68"/>
      <c r="N79" s="68" t="s">
        <v>123</v>
      </c>
      <c r="O79" s="69" t="s">
        <v>34</v>
      </c>
      <c r="P79" s="505">
        <v>42111</v>
      </c>
      <c r="Q79" s="21">
        <f t="shared" si="20"/>
        <v>20</v>
      </c>
      <c r="R79" s="22">
        <f t="shared" si="21"/>
        <v>15</v>
      </c>
    </row>
    <row r="80" spans="1:18" hidden="1">
      <c r="A80" s="169" t="s">
        <v>122</v>
      </c>
      <c r="B80" s="309" t="s">
        <v>559</v>
      </c>
      <c r="C80" s="382" t="s">
        <v>562</v>
      </c>
      <c r="D80" s="324">
        <v>42128</v>
      </c>
      <c r="E80" s="382">
        <v>1</v>
      </c>
      <c r="F80" s="382">
        <v>1</v>
      </c>
      <c r="G80" s="382" t="s">
        <v>560</v>
      </c>
      <c r="H80" s="382" t="s">
        <v>251</v>
      </c>
      <c r="I80" s="383">
        <v>42097</v>
      </c>
      <c r="J80" s="415"/>
      <c r="K80" s="301">
        <v>42131</v>
      </c>
      <c r="L80" s="188">
        <f t="shared" ref="L80:L108" si="22">IF(ISBLANK(K80),"",NETWORKDAYS(I80,K80))</f>
        <v>25</v>
      </c>
      <c r="M80" s="67"/>
      <c r="N80" s="68" t="s">
        <v>96</v>
      </c>
      <c r="O80" s="69"/>
      <c r="Q80" s="21">
        <f t="shared" si="20"/>
        <v>34</v>
      </c>
      <c r="R80" s="22">
        <f t="shared" si="21"/>
        <v>0</v>
      </c>
    </row>
    <row r="81" spans="1:18" hidden="1">
      <c r="A81" s="169" t="s">
        <v>122</v>
      </c>
      <c r="B81" s="309" t="s">
        <v>559</v>
      </c>
      <c r="C81" s="382" t="s">
        <v>565</v>
      </c>
      <c r="D81" s="324">
        <v>42128</v>
      </c>
      <c r="E81" s="382">
        <v>1</v>
      </c>
      <c r="F81" s="382">
        <v>1</v>
      </c>
      <c r="G81" s="382" t="s">
        <v>560</v>
      </c>
      <c r="H81" s="382" t="s">
        <v>251</v>
      </c>
      <c r="I81" s="383">
        <v>42097</v>
      </c>
      <c r="J81" s="415"/>
      <c r="K81" s="301">
        <v>42131</v>
      </c>
      <c r="L81" s="188">
        <f t="shared" si="22"/>
        <v>25</v>
      </c>
      <c r="M81" s="67"/>
      <c r="N81" s="68" t="s">
        <v>123</v>
      </c>
      <c r="O81" s="69" t="s">
        <v>35</v>
      </c>
      <c r="P81" s="505">
        <v>42109</v>
      </c>
      <c r="Q81" s="21">
        <f t="shared" si="20"/>
        <v>34</v>
      </c>
      <c r="R81" s="22">
        <f t="shared" si="21"/>
        <v>12</v>
      </c>
    </row>
    <row r="82" spans="1:18" hidden="1">
      <c r="B82" s="313" t="s">
        <v>582</v>
      </c>
      <c r="C82" s="497" t="s">
        <v>64</v>
      </c>
      <c r="D82" s="311">
        <v>42114</v>
      </c>
      <c r="E82" s="497">
        <v>1</v>
      </c>
      <c r="F82" s="497">
        <v>1</v>
      </c>
      <c r="G82" s="497" t="s">
        <v>549</v>
      </c>
      <c r="H82" s="497" t="s">
        <v>6</v>
      </c>
      <c r="I82" s="498">
        <v>42101</v>
      </c>
      <c r="J82" s="415">
        <v>226.16</v>
      </c>
      <c r="K82" s="303">
        <v>42104</v>
      </c>
      <c r="L82" s="189">
        <f t="shared" si="22"/>
        <v>4</v>
      </c>
      <c r="M82" s="74"/>
      <c r="N82" s="75" t="s">
        <v>36</v>
      </c>
      <c r="O82" s="76"/>
      <c r="Q82" s="21">
        <f t="shared" si="20"/>
        <v>3</v>
      </c>
      <c r="R82" s="22">
        <f t="shared" si="21"/>
        <v>0</v>
      </c>
    </row>
    <row r="83" spans="1:18" hidden="1">
      <c r="B83" s="313" t="s">
        <v>591</v>
      </c>
      <c r="C83" s="497" t="s">
        <v>90</v>
      </c>
      <c r="D83" s="311">
        <v>42107</v>
      </c>
      <c r="E83" s="497">
        <v>1</v>
      </c>
      <c r="F83" s="497">
        <v>1</v>
      </c>
      <c r="G83" s="497" t="s">
        <v>616</v>
      </c>
      <c r="H83" s="497" t="s">
        <v>6</v>
      </c>
      <c r="I83" s="498">
        <v>42101</v>
      </c>
      <c r="J83" s="415"/>
      <c r="K83" s="303">
        <v>42108</v>
      </c>
      <c r="L83" s="189">
        <f t="shared" si="22"/>
        <v>6</v>
      </c>
      <c r="M83" s="74"/>
      <c r="N83" s="75" t="s">
        <v>36</v>
      </c>
      <c r="O83" s="76"/>
      <c r="Q83" s="21">
        <f t="shared" si="20"/>
        <v>7</v>
      </c>
      <c r="R83" s="22">
        <f t="shared" si="21"/>
        <v>0</v>
      </c>
    </row>
    <row r="84" spans="1:18" hidden="1">
      <c r="B84" s="322" t="s">
        <v>589</v>
      </c>
      <c r="C84" s="382" t="s">
        <v>90</v>
      </c>
      <c r="D84" s="324">
        <v>42121</v>
      </c>
      <c r="E84" s="382">
        <v>1</v>
      </c>
      <c r="F84" s="382">
        <v>1</v>
      </c>
      <c r="G84" s="382" t="s">
        <v>626</v>
      </c>
      <c r="H84" s="382" t="s">
        <v>7</v>
      </c>
      <c r="I84" s="383">
        <v>42101</v>
      </c>
      <c r="J84" s="522"/>
      <c r="K84" s="301">
        <v>42108</v>
      </c>
      <c r="L84" s="188">
        <f t="shared" si="22"/>
        <v>6</v>
      </c>
      <c r="M84" s="67"/>
      <c r="N84" s="68" t="s">
        <v>123</v>
      </c>
      <c r="O84" s="69" t="s">
        <v>35</v>
      </c>
      <c r="P84" s="505">
        <v>42104</v>
      </c>
      <c r="Q84" s="21">
        <f t="shared" si="20"/>
        <v>7</v>
      </c>
      <c r="R84" s="22">
        <f t="shared" si="21"/>
        <v>3</v>
      </c>
    </row>
    <row r="85" spans="1:18" hidden="1">
      <c r="B85" s="322" t="s">
        <v>614</v>
      </c>
      <c r="C85" s="382" t="s">
        <v>194</v>
      </c>
      <c r="D85" s="324">
        <v>42119</v>
      </c>
      <c r="E85" s="382">
        <v>1</v>
      </c>
      <c r="F85" s="382">
        <v>1</v>
      </c>
      <c r="G85" s="382" t="s">
        <v>5</v>
      </c>
      <c r="H85" s="382" t="s">
        <v>7</v>
      </c>
      <c r="I85" s="383">
        <v>42102</v>
      </c>
      <c r="J85" s="415"/>
      <c r="K85" s="301">
        <v>42115</v>
      </c>
      <c r="L85" s="188">
        <f t="shared" si="22"/>
        <v>10</v>
      </c>
      <c r="M85" s="67"/>
      <c r="N85" s="68" t="s">
        <v>123</v>
      </c>
      <c r="O85" s="69" t="s">
        <v>33</v>
      </c>
      <c r="P85" s="505">
        <v>42111</v>
      </c>
      <c r="Q85" s="21">
        <f t="shared" si="20"/>
        <v>13</v>
      </c>
      <c r="R85" s="22">
        <f t="shared" si="21"/>
        <v>9</v>
      </c>
    </row>
    <row r="86" spans="1:18" hidden="1">
      <c r="B86" s="313" t="s">
        <v>599</v>
      </c>
      <c r="C86" s="497" t="s">
        <v>600</v>
      </c>
      <c r="D86" s="311">
        <v>42121</v>
      </c>
      <c r="E86" s="497">
        <v>1</v>
      </c>
      <c r="F86" s="497">
        <v>1</v>
      </c>
      <c r="G86" s="497" t="s">
        <v>601</v>
      </c>
      <c r="H86" s="497" t="s">
        <v>6</v>
      </c>
      <c r="I86" s="498">
        <v>42103</v>
      </c>
      <c r="K86" s="303">
        <v>42110</v>
      </c>
      <c r="L86" s="189">
        <f t="shared" si="22"/>
        <v>6</v>
      </c>
      <c r="M86" s="74"/>
      <c r="N86" s="75" t="s">
        <v>36</v>
      </c>
      <c r="O86" s="76"/>
      <c r="Q86" s="21">
        <f t="shared" si="20"/>
        <v>7</v>
      </c>
      <c r="R86" s="22">
        <f t="shared" si="21"/>
        <v>0</v>
      </c>
    </row>
    <row r="87" spans="1:18" hidden="1">
      <c r="B87" s="309" t="s">
        <v>596</v>
      </c>
      <c r="C87" s="382" t="s">
        <v>488</v>
      </c>
      <c r="D87" s="324">
        <v>42121</v>
      </c>
      <c r="E87" s="382">
        <v>1</v>
      </c>
      <c r="F87" s="382">
        <v>1</v>
      </c>
      <c r="G87" s="382" t="s">
        <v>196</v>
      </c>
      <c r="H87" s="382" t="s">
        <v>251</v>
      </c>
      <c r="I87" s="383">
        <v>42103</v>
      </c>
      <c r="J87" s="415">
        <v>457.14</v>
      </c>
      <c r="K87" s="301">
        <v>42117</v>
      </c>
      <c r="L87" s="188">
        <f t="shared" si="22"/>
        <v>11</v>
      </c>
      <c r="M87" s="67"/>
      <c r="N87" s="68" t="s">
        <v>123</v>
      </c>
      <c r="O87" s="69" t="s">
        <v>35</v>
      </c>
      <c r="P87" s="505">
        <v>42115</v>
      </c>
      <c r="Q87" s="21">
        <f t="shared" si="20"/>
        <v>14</v>
      </c>
      <c r="R87" s="22">
        <f t="shared" si="21"/>
        <v>12</v>
      </c>
    </row>
    <row r="88" spans="1:18" hidden="1">
      <c r="B88" s="313" t="s">
        <v>620</v>
      </c>
      <c r="C88" s="497" t="s">
        <v>64</v>
      </c>
      <c r="D88" s="311">
        <v>42128</v>
      </c>
      <c r="E88" s="497">
        <v>3</v>
      </c>
      <c r="F88" s="497">
        <v>3</v>
      </c>
      <c r="G88" s="497" t="s">
        <v>117</v>
      </c>
      <c r="H88" s="497" t="s">
        <v>6</v>
      </c>
      <c r="I88" s="498">
        <v>42107</v>
      </c>
      <c r="K88" s="303">
        <v>42116</v>
      </c>
      <c r="L88" s="189">
        <f t="shared" si="22"/>
        <v>8</v>
      </c>
      <c r="M88" s="74"/>
      <c r="N88" s="75" t="s">
        <v>36</v>
      </c>
      <c r="O88" s="76"/>
      <c r="Q88" s="21">
        <f t="shared" si="20"/>
        <v>9</v>
      </c>
      <c r="R88" s="22">
        <f t="shared" si="21"/>
        <v>0</v>
      </c>
    </row>
    <row r="89" spans="1:18" hidden="1">
      <c r="B89" s="309" t="s">
        <v>621</v>
      </c>
      <c r="C89" s="497" t="s">
        <v>27</v>
      </c>
      <c r="D89" s="311">
        <v>42149</v>
      </c>
      <c r="E89" s="497">
        <v>2</v>
      </c>
      <c r="F89" s="497">
        <v>2</v>
      </c>
      <c r="G89" s="497" t="s">
        <v>622</v>
      </c>
      <c r="H89" s="497" t="s">
        <v>251</v>
      </c>
      <c r="I89" s="498">
        <v>42107</v>
      </c>
      <c r="J89" s="415">
        <v>406.39</v>
      </c>
      <c r="K89" s="303">
        <v>42124</v>
      </c>
      <c r="L89" s="189">
        <f t="shared" si="22"/>
        <v>14</v>
      </c>
      <c r="M89" s="74"/>
      <c r="N89" s="75" t="s">
        <v>36</v>
      </c>
      <c r="O89" s="76"/>
      <c r="Q89" s="21">
        <f t="shared" si="20"/>
        <v>17</v>
      </c>
      <c r="R89" s="22">
        <f t="shared" si="21"/>
        <v>0</v>
      </c>
    </row>
    <row r="90" spans="1:18" hidden="1">
      <c r="B90" s="309" t="s">
        <v>625</v>
      </c>
      <c r="C90" s="497" t="s">
        <v>27</v>
      </c>
      <c r="D90" s="311">
        <v>42149</v>
      </c>
      <c r="E90" s="497">
        <v>1</v>
      </c>
      <c r="F90" s="497">
        <v>1</v>
      </c>
      <c r="G90" s="497" t="s">
        <v>622</v>
      </c>
      <c r="H90" s="497" t="s">
        <v>251</v>
      </c>
      <c r="I90" s="498">
        <v>42107</v>
      </c>
      <c r="K90" s="303">
        <v>42124</v>
      </c>
      <c r="L90" s="189">
        <f t="shared" si="22"/>
        <v>14</v>
      </c>
      <c r="M90" s="74"/>
      <c r="N90" s="75" t="s">
        <v>36</v>
      </c>
      <c r="O90" s="76"/>
      <c r="Q90" s="21">
        <f t="shared" si="20"/>
        <v>17</v>
      </c>
      <c r="R90" s="22">
        <f t="shared" si="21"/>
        <v>0</v>
      </c>
    </row>
    <row r="91" spans="1:18" hidden="1">
      <c r="A91" s="169" t="s">
        <v>122</v>
      </c>
      <c r="B91" s="322" t="s">
        <v>617</v>
      </c>
      <c r="C91" s="382" t="s">
        <v>460</v>
      </c>
      <c r="D91" s="324">
        <v>42128</v>
      </c>
      <c r="E91" s="382">
        <v>1</v>
      </c>
      <c r="F91" s="382">
        <v>1</v>
      </c>
      <c r="G91" s="382" t="s">
        <v>574</v>
      </c>
      <c r="H91" s="382" t="s">
        <v>7</v>
      </c>
      <c r="I91" s="383">
        <v>42108</v>
      </c>
      <c r="K91" s="301">
        <v>42131</v>
      </c>
      <c r="L91" s="188">
        <f t="shared" si="22"/>
        <v>18</v>
      </c>
      <c r="M91" s="67"/>
      <c r="N91" s="68" t="s">
        <v>123</v>
      </c>
      <c r="O91" s="69" t="s">
        <v>35</v>
      </c>
      <c r="P91" s="505">
        <v>42118</v>
      </c>
      <c r="Q91" s="21">
        <f t="shared" si="20"/>
        <v>23</v>
      </c>
      <c r="R91" s="22">
        <f t="shared" si="21"/>
        <v>10</v>
      </c>
    </row>
    <row r="92" spans="1:18" hidden="1">
      <c r="B92" s="322" t="s">
        <v>635</v>
      </c>
      <c r="C92" s="382" t="s">
        <v>194</v>
      </c>
      <c r="D92" s="324">
        <v>42131</v>
      </c>
      <c r="E92" s="382">
        <v>1</v>
      </c>
      <c r="F92" s="382">
        <v>1</v>
      </c>
      <c r="G92" s="382" t="s">
        <v>615</v>
      </c>
      <c r="H92" s="382" t="s">
        <v>7</v>
      </c>
      <c r="I92" s="383">
        <v>42109</v>
      </c>
      <c r="J92" s="415">
        <v>796.37</v>
      </c>
      <c r="K92" s="301">
        <v>42131</v>
      </c>
      <c r="L92" s="188">
        <f t="shared" si="22"/>
        <v>17</v>
      </c>
      <c r="M92" s="67"/>
      <c r="N92" s="68" t="s">
        <v>123</v>
      </c>
      <c r="O92" s="69" t="s">
        <v>35</v>
      </c>
      <c r="P92" s="505">
        <v>42129</v>
      </c>
      <c r="Q92" s="21">
        <f t="shared" si="18"/>
        <v>22</v>
      </c>
      <c r="R92" s="22">
        <f t="shared" si="19"/>
        <v>20</v>
      </c>
    </row>
    <row r="93" spans="1:18" hidden="1">
      <c r="B93" s="353" t="s">
        <v>646</v>
      </c>
      <c r="C93" s="386" t="s">
        <v>198</v>
      </c>
      <c r="D93" s="355">
        <v>42124</v>
      </c>
      <c r="E93" s="386">
        <v>4</v>
      </c>
      <c r="F93" s="386">
        <v>4</v>
      </c>
      <c r="G93" s="386" t="s">
        <v>647</v>
      </c>
      <c r="H93" s="386" t="s">
        <v>7</v>
      </c>
      <c r="I93" s="387">
        <v>42110</v>
      </c>
      <c r="J93" s="417" t="s">
        <v>648</v>
      </c>
      <c r="K93" s="301">
        <v>42124</v>
      </c>
      <c r="L93" s="188">
        <f t="shared" si="22"/>
        <v>11</v>
      </c>
      <c r="M93" s="67"/>
      <c r="N93" s="68" t="s">
        <v>123</v>
      </c>
      <c r="O93" s="69" t="s">
        <v>34</v>
      </c>
      <c r="Q93" s="21">
        <f t="shared" si="18"/>
        <v>14</v>
      </c>
      <c r="R93" s="22">
        <f t="shared" si="19"/>
        <v>0</v>
      </c>
    </row>
    <row r="94" spans="1:18" hidden="1">
      <c r="B94" s="345" t="s">
        <v>666</v>
      </c>
      <c r="C94" s="499" t="s">
        <v>600</v>
      </c>
      <c r="D94" s="342">
        <v>42115</v>
      </c>
      <c r="E94" s="499">
        <v>1</v>
      </c>
      <c r="F94" s="499">
        <v>1</v>
      </c>
      <c r="G94" s="499" t="s">
        <v>28</v>
      </c>
      <c r="H94" s="499" t="s">
        <v>6</v>
      </c>
      <c r="I94" s="500">
        <v>42111</v>
      </c>
      <c r="J94" s="417" t="s">
        <v>667</v>
      </c>
      <c r="K94" s="303">
        <v>42116</v>
      </c>
      <c r="L94" s="189">
        <f t="shared" si="22"/>
        <v>4</v>
      </c>
      <c r="M94" s="74"/>
      <c r="N94" s="75" t="s">
        <v>36</v>
      </c>
      <c r="O94" s="76"/>
      <c r="Q94" s="21">
        <f t="shared" si="18"/>
        <v>5</v>
      </c>
      <c r="R94" s="22">
        <f t="shared" si="19"/>
        <v>0</v>
      </c>
    </row>
    <row r="95" spans="1:18" hidden="1">
      <c r="B95" s="345" t="s">
        <v>672</v>
      </c>
      <c r="C95" s="499" t="s">
        <v>64</v>
      </c>
      <c r="D95" s="342">
        <v>42142</v>
      </c>
      <c r="E95" s="499">
        <v>2</v>
      </c>
      <c r="F95" s="499">
        <v>2</v>
      </c>
      <c r="G95" s="499" t="s">
        <v>59</v>
      </c>
      <c r="H95" s="499" t="s">
        <v>6</v>
      </c>
      <c r="I95" s="500">
        <v>42111</v>
      </c>
      <c r="J95" s="417">
        <v>193.86</v>
      </c>
      <c r="K95" s="303">
        <v>42116</v>
      </c>
      <c r="L95" s="189">
        <f t="shared" si="22"/>
        <v>4</v>
      </c>
      <c r="M95" s="74"/>
      <c r="N95" s="75" t="s">
        <v>36</v>
      </c>
      <c r="O95" s="76"/>
      <c r="Q95" s="21">
        <f t="shared" si="18"/>
        <v>5</v>
      </c>
      <c r="R95" s="22">
        <f t="shared" si="19"/>
        <v>0</v>
      </c>
    </row>
    <row r="96" spans="1:18" hidden="1">
      <c r="B96" s="341" t="s">
        <v>673</v>
      </c>
      <c r="C96" s="499" t="s">
        <v>194</v>
      </c>
      <c r="D96" s="342">
        <v>42156</v>
      </c>
      <c r="E96" s="499">
        <v>1</v>
      </c>
      <c r="F96" s="499">
        <v>1</v>
      </c>
      <c r="G96" s="499" t="s">
        <v>107</v>
      </c>
      <c r="H96" s="499" t="s">
        <v>251</v>
      </c>
      <c r="I96" s="500">
        <v>42111</v>
      </c>
      <c r="J96" s="523"/>
      <c r="K96" s="303">
        <v>42124</v>
      </c>
      <c r="L96" s="189">
        <f t="shared" si="22"/>
        <v>10</v>
      </c>
      <c r="M96" s="74"/>
      <c r="N96" s="75" t="s">
        <v>36</v>
      </c>
      <c r="O96" s="76"/>
      <c r="Q96" s="21">
        <f t="shared" si="18"/>
        <v>13</v>
      </c>
      <c r="R96" s="22">
        <f t="shared" si="19"/>
        <v>0</v>
      </c>
    </row>
    <row r="97" spans="1:20" hidden="1">
      <c r="B97" s="345" t="s">
        <v>678</v>
      </c>
      <c r="C97" s="499" t="s">
        <v>562</v>
      </c>
      <c r="D97" s="342">
        <v>42136</v>
      </c>
      <c r="E97" s="499">
        <v>1</v>
      </c>
      <c r="F97" s="499">
        <v>1</v>
      </c>
      <c r="G97" s="499" t="s">
        <v>679</v>
      </c>
      <c r="H97" s="499" t="s">
        <v>6</v>
      </c>
      <c r="I97" s="500">
        <v>42115</v>
      </c>
      <c r="J97" s="418">
        <v>319.14</v>
      </c>
      <c r="K97" s="303">
        <v>42129</v>
      </c>
      <c r="L97" s="189">
        <f t="shared" si="22"/>
        <v>11</v>
      </c>
      <c r="M97" s="74"/>
      <c r="N97" s="75" t="s">
        <v>36</v>
      </c>
      <c r="O97" s="76"/>
      <c r="Q97" s="21">
        <f t="shared" si="18"/>
        <v>14</v>
      </c>
      <c r="R97" s="22">
        <f t="shared" si="19"/>
        <v>0</v>
      </c>
    </row>
    <row r="98" spans="1:20" hidden="1">
      <c r="B98" s="345" t="s">
        <v>678</v>
      </c>
      <c r="C98" s="499" t="s">
        <v>199</v>
      </c>
      <c r="D98" s="342">
        <v>42136</v>
      </c>
      <c r="E98" s="499">
        <v>1</v>
      </c>
      <c r="F98" s="499">
        <v>1</v>
      </c>
      <c r="G98" s="499" t="s">
        <v>679</v>
      </c>
      <c r="H98" s="499" t="s">
        <v>6</v>
      </c>
      <c r="I98" s="500">
        <v>42115</v>
      </c>
      <c r="J98" s="418">
        <v>950.4</v>
      </c>
      <c r="K98" s="303">
        <v>42129</v>
      </c>
      <c r="L98" s="189">
        <f t="shared" si="22"/>
        <v>11</v>
      </c>
      <c r="M98" s="74"/>
      <c r="N98" s="75" t="s">
        <v>36</v>
      </c>
      <c r="O98" s="76"/>
      <c r="Q98" s="21">
        <f t="shared" si="18"/>
        <v>14</v>
      </c>
      <c r="R98" s="22">
        <f t="shared" si="19"/>
        <v>0</v>
      </c>
    </row>
    <row r="99" spans="1:20" hidden="1">
      <c r="B99" s="367" t="s">
        <v>712</v>
      </c>
      <c r="C99" s="526" t="s">
        <v>460</v>
      </c>
      <c r="D99" s="369">
        <v>42145</v>
      </c>
      <c r="E99" s="526">
        <v>1</v>
      </c>
      <c r="F99" s="526">
        <v>1</v>
      </c>
      <c r="G99" s="526" t="s">
        <v>713</v>
      </c>
      <c r="H99" s="526" t="s">
        <v>7</v>
      </c>
      <c r="I99" s="527">
        <v>42117</v>
      </c>
      <c r="J99" s="419" t="s">
        <v>721</v>
      </c>
      <c r="K99" s="301">
        <v>42139</v>
      </c>
      <c r="L99" s="188">
        <f t="shared" si="22"/>
        <v>17</v>
      </c>
      <c r="M99" s="67"/>
      <c r="N99" s="68" t="s">
        <v>123</v>
      </c>
      <c r="O99" s="69" t="s">
        <v>35</v>
      </c>
      <c r="P99" s="505">
        <v>42135</v>
      </c>
      <c r="Q99" s="21">
        <f t="shared" si="18"/>
        <v>22</v>
      </c>
      <c r="R99" s="22">
        <f t="shared" si="19"/>
        <v>18</v>
      </c>
    </row>
    <row r="100" spans="1:20" hidden="1">
      <c r="B100" s="367" t="s">
        <v>708</v>
      </c>
      <c r="C100" s="526" t="s">
        <v>460</v>
      </c>
      <c r="D100" s="369">
        <v>42139</v>
      </c>
      <c r="E100" s="526">
        <v>1</v>
      </c>
      <c r="F100" s="526">
        <v>1</v>
      </c>
      <c r="G100" s="526" t="s">
        <v>709</v>
      </c>
      <c r="H100" s="526" t="s">
        <v>14</v>
      </c>
      <c r="I100" s="527">
        <v>42117</v>
      </c>
      <c r="J100" s="419">
        <v>868.4</v>
      </c>
      <c r="K100" s="301">
        <v>42137</v>
      </c>
      <c r="L100" s="188">
        <f t="shared" si="22"/>
        <v>15</v>
      </c>
      <c r="M100" s="67"/>
      <c r="N100" s="68" t="s">
        <v>123</v>
      </c>
      <c r="O100" s="69" t="s">
        <v>35</v>
      </c>
      <c r="P100" s="505">
        <v>42130</v>
      </c>
      <c r="Q100" s="21">
        <f t="shared" si="18"/>
        <v>20</v>
      </c>
      <c r="R100" s="22">
        <f t="shared" si="19"/>
        <v>13</v>
      </c>
    </row>
    <row r="101" spans="1:20" hidden="1">
      <c r="B101" s="367" t="s">
        <v>710</v>
      </c>
      <c r="C101" s="526" t="s">
        <v>460</v>
      </c>
      <c r="D101" s="369">
        <v>42144</v>
      </c>
      <c r="E101" s="526">
        <v>1</v>
      </c>
      <c r="F101" s="526">
        <v>1</v>
      </c>
      <c r="G101" s="526" t="s">
        <v>709</v>
      </c>
      <c r="H101" s="526" t="s">
        <v>14</v>
      </c>
      <c r="I101" s="527">
        <v>42117</v>
      </c>
      <c r="J101" s="419">
        <v>868.4</v>
      </c>
      <c r="K101" s="301">
        <v>42137</v>
      </c>
      <c r="L101" s="188">
        <f t="shared" si="22"/>
        <v>15</v>
      </c>
      <c r="M101" s="67"/>
      <c r="N101" s="68" t="s">
        <v>123</v>
      </c>
      <c r="O101" s="69" t="s">
        <v>35</v>
      </c>
      <c r="P101" s="505">
        <v>42130</v>
      </c>
      <c r="Q101" s="21">
        <f t="shared" si="18"/>
        <v>20</v>
      </c>
      <c r="R101" s="22">
        <f t="shared" si="19"/>
        <v>13</v>
      </c>
    </row>
    <row r="102" spans="1:20" hidden="1">
      <c r="A102" s="169" t="s">
        <v>122</v>
      </c>
      <c r="B102" s="364" t="s">
        <v>702</v>
      </c>
      <c r="C102" s="390" t="s">
        <v>204</v>
      </c>
      <c r="D102" s="360">
        <v>42146</v>
      </c>
      <c r="E102" s="390">
        <v>2</v>
      </c>
      <c r="F102" s="390">
        <v>2</v>
      </c>
      <c r="G102" s="390" t="s">
        <v>703</v>
      </c>
      <c r="H102" s="390" t="s">
        <v>6</v>
      </c>
      <c r="I102" s="391">
        <v>42118</v>
      </c>
      <c r="J102" s="419" t="s">
        <v>730</v>
      </c>
      <c r="K102" s="303">
        <v>42136</v>
      </c>
      <c r="L102" s="189">
        <f t="shared" si="22"/>
        <v>13</v>
      </c>
      <c r="M102" s="74"/>
      <c r="N102" s="75" t="s">
        <v>36</v>
      </c>
      <c r="O102" s="76"/>
      <c r="Q102" s="21">
        <f t="shared" si="18"/>
        <v>18</v>
      </c>
      <c r="R102" s="22">
        <f t="shared" si="19"/>
        <v>0</v>
      </c>
    </row>
    <row r="103" spans="1:20" hidden="1">
      <c r="B103" s="367" t="s">
        <v>732</v>
      </c>
      <c r="C103" s="526" t="s">
        <v>26</v>
      </c>
      <c r="D103" s="369">
        <v>42134</v>
      </c>
      <c r="E103" s="526">
        <v>4</v>
      </c>
      <c r="F103" s="526">
        <v>4</v>
      </c>
      <c r="G103" s="526" t="s">
        <v>5</v>
      </c>
      <c r="H103" s="526" t="s">
        <v>7</v>
      </c>
      <c r="I103" s="527">
        <v>42118</v>
      </c>
      <c r="J103" s="419">
        <v>242.92</v>
      </c>
      <c r="K103" s="301">
        <v>42137</v>
      </c>
      <c r="L103" s="188">
        <f t="shared" si="22"/>
        <v>14</v>
      </c>
      <c r="M103" s="67"/>
      <c r="N103" s="68" t="s">
        <v>123</v>
      </c>
      <c r="O103" s="69" t="s">
        <v>35</v>
      </c>
      <c r="P103" s="505">
        <v>42131</v>
      </c>
      <c r="Q103" s="21">
        <f t="shared" si="18"/>
        <v>19</v>
      </c>
      <c r="R103" s="22">
        <f t="shared" si="19"/>
        <v>13</v>
      </c>
    </row>
    <row r="104" spans="1:20" hidden="1">
      <c r="B104" s="367" t="s">
        <v>714</v>
      </c>
      <c r="C104" s="526" t="s">
        <v>198</v>
      </c>
      <c r="D104" s="369">
        <v>42146</v>
      </c>
      <c r="E104" s="526">
        <v>1</v>
      </c>
      <c r="F104" s="526">
        <v>1</v>
      </c>
      <c r="G104" s="526" t="s">
        <v>715</v>
      </c>
      <c r="H104" s="526" t="s">
        <v>7</v>
      </c>
      <c r="I104" s="527">
        <v>42118</v>
      </c>
      <c r="J104" s="419" t="s">
        <v>731</v>
      </c>
      <c r="K104" s="301">
        <v>42145</v>
      </c>
      <c r="L104" s="188">
        <f t="shared" si="22"/>
        <v>20</v>
      </c>
      <c r="M104" s="67"/>
      <c r="N104" s="68" t="s">
        <v>123</v>
      </c>
      <c r="O104" s="69" t="s">
        <v>34</v>
      </c>
      <c r="P104" s="505">
        <v>42139</v>
      </c>
      <c r="Q104" s="21">
        <f t="shared" si="18"/>
        <v>27</v>
      </c>
      <c r="R104" s="22">
        <f t="shared" si="19"/>
        <v>21</v>
      </c>
    </row>
    <row r="105" spans="1:20" hidden="1">
      <c r="B105" s="358" t="s">
        <v>749</v>
      </c>
      <c r="C105" s="390" t="s">
        <v>27</v>
      </c>
      <c r="D105" s="360">
        <v>42145</v>
      </c>
      <c r="E105" s="390">
        <v>3</v>
      </c>
      <c r="F105" s="390">
        <v>3</v>
      </c>
      <c r="G105" s="390" t="s">
        <v>109</v>
      </c>
      <c r="H105" s="390" t="s">
        <v>6</v>
      </c>
      <c r="I105" s="391">
        <v>42121</v>
      </c>
      <c r="J105" s="392">
        <v>265.8</v>
      </c>
      <c r="K105" s="303">
        <v>42129</v>
      </c>
      <c r="L105" s="189">
        <f t="shared" si="22"/>
        <v>7</v>
      </c>
      <c r="M105" s="74"/>
      <c r="N105" s="75" t="s">
        <v>36</v>
      </c>
      <c r="O105" s="76"/>
      <c r="P105" s="41"/>
      <c r="Q105" s="21">
        <f t="shared" ref="Q105:Q114" si="23">IF(ISBLANK(K105),0,SUM(K105,-I105))</f>
        <v>8</v>
      </c>
      <c r="R105" s="22">
        <f t="shared" ref="R105:R114" si="24">IF(ISBLANK(P105),0,SUM(P105,-I105))</f>
        <v>0</v>
      </c>
      <c r="S105" s="169"/>
      <c r="T105" s="169"/>
    </row>
    <row r="106" spans="1:20" hidden="1">
      <c r="B106" s="358" t="s">
        <v>739</v>
      </c>
      <c r="C106" s="390" t="s">
        <v>199</v>
      </c>
      <c r="D106" s="360">
        <v>42139</v>
      </c>
      <c r="E106" s="390">
        <v>1</v>
      </c>
      <c r="F106" s="390">
        <v>1</v>
      </c>
      <c r="G106" s="390" t="s">
        <v>740</v>
      </c>
      <c r="H106" s="390" t="s">
        <v>6</v>
      </c>
      <c r="I106" s="391">
        <v>42123</v>
      </c>
      <c r="J106" s="392">
        <v>866.82</v>
      </c>
      <c r="K106" s="303">
        <v>42136</v>
      </c>
      <c r="L106" s="189">
        <f t="shared" si="22"/>
        <v>10</v>
      </c>
      <c r="M106" s="74"/>
      <c r="N106" s="75" t="s">
        <v>36</v>
      </c>
      <c r="O106" s="76"/>
      <c r="P106" s="41"/>
      <c r="Q106" s="21">
        <f t="shared" si="23"/>
        <v>13</v>
      </c>
      <c r="R106" s="22">
        <f t="shared" si="24"/>
        <v>0</v>
      </c>
      <c r="S106" s="169"/>
      <c r="T106" s="169"/>
    </row>
    <row r="107" spans="1:20" hidden="1">
      <c r="B107" s="364" t="s">
        <v>746</v>
      </c>
      <c r="C107" s="390" t="s">
        <v>199</v>
      </c>
      <c r="D107" s="360">
        <v>42163</v>
      </c>
      <c r="E107" s="390">
        <v>1</v>
      </c>
      <c r="F107" s="390">
        <v>1</v>
      </c>
      <c r="G107" s="390" t="s">
        <v>747</v>
      </c>
      <c r="H107" s="390" t="s">
        <v>6</v>
      </c>
      <c r="I107" s="391">
        <v>42123</v>
      </c>
      <c r="J107" s="392" t="s">
        <v>748</v>
      </c>
      <c r="K107" s="303">
        <v>42136</v>
      </c>
      <c r="L107" s="189">
        <f t="shared" si="22"/>
        <v>10</v>
      </c>
      <c r="M107" s="74"/>
      <c r="N107" s="75" t="s">
        <v>36</v>
      </c>
      <c r="O107" s="76"/>
      <c r="P107" s="41"/>
      <c r="Q107" s="21">
        <f t="shared" si="23"/>
        <v>13</v>
      </c>
      <c r="R107" s="22">
        <f t="shared" si="24"/>
        <v>0</v>
      </c>
      <c r="S107" s="169"/>
      <c r="T107" s="169"/>
    </row>
    <row r="108" spans="1:20" hidden="1">
      <c r="A108" s="169" t="s">
        <v>122</v>
      </c>
      <c r="B108" s="400" t="s">
        <v>782</v>
      </c>
      <c r="C108" s="407" t="s">
        <v>27</v>
      </c>
      <c r="D108" s="402">
        <v>42153</v>
      </c>
      <c r="E108" s="407">
        <v>1</v>
      </c>
      <c r="F108" s="407">
        <v>1</v>
      </c>
      <c r="G108" s="407" t="s">
        <v>783</v>
      </c>
      <c r="H108" s="407" t="s">
        <v>6</v>
      </c>
      <c r="I108" s="408">
        <v>42124</v>
      </c>
      <c r="J108" s="393">
        <v>305.10000000000002</v>
      </c>
      <c r="K108" s="303">
        <v>42131</v>
      </c>
      <c r="L108" s="189">
        <f t="shared" si="22"/>
        <v>6</v>
      </c>
      <c r="M108" s="74"/>
      <c r="N108" s="75" t="s">
        <v>36</v>
      </c>
      <c r="O108" s="76"/>
      <c r="P108" s="41"/>
      <c r="Q108" s="21">
        <f t="shared" si="23"/>
        <v>7</v>
      </c>
      <c r="R108" s="22">
        <f t="shared" si="24"/>
        <v>0</v>
      </c>
      <c r="S108" s="169"/>
      <c r="T108" s="169"/>
    </row>
    <row r="109" spans="1:20" hidden="1">
      <c r="B109" s="568" t="s">
        <v>865</v>
      </c>
      <c r="C109" s="577" t="s">
        <v>460</v>
      </c>
      <c r="D109" s="578">
        <v>42153</v>
      </c>
      <c r="E109" s="577">
        <v>2</v>
      </c>
      <c r="F109" s="577">
        <v>2</v>
      </c>
      <c r="G109" s="577" t="s">
        <v>866</v>
      </c>
      <c r="H109" s="577" t="s">
        <v>7</v>
      </c>
      <c r="I109" s="579">
        <v>42131</v>
      </c>
      <c r="J109" s="563"/>
      <c r="K109" s="301">
        <v>42160</v>
      </c>
      <c r="L109" s="188">
        <f t="shared" ref="L109:L145" si="25">IF(ISBLANK(K109),"",NETWORKDAYS(I109,K109))</f>
        <v>22</v>
      </c>
      <c r="M109" s="67"/>
      <c r="N109" s="68" t="s">
        <v>123</v>
      </c>
      <c r="O109" s="69" t="s">
        <v>35</v>
      </c>
      <c r="P109" s="505">
        <v>42144</v>
      </c>
      <c r="Q109" s="21">
        <f t="shared" si="23"/>
        <v>29</v>
      </c>
      <c r="R109" s="22">
        <f t="shared" si="24"/>
        <v>13</v>
      </c>
      <c r="S109" s="169"/>
      <c r="T109" s="169"/>
    </row>
    <row r="110" spans="1:20" hidden="1">
      <c r="B110" s="568" t="s">
        <v>865</v>
      </c>
      <c r="C110" s="577" t="s">
        <v>867</v>
      </c>
      <c r="D110" s="578">
        <v>42153</v>
      </c>
      <c r="E110" s="577">
        <v>2</v>
      </c>
      <c r="F110" s="577">
        <v>2</v>
      </c>
      <c r="G110" s="577" t="s">
        <v>866</v>
      </c>
      <c r="H110" s="577" t="s">
        <v>7</v>
      </c>
      <c r="I110" s="579">
        <v>42131</v>
      </c>
      <c r="J110" s="563"/>
      <c r="K110" s="301">
        <v>42160</v>
      </c>
      <c r="L110" s="188">
        <f t="shared" si="25"/>
        <v>22</v>
      </c>
      <c r="M110" s="67"/>
      <c r="N110" s="68" t="s">
        <v>96</v>
      </c>
      <c r="O110" s="69"/>
      <c r="Q110" s="21">
        <f t="shared" si="23"/>
        <v>29</v>
      </c>
      <c r="R110" s="22">
        <f t="shared" si="24"/>
        <v>0</v>
      </c>
      <c r="S110" s="169"/>
      <c r="T110" s="169"/>
    </row>
    <row r="111" spans="1:20" hidden="1">
      <c r="A111" s="169" t="s">
        <v>122</v>
      </c>
      <c r="B111" s="400" t="s">
        <v>784</v>
      </c>
      <c r="C111" s="407" t="s">
        <v>27</v>
      </c>
      <c r="D111" s="402">
        <v>42153</v>
      </c>
      <c r="E111" s="407">
        <v>1</v>
      </c>
      <c r="F111" s="407">
        <v>1</v>
      </c>
      <c r="G111" s="407" t="s">
        <v>783</v>
      </c>
      <c r="H111" s="407" t="s">
        <v>6</v>
      </c>
      <c r="I111" s="408">
        <v>42124</v>
      </c>
      <c r="J111" s="393">
        <v>323.74</v>
      </c>
      <c r="K111" s="303">
        <v>42131</v>
      </c>
      <c r="L111" s="189">
        <f t="shared" si="25"/>
        <v>6</v>
      </c>
      <c r="M111" s="74"/>
      <c r="N111" s="75" t="s">
        <v>36</v>
      </c>
      <c r="O111" s="76"/>
      <c r="P111" s="41"/>
      <c r="Q111" s="21">
        <f t="shared" si="23"/>
        <v>7</v>
      </c>
      <c r="R111" s="22">
        <f t="shared" si="24"/>
        <v>0</v>
      </c>
      <c r="S111" s="169"/>
      <c r="T111" s="169"/>
    </row>
    <row r="112" spans="1:20" hidden="1">
      <c r="B112" s="532" t="s">
        <v>785</v>
      </c>
      <c r="C112" s="569" t="s">
        <v>194</v>
      </c>
      <c r="D112" s="534">
        <v>42139</v>
      </c>
      <c r="E112" s="569">
        <v>2</v>
      </c>
      <c r="F112" s="569">
        <v>2</v>
      </c>
      <c r="G112" s="569" t="s">
        <v>5</v>
      </c>
      <c r="H112" s="569" t="s">
        <v>7</v>
      </c>
      <c r="I112" s="570">
        <v>42124</v>
      </c>
      <c r="J112" s="393">
        <v>545.63</v>
      </c>
      <c r="K112" s="301">
        <v>42151</v>
      </c>
      <c r="L112" s="188">
        <f t="shared" si="25"/>
        <v>20</v>
      </c>
      <c r="M112" s="67"/>
      <c r="N112" s="68" t="s">
        <v>41</v>
      </c>
      <c r="O112" s="69" t="s">
        <v>34</v>
      </c>
      <c r="Q112" s="21">
        <f t="shared" si="23"/>
        <v>27</v>
      </c>
      <c r="R112" s="22">
        <f t="shared" si="24"/>
        <v>0</v>
      </c>
      <c r="S112" s="169"/>
      <c r="T112" s="169"/>
    </row>
    <row r="113" spans="1:20" hidden="1">
      <c r="B113" s="532" t="s">
        <v>781</v>
      </c>
      <c r="C113" s="569" t="s">
        <v>198</v>
      </c>
      <c r="D113" s="534">
        <v>42139</v>
      </c>
      <c r="E113" s="569">
        <v>1</v>
      </c>
      <c r="F113" s="569">
        <v>1</v>
      </c>
      <c r="G113" s="569" t="s">
        <v>5</v>
      </c>
      <c r="H113" s="569" t="s">
        <v>7</v>
      </c>
      <c r="I113" s="570">
        <v>42124</v>
      </c>
      <c r="J113" s="393">
        <v>365.9</v>
      </c>
      <c r="K113" s="301">
        <v>42146</v>
      </c>
      <c r="L113" s="188">
        <f t="shared" si="25"/>
        <v>17</v>
      </c>
      <c r="M113" s="67"/>
      <c r="N113" s="68" t="s">
        <v>123</v>
      </c>
      <c r="O113" s="69" t="s">
        <v>35</v>
      </c>
      <c r="P113" s="505">
        <v>42139</v>
      </c>
      <c r="Q113" s="21">
        <f t="shared" si="23"/>
        <v>22</v>
      </c>
      <c r="R113" s="22">
        <f t="shared" si="24"/>
        <v>15</v>
      </c>
      <c r="S113" s="169"/>
      <c r="T113" s="169"/>
    </row>
    <row r="114" spans="1:20" hidden="1">
      <c r="B114" s="532" t="s">
        <v>786</v>
      </c>
      <c r="C114" s="569" t="s">
        <v>194</v>
      </c>
      <c r="D114" s="534">
        <v>42144</v>
      </c>
      <c r="E114" s="569">
        <v>1</v>
      </c>
      <c r="F114" s="569">
        <v>1</v>
      </c>
      <c r="G114" s="569" t="s">
        <v>5</v>
      </c>
      <c r="H114" s="569" t="s">
        <v>7</v>
      </c>
      <c r="I114" s="570">
        <v>42124</v>
      </c>
      <c r="J114" s="393">
        <v>444.32</v>
      </c>
      <c r="K114" s="301">
        <v>42146</v>
      </c>
      <c r="L114" s="188">
        <f t="shared" si="25"/>
        <v>17</v>
      </c>
      <c r="M114" s="67"/>
      <c r="N114" s="68" t="s">
        <v>123</v>
      </c>
      <c r="O114" s="69" t="s">
        <v>33</v>
      </c>
      <c r="P114" s="505">
        <v>42139</v>
      </c>
      <c r="Q114" s="21">
        <f t="shared" si="23"/>
        <v>22</v>
      </c>
      <c r="R114" s="22">
        <f t="shared" si="24"/>
        <v>15</v>
      </c>
      <c r="S114" s="169"/>
      <c r="T114" s="169"/>
    </row>
    <row r="115" spans="1:20" hidden="1">
      <c r="B115" s="532" t="s">
        <v>830</v>
      </c>
      <c r="C115" s="598" t="s">
        <v>199</v>
      </c>
      <c r="D115" s="534">
        <v>42156</v>
      </c>
      <c r="E115" s="569">
        <v>1</v>
      </c>
      <c r="F115" s="569">
        <v>1</v>
      </c>
      <c r="G115" s="598" t="s">
        <v>831</v>
      </c>
      <c r="H115" s="598" t="s">
        <v>7</v>
      </c>
      <c r="I115" s="570">
        <v>42128</v>
      </c>
      <c r="J115" s="393"/>
      <c r="K115" s="301">
        <v>42156</v>
      </c>
      <c r="L115" s="188">
        <f t="shared" si="25"/>
        <v>21</v>
      </c>
      <c r="M115" s="67"/>
      <c r="N115" s="68" t="s">
        <v>123</v>
      </c>
      <c r="O115" s="69" t="s">
        <v>35</v>
      </c>
      <c r="P115" s="505">
        <v>42152</v>
      </c>
      <c r="Q115" s="21">
        <f t="shared" ref="Q115:Q156" si="26">IF(ISBLANK(K115),0,SUM(K115,-I115))</f>
        <v>28</v>
      </c>
      <c r="R115" s="22">
        <f t="shared" ref="R115:R156" si="27">IF(ISBLANK(P115),0,SUM(P115,-I115))</f>
        <v>24</v>
      </c>
      <c r="S115" s="169"/>
      <c r="T115" s="169"/>
    </row>
    <row r="116" spans="1:20" hidden="1">
      <c r="B116" s="406" t="s">
        <v>760</v>
      </c>
      <c r="C116" s="407" t="s">
        <v>761</v>
      </c>
      <c r="D116" s="402">
        <v>42163</v>
      </c>
      <c r="E116" s="407">
        <v>1</v>
      </c>
      <c r="F116" s="407">
        <v>1</v>
      </c>
      <c r="G116" s="407" t="s">
        <v>117</v>
      </c>
      <c r="H116" s="407" t="s">
        <v>251</v>
      </c>
      <c r="I116" s="408">
        <v>42124</v>
      </c>
      <c r="J116" s="393">
        <v>282.27999999999997</v>
      </c>
      <c r="K116" s="303">
        <v>42164</v>
      </c>
      <c r="L116" s="189">
        <f t="shared" si="25"/>
        <v>29</v>
      </c>
      <c r="M116" s="74"/>
      <c r="N116" s="75" t="s">
        <v>96</v>
      </c>
      <c r="O116" s="76"/>
      <c r="Q116" s="21">
        <f t="shared" si="26"/>
        <v>40</v>
      </c>
      <c r="R116" s="22">
        <f t="shared" si="27"/>
        <v>0</v>
      </c>
      <c r="S116" s="169"/>
      <c r="T116" s="169"/>
    </row>
    <row r="117" spans="1:20" hidden="1">
      <c r="B117" s="532" t="s">
        <v>817</v>
      </c>
      <c r="C117" s="569" t="s">
        <v>194</v>
      </c>
      <c r="D117" s="534">
        <v>42129</v>
      </c>
      <c r="E117" s="569">
        <v>1</v>
      </c>
      <c r="F117" s="569">
        <v>1</v>
      </c>
      <c r="G117" s="569" t="s">
        <v>818</v>
      </c>
      <c r="H117" s="569" t="s">
        <v>7</v>
      </c>
      <c r="I117" s="570">
        <v>42129</v>
      </c>
      <c r="J117" s="393">
        <v>686.4</v>
      </c>
      <c r="K117" s="301">
        <v>42152</v>
      </c>
      <c r="L117" s="188">
        <f t="shared" si="25"/>
        <v>18</v>
      </c>
      <c r="M117" s="67"/>
      <c r="N117" s="68" t="s">
        <v>123</v>
      </c>
      <c r="O117" s="69" t="s">
        <v>34</v>
      </c>
      <c r="P117" s="505">
        <v>42151</v>
      </c>
      <c r="Q117" s="21">
        <f t="shared" si="26"/>
        <v>23</v>
      </c>
      <c r="R117" s="22">
        <f t="shared" si="27"/>
        <v>22</v>
      </c>
      <c r="S117" s="169"/>
      <c r="T117" s="169"/>
    </row>
    <row r="118" spans="1:20" hidden="1">
      <c r="B118" s="532" t="s">
        <v>819</v>
      </c>
      <c r="C118" s="569" t="s">
        <v>198</v>
      </c>
      <c r="D118" s="534">
        <v>42144</v>
      </c>
      <c r="E118" s="569">
        <v>1</v>
      </c>
      <c r="F118" s="569">
        <v>1</v>
      </c>
      <c r="G118" s="569" t="s">
        <v>38</v>
      </c>
      <c r="H118" s="569" t="s">
        <v>7</v>
      </c>
      <c r="I118" s="570">
        <v>42129</v>
      </c>
      <c r="J118" s="393">
        <v>233.35</v>
      </c>
      <c r="K118" s="301">
        <v>42146</v>
      </c>
      <c r="L118" s="188">
        <f t="shared" si="25"/>
        <v>14</v>
      </c>
      <c r="M118" s="67"/>
      <c r="N118" s="68" t="s">
        <v>123</v>
      </c>
      <c r="O118" s="69" t="s">
        <v>35</v>
      </c>
      <c r="P118" s="505">
        <v>42139</v>
      </c>
      <c r="Q118" s="21">
        <f t="shared" si="26"/>
        <v>17</v>
      </c>
      <c r="R118" s="22">
        <f t="shared" si="27"/>
        <v>10</v>
      </c>
      <c r="S118" s="169"/>
      <c r="T118" s="169"/>
    </row>
    <row r="119" spans="1:20" hidden="1">
      <c r="B119" s="576" t="s">
        <v>857</v>
      </c>
      <c r="C119" s="577" t="s">
        <v>26</v>
      </c>
      <c r="D119" s="578">
        <v>42156</v>
      </c>
      <c r="E119" s="577">
        <v>3</v>
      </c>
      <c r="F119" s="577">
        <v>3</v>
      </c>
      <c r="G119" s="577" t="s">
        <v>87</v>
      </c>
      <c r="H119" s="577" t="s">
        <v>7</v>
      </c>
      <c r="I119" s="579">
        <v>42130</v>
      </c>
      <c r="J119" s="563">
        <v>454.8</v>
      </c>
      <c r="K119" s="301">
        <v>42156</v>
      </c>
      <c r="L119" s="188">
        <f t="shared" si="25"/>
        <v>19</v>
      </c>
      <c r="M119" s="67"/>
      <c r="N119" s="68" t="s">
        <v>123</v>
      </c>
      <c r="O119" s="69" t="s">
        <v>35</v>
      </c>
      <c r="P119" s="505">
        <v>42152</v>
      </c>
      <c r="Q119" s="21">
        <f t="shared" si="26"/>
        <v>26</v>
      </c>
      <c r="R119" s="22">
        <f t="shared" si="27"/>
        <v>22</v>
      </c>
      <c r="S119" s="169"/>
      <c r="T119" s="169"/>
    </row>
    <row r="120" spans="1:20" hidden="1">
      <c r="B120" s="576" t="s">
        <v>834</v>
      </c>
      <c r="C120" s="577" t="s">
        <v>460</v>
      </c>
      <c r="D120" s="578">
        <v>42145</v>
      </c>
      <c r="E120" s="577">
        <v>2</v>
      </c>
      <c r="F120" s="577">
        <v>2</v>
      </c>
      <c r="G120" s="577" t="s">
        <v>70</v>
      </c>
      <c r="H120" s="577" t="s">
        <v>7</v>
      </c>
      <c r="I120" s="579">
        <v>42131</v>
      </c>
      <c r="J120" s="563"/>
      <c r="K120" s="301">
        <v>42146</v>
      </c>
      <c r="L120" s="188">
        <f t="shared" si="25"/>
        <v>12</v>
      </c>
      <c r="M120" s="67"/>
      <c r="N120" s="68" t="s">
        <v>123</v>
      </c>
      <c r="O120" s="69" t="s">
        <v>33</v>
      </c>
      <c r="P120" s="505">
        <v>42139</v>
      </c>
      <c r="Q120" s="21">
        <f>IF(ISBLANK(K120),0,SUM(K120,-I120))</f>
        <v>15</v>
      </c>
      <c r="R120" s="22">
        <f>IF(ISBLANK(P120),0,SUM(P120,-I120))</f>
        <v>8</v>
      </c>
      <c r="S120" s="169"/>
      <c r="T120" s="169"/>
    </row>
    <row r="121" spans="1:20" hidden="1">
      <c r="B121" s="564" t="s">
        <v>856</v>
      </c>
      <c r="C121" s="565" t="s">
        <v>64</v>
      </c>
      <c r="D121" s="566">
        <v>42156</v>
      </c>
      <c r="E121" s="565">
        <v>1</v>
      </c>
      <c r="F121" s="565">
        <v>1</v>
      </c>
      <c r="G121" s="565" t="s">
        <v>549</v>
      </c>
      <c r="H121" s="565" t="s">
        <v>6</v>
      </c>
      <c r="I121" s="567">
        <v>42131</v>
      </c>
      <c r="J121" s="563">
        <v>188.94</v>
      </c>
      <c r="K121" s="303">
        <v>42143</v>
      </c>
      <c r="L121" s="189">
        <f t="shared" si="25"/>
        <v>9</v>
      </c>
      <c r="M121" s="74"/>
      <c r="N121" s="75" t="s">
        <v>36</v>
      </c>
      <c r="O121" s="76"/>
      <c r="P121" s="41"/>
      <c r="Q121" s="21">
        <f>IF(ISBLANK(K121),0,SUM(K121,-I121))</f>
        <v>12</v>
      </c>
      <c r="R121" s="22">
        <f>IF(ISBLANK(P121),0,SUM(P121,-I121))</f>
        <v>0</v>
      </c>
      <c r="S121" s="169"/>
      <c r="T121" s="169"/>
    </row>
    <row r="122" spans="1:20" hidden="1">
      <c r="B122" s="406" t="s">
        <v>760</v>
      </c>
      <c r="C122" s="407" t="s">
        <v>199</v>
      </c>
      <c r="D122" s="402">
        <v>42163</v>
      </c>
      <c r="E122" s="407">
        <v>1</v>
      </c>
      <c r="F122" s="407">
        <v>1</v>
      </c>
      <c r="G122" s="407" t="s">
        <v>117</v>
      </c>
      <c r="H122" s="407" t="s">
        <v>251</v>
      </c>
      <c r="I122" s="408">
        <v>42124</v>
      </c>
      <c r="J122" s="393">
        <v>985.11</v>
      </c>
      <c r="K122" s="303">
        <v>42164</v>
      </c>
      <c r="L122" s="189">
        <f t="shared" si="25"/>
        <v>29</v>
      </c>
      <c r="M122" s="74"/>
      <c r="N122" s="75" t="s">
        <v>36</v>
      </c>
      <c r="O122" s="76"/>
      <c r="Q122" s="21">
        <f t="shared" si="26"/>
        <v>40</v>
      </c>
      <c r="R122" s="22">
        <f t="shared" si="27"/>
        <v>0</v>
      </c>
      <c r="S122" s="169"/>
      <c r="T122" s="169"/>
    </row>
    <row r="123" spans="1:20" hidden="1">
      <c r="A123" s="169" t="s">
        <v>122</v>
      </c>
      <c r="B123" s="532" t="s">
        <v>807</v>
      </c>
      <c r="C123" s="569" t="s">
        <v>26</v>
      </c>
      <c r="D123" s="534">
        <v>42149</v>
      </c>
      <c r="E123" s="569">
        <v>1</v>
      </c>
      <c r="F123" s="569">
        <v>1</v>
      </c>
      <c r="G123" s="569" t="s">
        <v>38</v>
      </c>
      <c r="H123" s="569" t="s">
        <v>7</v>
      </c>
      <c r="I123" s="570">
        <v>42129</v>
      </c>
      <c r="J123" s="393">
        <v>395.14</v>
      </c>
      <c r="K123" s="301">
        <v>42164</v>
      </c>
      <c r="L123" s="188">
        <f t="shared" si="25"/>
        <v>26</v>
      </c>
      <c r="M123" s="67"/>
      <c r="N123" s="68" t="s">
        <v>123</v>
      </c>
      <c r="O123" s="69" t="s">
        <v>34</v>
      </c>
      <c r="P123" s="505">
        <v>42163</v>
      </c>
      <c r="Q123" s="21">
        <f t="shared" si="26"/>
        <v>35</v>
      </c>
      <c r="R123" s="22">
        <f t="shared" si="27"/>
        <v>34</v>
      </c>
      <c r="S123" s="169"/>
      <c r="T123" s="169"/>
    </row>
    <row r="124" spans="1:20" hidden="1">
      <c r="A124" s="169" t="s">
        <v>122</v>
      </c>
      <c r="B124" s="400" t="s">
        <v>1073</v>
      </c>
      <c r="C124" s="628" t="s">
        <v>199</v>
      </c>
      <c r="D124" s="402">
        <v>42174</v>
      </c>
      <c r="E124" s="407">
        <v>1</v>
      </c>
      <c r="F124" s="407">
        <v>1</v>
      </c>
      <c r="G124" s="628" t="s">
        <v>117</v>
      </c>
      <c r="H124" s="407" t="s">
        <v>6</v>
      </c>
      <c r="I124" s="408">
        <v>42157</v>
      </c>
      <c r="J124" s="407">
        <v>396.14</v>
      </c>
      <c r="K124" s="303">
        <v>42166</v>
      </c>
      <c r="L124" s="189">
        <f t="shared" si="25"/>
        <v>8</v>
      </c>
      <c r="M124" s="74"/>
      <c r="N124" s="75" t="s">
        <v>36</v>
      </c>
      <c r="O124" s="76"/>
      <c r="Q124" s="21">
        <f t="shared" ref="Q124:Q129" si="28">IF(ISBLANK(K124),0,SUM(K124,-I124))</f>
        <v>9</v>
      </c>
      <c r="R124" s="22">
        <f t="shared" ref="R124:R129" si="29">IF(ISBLANK(P124),0,SUM(P124,-I124))</f>
        <v>0</v>
      </c>
      <c r="S124" s="169"/>
      <c r="T124" s="169"/>
    </row>
    <row r="125" spans="1:20">
      <c r="B125" s="400" t="s">
        <v>1073</v>
      </c>
      <c r="C125" s="628" t="s">
        <v>562</v>
      </c>
      <c r="D125" s="402">
        <v>42174</v>
      </c>
      <c r="E125" s="407">
        <v>1</v>
      </c>
      <c r="F125" s="407">
        <v>1</v>
      </c>
      <c r="G125" s="628" t="s">
        <v>117</v>
      </c>
      <c r="H125" s="407" t="s">
        <v>6</v>
      </c>
      <c r="I125" s="408">
        <v>42157</v>
      </c>
      <c r="J125" s="407">
        <v>396.14</v>
      </c>
      <c r="K125" s="399"/>
      <c r="L125" s="189" t="str">
        <f t="shared" si="25"/>
        <v/>
      </c>
      <c r="M125" s="74"/>
      <c r="N125" s="75" t="s">
        <v>96</v>
      </c>
      <c r="O125" s="76"/>
      <c r="Q125" s="21">
        <f t="shared" si="28"/>
        <v>0</v>
      </c>
      <c r="R125" s="22">
        <f t="shared" si="29"/>
        <v>0</v>
      </c>
      <c r="S125" s="169"/>
      <c r="T125" s="169"/>
    </row>
    <row r="126" spans="1:20" hidden="1">
      <c r="B126" s="576" t="s">
        <v>837</v>
      </c>
      <c r="C126" s="577" t="s">
        <v>26</v>
      </c>
      <c r="D126" s="578">
        <v>42163</v>
      </c>
      <c r="E126" s="577">
        <v>1</v>
      </c>
      <c r="F126" s="577">
        <v>1</v>
      </c>
      <c r="G126" s="577" t="s">
        <v>838</v>
      </c>
      <c r="H126" s="577" t="s">
        <v>7</v>
      </c>
      <c r="I126" s="579">
        <v>42131</v>
      </c>
      <c r="J126" s="563">
        <v>552.36</v>
      </c>
      <c r="K126" s="301">
        <v>42158</v>
      </c>
      <c r="L126" s="188">
        <f t="shared" si="25"/>
        <v>20</v>
      </c>
      <c r="M126" s="67"/>
      <c r="N126" s="68" t="s">
        <v>123</v>
      </c>
      <c r="O126" s="69" t="s">
        <v>34</v>
      </c>
      <c r="P126" s="505">
        <v>42157</v>
      </c>
      <c r="Q126" s="21">
        <f t="shared" si="28"/>
        <v>27</v>
      </c>
      <c r="R126" s="22">
        <f t="shared" si="29"/>
        <v>26</v>
      </c>
      <c r="S126" s="169"/>
      <c r="T126" s="169"/>
    </row>
    <row r="127" spans="1:20" hidden="1">
      <c r="B127" s="576" t="s">
        <v>859</v>
      </c>
      <c r="C127" s="577" t="s">
        <v>194</v>
      </c>
      <c r="D127" s="578">
        <v>42144</v>
      </c>
      <c r="E127" s="577">
        <v>1</v>
      </c>
      <c r="F127" s="577">
        <v>1</v>
      </c>
      <c r="G127" s="577" t="s">
        <v>5</v>
      </c>
      <c r="H127" s="577" t="s">
        <v>7</v>
      </c>
      <c r="I127" s="579">
        <v>42131</v>
      </c>
      <c r="J127" s="563">
        <v>522.65</v>
      </c>
      <c r="K127" s="301">
        <v>42159</v>
      </c>
      <c r="L127" s="188">
        <f t="shared" si="25"/>
        <v>21</v>
      </c>
      <c r="M127" s="67"/>
      <c r="N127" s="68" t="s">
        <v>123</v>
      </c>
      <c r="O127" s="69" t="s">
        <v>34</v>
      </c>
      <c r="P127" s="505">
        <v>42157</v>
      </c>
      <c r="Q127" s="21">
        <f t="shared" si="28"/>
        <v>28</v>
      </c>
      <c r="R127" s="22">
        <f t="shared" si="29"/>
        <v>26</v>
      </c>
      <c r="S127" s="169"/>
      <c r="T127" s="169"/>
    </row>
    <row r="128" spans="1:20" hidden="1">
      <c r="B128" s="564" t="s">
        <v>858</v>
      </c>
      <c r="C128" s="565" t="s">
        <v>27</v>
      </c>
      <c r="D128" s="566">
        <v>42156</v>
      </c>
      <c r="E128" s="565">
        <v>1</v>
      </c>
      <c r="F128" s="565">
        <v>1</v>
      </c>
      <c r="G128" s="565" t="s">
        <v>107</v>
      </c>
      <c r="H128" s="565" t="s">
        <v>6</v>
      </c>
      <c r="I128" s="567">
        <v>42135</v>
      </c>
      <c r="J128" s="563">
        <v>376.2</v>
      </c>
      <c r="K128" s="303">
        <v>42143</v>
      </c>
      <c r="L128" s="189">
        <f t="shared" si="25"/>
        <v>7</v>
      </c>
      <c r="M128" s="74"/>
      <c r="N128" s="75" t="s">
        <v>36</v>
      </c>
      <c r="O128" s="76"/>
      <c r="P128" s="41"/>
      <c r="Q128" s="21">
        <f t="shared" si="28"/>
        <v>8</v>
      </c>
      <c r="R128" s="22">
        <f t="shared" si="29"/>
        <v>0</v>
      </c>
      <c r="S128" s="169"/>
      <c r="T128" s="169"/>
    </row>
    <row r="129" spans="1:20" hidden="1">
      <c r="B129" s="576" t="s">
        <v>868</v>
      </c>
      <c r="C129" s="577" t="s">
        <v>27</v>
      </c>
      <c r="D129" s="578">
        <v>42154</v>
      </c>
      <c r="E129" s="577">
        <v>3</v>
      </c>
      <c r="F129" s="577">
        <v>3</v>
      </c>
      <c r="G129" s="577" t="s">
        <v>5</v>
      </c>
      <c r="H129" s="577" t="s">
        <v>7</v>
      </c>
      <c r="I129" s="579">
        <v>42136</v>
      </c>
      <c r="K129" s="301">
        <v>42159</v>
      </c>
      <c r="L129" s="188">
        <f t="shared" si="25"/>
        <v>18</v>
      </c>
      <c r="M129" s="67"/>
      <c r="N129" s="68" t="s">
        <v>123</v>
      </c>
      <c r="O129" s="69" t="s">
        <v>34</v>
      </c>
      <c r="P129" s="505">
        <v>42157</v>
      </c>
      <c r="Q129" s="21">
        <f t="shared" si="28"/>
        <v>23</v>
      </c>
      <c r="R129" s="22">
        <f t="shared" si="29"/>
        <v>21</v>
      </c>
      <c r="S129" s="169"/>
      <c r="T129" s="169"/>
    </row>
    <row r="130" spans="1:20" hidden="1">
      <c r="B130" s="587" t="s">
        <v>889</v>
      </c>
      <c r="C130" s="588" t="s">
        <v>26</v>
      </c>
      <c r="D130" s="589">
        <v>42163</v>
      </c>
      <c r="E130" s="588">
        <v>2</v>
      </c>
      <c r="F130" s="588">
        <v>2</v>
      </c>
      <c r="G130" s="588" t="s">
        <v>890</v>
      </c>
      <c r="H130" s="588" t="s">
        <v>7</v>
      </c>
      <c r="I130" s="590">
        <v>42136</v>
      </c>
      <c r="J130" s="571">
        <v>431.7</v>
      </c>
      <c r="K130" s="301">
        <v>42151</v>
      </c>
      <c r="L130" s="188">
        <f t="shared" si="25"/>
        <v>12</v>
      </c>
      <c r="M130" s="67"/>
      <c r="N130" s="68" t="s">
        <v>123</v>
      </c>
      <c r="O130" s="69" t="s">
        <v>35</v>
      </c>
      <c r="P130" s="505">
        <v>42146</v>
      </c>
      <c r="Q130" s="21">
        <f t="shared" si="26"/>
        <v>15</v>
      </c>
      <c r="R130" s="22">
        <f t="shared" si="27"/>
        <v>10</v>
      </c>
      <c r="S130" s="169"/>
      <c r="T130" s="169"/>
    </row>
    <row r="131" spans="1:20" hidden="1">
      <c r="B131" s="572" t="s">
        <v>875</v>
      </c>
      <c r="C131" s="573" t="s">
        <v>27</v>
      </c>
      <c r="D131" s="574">
        <v>42163</v>
      </c>
      <c r="E131" s="573">
        <v>2</v>
      </c>
      <c r="F131" s="573">
        <v>2</v>
      </c>
      <c r="G131" s="573" t="s">
        <v>876</v>
      </c>
      <c r="H131" s="573" t="s">
        <v>6</v>
      </c>
      <c r="I131" s="575">
        <v>42136</v>
      </c>
      <c r="J131" s="571">
        <v>832.8</v>
      </c>
      <c r="K131" s="303">
        <v>42146</v>
      </c>
      <c r="L131" s="189">
        <f t="shared" si="25"/>
        <v>9</v>
      </c>
      <c r="M131" s="74"/>
      <c r="N131" s="75" t="s">
        <v>36</v>
      </c>
      <c r="O131" s="76"/>
      <c r="Q131" s="21">
        <f t="shared" si="26"/>
        <v>10</v>
      </c>
      <c r="R131" s="22">
        <f t="shared" si="27"/>
        <v>0</v>
      </c>
      <c r="S131" s="169"/>
      <c r="T131" s="169"/>
    </row>
    <row r="132" spans="1:20" hidden="1">
      <c r="A132" s="169" t="s">
        <v>122</v>
      </c>
      <c r="B132" s="587" t="s">
        <v>894</v>
      </c>
      <c r="C132" s="608" t="s">
        <v>26</v>
      </c>
      <c r="D132" s="589">
        <v>42163</v>
      </c>
      <c r="E132" s="588">
        <v>1</v>
      </c>
      <c r="F132" s="588">
        <v>1</v>
      </c>
      <c r="G132" s="608" t="s">
        <v>554</v>
      </c>
      <c r="H132" s="608" t="s">
        <v>7</v>
      </c>
      <c r="I132" s="590">
        <v>42139</v>
      </c>
      <c r="K132" s="301">
        <v>42164</v>
      </c>
      <c r="L132" s="188">
        <f t="shared" si="25"/>
        <v>18</v>
      </c>
      <c r="M132" s="67"/>
      <c r="N132" s="68" t="s">
        <v>123</v>
      </c>
      <c r="O132" s="69" t="s">
        <v>34</v>
      </c>
      <c r="P132" s="505">
        <v>42163</v>
      </c>
      <c r="Q132" s="21">
        <f t="shared" si="26"/>
        <v>25</v>
      </c>
      <c r="R132" s="22">
        <f t="shared" si="27"/>
        <v>24</v>
      </c>
      <c r="S132" s="169"/>
      <c r="T132" s="169"/>
    </row>
    <row r="133" spans="1:20" hidden="1">
      <c r="B133" s="587" t="s">
        <v>895</v>
      </c>
      <c r="C133" s="608" t="s">
        <v>26</v>
      </c>
      <c r="D133" s="589">
        <v>42163</v>
      </c>
      <c r="E133" s="588">
        <v>1</v>
      </c>
      <c r="F133" s="588">
        <v>1</v>
      </c>
      <c r="G133" s="608" t="s">
        <v>896</v>
      </c>
      <c r="H133" s="608" t="s">
        <v>7</v>
      </c>
      <c r="I133" s="590">
        <v>42139</v>
      </c>
      <c r="K133" s="301">
        <v>42158</v>
      </c>
      <c r="L133" s="188">
        <f t="shared" si="25"/>
        <v>14</v>
      </c>
      <c r="M133" s="67"/>
      <c r="N133" s="68" t="s">
        <v>123</v>
      </c>
      <c r="O133" s="69" t="s">
        <v>35</v>
      </c>
      <c r="P133" s="505">
        <v>42156</v>
      </c>
      <c r="Q133" s="21">
        <f t="shared" si="26"/>
        <v>19</v>
      </c>
      <c r="R133" s="22">
        <f t="shared" si="27"/>
        <v>17</v>
      </c>
      <c r="S133" s="169"/>
      <c r="T133" s="169"/>
    </row>
    <row r="134" spans="1:20">
      <c r="B134" s="593" t="s">
        <v>897</v>
      </c>
      <c r="C134" s="594" t="s">
        <v>761</v>
      </c>
      <c r="D134" s="595">
        <v>42170</v>
      </c>
      <c r="E134" s="594">
        <v>1</v>
      </c>
      <c r="F134" s="594">
        <v>1</v>
      </c>
      <c r="G134" s="594" t="s">
        <v>715</v>
      </c>
      <c r="H134" s="594" t="s">
        <v>7</v>
      </c>
      <c r="I134" s="596">
        <v>42142</v>
      </c>
      <c r="J134" s="581">
        <v>356.4</v>
      </c>
      <c r="K134" s="350"/>
      <c r="L134" s="188" t="str">
        <f t="shared" si="25"/>
        <v/>
      </c>
      <c r="M134" s="67"/>
      <c r="N134" s="68" t="s">
        <v>96</v>
      </c>
      <c r="O134" s="69"/>
      <c r="Q134" s="21">
        <f t="shared" si="26"/>
        <v>0</v>
      </c>
      <c r="R134" s="22">
        <f t="shared" si="27"/>
        <v>0</v>
      </c>
      <c r="S134" s="169"/>
      <c r="T134" s="169"/>
    </row>
    <row r="135" spans="1:20" hidden="1">
      <c r="B135" s="593" t="s">
        <v>897</v>
      </c>
      <c r="C135" s="594" t="s">
        <v>565</v>
      </c>
      <c r="D135" s="595">
        <v>42170</v>
      </c>
      <c r="E135" s="594">
        <v>1</v>
      </c>
      <c r="F135" s="594">
        <v>1</v>
      </c>
      <c r="G135" s="594" t="s">
        <v>715</v>
      </c>
      <c r="H135" s="594" t="s">
        <v>7</v>
      </c>
      <c r="I135" s="596">
        <v>42142</v>
      </c>
      <c r="J135" s="581" t="s">
        <v>905</v>
      </c>
      <c r="K135" s="301">
        <v>42164</v>
      </c>
      <c r="L135" s="188">
        <f t="shared" si="25"/>
        <v>17</v>
      </c>
      <c r="M135" s="67"/>
      <c r="N135" s="68" t="s">
        <v>123</v>
      </c>
      <c r="O135" s="69" t="s">
        <v>35</v>
      </c>
      <c r="P135" s="505">
        <v>42156</v>
      </c>
      <c r="Q135" s="21">
        <f t="shared" si="26"/>
        <v>22</v>
      </c>
      <c r="R135" s="22">
        <f t="shared" si="27"/>
        <v>14</v>
      </c>
      <c r="S135" s="169"/>
      <c r="T135" s="169"/>
    </row>
    <row r="136" spans="1:20" hidden="1">
      <c r="B136" s="592" t="s">
        <v>925</v>
      </c>
      <c r="C136" s="594" t="s">
        <v>565</v>
      </c>
      <c r="D136" s="595">
        <v>42184</v>
      </c>
      <c r="E136" s="594">
        <v>1</v>
      </c>
      <c r="F136" s="594">
        <v>1</v>
      </c>
      <c r="G136" s="594" t="s">
        <v>88</v>
      </c>
      <c r="H136" s="594" t="s">
        <v>251</v>
      </c>
      <c r="I136" s="596">
        <v>42142</v>
      </c>
      <c r="J136" s="581" t="s">
        <v>924</v>
      </c>
      <c r="K136" s="301">
        <v>42160</v>
      </c>
      <c r="L136" s="188">
        <f t="shared" si="25"/>
        <v>15</v>
      </c>
      <c r="M136" s="67"/>
      <c r="N136" s="68" t="s">
        <v>123</v>
      </c>
      <c r="O136" s="69" t="s">
        <v>33</v>
      </c>
      <c r="P136" s="505">
        <v>42153</v>
      </c>
      <c r="Q136" s="21">
        <f>IF(ISBLANK(K136),0,SUM(K136,-I136))</f>
        <v>18</v>
      </c>
      <c r="R136" s="22">
        <f>IF(ISBLANK(P136),0,SUM(P136,-I136))</f>
        <v>11</v>
      </c>
      <c r="S136" s="169"/>
      <c r="T136" s="169"/>
    </row>
    <row r="137" spans="1:20" hidden="1">
      <c r="B137" s="592" t="s">
        <v>925</v>
      </c>
      <c r="C137" s="594" t="s">
        <v>562</v>
      </c>
      <c r="D137" s="595">
        <v>42184</v>
      </c>
      <c r="E137" s="594">
        <v>1</v>
      </c>
      <c r="F137" s="594">
        <v>1</v>
      </c>
      <c r="G137" s="594" t="s">
        <v>88</v>
      </c>
      <c r="H137" s="594" t="s">
        <v>251</v>
      </c>
      <c r="I137" s="596">
        <v>42142</v>
      </c>
      <c r="J137" s="581" t="s">
        <v>926</v>
      </c>
      <c r="K137" s="301">
        <v>42160</v>
      </c>
      <c r="L137" s="188">
        <f t="shared" si="25"/>
        <v>15</v>
      </c>
      <c r="M137" s="67"/>
      <c r="N137" s="68" t="s">
        <v>96</v>
      </c>
      <c r="O137" s="69"/>
      <c r="Q137" s="21">
        <f>IF(ISBLANK(K137),0,SUM(K137,-I137))</f>
        <v>18</v>
      </c>
      <c r="R137" s="22">
        <f>IF(ISBLANK(P137),0,SUM(P137,-I137))</f>
        <v>0</v>
      </c>
      <c r="S137" s="169"/>
      <c r="T137" s="169"/>
    </row>
    <row r="138" spans="1:20" hidden="1">
      <c r="B138" s="593" t="s">
        <v>927</v>
      </c>
      <c r="C138" s="594" t="s">
        <v>922</v>
      </c>
      <c r="D138" s="595">
        <v>42170</v>
      </c>
      <c r="E138" s="594">
        <v>1</v>
      </c>
      <c r="F138" s="594">
        <v>1</v>
      </c>
      <c r="G138" s="594" t="s">
        <v>923</v>
      </c>
      <c r="H138" s="594" t="s">
        <v>7</v>
      </c>
      <c r="I138" s="596">
        <v>42142</v>
      </c>
      <c r="K138" s="301">
        <v>42159</v>
      </c>
      <c r="L138" s="188">
        <f t="shared" si="25"/>
        <v>14</v>
      </c>
      <c r="M138" s="67"/>
      <c r="N138" s="68" t="s">
        <v>123</v>
      </c>
      <c r="O138" s="69" t="s">
        <v>42</v>
      </c>
      <c r="P138" s="505">
        <v>42156</v>
      </c>
      <c r="Q138" s="21">
        <f>IF(ISBLANK(K138),0,SUM(K138,-I138))</f>
        <v>17</v>
      </c>
      <c r="R138" s="22">
        <f>IF(ISBLANK(P138),0,SUM(P138,-I138))</f>
        <v>14</v>
      </c>
      <c r="S138" s="169"/>
      <c r="T138" s="169"/>
    </row>
    <row r="139" spans="1:20">
      <c r="B139" s="592" t="s">
        <v>939</v>
      </c>
      <c r="C139" s="582" t="s">
        <v>199</v>
      </c>
      <c r="D139" s="585">
        <v>42185</v>
      </c>
      <c r="E139" s="582">
        <v>1</v>
      </c>
      <c r="F139" s="582">
        <v>1</v>
      </c>
      <c r="G139" s="582" t="s">
        <v>940</v>
      </c>
      <c r="H139" s="582" t="s">
        <v>251</v>
      </c>
      <c r="I139" s="583">
        <v>42143</v>
      </c>
      <c r="J139" s="581"/>
      <c r="K139" s="399"/>
      <c r="L139" s="189" t="str">
        <f t="shared" si="25"/>
        <v/>
      </c>
      <c r="M139" s="74"/>
      <c r="N139" s="75" t="s">
        <v>36</v>
      </c>
      <c r="O139" s="76"/>
      <c r="Q139" s="21">
        <f>IF(ISBLANK(K139),0,SUM(K139,-I139))</f>
        <v>0</v>
      </c>
      <c r="R139" s="22">
        <f>IF(ISBLANK(P139),0,SUM(P139,-I139))</f>
        <v>0</v>
      </c>
      <c r="S139" s="169"/>
      <c r="T139" s="169"/>
    </row>
    <row r="140" spans="1:20" hidden="1">
      <c r="B140" s="593" t="s">
        <v>941</v>
      </c>
      <c r="C140" s="594" t="s">
        <v>26</v>
      </c>
      <c r="D140" s="595">
        <v>42172</v>
      </c>
      <c r="E140" s="594">
        <v>1</v>
      </c>
      <c r="F140" s="594">
        <v>1</v>
      </c>
      <c r="G140" s="594" t="s">
        <v>942</v>
      </c>
      <c r="H140" s="594" t="s">
        <v>7</v>
      </c>
      <c r="I140" s="596">
        <v>42144</v>
      </c>
      <c r="J140" s="581">
        <v>382.86</v>
      </c>
      <c r="K140" s="301">
        <v>42159</v>
      </c>
      <c r="L140" s="188">
        <f t="shared" si="25"/>
        <v>12</v>
      </c>
      <c r="M140" s="67"/>
      <c r="N140" s="68" t="s">
        <v>123</v>
      </c>
      <c r="O140" s="69" t="s">
        <v>42</v>
      </c>
      <c r="P140" s="505">
        <v>42156</v>
      </c>
      <c r="Q140" s="21">
        <f>IF(ISBLANK(K140),0,SUM(K140,-I140))</f>
        <v>15</v>
      </c>
      <c r="R140" s="22">
        <f>IF(ISBLANK(P140),0,SUM(P140,-I140))</f>
        <v>12</v>
      </c>
      <c r="S140" s="169"/>
      <c r="T140" s="169"/>
    </row>
    <row r="141" spans="1:20" hidden="1">
      <c r="B141" s="592" t="s">
        <v>1069</v>
      </c>
      <c r="C141" s="627" t="s">
        <v>269</v>
      </c>
      <c r="D141" s="595">
        <v>42171</v>
      </c>
      <c r="E141" s="594">
        <v>1</v>
      </c>
      <c r="F141" s="594">
        <v>1</v>
      </c>
      <c r="G141" s="627" t="s">
        <v>5</v>
      </c>
      <c r="H141" s="627" t="s">
        <v>251</v>
      </c>
      <c r="I141" s="596">
        <v>42149</v>
      </c>
      <c r="J141" s="586">
        <v>383.86</v>
      </c>
      <c r="K141" s="301">
        <v>42171</v>
      </c>
      <c r="L141" s="188">
        <f t="shared" si="25"/>
        <v>17</v>
      </c>
      <c r="M141" s="67"/>
      <c r="N141" s="68" t="s">
        <v>123</v>
      </c>
      <c r="O141" s="69" t="s">
        <v>34</v>
      </c>
      <c r="P141" s="505">
        <v>42171</v>
      </c>
      <c r="Q141" s="21">
        <f t="shared" ref="Q141:Q146" si="30">IF(ISBLANK(K141),0,SUM(K141,-I141))</f>
        <v>22</v>
      </c>
      <c r="R141" s="22">
        <f t="shared" ref="R141:R146" si="31">IF(ISBLANK(P141),0,SUM(P141,-I141))</f>
        <v>22</v>
      </c>
      <c r="S141" s="169"/>
      <c r="T141" s="169"/>
    </row>
    <row r="142" spans="1:20" hidden="1">
      <c r="B142" s="592" t="s">
        <v>1070</v>
      </c>
      <c r="C142" s="627" t="s">
        <v>1072</v>
      </c>
      <c r="D142" s="595">
        <v>42181</v>
      </c>
      <c r="E142" s="594">
        <v>1</v>
      </c>
      <c r="F142" s="594">
        <v>1</v>
      </c>
      <c r="G142" s="627" t="s">
        <v>5</v>
      </c>
      <c r="H142" s="627" t="s">
        <v>251</v>
      </c>
      <c r="I142" s="596">
        <v>42150</v>
      </c>
      <c r="J142" s="586">
        <v>384.86</v>
      </c>
      <c r="K142" s="301">
        <v>42172</v>
      </c>
      <c r="L142" s="188">
        <f t="shared" si="25"/>
        <v>17</v>
      </c>
      <c r="M142" s="67"/>
      <c r="N142" s="68" t="s">
        <v>123</v>
      </c>
      <c r="O142" s="69" t="s">
        <v>34</v>
      </c>
      <c r="P142" s="505">
        <v>42171</v>
      </c>
      <c r="Q142" s="21">
        <f t="shared" si="30"/>
        <v>22</v>
      </c>
      <c r="R142" s="22">
        <f t="shared" si="31"/>
        <v>21</v>
      </c>
      <c r="S142" s="169"/>
      <c r="T142" s="169"/>
    </row>
    <row r="143" spans="1:20" hidden="1">
      <c r="B143" s="592" t="s">
        <v>1071</v>
      </c>
      <c r="C143" s="627" t="s">
        <v>1072</v>
      </c>
      <c r="D143" s="595">
        <v>42181</v>
      </c>
      <c r="E143" s="594">
        <v>1</v>
      </c>
      <c r="F143" s="594">
        <v>1</v>
      </c>
      <c r="G143" s="627" t="s">
        <v>5</v>
      </c>
      <c r="H143" s="627" t="s">
        <v>251</v>
      </c>
      <c r="I143" s="596">
        <v>42150</v>
      </c>
      <c r="J143" s="586">
        <v>385.86</v>
      </c>
      <c r="K143" s="301">
        <v>42172</v>
      </c>
      <c r="L143" s="188">
        <f t="shared" si="25"/>
        <v>17</v>
      </c>
      <c r="M143" s="67"/>
      <c r="N143" s="68" t="s">
        <v>41</v>
      </c>
      <c r="O143" s="69" t="s">
        <v>34</v>
      </c>
      <c r="P143" s="505">
        <v>42171</v>
      </c>
      <c r="Q143" s="21">
        <f t="shared" si="30"/>
        <v>22</v>
      </c>
      <c r="R143" s="22">
        <f t="shared" si="31"/>
        <v>21</v>
      </c>
      <c r="S143" s="169"/>
      <c r="T143" s="169"/>
    </row>
    <row r="144" spans="1:20" hidden="1">
      <c r="B144" s="601" t="s">
        <v>1007</v>
      </c>
      <c r="C144" s="602" t="s">
        <v>64</v>
      </c>
      <c r="D144" s="603">
        <v>42177</v>
      </c>
      <c r="E144" s="602">
        <v>2</v>
      </c>
      <c r="F144" s="602">
        <v>2</v>
      </c>
      <c r="G144" s="602" t="s">
        <v>101</v>
      </c>
      <c r="H144" s="602" t="s">
        <v>6</v>
      </c>
      <c r="I144" s="604">
        <v>42152</v>
      </c>
      <c r="J144" s="600">
        <v>300.60000000000002</v>
      </c>
      <c r="K144" s="303">
        <v>42158</v>
      </c>
      <c r="L144" s="189">
        <f t="shared" si="25"/>
        <v>5</v>
      </c>
      <c r="M144" s="74"/>
      <c r="N144" s="75" t="s">
        <v>36</v>
      </c>
      <c r="O144" s="76"/>
      <c r="Q144" s="21">
        <f t="shared" si="30"/>
        <v>6</v>
      </c>
      <c r="R144" s="22">
        <f t="shared" si="31"/>
        <v>0</v>
      </c>
      <c r="S144" s="169"/>
      <c r="T144" s="169"/>
    </row>
    <row r="145" spans="2:20" hidden="1">
      <c r="B145" s="633" t="s">
        <v>1004</v>
      </c>
      <c r="C145" s="634" t="s">
        <v>198</v>
      </c>
      <c r="D145" s="635">
        <v>42177</v>
      </c>
      <c r="E145" s="634">
        <v>1</v>
      </c>
      <c r="F145" s="634">
        <v>1</v>
      </c>
      <c r="G145" s="634" t="s">
        <v>1005</v>
      </c>
      <c r="H145" s="634" t="s">
        <v>7</v>
      </c>
      <c r="I145" s="636">
        <v>42152</v>
      </c>
      <c r="J145" s="600" t="s">
        <v>1006</v>
      </c>
      <c r="K145" s="301">
        <v>42174</v>
      </c>
      <c r="L145" s="188">
        <f t="shared" si="25"/>
        <v>17</v>
      </c>
      <c r="M145" s="67"/>
      <c r="N145" s="68" t="s">
        <v>123</v>
      </c>
      <c r="O145" s="69" t="s">
        <v>34</v>
      </c>
      <c r="P145" s="505">
        <v>42171</v>
      </c>
      <c r="Q145" s="21">
        <f t="shared" si="30"/>
        <v>22</v>
      </c>
      <c r="R145" s="22">
        <f t="shared" si="31"/>
        <v>19</v>
      </c>
      <c r="S145" s="169"/>
      <c r="T145" s="169"/>
    </row>
    <row r="146" spans="2:20">
      <c r="B146" s="615" t="s">
        <v>1039</v>
      </c>
      <c r="C146" s="638" t="s">
        <v>194</v>
      </c>
      <c r="D146" s="639">
        <v>42198</v>
      </c>
      <c r="E146" s="638">
        <v>3</v>
      </c>
      <c r="F146" s="638">
        <v>3</v>
      </c>
      <c r="G146" s="638" t="s">
        <v>1040</v>
      </c>
      <c r="H146" s="638" t="s">
        <v>7</v>
      </c>
      <c r="I146" s="640">
        <v>42156</v>
      </c>
      <c r="J146" s="610">
        <v>623.33000000000004</v>
      </c>
      <c r="K146" s="644"/>
      <c r="L146" s="188" t="str">
        <f>IF(ISBLANK(K146),"",NETWORKDAYS(I146,K146))</f>
        <v/>
      </c>
      <c r="M146" s="140"/>
      <c r="N146" s="68" t="s">
        <v>123</v>
      </c>
      <c r="O146" s="69" t="s">
        <v>35</v>
      </c>
      <c r="P146" s="505">
        <v>42166</v>
      </c>
      <c r="Q146" s="21">
        <f t="shared" si="30"/>
        <v>0</v>
      </c>
      <c r="R146" s="22">
        <f t="shared" si="31"/>
        <v>10</v>
      </c>
      <c r="S146" s="169"/>
      <c r="T146" s="169"/>
    </row>
    <row r="147" spans="2:20">
      <c r="B147" s="615" t="s">
        <v>1037</v>
      </c>
      <c r="C147" s="618" t="s">
        <v>204</v>
      </c>
      <c r="D147" s="619">
        <v>42198</v>
      </c>
      <c r="E147" s="618">
        <v>1</v>
      </c>
      <c r="F147" s="618">
        <v>1</v>
      </c>
      <c r="G147" s="618" t="s">
        <v>111</v>
      </c>
      <c r="H147" s="618" t="s">
        <v>251</v>
      </c>
      <c r="I147" s="620">
        <v>42157</v>
      </c>
      <c r="J147" s="610" t="s">
        <v>1038</v>
      </c>
      <c r="K147" s="621"/>
      <c r="L147" s="189" t="str">
        <f>IF(ISBLANK(K147),"",NETWORKDAYS(I147,K147))</f>
        <v/>
      </c>
      <c r="M147" s="348"/>
      <c r="N147" s="75" t="s">
        <v>36</v>
      </c>
      <c r="O147" s="76"/>
      <c r="Q147" s="21">
        <f t="shared" si="26"/>
        <v>0</v>
      </c>
      <c r="R147" s="22">
        <f t="shared" si="27"/>
        <v>0</v>
      </c>
      <c r="S147" s="169"/>
      <c r="T147" s="169"/>
    </row>
    <row r="148" spans="2:20" hidden="1">
      <c r="B148" s="623" t="s">
        <v>1051</v>
      </c>
      <c r="C148" s="618" t="s">
        <v>64</v>
      </c>
      <c r="D148" s="619">
        <v>42184</v>
      </c>
      <c r="E148" s="618">
        <v>1</v>
      </c>
      <c r="F148" s="618">
        <v>1</v>
      </c>
      <c r="G148" s="618" t="s">
        <v>1052</v>
      </c>
      <c r="H148" s="618" t="s">
        <v>6</v>
      </c>
      <c r="I148" s="620">
        <v>42157</v>
      </c>
      <c r="J148" s="626">
        <v>211.2</v>
      </c>
      <c r="K148" s="303">
        <v>42160</v>
      </c>
      <c r="L148" s="189">
        <f>IF(ISBLANK(K148),"",NETWORKDAYS(I148,K148))</f>
        <v>4</v>
      </c>
      <c r="M148" s="74"/>
      <c r="N148" s="75" t="s">
        <v>36</v>
      </c>
      <c r="O148" s="76"/>
      <c r="Q148" s="21">
        <f t="shared" si="26"/>
        <v>3</v>
      </c>
      <c r="R148" s="22">
        <f t="shared" si="27"/>
        <v>0</v>
      </c>
      <c r="S148" s="169"/>
      <c r="T148" s="169"/>
    </row>
    <row r="149" spans="2:20" hidden="1">
      <c r="B149" s="623" t="s">
        <v>1064</v>
      </c>
      <c r="C149" s="618" t="s">
        <v>64</v>
      </c>
      <c r="D149" s="619">
        <v>42184</v>
      </c>
      <c r="E149" s="618">
        <v>1</v>
      </c>
      <c r="F149" s="618">
        <v>1</v>
      </c>
      <c r="G149" s="618" t="s">
        <v>549</v>
      </c>
      <c r="H149" s="618" t="s">
        <v>6</v>
      </c>
      <c r="I149" s="620">
        <v>42158</v>
      </c>
      <c r="J149" s="626">
        <v>238.01</v>
      </c>
      <c r="K149" s="303">
        <v>42163</v>
      </c>
      <c r="L149" s="189">
        <f>IF(ISBLANK(K149),"",NETWORKDAYS(I149,K149))</f>
        <v>4</v>
      </c>
      <c r="M149" s="74"/>
      <c r="N149" s="75" t="s">
        <v>36</v>
      </c>
      <c r="O149" s="76"/>
      <c r="Q149" s="21">
        <f t="shared" si="26"/>
        <v>5</v>
      </c>
      <c r="R149" s="22">
        <f t="shared" si="27"/>
        <v>0</v>
      </c>
      <c r="S149" s="169"/>
      <c r="T149" s="169"/>
    </row>
    <row r="150" spans="2:20" hidden="1">
      <c r="B150" s="637" t="s">
        <v>1065</v>
      </c>
      <c r="C150" s="638" t="s">
        <v>26</v>
      </c>
      <c r="D150" s="639">
        <v>42159</v>
      </c>
      <c r="E150" s="638">
        <v>1</v>
      </c>
      <c r="F150" s="638">
        <v>1</v>
      </c>
      <c r="G150" s="638" t="s">
        <v>5</v>
      </c>
      <c r="H150" s="638" t="s">
        <v>7</v>
      </c>
      <c r="I150" s="640">
        <v>42159</v>
      </c>
      <c r="J150" s="626">
        <v>445.03</v>
      </c>
      <c r="K150" s="301">
        <v>42172</v>
      </c>
      <c r="L150" s="188">
        <f>IF(ISBLANK(K150),"",NETWORKDAYS(I150,K150))</f>
        <v>10</v>
      </c>
      <c r="M150" s="67"/>
      <c r="N150" s="68" t="s">
        <v>123</v>
      </c>
      <c r="O150" s="69" t="s">
        <v>35</v>
      </c>
      <c r="P150" s="505">
        <v>42171</v>
      </c>
      <c r="Q150" s="21">
        <f t="shared" si="26"/>
        <v>13</v>
      </c>
      <c r="R150" s="22">
        <f t="shared" si="27"/>
        <v>12</v>
      </c>
      <c r="S150" s="169"/>
      <c r="T150" s="169"/>
    </row>
    <row r="151" spans="2:20">
      <c r="B151" s="637" t="s">
        <v>1068</v>
      </c>
      <c r="C151" s="638" t="s">
        <v>26</v>
      </c>
      <c r="D151" s="639">
        <v>42181</v>
      </c>
      <c r="E151" s="638">
        <v>2</v>
      </c>
      <c r="F151" s="638">
        <v>2</v>
      </c>
      <c r="G151" s="638" t="s">
        <v>5</v>
      </c>
      <c r="H151" s="638" t="s">
        <v>7</v>
      </c>
      <c r="I151" s="640">
        <v>42160</v>
      </c>
      <c r="K151" s="350"/>
      <c r="L151" s="188" t="str">
        <f t="shared" ref="L151:L156" si="32">IF(ISBLANK(K151),"",NETWORKDAYS(I151,K151))</f>
        <v/>
      </c>
      <c r="M151" s="67"/>
      <c r="N151" s="68" t="s">
        <v>123</v>
      </c>
      <c r="O151" s="69" t="s">
        <v>33</v>
      </c>
      <c r="P151" s="505">
        <v>42174</v>
      </c>
      <c r="Q151" s="21">
        <f t="shared" si="26"/>
        <v>0</v>
      </c>
      <c r="R151" s="22">
        <f t="shared" si="27"/>
        <v>14</v>
      </c>
      <c r="S151" s="169"/>
      <c r="T151" s="169"/>
    </row>
    <row r="152" spans="2:20" hidden="1">
      <c r="B152" s="623" t="s">
        <v>1086</v>
      </c>
      <c r="C152" s="618" t="s">
        <v>64</v>
      </c>
      <c r="D152" s="619">
        <v>42177</v>
      </c>
      <c r="E152" s="618">
        <v>2</v>
      </c>
      <c r="F152" s="618">
        <v>2</v>
      </c>
      <c r="G152" s="618" t="s">
        <v>119</v>
      </c>
      <c r="H152" s="618" t="s">
        <v>6</v>
      </c>
      <c r="I152" s="620">
        <v>42160</v>
      </c>
      <c r="J152" s="642">
        <v>231.84</v>
      </c>
      <c r="K152" s="303">
        <v>42166</v>
      </c>
      <c r="L152" s="189">
        <f t="shared" si="32"/>
        <v>5</v>
      </c>
      <c r="M152" s="348"/>
      <c r="N152" s="75" t="s">
        <v>36</v>
      </c>
      <c r="O152" s="76"/>
      <c r="Q152" s="21">
        <f t="shared" si="26"/>
        <v>6</v>
      </c>
      <c r="R152" s="22">
        <f t="shared" si="27"/>
        <v>0</v>
      </c>
      <c r="S152" s="169"/>
      <c r="T152" s="169"/>
    </row>
    <row r="153" spans="2:20">
      <c r="B153" s="616" t="s">
        <v>1087</v>
      </c>
      <c r="C153" s="611" t="s">
        <v>194</v>
      </c>
      <c r="D153" s="612">
        <v>42188</v>
      </c>
      <c r="E153" s="611">
        <v>1</v>
      </c>
      <c r="F153" s="611">
        <v>1</v>
      </c>
      <c r="G153" s="611" t="s">
        <v>607</v>
      </c>
      <c r="H153" s="611" t="s">
        <v>7</v>
      </c>
      <c r="I153" s="613">
        <v>42160</v>
      </c>
      <c r="J153" s="642">
        <v>803.68</v>
      </c>
      <c r="K153" s="302"/>
      <c r="L153" s="306" t="str">
        <f t="shared" si="32"/>
        <v/>
      </c>
      <c r="M153" s="614"/>
      <c r="N153" s="71" t="s">
        <v>41</v>
      </c>
      <c r="O153" s="72" t="s">
        <v>34</v>
      </c>
      <c r="Q153" s="21">
        <f t="shared" si="26"/>
        <v>0</v>
      </c>
      <c r="R153" s="22">
        <f t="shared" si="27"/>
        <v>0</v>
      </c>
      <c r="S153" s="169"/>
      <c r="T153" s="169"/>
    </row>
    <row r="154" spans="2:20" hidden="1">
      <c r="B154" s="623" t="s">
        <v>1101</v>
      </c>
      <c r="C154" s="618" t="s">
        <v>204</v>
      </c>
      <c r="D154" s="619">
        <v>42175</v>
      </c>
      <c r="E154" s="618">
        <v>1</v>
      </c>
      <c r="F154" s="618">
        <v>1</v>
      </c>
      <c r="G154" s="618" t="s">
        <v>1102</v>
      </c>
      <c r="H154" s="618" t="s">
        <v>6</v>
      </c>
      <c r="I154" s="620">
        <v>42163</v>
      </c>
      <c r="J154" s="618">
        <v>784</v>
      </c>
      <c r="K154" s="303">
        <v>42166</v>
      </c>
      <c r="L154" s="645">
        <f t="shared" si="32"/>
        <v>4</v>
      </c>
      <c r="M154" s="348"/>
      <c r="N154" s="75" t="s">
        <v>36</v>
      </c>
      <c r="O154" s="76"/>
      <c r="Q154" s="21">
        <f t="shared" si="26"/>
        <v>3</v>
      </c>
      <c r="R154" s="22">
        <f t="shared" si="27"/>
        <v>0</v>
      </c>
      <c r="S154" s="169"/>
      <c r="T154" s="169"/>
    </row>
    <row r="155" spans="2:20" hidden="1">
      <c r="B155" s="623" t="s">
        <v>1103</v>
      </c>
      <c r="C155" s="618" t="s">
        <v>64</v>
      </c>
      <c r="D155" s="619">
        <v>42185</v>
      </c>
      <c r="E155" s="618">
        <v>1</v>
      </c>
      <c r="F155" s="618">
        <v>1</v>
      </c>
      <c r="G155" s="618" t="s">
        <v>111</v>
      </c>
      <c r="H155" s="618" t="s">
        <v>6</v>
      </c>
      <c r="I155" s="620">
        <v>42164</v>
      </c>
      <c r="J155" s="618">
        <v>198.6</v>
      </c>
      <c r="K155" s="303">
        <v>42166</v>
      </c>
      <c r="L155" s="189">
        <f t="shared" si="32"/>
        <v>3</v>
      </c>
      <c r="M155" s="348"/>
      <c r="N155" s="75" t="s">
        <v>36</v>
      </c>
      <c r="O155" s="76"/>
      <c r="Q155" s="21">
        <f t="shared" si="26"/>
        <v>2</v>
      </c>
      <c r="R155" s="22">
        <f t="shared" si="27"/>
        <v>0</v>
      </c>
      <c r="S155" s="169"/>
      <c r="T155" s="169"/>
    </row>
    <row r="156" spans="2:20">
      <c r="B156" s="661" t="s">
        <v>1141</v>
      </c>
      <c r="C156" s="673" t="s">
        <v>26</v>
      </c>
      <c r="D156" s="674">
        <v>42198</v>
      </c>
      <c r="E156" s="673">
        <v>4</v>
      </c>
      <c r="F156" s="673">
        <v>4</v>
      </c>
      <c r="G156" s="673" t="s">
        <v>135</v>
      </c>
      <c r="H156" s="673" t="s">
        <v>251</v>
      </c>
      <c r="I156" s="675">
        <v>42167</v>
      </c>
      <c r="J156" s="647">
        <v>469.8</v>
      </c>
      <c r="K156" s="644"/>
      <c r="L156" s="188" t="str">
        <f t="shared" si="32"/>
        <v/>
      </c>
      <c r="M156" s="140"/>
      <c r="N156" s="68" t="s">
        <v>123</v>
      </c>
      <c r="O156" s="69" t="s">
        <v>42</v>
      </c>
      <c r="P156" s="505">
        <v>42174</v>
      </c>
      <c r="Q156" s="21">
        <f t="shared" si="26"/>
        <v>0</v>
      </c>
      <c r="R156" s="22">
        <f t="shared" si="27"/>
        <v>7</v>
      </c>
      <c r="S156" s="169"/>
      <c r="T156" s="169"/>
    </row>
    <row r="157" spans="2:20">
      <c r="B157" s="650" t="s">
        <v>1147</v>
      </c>
      <c r="C157" s="649" t="s">
        <v>26</v>
      </c>
      <c r="D157" s="651">
        <v>42192</v>
      </c>
      <c r="E157" s="649">
        <v>3</v>
      </c>
      <c r="F157" s="649">
        <v>3</v>
      </c>
      <c r="G157" s="649" t="s">
        <v>1148</v>
      </c>
      <c r="H157" s="649" t="s">
        <v>7</v>
      </c>
      <c r="I157" s="652">
        <v>42171</v>
      </c>
      <c r="K157" s="653"/>
      <c r="L157" s="306" t="str">
        <f t="shared" ref="L157:L163" si="33">IF(ISBLANK(K157),"",NETWORKDAYS(I157,K157))</f>
        <v/>
      </c>
      <c r="M157" s="614"/>
      <c r="N157" s="71" t="s">
        <v>41</v>
      </c>
      <c r="O157" s="72" t="s">
        <v>35</v>
      </c>
      <c r="Q157" s="21">
        <f t="shared" ref="Q157:Q216" si="34">IF(ISBLANK(K157),0,SUM(K157,-I157))</f>
        <v>0</v>
      </c>
      <c r="R157" s="22">
        <f t="shared" ref="R157:R216" si="35">IF(ISBLANK(P157),0,SUM(P157,-I157))</f>
        <v>0</v>
      </c>
      <c r="S157" s="169"/>
      <c r="T157" s="169"/>
    </row>
    <row r="158" spans="2:20" hidden="1">
      <c r="B158" s="654" t="s">
        <v>1158</v>
      </c>
      <c r="C158" s="655" t="s">
        <v>64</v>
      </c>
      <c r="D158" s="656">
        <v>42191</v>
      </c>
      <c r="E158" s="655">
        <v>1</v>
      </c>
      <c r="F158" s="655">
        <v>1</v>
      </c>
      <c r="G158" s="655" t="s">
        <v>117</v>
      </c>
      <c r="H158" s="655" t="s">
        <v>6</v>
      </c>
      <c r="I158" s="657">
        <v>42170</v>
      </c>
      <c r="J158" s="655">
        <v>174.42</v>
      </c>
      <c r="K158" s="303">
        <v>42174</v>
      </c>
      <c r="L158" s="189">
        <f t="shared" si="33"/>
        <v>5</v>
      </c>
      <c r="M158" s="348"/>
      <c r="N158" s="75" t="s">
        <v>36</v>
      </c>
      <c r="O158" s="76"/>
      <c r="Q158" s="21">
        <f t="shared" si="34"/>
        <v>4</v>
      </c>
      <c r="R158" s="22">
        <f t="shared" si="35"/>
        <v>0</v>
      </c>
      <c r="S158" s="169"/>
      <c r="T158" s="169"/>
    </row>
    <row r="159" spans="2:20">
      <c r="B159" s="708" t="s">
        <v>1184</v>
      </c>
      <c r="C159" s="709" t="s">
        <v>26</v>
      </c>
      <c r="D159" s="710">
        <v>42192</v>
      </c>
      <c r="E159" s="709">
        <v>2</v>
      </c>
      <c r="F159" s="709">
        <v>2</v>
      </c>
      <c r="G159" s="709" t="s">
        <v>5</v>
      </c>
      <c r="H159" s="709" t="s">
        <v>7</v>
      </c>
      <c r="I159" s="712">
        <v>42172</v>
      </c>
      <c r="J159" s="699">
        <v>491.9</v>
      </c>
      <c r="K159" s="653"/>
      <c r="L159" s="306" t="str">
        <f t="shared" si="33"/>
        <v/>
      </c>
      <c r="M159" s="614"/>
      <c r="N159" s="71" t="s">
        <v>41</v>
      </c>
      <c r="O159" s="72" t="s">
        <v>34</v>
      </c>
      <c r="Q159" s="21">
        <f t="shared" si="34"/>
        <v>0</v>
      </c>
      <c r="R159" s="22">
        <f t="shared" si="35"/>
        <v>0</v>
      </c>
      <c r="S159" s="169"/>
      <c r="T159" s="169"/>
    </row>
    <row r="160" spans="2:20">
      <c r="B160" s="704" t="s">
        <v>1182</v>
      </c>
      <c r="C160" s="705" t="s">
        <v>64</v>
      </c>
      <c r="D160" s="706">
        <v>42195</v>
      </c>
      <c r="E160" s="705">
        <v>1</v>
      </c>
      <c r="F160" s="705">
        <v>1</v>
      </c>
      <c r="G160" s="705" t="s">
        <v>1183</v>
      </c>
      <c r="H160" s="705" t="s">
        <v>6</v>
      </c>
      <c r="I160" s="715">
        <v>42174</v>
      </c>
      <c r="J160" s="699">
        <v>198.72</v>
      </c>
      <c r="K160" s="621"/>
      <c r="L160" s="189" t="str">
        <f t="shared" si="33"/>
        <v/>
      </c>
      <c r="M160" s="348"/>
      <c r="N160" s="75" t="s">
        <v>36</v>
      </c>
      <c r="O160" s="76"/>
      <c r="Q160" s="21">
        <f t="shared" si="34"/>
        <v>0</v>
      </c>
      <c r="R160" s="22">
        <f t="shared" si="35"/>
        <v>0</v>
      </c>
      <c r="S160" s="169"/>
      <c r="T160" s="169"/>
    </row>
    <row r="161" spans="2:20">
      <c r="B161" s="704" t="s">
        <v>1174</v>
      </c>
      <c r="C161" s="705" t="s">
        <v>199</v>
      </c>
      <c r="D161" s="706">
        <v>42195</v>
      </c>
      <c r="E161" s="705">
        <v>1</v>
      </c>
      <c r="F161" s="705">
        <v>1</v>
      </c>
      <c r="G161" s="705" t="s">
        <v>117</v>
      </c>
      <c r="H161" s="705" t="s">
        <v>6</v>
      </c>
      <c r="I161" s="715">
        <v>42174</v>
      </c>
      <c r="J161" s="699" t="s">
        <v>1175</v>
      </c>
      <c r="K161" s="621"/>
      <c r="L161" s="189" t="str">
        <f t="shared" si="33"/>
        <v/>
      </c>
      <c r="M161" s="348"/>
      <c r="N161" s="75" t="s">
        <v>36</v>
      </c>
      <c r="O161" s="76"/>
      <c r="Q161" s="21">
        <f t="shared" si="34"/>
        <v>0</v>
      </c>
      <c r="R161" s="22">
        <f t="shared" si="35"/>
        <v>0</v>
      </c>
      <c r="S161" s="169"/>
      <c r="T161" s="169"/>
    </row>
    <row r="162" spans="2:20">
      <c r="B162" s="708" t="s">
        <v>1185</v>
      </c>
      <c r="C162" s="709" t="s">
        <v>194</v>
      </c>
      <c r="D162" s="710">
        <v>42192</v>
      </c>
      <c r="E162" s="709">
        <v>1</v>
      </c>
      <c r="F162" s="709">
        <v>1</v>
      </c>
      <c r="G162" s="709" t="s">
        <v>5</v>
      </c>
      <c r="H162" s="709" t="s">
        <v>7</v>
      </c>
      <c r="I162" s="712">
        <v>42174</v>
      </c>
      <c r="J162" s="699">
        <v>694.51</v>
      </c>
      <c r="K162" s="653"/>
      <c r="L162" s="306" t="str">
        <f t="shared" si="33"/>
        <v/>
      </c>
      <c r="M162" s="614"/>
      <c r="N162" s="71" t="s">
        <v>41</v>
      </c>
      <c r="O162" s="72" t="s">
        <v>34</v>
      </c>
      <c r="Q162" s="21">
        <f t="shared" si="34"/>
        <v>0</v>
      </c>
      <c r="R162" s="22">
        <f t="shared" si="35"/>
        <v>0</v>
      </c>
      <c r="S162" s="169"/>
      <c r="T162" s="169"/>
    </row>
    <row r="163" spans="2:20">
      <c r="B163" s="704" t="s">
        <v>1169</v>
      </c>
      <c r="C163" s="705" t="s">
        <v>562</v>
      </c>
      <c r="D163" s="706">
        <v>42174</v>
      </c>
      <c r="E163" s="705">
        <v>1</v>
      </c>
      <c r="F163" s="705">
        <v>1</v>
      </c>
      <c r="G163" s="705" t="s">
        <v>715</v>
      </c>
      <c r="H163" s="705" t="s">
        <v>7</v>
      </c>
      <c r="I163" s="715">
        <v>42174</v>
      </c>
      <c r="J163" s="699">
        <v>0</v>
      </c>
      <c r="K163" s="621"/>
      <c r="L163" s="189" t="str">
        <f t="shared" si="33"/>
        <v/>
      </c>
      <c r="M163" s="348"/>
      <c r="N163" s="75" t="s">
        <v>96</v>
      </c>
      <c r="O163" s="76"/>
      <c r="Q163" s="21">
        <f t="shared" si="34"/>
        <v>0</v>
      </c>
      <c r="R163" s="22">
        <f t="shared" si="35"/>
        <v>0</v>
      </c>
      <c r="S163" s="169"/>
      <c r="T163" s="169"/>
    </row>
    <row r="164" spans="2:20">
      <c r="Q164" s="21">
        <f t="shared" si="34"/>
        <v>0</v>
      </c>
      <c r="R164" s="22">
        <f t="shared" si="35"/>
        <v>0</v>
      </c>
      <c r="S164" s="169"/>
      <c r="T164" s="169"/>
    </row>
    <row r="165" spans="2:20">
      <c r="Q165" s="21">
        <f t="shared" si="34"/>
        <v>0</v>
      </c>
      <c r="R165" s="22">
        <f t="shared" si="35"/>
        <v>0</v>
      </c>
      <c r="S165" s="169"/>
      <c r="T165" s="169"/>
    </row>
    <row r="166" spans="2:20">
      <c r="Q166" s="21">
        <f t="shared" si="34"/>
        <v>0</v>
      </c>
      <c r="R166" s="22">
        <f t="shared" si="35"/>
        <v>0</v>
      </c>
      <c r="S166" s="169"/>
      <c r="T166" s="169"/>
    </row>
    <row r="167" spans="2:20">
      <c r="Q167" s="21">
        <f t="shared" si="34"/>
        <v>0</v>
      </c>
      <c r="R167" s="22">
        <f t="shared" si="35"/>
        <v>0</v>
      </c>
      <c r="S167" s="169"/>
      <c r="T167" s="169"/>
    </row>
    <row r="168" spans="2:20">
      <c r="Q168" s="21">
        <f t="shared" si="34"/>
        <v>0</v>
      </c>
      <c r="R168" s="22">
        <f t="shared" si="35"/>
        <v>0</v>
      </c>
      <c r="S168" s="169"/>
      <c r="T168" s="169"/>
    </row>
    <row r="169" spans="2:20">
      <c r="Q169" s="21">
        <f t="shared" si="34"/>
        <v>0</v>
      </c>
      <c r="R169" s="22">
        <f t="shared" si="35"/>
        <v>0</v>
      </c>
      <c r="S169" s="169"/>
      <c r="T169" s="169"/>
    </row>
    <row r="170" spans="2:20">
      <c r="Q170" s="21">
        <f t="shared" si="34"/>
        <v>0</v>
      </c>
      <c r="R170" s="22">
        <f t="shared" si="35"/>
        <v>0</v>
      </c>
      <c r="S170" s="169"/>
      <c r="T170" s="169"/>
    </row>
    <row r="171" spans="2:20">
      <c r="Q171" s="21">
        <f t="shared" si="34"/>
        <v>0</v>
      </c>
      <c r="R171" s="22">
        <f t="shared" si="35"/>
        <v>0</v>
      </c>
      <c r="S171" s="169"/>
      <c r="T171" s="169"/>
    </row>
    <row r="172" spans="2:20">
      <c r="Q172" s="21">
        <f t="shared" si="34"/>
        <v>0</v>
      </c>
      <c r="R172" s="22">
        <f t="shared" si="35"/>
        <v>0</v>
      </c>
      <c r="S172" s="169"/>
      <c r="T172" s="169"/>
    </row>
    <row r="173" spans="2:20">
      <c r="Q173" s="21">
        <f t="shared" si="34"/>
        <v>0</v>
      </c>
      <c r="R173" s="22">
        <f t="shared" si="35"/>
        <v>0</v>
      </c>
      <c r="S173" s="169"/>
      <c r="T173" s="169"/>
    </row>
    <row r="174" spans="2:20">
      <c r="Q174" s="21">
        <f t="shared" si="34"/>
        <v>0</v>
      </c>
      <c r="R174" s="22">
        <f t="shared" si="35"/>
        <v>0</v>
      </c>
      <c r="S174" s="169"/>
      <c r="T174" s="169"/>
    </row>
    <row r="175" spans="2:20">
      <c r="Q175" s="21">
        <f t="shared" si="34"/>
        <v>0</v>
      </c>
      <c r="R175" s="22">
        <f t="shared" si="35"/>
        <v>0</v>
      </c>
      <c r="S175" s="169"/>
      <c r="T175" s="169"/>
    </row>
    <row r="176" spans="2:20">
      <c r="Q176" s="21">
        <f t="shared" si="34"/>
        <v>0</v>
      </c>
      <c r="R176" s="22">
        <f t="shared" si="35"/>
        <v>0</v>
      </c>
      <c r="S176" s="169"/>
      <c r="T176" s="169"/>
    </row>
    <row r="177" spans="17:20">
      <c r="Q177" s="21">
        <f t="shared" si="34"/>
        <v>0</v>
      </c>
      <c r="R177" s="22">
        <f t="shared" si="35"/>
        <v>0</v>
      </c>
      <c r="S177" s="169"/>
      <c r="T177" s="169"/>
    </row>
    <row r="178" spans="17:20">
      <c r="Q178" s="21">
        <f t="shared" si="34"/>
        <v>0</v>
      </c>
      <c r="R178" s="22">
        <f t="shared" si="35"/>
        <v>0</v>
      </c>
      <c r="S178" s="169"/>
      <c r="T178" s="169"/>
    </row>
    <row r="179" spans="17:20">
      <c r="Q179" s="21">
        <f t="shared" si="34"/>
        <v>0</v>
      </c>
      <c r="R179" s="22">
        <f t="shared" si="35"/>
        <v>0</v>
      </c>
      <c r="S179" s="169"/>
      <c r="T179" s="169"/>
    </row>
    <row r="180" spans="17:20">
      <c r="Q180" s="21">
        <f t="shared" si="34"/>
        <v>0</v>
      </c>
      <c r="R180" s="22">
        <f t="shared" si="35"/>
        <v>0</v>
      </c>
      <c r="S180" s="169"/>
      <c r="T180" s="169"/>
    </row>
    <row r="181" spans="17:20">
      <c r="Q181" s="21">
        <f t="shared" si="34"/>
        <v>0</v>
      </c>
      <c r="R181" s="22">
        <f t="shared" si="35"/>
        <v>0</v>
      </c>
      <c r="S181" s="169"/>
      <c r="T181" s="169"/>
    </row>
    <row r="182" spans="17:20">
      <c r="Q182" s="21">
        <f t="shared" si="34"/>
        <v>0</v>
      </c>
      <c r="R182" s="22">
        <f t="shared" si="35"/>
        <v>0</v>
      </c>
      <c r="S182" s="169"/>
      <c r="T182" s="169"/>
    </row>
    <row r="183" spans="17:20">
      <c r="Q183" s="21">
        <f t="shared" si="34"/>
        <v>0</v>
      </c>
      <c r="R183" s="22">
        <f t="shared" si="35"/>
        <v>0</v>
      </c>
      <c r="S183" s="169"/>
      <c r="T183" s="169"/>
    </row>
    <row r="184" spans="17:20">
      <c r="Q184" s="21">
        <f t="shared" si="34"/>
        <v>0</v>
      </c>
      <c r="R184" s="22">
        <f t="shared" si="35"/>
        <v>0</v>
      </c>
      <c r="S184" s="169"/>
      <c r="T184" s="169"/>
    </row>
    <row r="185" spans="17:20">
      <c r="Q185" s="21">
        <f t="shared" si="34"/>
        <v>0</v>
      </c>
      <c r="R185" s="22">
        <f t="shared" si="35"/>
        <v>0</v>
      </c>
      <c r="S185" s="169"/>
      <c r="T185" s="169"/>
    </row>
    <row r="186" spans="17:20">
      <c r="Q186" s="21">
        <f t="shared" si="34"/>
        <v>0</v>
      </c>
      <c r="R186" s="22">
        <f t="shared" si="35"/>
        <v>0</v>
      </c>
      <c r="S186" s="169"/>
      <c r="T186" s="169"/>
    </row>
    <row r="187" spans="17:20">
      <c r="Q187" s="21">
        <f t="shared" si="34"/>
        <v>0</v>
      </c>
      <c r="R187" s="22">
        <f t="shared" si="35"/>
        <v>0</v>
      </c>
      <c r="S187" s="169"/>
      <c r="T187" s="169"/>
    </row>
    <row r="188" spans="17:20">
      <c r="Q188" s="21">
        <f t="shared" si="34"/>
        <v>0</v>
      </c>
      <c r="R188" s="22">
        <f t="shared" si="35"/>
        <v>0</v>
      </c>
      <c r="S188" s="169"/>
      <c r="T188" s="169"/>
    </row>
    <row r="189" spans="17:20">
      <c r="Q189" s="21">
        <f t="shared" si="34"/>
        <v>0</v>
      </c>
      <c r="R189" s="22">
        <f t="shared" si="35"/>
        <v>0</v>
      </c>
      <c r="S189" s="169"/>
      <c r="T189" s="169"/>
    </row>
    <row r="190" spans="17:20">
      <c r="Q190" s="21">
        <f t="shared" si="34"/>
        <v>0</v>
      </c>
      <c r="R190" s="22">
        <f t="shared" si="35"/>
        <v>0</v>
      </c>
      <c r="S190" s="169"/>
      <c r="T190" s="169"/>
    </row>
    <row r="191" spans="17:20">
      <c r="Q191" s="21">
        <f t="shared" si="34"/>
        <v>0</v>
      </c>
      <c r="R191" s="22">
        <f t="shared" si="35"/>
        <v>0</v>
      </c>
      <c r="S191" s="169"/>
      <c r="T191" s="169"/>
    </row>
    <row r="192" spans="17:20">
      <c r="Q192" s="21">
        <f t="shared" si="34"/>
        <v>0</v>
      </c>
      <c r="R192" s="22">
        <f t="shared" si="35"/>
        <v>0</v>
      </c>
      <c r="S192" s="169"/>
      <c r="T192" s="169"/>
    </row>
    <row r="193" spans="17:20">
      <c r="Q193" s="21">
        <f t="shared" si="34"/>
        <v>0</v>
      </c>
      <c r="R193" s="22">
        <f t="shared" si="35"/>
        <v>0</v>
      </c>
      <c r="S193" s="169"/>
      <c r="T193" s="169"/>
    </row>
    <row r="194" spans="17:20">
      <c r="Q194" s="21">
        <f t="shared" si="34"/>
        <v>0</v>
      </c>
      <c r="R194" s="22">
        <f t="shared" si="35"/>
        <v>0</v>
      </c>
      <c r="S194" s="169"/>
      <c r="T194" s="169"/>
    </row>
    <row r="195" spans="17:20">
      <c r="Q195" s="21">
        <f t="shared" si="34"/>
        <v>0</v>
      </c>
      <c r="R195" s="22">
        <f t="shared" si="35"/>
        <v>0</v>
      </c>
      <c r="S195" s="169"/>
      <c r="T195" s="169"/>
    </row>
    <row r="196" spans="17:20">
      <c r="Q196" s="21">
        <f t="shared" si="34"/>
        <v>0</v>
      </c>
      <c r="R196" s="22">
        <f t="shared" si="35"/>
        <v>0</v>
      </c>
      <c r="S196" s="169"/>
      <c r="T196" s="169"/>
    </row>
    <row r="197" spans="17:20">
      <c r="Q197" s="21">
        <f t="shared" si="34"/>
        <v>0</v>
      </c>
      <c r="R197" s="22">
        <f t="shared" si="35"/>
        <v>0</v>
      </c>
      <c r="S197" s="169"/>
      <c r="T197" s="169"/>
    </row>
    <row r="198" spans="17:20">
      <c r="Q198" s="21">
        <f t="shared" si="34"/>
        <v>0</v>
      </c>
      <c r="R198" s="22">
        <f t="shared" si="35"/>
        <v>0</v>
      </c>
      <c r="S198" s="169"/>
      <c r="T198" s="169"/>
    </row>
    <row r="199" spans="17:20">
      <c r="Q199" s="21">
        <f t="shared" si="34"/>
        <v>0</v>
      </c>
      <c r="R199" s="22">
        <f t="shared" si="35"/>
        <v>0</v>
      </c>
      <c r="S199" s="169"/>
      <c r="T199" s="169"/>
    </row>
    <row r="200" spans="17:20">
      <c r="Q200" s="21">
        <f t="shared" si="34"/>
        <v>0</v>
      </c>
      <c r="R200" s="22">
        <f t="shared" si="35"/>
        <v>0</v>
      </c>
      <c r="S200" s="169"/>
      <c r="T200" s="169"/>
    </row>
    <row r="201" spans="17:20">
      <c r="Q201" s="21">
        <f t="shared" si="34"/>
        <v>0</v>
      </c>
      <c r="R201" s="22">
        <f t="shared" si="35"/>
        <v>0</v>
      </c>
      <c r="S201" s="169"/>
      <c r="T201" s="169"/>
    </row>
    <row r="202" spans="17:20">
      <c r="Q202" s="21">
        <f t="shared" si="34"/>
        <v>0</v>
      </c>
      <c r="R202" s="22">
        <f t="shared" si="35"/>
        <v>0</v>
      </c>
      <c r="S202" s="169"/>
      <c r="T202" s="169"/>
    </row>
    <row r="203" spans="17:20">
      <c r="Q203" s="21">
        <f t="shared" si="34"/>
        <v>0</v>
      </c>
      <c r="R203" s="22">
        <f t="shared" si="35"/>
        <v>0</v>
      </c>
      <c r="S203" s="169"/>
      <c r="T203" s="169"/>
    </row>
    <row r="204" spans="17:20">
      <c r="Q204" s="21">
        <f t="shared" si="34"/>
        <v>0</v>
      </c>
      <c r="R204" s="22">
        <f t="shared" si="35"/>
        <v>0</v>
      </c>
      <c r="S204" s="169"/>
      <c r="T204" s="169"/>
    </row>
    <row r="205" spans="17:20">
      <c r="Q205" s="21">
        <f t="shared" si="34"/>
        <v>0</v>
      </c>
      <c r="R205" s="22">
        <f t="shared" si="35"/>
        <v>0</v>
      </c>
      <c r="S205" s="169"/>
      <c r="T205" s="169"/>
    </row>
    <row r="206" spans="17:20">
      <c r="Q206" s="21">
        <f t="shared" si="34"/>
        <v>0</v>
      </c>
      <c r="R206" s="22">
        <f t="shared" si="35"/>
        <v>0</v>
      </c>
      <c r="S206" s="169"/>
      <c r="T206" s="169"/>
    </row>
    <row r="207" spans="17:20">
      <c r="Q207" s="21">
        <f t="shared" si="34"/>
        <v>0</v>
      </c>
      <c r="R207" s="22">
        <f t="shared" si="35"/>
        <v>0</v>
      </c>
      <c r="S207" s="169"/>
      <c r="T207" s="169"/>
    </row>
    <row r="208" spans="17:20">
      <c r="Q208" s="21">
        <f t="shared" si="34"/>
        <v>0</v>
      </c>
      <c r="R208" s="22">
        <f t="shared" si="35"/>
        <v>0</v>
      </c>
      <c r="S208" s="169"/>
      <c r="T208" s="169"/>
    </row>
    <row r="209" spans="17:20">
      <c r="Q209" s="21">
        <f t="shared" si="34"/>
        <v>0</v>
      </c>
      <c r="R209" s="22">
        <f t="shared" si="35"/>
        <v>0</v>
      </c>
      <c r="S209" s="169"/>
      <c r="T209" s="169"/>
    </row>
    <row r="210" spans="17:20">
      <c r="Q210" s="21">
        <f t="shared" si="34"/>
        <v>0</v>
      </c>
      <c r="R210" s="22">
        <f t="shared" si="35"/>
        <v>0</v>
      </c>
      <c r="S210" s="169"/>
      <c r="T210" s="169"/>
    </row>
    <row r="211" spans="17:20">
      <c r="Q211" s="21">
        <f t="shared" si="34"/>
        <v>0</v>
      </c>
      <c r="R211" s="22">
        <f t="shared" si="35"/>
        <v>0</v>
      </c>
      <c r="S211" s="169"/>
      <c r="T211" s="169"/>
    </row>
    <row r="212" spans="17:20">
      <c r="Q212" s="21">
        <f t="shared" si="34"/>
        <v>0</v>
      </c>
      <c r="R212" s="22">
        <f t="shared" si="35"/>
        <v>0</v>
      </c>
      <c r="S212" s="169"/>
      <c r="T212" s="169"/>
    </row>
    <row r="213" spans="17:20">
      <c r="Q213" s="21">
        <f t="shared" si="34"/>
        <v>0</v>
      </c>
      <c r="R213" s="22">
        <f t="shared" si="35"/>
        <v>0</v>
      </c>
      <c r="S213" s="169"/>
      <c r="T213" s="169"/>
    </row>
    <row r="214" spans="17:20">
      <c r="Q214" s="21">
        <f t="shared" si="34"/>
        <v>0</v>
      </c>
      <c r="R214" s="22">
        <f t="shared" si="35"/>
        <v>0</v>
      </c>
      <c r="S214" s="169"/>
      <c r="T214" s="169"/>
    </row>
    <row r="215" spans="17:20">
      <c r="Q215" s="21">
        <f t="shared" si="34"/>
        <v>0</v>
      </c>
      <c r="R215" s="22">
        <f t="shared" si="35"/>
        <v>0</v>
      </c>
      <c r="S215" s="169"/>
      <c r="T215" s="169"/>
    </row>
    <row r="216" spans="17:20">
      <c r="Q216" s="21">
        <f t="shared" si="34"/>
        <v>0</v>
      </c>
      <c r="R216" s="22">
        <f t="shared" si="35"/>
        <v>0</v>
      </c>
      <c r="S216" s="169"/>
      <c r="T216" s="169"/>
    </row>
    <row r="217" spans="17:20">
      <c r="Q217" s="21">
        <f t="shared" ref="Q217:Q280" si="36">IF(ISBLANK(K217),0,SUM(K217,-I217))</f>
        <v>0</v>
      </c>
      <c r="R217" s="22">
        <f t="shared" ref="R217:R280" si="37">IF(ISBLANK(P217),0,SUM(P217,-I217))</f>
        <v>0</v>
      </c>
      <c r="S217" s="169"/>
      <c r="T217" s="169"/>
    </row>
    <row r="218" spans="17:20">
      <c r="Q218" s="21">
        <f t="shared" si="36"/>
        <v>0</v>
      </c>
      <c r="R218" s="22">
        <f t="shared" si="37"/>
        <v>0</v>
      </c>
      <c r="S218" s="169"/>
      <c r="T218" s="169"/>
    </row>
    <row r="219" spans="17:20">
      <c r="Q219" s="21">
        <f t="shared" si="36"/>
        <v>0</v>
      </c>
      <c r="R219" s="22">
        <f t="shared" si="37"/>
        <v>0</v>
      </c>
      <c r="S219" s="169"/>
      <c r="T219" s="169"/>
    </row>
    <row r="220" spans="17:20">
      <c r="Q220" s="21">
        <f t="shared" si="36"/>
        <v>0</v>
      </c>
      <c r="R220" s="22">
        <f t="shared" si="37"/>
        <v>0</v>
      </c>
      <c r="S220" s="169"/>
      <c r="T220" s="169"/>
    </row>
    <row r="221" spans="17:20">
      <c r="Q221" s="21">
        <f t="shared" si="36"/>
        <v>0</v>
      </c>
      <c r="R221" s="22">
        <f t="shared" si="37"/>
        <v>0</v>
      </c>
      <c r="S221" s="169"/>
      <c r="T221" s="169"/>
    </row>
    <row r="222" spans="17:20">
      <c r="Q222" s="21">
        <f t="shared" si="36"/>
        <v>0</v>
      </c>
      <c r="R222" s="22">
        <f t="shared" si="37"/>
        <v>0</v>
      </c>
      <c r="S222" s="169"/>
      <c r="T222" s="169"/>
    </row>
    <row r="223" spans="17:20">
      <c r="Q223" s="21">
        <f t="shared" si="36"/>
        <v>0</v>
      </c>
      <c r="R223" s="22">
        <f t="shared" si="37"/>
        <v>0</v>
      </c>
      <c r="S223" s="169"/>
      <c r="T223" s="169"/>
    </row>
    <row r="224" spans="17:20">
      <c r="Q224" s="21">
        <f t="shared" si="36"/>
        <v>0</v>
      </c>
      <c r="R224" s="22">
        <f t="shared" si="37"/>
        <v>0</v>
      </c>
      <c r="S224" s="169"/>
      <c r="T224" s="169"/>
    </row>
    <row r="225" spans="17:20">
      <c r="Q225" s="21">
        <f t="shared" si="36"/>
        <v>0</v>
      </c>
      <c r="R225" s="22">
        <f t="shared" si="37"/>
        <v>0</v>
      </c>
      <c r="S225" s="169"/>
      <c r="T225" s="169"/>
    </row>
    <row r="226" spans="17:20">
      <c r="Q226" s="21">
        <f t="shared" si="36"/>
        <v>0</v>
      </c>
      <c r="R226" s="22">
        <f t="shared" si="37"/>
        <v>0</v>
      </c>
      <c r="S226" s="169"/>
      <c r="T226" s="169"/>
    </row>
    <row r="227" spans="17:20">
      <c r="Q227" s="21">
        <f t="shared" si="36"/>
        <v>0</v>
      </c>
      <c r="R227" s="22">
        <f t="shared" si="37"/>
        <v>0</v>
      </c>
      <c r="S227" s="169"/>
      <c r="T227" s="169"/>
    </row>
    <row r="228" spans="17:20">
      <c r="Q228" s="21">
        <f t="shared" si="36"/>
        <v>0</v>
      </c>
      <c r="R228" s="22">
        <f t="shared" si="37"/>
        <v>0</v>
      </c>
      <c r="S228" s="169"/>
      <c r="T228" s="169"/>
    </row>
    <row r="229" spans="17:20">
      <c r="Q229" s="21">
        <f t="shared" si="36"/>
        <v>0</v>
      </c>
      <c r="R229" s="22">
        <f t="shared" si="37"/>
        <v>0</v>
      </c>
      <c r="S229" s="169"/>
      <c r="T229" s="169"/>
    </row>
    <row r="230" spans="17:20">
      <c r="Q230" s="21">
        <f t="shared" si="36"/>
        <v>0</v>
      </c>
      <c r="R230" s="22">
        <f t="shared" si="37"/>
        <v>0</v>
      </c>
      <c r="S230" s="169"/>
      <c r="T230" s="169"/>
    </row>
    <row r="231" spans="17:20">
      <c r="Q231" s="21">
        <f t="shared" si="36"/>
        <v>0</v>
      </c>
      <c r="R231" s="22">
        <f t="shared" si="37"/>
        <v>0</v>
      </c>
      <c r="S231" s="169"/>
      <c r="T231" s="169"/>
    </row>
    <row r="232" spans="17:20">
      <c r="Q232" s="21">
        <f t="shared" si="36"/>
        <v>0</v>
      </c>
      <c r="R232" s="22">
        <f t="shared" si="37"/>
        <v>0</v>
      </c>
      <c r="S232" s="169"/>
      <c r="T232" s="169"/>
    </row>
    <row r="233" spans="17:20">
      <c r="Q233" s="21">
        <f t="shared" si="36"/>
        <v>0</v>
      </c>
      <c r="R233" s="22">
        <f t="shared" si="37"/>
        <v>0</v>
      </c>
      <c r="S233" s="169"/>
      <c r="T233" s="169"/>
    </row>
    <row r="234" spans="17:20">
      <c r="Q234" s="21">
        <f t="shared" si="36"/>
        <v>0</v>
      </c>
      <c r="R234" s="22">
        <f t="shared" si="37"/>
        <v>0</v>
      </c>
      <c r="S234" s="169"/>
      <c r="T234" s="169"/>
    </row>
    <row r="235" spans="17:20">
      <c r="Q235" s="21">
        <f t="shared" si="36"/>
        <v>0</v>
      </c>
      <c r="R235" s="22">
        <f t="shared" si="37"/>
        <v>0</v>
      </c>
      <c r="S235" s="169"/>
      <c r="T235" s="169"/>
    </row>
    <row r="236" spans="17:20">
      <c r="Q236" s="21">
        <f t="shared" si="36"/>
        <v>0</v>
      </c>
      <c r="R236" s="22">
        <f t="shared" si="37"/>
        <v>0</v>
      </c>
      <c r="S236" s="169"/>
      <c r="T236" s="169"/>
    </row>
    <row r="237" spans="17:20">
      <c r="Q237" s="21">
        <f t="shared" si="36"/>
        <v>0</v>
      </c>
      <c r="R237" s="22">
        <f t="shared" si="37"/>
        <v>0</v>
      </c>
      <c r="S237" s="169"/>
      <c r="T237" s="169"/>
    </row>
    <row r="238" spans="17:20">
      <c r="Q238" s="21">
        <f t="shared" si="36"/>
        <v>0</v>
      </c>
      <c r="R238" s="22">
        <f t="shared" si="37"/>
        <v>0</v>
      </c>
      <c r="S238" s="169"/>
      <c r="T238" s="169"/>
    </row>
    <row r="239" spans="17:20">
      <c r="Q239" s="21">
        <f t="shared" si="36"/>
        <v>0</v>
      </c>
      <c r="R239" s="22">
        <f t="shared" si="37"/>
        <v>0</v>
      </c>
      <c r="S239" s="169"/>
      <c r="T239" s="169"/>
    </row>
    <row r="240" spans="17:20">
      <c r="Q240" s="21">
        <f t="shared" si="36"/>
        <v>0</v>
      </c>
      <c r="R240" s="22">
        <f t="shared" si="37"/>
        <v>0</v>
      </c>
      <c r="S240" s="169"/>
      <c r="T240" s="169"/>
    </row>
    <row r="241" spans="17:20">
      <c r="Q241" s="21">
        <f t="shared" si="36"/>
        <v>0</v>
      </c>
      <c r="R241" s="22">
        <f t="shared" si="37"/>
        <v>0</v>
      </c>
      <c r="S241" s="169"/>
      <c r="T241" s="169"/>
    </row>
    <row r="242" spans="17:20">
      <c r="Q242" s="21">
        <f t="shared" si="36"/>
        <v>0</v>
      </c>
      <c r="R242" s="22">
        <f t="shared" si="37"/>
        <v>0</v>
      </c>
      <c r="S242" s="169"/>
      <c r="T242" s="169"/>
    </row>
    <row r="243" spans="17:20">
      <c r="Q243" s="21">
        <f t="shared" si="36"/>
        <v>0</v>
      </c>
      <c r="R243" s="22">
        <f t="shared" si="37"/>
        <v>0</v>
      </c>
      <c r="S243" s="169"/>
      <c r="T243" s="169"/>
    </row>
    <row r="244" spans="17:20">
      <c r="Q244" s="21">
        <f t="shared" si="36"/>
        <v>0</v>
      </c>
      <c r="R244" s="22">
        <f t="shared" si="37"/>
        <v>0</v>
      </c>
      <c r="S244" s="169"/>
      <c r="T244" s="169"/>
    </row>
    <row r="245" spans="17:20">
      <c r="Q245" s="21">
        <f t="shared" si="36"/>
        <v>0</v>
      </c>
      <c r="R245" s="22">
        <f t="shared" si="37"/>
        <v>0</v>
      </c>
      <c r="S245" s="169"/>
      <c r="T245" s="169"/>
    </row>
    <row r="246" spans="17:20">
      <c r="Q246" s="21">
        <f t="shared" si="36"/>
        <v>0</v>
      </c>
      <c r="R246" s="22">
        <f t="shared" si="37"/>
        <v>0</v>
      </c>
      <c r="S246" s="169"/>
      <c r="T246" s="169"/>
    </row>
    <row r="247" spans="17:20">
      <c r="Q247" s="21">
        <f t="shared" si="36"/>
        <v>0</v>
      </c>
      <c r="R247" s="22">
        <f t="shared" si="37"/>
        <v>0</v>
      </c>
      <c r="S247" s="169"/>
      <c r="T247" s="169"/>
    </row>
    <row r="248" spans="17:20">
      <c r="Q248" s="21">
        <f t="shared" si="36"/>
        <v>0</v>
      </c>
      <c r="R248" s="22">
        <f t="shared" si="37"/>
        <v>0</v>
      </c>
      <c r="S248" s="169"/>
      <c r="T248" s="169"/>
    </row>
    <row r="249" spans="17:20">
      <c r="Q249" s="21">
        <f t="shared" si="36"/>
        <v>0</v>
      </c>
      <c r="R249" s="22">
        <f t="shared" si="37"/>
        <v>0</v>
      </c>
      <c r="S249" s="169"/>
      <c r="T249" s="169"/>
    </row>
    <row r="250" spans="17:20">
      <c r="Q250" s="21">
        <f t="shared" si="36"/>
        <v>0</v>
      </c>
      <c r="R250" s="22">
        <f t="shared" si="37"/>
        <v>0</v>
      </c>
      <c r="S250" s="169"/>
      <c r="T250" s="169"/>
    </row>
    <row r="251" spans="17:20">
      <c r="Q251" s="21">
        <f t="shared" si="36"/>
        <v>0</v>
      </c>
      <c r="R251" s="22">
        <f t="shared" si="37"/>
        <v>0</v>
      </c>
      <c r="S251" s="169"/>
      <c r="T251" s="169"/>
    </row>
    <row r="252" spans="17:20">
      <c r="Q252" s="21">
        <f t="shared" si="36"/>
        <v>0</v>
      </c>
      <c r="R252" s="22">
        <f t="shared" si="37"/>
        <v>0</v>
      </c>
      <c r="S252" s="169"/>
      <c r="T252" s="169"/>
    </row>
    <row r="253" spans="17:20">
      <c r="Q253" s="21">
        <f t="shared" si="36"/>
        <v>0</v>
      </c>
      <c r="R253" s="22">
        <f t="shared" si="37"/>
        <v>0</v>
      </c>
      <c r="S253" s="169"/>
      <c r="T253" s="169"/>
    </row>
    <row r="254" spans="17:20">
      <c r="Q254" s="21">
        <f t="shared" si="36"/>
        <v>0</v>
      </c>
      <c r="R254" s="22">
        <f t="shared" si="37"/>
        <v>0</v>
      </c>
      <c r="S254" s="169"/>
      <c r="T254" s="169"/>
    </row>
    <row r="255" spans="17:20">
      <c r="Q255" s="21">
        <f t="shared" si="36"/>
        <v>0</v>
      </c>
      <c r="R255" s="22">
        <f t="shared" si="37"/>
        <v>0</v>
      </c>
      <c r="S255" s="169"/>
      <c r="T255" s="169"/>
    </row>
    <row r="256" spans="17:20">
      <c r="Q256" s="21">
        <f t="shared" si="36"/>
        <v>0</v>
      </c>
      <c r="R256" s="22">
        <f t="shared" si="37"/>
        <v>0</v>
      </c>
      <c r="S256" s="169"/>
      <c r="T256" s="169"/>
    </row>
    <row r="257" spans="17:20">
      <c r="Q257" s="21">
        <f t="shared" si="36"/>
        <v>0</v>
      </c>
      <c r="R257" s="22">
        <f t="shared" si="37"/>
        <v>0</v>
      </c>
      <c r="S257" s="169"/>
      <c r="T257" s="169"/>
    </row>
    <row r="258" spans="17:20">
      <c r="Q258" s="21">
        <f t="shared" si="36"/>
        <v>0</v>
      </c>
      <c r="R258" s="22">
        <f t="shared" si="37"/>
        <v>0</v>
      </c>
      <c r="S258" s="169"/>
      <c r="T258" s="169"/>
    </row>
    <row r="259" spans="17:20">
      <c r="Q259" s="21">
        <f t="shared" si="36"/>
        <v>0</v>
      </c>
      <c r="R259" s="22">
        <f t="shared" si="37"/>
        <v>0</v>
      </c>
      <c r="S259" s="169"/>
      <c r="T259" s="169"/>
    </row>
    <row r="260" spans="17:20">
      <c r="Q260" s="21">
        <f t="shared" si="36"/>
        <v>0</v>
      </c>
      <c r="R260" s="22">
        <f t="shared" si="37"/>
        <v>0</v>
      </c>
      <c r="S260" s="169"/>
      <c r="T260" s="169"/>
    </row>
    <row r="261" spans="17:20">
      <c r="Q261" s="21">
        <f t="shared" si="36"/>
        <v>0</v>
      </c>
      <c r="R261" s="22">
        <f t="shared" si="37"/>
        <v>0</v>
      </c>
      <c r="S261" s="169"/>
      <c r="T261" s="169"/>
    </row>
    <row r="262" spans="17:20">
      <c r="Q262" s="21">
        <f t="shared" si="36"/>
        <v>0</v>
      </c>
      <c r="R262" s="22">
        <f t="shared" si="37"/>
        <v>0</v>
      </c>
      <c r="S262" s="169"/>
      <c r="T262" s="169"/>
    </row>
    <row r="263" spans="17:20">
      <c r="Q263" s="21">
        <f t="shared" si="36"/>
        <v>0</v>
      </c>
      <c r="R263" s="22">
        <f t="shared" si="37"/>
        <v>0</v>
      </c>
      <c r="S263" s="169"/>
      <c r="T263" s="169"/>
    </row>
    <row r="264" spans="17:20">
      <c r="Q264" s="21">
        <f t="shared" si="36"/>
        <v>0</v>
      </c>
      <c r="R264" s="22">
        <f t="shared" si="37"/>
        <v>0</v>
      </c>
      <c r="S264" s="169"/>
      <c r="T264" s="169"/>
    </row>
    <row r="265" spans="17:20">
      <c r="Q265" s="21">
        <f t="shared" si="36"/>
        <v>0</v>
      </c>
      <c r="R265" s="22">
        <f t="shared" si="37"/>
        <v>0</v>
      </c>
      <c r="S265" s="169"/>
      <c r="T265" s="169"/>
    </row>
    <row r="266" spans="17:20">
      <c r="Q266" s="21">
        <f t="shared" si="36"/>
        <v>0</v>
      </c>
      <c r="R266" s="22">
        <f t="shared" si="37"/>
        <v>0</v>
      </c>
      <c r="S266" s="169"/>
      <c r="T266" s="169"/>
    </row>
    <row r="267" spans="17:20">
      <c r="Q267" s="21">
        <f t="shared" si="36"/>
        <v>0</v>
      </c>
      <c r="R267" s="22">
        <f t="shared" si="37"/>
        <v>0</v>
      </c>
      <c r="S267" s="169"/>
      <c r="T267" s="169"/>
    </row>
    <row r="268" spans="17:20">
      <c r="Q268" s="21">
        <f t="shared" si="36"/>
        <v>0</v>
      </c>
      <c r="R268" s="22">
        <f t="shared" si="37"/>
        <v>0</v>
      </c>
      <c r="S268" s="169"/>
      <c r="T268" s="169"/>
    </row>
    <row r="269" spans="17:20">
      <c r="Q269" s="21">
        <f t="shared" si="36"/>
        <v>0</v>
      </c>
      <c r="R269" s="22">
        <f t="shared" si="37"/>
        <v>0</v>
      </c>
      <c r="S269" s="169"/>
      <c r="T269" s="169"/>
    </row>
    <row r="270" spans="17:20">
      <c r="Q270" s="21">
        <f t="shared" si="36"/>
        <v>0</v>
      </c>
      <c r="R270" s="22">
        <f t="shared" si="37"/>
        <v>0</v>
      </c>
      <c r="S270" s="169"/>
      <c r="T270" s="169"/>
    </row>
    <row r="271" spans="17:20">
      <c r="Q271" s="21">
        <f t="shared" si="36"/>
        <v>0</v>
      </c>
      <c r="R271" s="22">
        <f t="shared" si="37"/>
        <v>0</v>
      </c>
      <c r="S271" s="169"/>
      <c r="T271" s="169"/>
    </row>
    <row r="272" spans="17:20">
      <c r="Q272" s="21">
        <f t="shared" si="36"/>
        <v>0</v>
      </c>
      <c r="R272" s="22">
        <f t="shared" si="37"/>
        <v>0</v>
      </c>
      <c r="S272" s="169"/>
      <c r="T272" s="169"/>
    </row>
    <row r="273" spans="17:20">
      <c r="Q273" s="21">
        <f t="shared" si="36"/>
        <v>0</v>
      </c>
      <c r="R273" s="22">
        <f t="shared" si="37"/>
        <v>0</v>
      </c>
      <c r="S273" s="169"/>
      <c r="T273" s="169"/>
    </row>
    <row r="274" spans="17:20">
      <c r="Q274" s="21">
        <f t="shared" si="36"/>
        <v>0</v>
      </c>
      <c r="R274" s="22">
        <f t="shared" si="37"/>
        <v>0</v>
      </c>
      <c r="S274" s="169"/>
      <c r="T274" s="169"/>
    </row>
    <row r="275" spans="17:20">
      <c r="Q275" s="21">
        <f t="shared" si="36"/>
        <v>0</v>
      </c>
      <c r="R275" s="22">
        <f t="shared" si="37"/>
        <v>0</v>
      </c>
      <c r="S275" s="169"/>
      <c r="T275" s="169"/>
    </row>
    <row r="276" spans="17:20">
      <c r="Q276" s="21">
        <f t="shared" si="36"/>
        <v>0</v>
      </c>
      <c r="R276" s="22">
        <f t="shared" si="37"/>
        <v>0</v>
      </c>
      <c r="S276" s="169"/>
      <c r="T276" s="169"/>
    </row>
    <row r="277" spans="17:20">
      <c r="Q277" s="21">
        <f t="shared" si="36"/>
        <v>0</v>
      </c>
      <c r="R277" s="22">
        <f t="shared" si="37"/>
        <v>0</v>
      </c>
      <c r="S277" s="169"/>
      <c r="T277" s="169"/>
    </row>
    <row r="278" spans="17:20">
      <c r="Q278" s="21">
        <f t="shared" si="36"/>
        <v>0</v>
      </c>
      <c r="R278" s="22">
        <f t="shared" si="37"/>
        <v>0</v>
      </c>
      <c r="S278" s="169"/>
      <c r="T278" s="169"/>
    </row>
    <row r="279" spans="17:20">
      <c r="Q279" s="21">
        <f t="shared" si="36"/>
        <v>0</v>
      </c>
      <c r="R279" s="22">
        <f t="shared" si="37"/>
        <v>0</v>
      </c>
      <c r="S279" s="169"/>
      <c r="T279" s="169"/>
    </row>
    <row r="280" spans="17:20">
      <c r="Q280" s="21">
        <f t="shared" si="36"/>
        <v>0</v>
      </c>
      <c r="R280" s="22">
        <f t="shared" si="37"/>
        <v>0</v>
      </c>
      <c r="S280" s="169"/>
      <c r="T280" s="169"/>
    </row>
    <row r="281" spans="17:20">
      <c r="Q281" s="21">
        <f t="shared" ref="Q281:Q344" si="38">IF(ISBLANK(K281),0,SUM(K281,-I281))</f>
        <v>0</v>
      </c>
      <c r="R281" s="22">
        <f t="shared" ref="R281:R344" si="39">IF(ISBLANK(P281),0,SUM(P281,-I281))</f>
        <v>0</v>
      </c>
      <c r="S281" s="169"/>
      <c r="T281" s="169"/>
    </row>
    <row r="282" spans="17:20">
      <c r="Q282" s="21">
        <f t="shared" si="38"/>
        <v>0</v>
      </c>
      <c r="R282" s="22">
        <f t="shared" si="39"/>
        <v>0</v>
      </c>
      <c r="S282" s="169"/>
      <c r="T282" s="169"/>
    </row>
    <row r="283" spans="17:20">
      <c r="Q283" s="21">
        <f t="shared" si="38"/>
        <v>0</v>
      </c>
      <c r="R283" s="22">
        <f t="shared" si="39"/>
        <v>0</v>
      </c>
      <c r="S283" s="169"/>
      <c r="T283" s="169"/>
    </row>
    <row r="284" spans="17:20">
      <c r="Q284" s="21">
        <f t="shared" si="38"/>
        <v>0</v>
      </c>
      <c r="R284" s="22">
        <f t="shared" si="39"/>
        <v>0</v>
      </c>
      <c r="S284" s="169"/>
      <c r="T284" s="169"/>
    </row>
    <row r="285" spans="17:20">
      <c r="Q285" s="21">
        <f t="shared" si="38"/>
        <v>0</v>
      </c>
      <c r="R285" s="22">
        <f t="shared" si="39"/>
        <v>0</v>
      </c>
      <c r="S285" s="169"/>
      <c r="T285" s="169"/>
    </row>
    <row r="286" spans="17:20">
      <c r="Q286" s="21">
        <f t="shared" si="38"/>
        <v>0</v>
      </c>
      <c r="R286" s="22">
        <f t="shared" si="39"/>
        <v>0</v>
      </c>
      <c r="S286" s="169"/>
      <c r="T286" s="169"/>
    </row>
    <row r="287" spans="17:20">
      <c r="Q287" s="21">
        <f t="shared" si="38"/>
        <v>0</v>
      </c>
      <c r="R287" s="22">
        <f t="shared" si="39"/>
        <v>0</v>
      </c>
      <c r="S287" s="169"/>
      <c r="T287" s="169"/>
    </row>
    <row r="288" spans="17:20">
      <c r="Q288" s="21">
        <f t="shared" si="38"/>
        <v>0</v>
      </c>
      <c r="R288" s="22">
        <f t="shared" si="39"/>
        <v>0</v>
      </c>
      <c r="S288" s="169"/>
      <c r="T288" s="169"/>
    </row>
    <row r="289" spans="17:20">
      <c r="Q289" s="21">
        <f t="shared" si="38"/>
        <v>0</v>
      </c>
      <c r="R289" s="22">
        <f t="shared" si="39"/>
        <v>0</v>
      </c>
      <c r="S289" s="169"/>
      <c r="T289" s="169"/>
    </row>
    <row r="290" spans="17:20">
      <c r="Q290" s="21">
        <f t="shared" si="38"/>
        <v>0</v>
      </c>
      <c r="R290" s="22">
        <f t="shared" si="39"/>
        <v>0</v>
      </c>
      <c r="S290" s="169"/>
      <c r="T290" s="169"/>
    </row>
    <row r="291" spans="17:20">
      <c r="Q291" s="21">
        <f t="shared" si="38"/>
        <v>0</v>
      </c>
      <c r="R291" s="22">
        <f t="shared" si="39"/>
        <v>0</v>
      </c>
      <c r="S291" s="169"/>
      <c r="T291" s="169"/>
    </row>
    <row r="292" spans="17:20">
      <c r="Q292" s="21">
        <f t="shared" si="38"/>
        <v>0</v>
      </c>
      <c r="R292" s="22">
        <f t="shared" si="39"/>
        <v>0</v>
      </c>
      <c r="S292" s="169"/>
      <c r="T292" s="169"/>
    </row>
    <row r="293" spans="17:20">
      <c r="Q293" s="21">
        <f t="shared" si="38"/>
        <v>0</v>
      </c>
      <c r="R293" s="22">
        <f t="shared" si="39"/>
        <v>0</v>
      </c>
      <c r="S293" s="169"/>
      <c r="T293" s="169"/>
    </row>
    <row r="294" spans="17:20">
      <c r="Q294" s="21">
        <f t="shared" si="38"/>
        <v>0</v>
      </c>
      <c r="R294" s="22">
        <f t="shared" si="39"/>
        <v>0</v>
      </c>
      <c r="S294" s="169"/>
      <c r="T294" s="169"/>
    </row>
    <row r="295" spans="17:20">
      <c r="Q295" s="21">
        <f t="shared" si="38"/>
        <v>0</v>
      </c>
      <c r="R295" s="22">
        <f t="shared" si="39"/>
        <v>0</v>
      </c>
      <c r="S295" s="169"/>
      <c r="T295" s="169"/>
    </row>
    <row r="296" spans="17:20">
      <c r="Q296" s="21">
        <f t="shared" si="38"/>
        <v>0</v>
      </c>
      <c r="R296" s="22">
        <f t="shared" si="39"/>
        <v>0</v>
      </c>
      <c r="S296" s="169"/>
      <c r="T296" s="169"/>
    </row>
    <row r="297" spans="17:20">
      <c r="Q297" s="21">
        <f t="shared" si="38"/>
        <v>0</v>
      </c>
      <c r="R297" s="22">
        <f t="shared" si="39"/>
        <v>0</v>
      </c>
      <c r="S297" s="169"/>
      <c r="T297" s="169"/>
    </row>
    <row r="298" spans="17:20">
      <c r="Q298" s="21">
        <f t="shared" si="38"/>
        <v>0</v>
      </c>
      <c r="R298" s="22">
        <f t="shared" si="39"/>
        <v>0</v>
      </c>
      <c r="S298" s="169"/>
      <c r="T298" s="169"/>
    </row>
    <row r="299" spans="17:20">
      <c r="Q299" s="21">
        <f t="shared" si="38"/>
        <v>0</v>
      </c>
      <c r="R299" s="22">
        <f t="shared" si="39"/>
        <v>0</v>
      </c>
      <c r="S299" s="169"/>
      <c r="T299" s="169"/>
    </row>
    <row r="300" spans="17:20">
      <c r="Q300" s="21">
        <f t="shared" si="38"/>
        <v>0</v>
      </c>
      <c r="R300" s="22">
        <f t="shared" si="39"/>
        <v>0</v>
      </c>
      <c r="S300" s="169"/>
      <c r="T300" s="169"/>
    </row>
    <row r="301" spans="17:20">
      <c r="Q301" s="21">
        <f t="shared" si="38"/>
        <v>0</v>
      </c>
      <c r="R301" s="22">
        <f t="shared" si="39"/>
        <v>0</v>
      </c>
      <c r="S301" s="169"/>
      <c r="T301" s="169"/>
    </row>
    <row r="302" spans="17:20">
      <c r="Q302" s="21">
        <f t="shared" si="38"/>
        <v>0</v>
      </c>
      <c r="R302" s="22">
        <f t="shared" si="39"/>
        <v>0</v>
      </c>
      <c r="S302" s="169"/>
      <c r="T302" s="169"/>
    </row>
    <row r="303" spans="17:20">
      <c r="Q303" s="21">
        <f t="shared" si="38"/>
        <v>0</v>
      </c>
      <c r="R303" s="22">
        <f t="shared" si="39"/>
        <v>0</v>
      </c>
      <c r="S303" s="169"/>
      <c r="T303" s="169"/>
    </row>
    <row r="304" spans="17:20">
      <c r="Q304" s="21">
        <f t="shared" si="38"/>
        <v>0</v>
      </c>
      <c r="R304" s="22">
        <f t="shared" si="39"/>
        <v>0</v>
      </c>
      <c r="S304" s="169"/>
      <c r="T304" s="169"/>
    </row>
    <row r="305" spans="17:20">
      <c r="Q305" s="21">
        <f t="shared" si="38"/>
        <v>0</v>
      </c>
      <c r="R305" s="22">
        <f t="shared" si="39"/>
        <v>0</v>
      </c>
      <c r="S305" s="169"/>
      <c r="T305" s="169"/>
    </row>
    <row r="306" spans="17:20">
      <c r="Q306" s="21">
        <f t="shared" si="38"/>
        <v>0</v>
      </c>
      <c r="R306" s="22">
        <f t="shared" si="39"/>
        <v>0</v>
      </c>
      <c r="S306" s="169"/>
      <c r="T306" s="169"/>
    </row>
    <row r="307" spans="17:20">
      <c r="Q307" s="21">
        <f t="shared" si="38"/>
        <v>0</v>
      </c>
      <c r="R307" s="22">
        <f t="shared" si="39"/>
        <v>0</v>
      </c>
      <c r="S307" s="169"/>
      <c r="T307" s="169"/>
    </row>
    <row r="308" spans="17:20">
      <c r="Q308" s="21">
        <f t="shared" si="38"/>
        <v>0</v>
      </c>
      <c r="R308" s="22">
        <f t="shared" si="39"/>
        <v>0</v>
      </c>
      <c r="S308" s="169"/>
      <c r="T308" s="169"/>
    </row>
    <row r="309" spans="17:20">
      <c r="Q309" s="21">
        <f t="shared" si="38"/>
        <v>0</v>
      </c>
      <c r="R309" s="22">
        <f t="shared" si="39"/>
        <v>0</v>
      </c>
      <c r="S309" s="169"/>
      <c r="T309" s="169"/>
    </row>
    <row r="310" spans="17:20">
      <c r="Q310" s="21">
        <f t="shared" si="38"/>
        <v>0</v>
      </c>
      <c r="R310" s="22">
        <f t="shared" si="39"/>
        <v>0</v>
      </c>
      <c r="S310" s="169"/>
      <c r="T310" s="169"/>
    </row>
    <row r="311" spans="17:20">
      <c r="Q311" s="21">
        <f t="shared" si="38"/>
        <v>0</v>
      </c>
      <c r="R311" s="22">
        <f t="shared" si="39"/>
        <v>0</v>
      </c>
      <c r="S311" s="169"/>
      <c r="T311" s="169"/>
    </row>
    <row r="312" spans="17:20">
      <c r="Q312" s="21">
        <f t="shared" si="38"/>
        <v>0</v>
      </c>
      <c r="R312" s="22">
        <f t="shared" si="39"/>
        <v>0</v>
      </c>
      <c r="S312" s="169"/>
      <c r="T312" s="169"/>
    </row>
    <row r="313" spans="17:20">
      <c r="Q313" s="21">
        <f t="shared" si="38"/>
        <v>0</v>
      </c>
      <c r="R313" s="22">
        <f t="shared" si="39"/>
        <v>0</v>
      </c>
      <c r="S313" s="169"/>
      <c r="T313" s="169"/>
    </row>
    <row r="314" spans="17:20">
      <c r="Q314" s="21">
        <f t="shared" si="38"/>
        <v>0</v>
      </c>
      <c r="R314" s="22">
        <f t="shared" si="39"/>
        <v>0</v>
      </c>
      <c r="S314" s="169"/>
      <c r="T314" s="169"/>
    </row>
    <row r="315" spans="17:20">
      <c r="Q315" s="21">
        <f t="shared" si="38"/>
        <v>0</v>
      </c>
      <c r="R315" s="22">
        <f t="shared" si="39"/>
        <v>0</v>
      </c>
      <c r="S315" s="169"/>
      <c r="T315" s="169"/>
    </row>
    <row r="316" spans="17:20">
      <c r="Q316" s="21">
        <f t="shared" si="38"/>
        <v>0</v>
      </c>
      <c r="R316" s="22">
        <f t="shared" si="39"/>
        <v>0</v>
      </c>
      <c r="S316" s="169"/>
      <c r="T316" s="169"/>
    </row>
    <row r="317" spans="17:20">
      <c r="Q317" s="21">
        <f t="shared" si="38"/>
        <v>0</v>
      </c>
      <c r="R317" s="22">
        <f t="shared" si="39"/>
        <v>0</v>
      </c>
      <c r="S317" s="169"/>
      <c r="T317" s="169"/>
    </row>
    <row r="318" spans="17:20">
      <c r="Q318" s="21">
        <f t="shared" si="38"/>
        <v>0</v>
      </c>
      <c r="R318" s="22">
        <f t="shared" si="39"/>
        <v>0</v>
      </c>
      <c r="S318" s="169"/>
      <c r="T318" s="169"/>
    </row>
    <row r="319" spans="17:20">
      <c r="Q319" s="21">
        <f t="shared" si="38"/>
        <v>0</v>
      </c>
      <c r="R319" s="22">
        <f t="shared" si="39"/>
        <v>0</v>
      </c>
      <c r="S319" s="169"/>
      <c r="T319" s="169"/>
    </row>
    <row r="320" spans="17:20">
      <c r="Q320" s="21">
        <f t="shared" si="38"/>
        <v>0</v>
      </c>
      <c r="R320" s="22">
        <f t="shared" si="39"/>
        <v>0</v>
      </c>
      <c r="S320" s="169"/>
      <c r="T320" s="169"/>
    </row>
    <row r="321" spans="17:20">
      <c r="Q321" s="21">
        <f t="shared" si="38"/>
        <v>0</v>
      </c>
      <c r="R321" s="22">
        <f t="shared" si="39"/>
        <v>0</v>
      </c>
      <c r="S321" s="169"/>
      <c r="T321" s="169"/>
    </row>
    <row r="322" spans="17:20">
      <c r="Q322" s="21">
        <f t="shared" si="38"/>
        <v>0</v>
      </c>
      <c r="R322" s="22">
        <f t="shared" si="39"/>
        <v>0</v>
      </c>
      <c r="S322" s="169"/>
      <c r="T322" s="169"/>
    </row>
    <row r="323" spans="17:20">
      <c r="Q323" s="21">
        <f t="shared" si="38"/>
        <v>0</v>
      </c>
      <c r="R323" s="22">
        <f t="shared" si="39"/>
        <v>0</v>
      </c>
      <c r="S323" s="169"/>
      <c r="T323" s="169"/>
    </row>
    <row r="324" spans="17:20">
      <c r="Q324" s="21">
        <f t="shared" si="38"/>
        <v>0</v>
      </c>
      <c r="R324" s="22">
        <f t="shared" si="39"/>
        <v>0</v>
      </c>
      <c r="S324" s="169"/>
      <c r="T324" s="169"/>
    </row>
    <row r="325" spans="17:20">
      <c r="Q325" s="21">
        <f t="shared" si="38"/>
        <v>0</v>
      </c>
      <c r="R325" s="22">
        <f t="shared" si="39"/>
        <v>0</v>
      </c>
      <c r="S325" s="169"/>
      <c r="T325" s="169"/>
    </row>
    <row r="326" spans="17:20">
      <c r="Q326" s="21">
        <f t="shared" si="38"/>
        <v>0</v>
      </c>
      <c r="R326" s="22">
        <f t="shared" si="39"/>
        <v>0</v>
      </c>
      <c r="S326" s="169"/>
      <c r="T326" s="169"/>
    </row>
    <row r="327" spans="17:20">
      <c r="Q327" s="21">
        <f t="shared" si="38"/>
        <v>0</v>
      </c>
      <c r="R327" s="22">
        <f t="shared" si="39"/>
        <v>0</v>
      </c>
      <c r="S327" s="169"/>
      <c r="T327" s="169"/>
    </row>
    <row r="328" spans="17:20">
      <c r="Q328" s="21">
        <f t="shared" si="38"/>
        <v>0</v>
      </c>
      <c r="R328" s="22">
        <f t="shared" si="39"/>
        <v>0</v>
      </c>
      <c r="S328" s="169"/>
      <c r="T328" s="169"/>
    </row>
    <row r="329" spans="17:20">
      <c r="Q329" s="21">
        <f t="shared" si="38"/>
        <v>0</v>
      </c>
      <c r="R329" s="22">
        <f t="shared" si="39"/>
        <v>0</v>
      </c>
      <c r="S329" s="169"/>
      <c r="T329" s="169"/>
    </row>
    <row r="330" spans="17:20">
      <c r="Q330" s="21">
        <f t="shared" si="38"/>
        <v>0</v>
      </c>
      <c r="R330" s="22">
        <f t="shared" si="39"/>
        <v>0</v>
      </c>
      <c r="S330" s="169"/>
      <c r="T330" s="169"/>
    </row>
    <row r="331" spans="17:20">
      <c r="Q331" s="21">
        <f t="shared" si="38"/>
        <v>0</v>
      </c>
      <c r="R331" s="22">
        <f t="shared" si="39"/>
        <v>0</v>
      </c>
      <c r="S331" s="169"/>
      <c r="T331" s="169"/>
    </row>
    <row r="332" spans="17:20">
      <c r="Q332" s="21">
        <f t="shared" si="38"/>
        <v>0</v>
      </c>
      <c r="R332" s="22">
        <f t="shared" si="39"/>
        <v>0</v>
      </c>
      <c r="S332" s="169"/>
      <c r="T332" s="169"/>
    </row>
    <row r="333" spans="17:20">
      <c r="Q333" s="21">
        <f t="shared" si="38"/>
        <v>0</v>
      </c>
      <c r="R333" s="22">
        <f t="shared" si="39"/>
        <v>0</v>
      </c>
      <c r="S333" s="169"/>
      <c r="T333" s="169"/>
    </row>
    <row r="334" spans="17:20">
      <c r="Q334" s="21">
        <f t="shared" si="38"/>
        <v>0</v>
      </c>
      <c r="R334" s="22">
        <f t="shared" si="39"/>
        <v>0</v>
      </c>
      <c r="S334" s="169"/>
      <c r="T334" s="169"/>
    </row>
    <row r="335" spans="17:20">
      <c r="Q335" s="21">
        <f t="shared" si="38"/>
        <v>0</v>
      </c>
      <c r="R335" s="22">
        <f t="shared" si="39"/>
        <v>0</v>
      </c>
      <c r="S335" s="169"/>
      <c r="T335" s="169"/>
    </row>
    <row r="336" spans="17:20">
      <c r="Q336" s="21">
        <f t="shared" si="38"/>
        <v>0</v>
      </c>
      <c r="R336" s="22">
        <f t="shared" si="39"/>
        <v>0</v>
      </c>
      <c r="S336" s="169"/>
      <c r="T336" s="169"/>
    </row>
    <row r="337" spans="17:20">
      <c r="Q337" s="21">
        <f t="shared" si="38"/>
        <v>0</v>
      </c>
      <c r="R337" s="22">
        <f t="shared" si="39"/>
        <v>0</v>
      </c>
      <c r="S337" s="169"/>
      <c r="T337" s="169"/>
    </row>
    <row r="338" spans="17:20">
      <c r="Q338" s="21">
        <f t="shared" si="38"/>
        <v>0</v>
      </c>
      <c r="R338" s="22">
        <f t="shared" si="39"/>
        <v>0</v>
      </c>
      <c r="S338" s="169"/>
      <c r="T338" s="169"/>
    </row>
    <row r="339" spans="17:20">
      <c r="Q339" s="21">
        <f t="shared" si="38"/>
        <v>0</v>
      </c>
      <c r="R339" s="22">
        <f t="shared" si="39"/>
        <v>0</v>
      </c>
      <c r="S339" s="169"/>
      <c r="T339" s="169"/>
    </row>
    <row r="340" spans="17:20">
      <c r="Q340" s="21">
        <f t="shared" si="38"/>
        <v>0</v>
      </c>
      <c r="R340" s="22">
        <f t="shared" si="39"/>
        <v>0</v>
      </c>
      <c r="S340" s="169"/>
      <c r="T340" s="169"/>
    </row>
    <row r="341" spans="17:20">
      <c r="Q341" s="21">
        <f t="shared" si="38"/>
        <v>0</v>
      </c>
      <c r="R341" s="22">
        <f t="shared" si="39"/>
        <v>0</v>
      </c>
      <c r="S341" s="169"/>
      <c r="T341" s="169"/>
    </row>
    <row r="342" spans="17:20">
      <c r="Q342" s="21">
        <f t="shared" si="38"/>
        <v>0</v>
      </c>
      <c r="R342" s="22">
        <f t="shared" si="39"/>
        <v>0</v>
      </c>
      <c r="S342" s="169"/>
      <c r="T342" s="169"/>
    </row>
    <row r="343" spans="17:20">
      <c r="Q343" s="21">
        <f t="shared" si="38"/>
        <v>0</v>
      </c>
      <c r="R343" s="22">
        <f t="shared" si="39"/>
        <v>0</v>
      </c>
      <c r="S343" s="169"/>
      <c r="T343" s="169"/>
    </row>
    <row r="344" spans="17:20">
      <c r="Q344" s="21">
        <f t="shared" si="38"/>
        <v>0</v>
      </c>
      <c r="R344" s="22">
        <f t="shared" si="39"/>
        <v>0</v>
      </c>
      <c r="S344" s="169"/>
      <c r="T344" s="169"/>
    </row>
    <row r="345" spans="17:20">
      <c r="Q345" s="21">
        <f t="shared" ref="Q345:Q408" si="40">IF(ISBLANK(K345),0,SUM(K345,-I345))</f>
        <v>0</v>
      </c>
      <c r="R345" s="22">
        <f t="shared" ref="R345:R408" si="41">IF(ISBLANK(P345),0,SUM(P345,-I345))</f>
        <v>0</v>
      </c>
      <c r="S345" s="169"/>
      <c r="T345" s="169"/>
    </row>
    <row r="346" spans="17:20">
      <c r="Q346" s="21">
        <f t="shared" si="40"/>
        <v>0</v>
      </c>
      <c r="R346" s="22">
        <f t="shared" si="41"/>
        <v>0</v>
      </c>
      <c r="S346" s="169"/>
      <c r="T346" s="169"/>
    </row>
    <row r="347" spans="17:20">
      <c r="Q347" s="21">
        <f t="shared" si="40"/>
        <v>0</v>
      </c>
      <c r="R347" s="22">
        <f t="shared" si="41"/>
        <v>0</v>
      </c>
      <c r="S347" s="169"/>
      <c r="T347" s="169"/>
    </row>
    <row r="348" spans="17:20">
      <c r="Q348" s="21">
        <f t="shared" si="40"/>
        <v>0</v>
      </c>
      <c r="R348" s="22">
        <f t="shared" si="41"/>
        <v>0</v>
      </c>
      <c r="S348" s="169"/>
      <c r="T348" s="169"/>
    </row>
    <row r="349" spans="17:20">
      <c r="Q349" s="21">
        <f t="shared" si="40"/>
        <v>0</v>
      </c>
      <c r="R349" s="22">
        <f t="shared" si="41"/>
        <v>0</v>
      </c>
      <c r="S349" s="169"/>
      <c r="T349" s="169"/>
    </row>
    <row r="350" spans="17:20">
      <c r="Q350" s="21">
        <f t="shared" si="40"/>
        <v>0</v>
      </c>
      <c r="R350" s="22">
        <f t="shared" si="41"/>
        <v>0</v>
      </c>
      <c r="S350" s="169"/>
      <c r="T350" s="169"/>
    </row>
    <row r="351" spans="17:20">
      <c r="Q351" s="21">
        <f t="shared" si="40"/>
        <v>0</v>
      </c>
      <c r="R351" s="22">
        <f t="shared" si="41"/>
        <v>0</v>
      </c>
      <c r="S351" s="169"/>
      <c r="T351" s="169"/>
    </row>
    <row r="352" spans="17:20">
      <c r="Q352" s="21">
        <f t="shared" si="40"/>
        <v>0</v>
      </c>
      <c r="R352" s="22">
        <f t="shared" si="41"/>
        <v>0</v>
      </c>
      <c r="S352" s="169"/>
      <c r="T352" s="169"/>
    </row>
    <row r="353" spans="17:20">
      <c r="Q353" s="21">
        <f t="shared" si="40"/>
        <v>0</v>
      </c>
      <c r="R353" s="22">
        <f t="shared" si="41"/>
        <v>0</v>
      </c>
      <c r="S353" s="169"/>
      <c r="T353" s="169"/>
    </row>
    <row r="354" spans="17:20">
      <c r="Q354" s="21">
        <f t="shared" si="40"/>
        <v>0</v>
      </c>
      <c r="R354" s="22">
        <f t="shared" si="41"/>
        <v>0</v>
      </c>
      <c r="S354" s="169"/>
      <c r="T354" s="169"/>
    </row>
    <row r="355" spans="17:20">
      <c r="Q355" s="21">
        <f t="shared" si="40"/>
        <v>0</v>
      </c>
      <c r="R355" s="22">
        <f t="shared" si="41"/>
        <v>0</v>
      </c>
      <c r="S355" s="169"/>
      <c r="T355" s="169"/>
    </row>
    <row r="356" spans="17:20">
      <c r="Q356" s="21">
        <f t="shared" si="40"/>
        <v>0</v>
      </c>
      <c r="R356" s="22">
        <f t="shared" si="41"/>
        <v>0</v>
      </c>
      <c r="S356" s="169"/>
      <c r="T356" s="169"/>
    </row>
    <row r="357" spans="17:20">
      <c r="Q357" s="21">
        <f t="shared" si="40"/>
        <v>0</v>
      </c>
      <c r="R357" s="22">
        <f t="shared" si="41"/>
        <v>0</v>
      </c>
      <c r="S357" s="169"/>
      <c r="T357" s="169"/>
    </row>
    <row r="358" spans="17:20">
      <c r="Q358" s="21">
        <f t="shared" si="40"/>
        <v>0</v>
      </c>
      <c r="R358" s="22">
        <f t="shared" si="41"/>
        <v>0</v>
      </c>
      <c r="S358" s="169"/>
      <c r="T358" s="169"/>
    </row>
    <row r="359" spans="17:20">
      <c r="Q359" s="21">
        <f t="shared" si="40"/>
        <v>0</v>
      </c>
      <c r="R359" s="22">
        <f t="shared" si="41"/>
        <v>0</v>
      </c>
      <c r="S359" s="169"/>
      <c r="T359" s="169"/>
    </row>
    <row r="360" spans="17:20">
      <c r="Q360" s="21">
        <f t="shared" si="40"/>
        <v>0</v>
      </c>
      <c r="R360" s="22">
        <f t="shared" si="41"/>
        <v>0</v>
      </c>
      <c r="S360" s="169"/>
      <c r="T360" s="169"/>
    </row>
    <row r="361" spans="17:20">
      <c r="Q361" s="21">
        <f t="shared" si="40"/>
        <v>0</v>
      </c>
      <c r="R361" s="22">
        <f t="shared" si="41"/>
        <v>0</v>
      </c>
      <c r="S361" s="169"/>
      <c r="T361" s="169"/>
    </row>
    <row r="362" spans="17:20">
      <c r="Q362" s="21">
        <f t="shared" si="40"/>
        <v>0</v>
      </c>
      <c r="R362" s="22">
        <f t="shared" si="41"/>
        <v>0</v>
      </c>
      <c r="S362" s="169"/>
      <c r="T362" s="169"/>
    </row>
    <row r="363" spans="17:20">
      <c r="Q363" s="21">
        <f t="shared" si="40"/>
        <v>0</v>
      </c>
      <c r="R363" s="22">
        <f t="shared" si="41"/>
        <v>0</v>
      </c>
      <c r="S363" s="169"/>
      <c r="T363" s="169"/>
    </row>
    <row r="364" spans="17:20">
      <c r="Q364" s="21">
        <f t="shared" si="40"/>
        <v>0</v>
      </c>
      <c r="R364" s="22">
        <f t="shared" si="41"/>
        <v>0</v>
      </c>
      <c r="S364" s="169"/>
      <c r="T364" s="169"/>
    </row>
    <row r="365" spans="17:20">
      <c r="Q365" s="21">
        <f t="shared" si="40"/>
        <v>0</v>
      </c>
      <c r="R365" s="22">
        <f t="shared" si="41"/>
        <v>0</v>
      </c>
      <c r="S365" s="169"/>
      <c r="T365" s="169"/>
    </row>
    <row r="366" spans="17:20">
      <c r="Q366" s="21">
        <f t="shared" si="40"/>
        <v>0</v>
      </c>
      <c r="R366" s="22">
        <f t="shared" si="41"/>
        <v>0</v>
      </c>
      <c r="S366" s="169"/>
      <c r="T366" s="169"/>
    </row>
    <row r="367" spans="17:20">
      <c r="Q367" s="21">
        <f t="shared" si="40"/>
        <v>0</v>
      </c>
      <c r="R367" s="22">
        <f t="shared" si="41"/>
        <v>0</v>
      </c>
      <c r="S367" s="169"/>
      <c r="T367" s="169"/>
    </row>
    <row r="368" spans="17:20">
      <c r="Q368" s="21">
        <f t="shared" si="40"/>
        <v>0</v>
      </c>
      <c r="R368" s="22">
        <f t="shared" si="41"/>
        <v>0</v>
      </c>
      <c r="S368" s="169"/>
      <c r="T368" s="169"/>
    </row>
    <row r="369" spans="17:20">
      <c r="Q369" s="21">
        <f t="shared" si="40"/>
        <v>0</v>
      </c>
      <c r="R369" s="22">
        <f t="shared" si="41"/>
        <v>0</v>
      </c>
      <c r="S369" s="169"/>
      <c r="T369" s="169"/>
    </row>
    <row r="370" spans="17:20">
      <c r="Q370" s="21">
        <f t="shared" si="40"/>
        <v>0</v>
      </c>
      <c r="R370" s="22">
        <f t="shared" si="41"/>
        <v>0</v>
      </c>
      <c r="S370" s="169"/>
      <c r="T370" s="169"/>
    </row>
    <row r="371" spans="17:20">
      <c r="Q371" s="21">
        <f t="shared" si="40"/>
        <v>0</v>
      </c>
      <c r="R371" s="22">
        <f t="shared" si="41"/>
        <v>0</v>
      </c>
      <c r="S371" s="169"/>
      <c r="T371" s="169"/>
    </row>
    <row r="372" spans="17:20">
      <c r="Q372" s="21">
        <f t="shared" si="40"/>
        <v>0</v>
      </c>
      <c r="R372" s="22">
        <f t="shared" si="41"/>
        <v>0</v>
      </c>
      <c r="S372" s="169"/>
      <c r="T372" s="169"/>
    </row>
    <row r="373" spans="17:20">
      <c r="Q373" s="21">
        <f t="shared" si="40"/>
        <v>0</v>
      </c>
      <c r="R373" s="22">
        <f t="shared" si="41"/>
        <v>0</v>
      </c>
      <c r="S373" s="169"/>
      <c r="T373" s="169"/>
    </row>
    <row r="374" spans="17:20">
      <c r="Q374" s="21">
        <f t="shared" si="40"/>
        <v>0</v>
      </c>
      <c r="R374" s="22">
        <f t="shared" si="41"/>
        <v>0</v>
      </c>
      <c r="S374" s="169"/>
      <c r="T374" s="169"/>
    </row>
    <row r="375" spans="17:20">
      <c r="Q375" s="21">
        <f t="shared" si="40"/>
        <v>0</v>
      </c>
      <c r="R375" s="22">
        <f t="shared" si="41"/>
        <v>0</v>
      </c>
      <c r="S375" s="169"/>
      <c r="T375" s="169"/>
    </row>
    <row r="376" spans="17:20">
      <c r="Q376" s="21">
        <f t="shared" si="40"/>
        <v>0</v>
      </c>
      <c r="R376" s="22">
        <f t="shared" si="41"/>
        <v>0</v>
      </c>
      <c r="S376" s="169"/>
      <c r="T376" s="169"/>
    </row>
    <row r="377" spans="17:20">
      <c r="Q377" s="21">
        <f t="shared" si="40"/>
        <v>0</v>
      </c>
      <c r="R377" s="22">
        <f t="shared" si="41"/>
        <v>0</v>
      </c>
      <c r="S377" s="169"/>
      <c r="T377" s="169"/>
    </row>
    <row r="378" spans="17:20">
      <c r="Q378" s="21">
        <f t="shared" si="40"/>
        <v>0</v>
      </c>
      <c r="R378" s="22">
        <f t="shared" si="41"/>
        <v>0</v>
      </c>
      <c r="S378" s="169"/>
      <c r="T378" s="169"/>
    </row>
    <row r="379" spans="17:20">
      <c r="Q379" s="21">
        <f t="shared" si="40"/>
        <v>0</v>
      </c>
      <c r="R379" s="22">
        <f t="shared" si="41"/>
        <v>0</v>
      </c>
      <c r="S379" s="169"/>
      <c r="T379" s="169"/>
    </row>
    <row r="380" spans="17:20">
      <c r="Q380" s="21">
        <f t="shared" si="40"/>
        <v>0</v>
      </c>
      <c r="R380" s="22">
        <f t="shared" si="41"/>
        <v>0</v>
      </c>
      <c r="S380" s="169"/>
      <c r="T380" s="169"/>
    </row>
    <row r="381" spans="17:20">
      <c r="Q381" s="21">
        <f t="shared" si="40"/>
        <v>0</v>
      </c>
      <c r="R381" s="22">
        <f t="shared" si="41"/>
        <v>0</v>
      </c>
      <c r="S381" s="169"/>
      <c r="T381" s="169"/>
    </row>
    <row r="382" spans="17:20">
      <c r="Q382" s="21">
        <f t="shared" si="40"/>
        <v>0</v>
      </c>
      <c r="R382" s="22">
        <f t="shared" si="41"/>
        <v>0</v>
      </c>
      <c r="S382" s="169"/>
      <c r="T382" s="169"/>
    </row>
    <row r="383" spans="17:20">
      <c r="Q383" s="21">
        <f t="shared" si="40"/>
        <v>0</v>
      </c>
      <c r="R383" s="22">
        <f t="shared" si="41"/>
        <v>0</v>
      </c>
      <c r="S383" s="169"/>
      <c r="T383" s="169"/>
    </row>
    <row r="384" spans="17:20">
      <c r="Q384" s="21">
        <f t="shared" si="40"/>
        <v>0</v>
      </c>
      <c r="R384" s="22">
        <f t="shared" si="41"/>
        <v>0</v>
      </c>
      <c r="S384" s="169"/>
      <c r="T384" s="169"/>
    </row>
    <row r="385" spans="17:18">
      <c r="Q385" s="21">
        <f t="shared" si="40"/>
        <v>0</v>
      </c>
      <c r="R385" s="22">
        <f t="shared" si="41"/>
        <v>0</v>
      </c>
    </row>
    <row r="386" spans="17:18">
      <c r="Q386" s="21">
        <f t="shared" si="40"/>
        <v>0</v>
      </c>
      <c r="R386" s="22">
        <f t="shared" si="41"/>
        <v>0</v>
      </c>
    </row>
    <row r="387" spans="17:18">
      <c r="Q387" s="21">
        <f t="shared" si="40"/>
        <v>0</v>
      </c>
      <c r="R387" s="22">
        <f t="shared" si="41"/>
        <v>0</v>
      </c>
    </row>
    <row r="388" spans="17:18">
      <c r="Q388" s="21">
        <f t="shared" si="40"/>
        <v>0</v>
      </c>
      <c r="R388" s="22">
        <f t="shared" si="41"/>
        <v>0</v>
      </c>
    </row>
    <row r="389" spans="17:18">
      <c r="Q389" s="21">
        <f t="shared" si="40"/>
        <v>0</v>
      </c>
      <c r="R389" s="22">
        <f t="shared" si="41"/>
        <v>0</v>
      </c>
    </row>
    <row r="390" spans="17:18">
      <c r="Q390" s="21">
        <f t="shared" si="40"/>
        <v>0</v>
      </c>
      <c r="R390" s="22">
        <f t="shared" si="41"/>
        <v>0</v>
      </c>
    </row>
    <row r="391" spans="17:18">
      <c r="Q391" s="21">
        <f t="shared" si="40"/>
        <v>0</v>
      </c>
      <c r="R391" s="22">
        <f t="shared" si="41"/>
        <v>0</v>
      </c>
    </row>
    <row r="392" spans="17:18">
      <c r="Q392" s="21">
        <f t="shared" si="40"/>
        <v>0</v>
      </c>
      <c r="R392" s="22">
        <f t="shared" si="41"/>
        <v>0</v>
      </c>
    </row>
    <row r="393" spans="17:18">
      <c r="Q393" s="21">
        <f t="shared" si="40"/>
        <v>0</v>
      </c>
      <c r="R393" s="22">
        <f t="shared" si="41"/>
        <v>0</v>
      </c>
    </row>
    <row r="394" spans="17:18">
      <c r="Q394" s="21">
        <f t="shared" si="40"/>
        <v>0</v>
      </c>
      <c r="R394" s="22">
        <f t="shared" si="41"/>
        <v>0</v>
      </c>
    </row>
    <row r="395" spans="17:18">
      <c r="Q395" s="21">
        <f t="shared" si="40"/>
        <v>0</v>
      </c>
      <c r="R395" s="22">
        <f t="shared" si="41"/>
        <v>0</v>
      </c>
    </row>
    <row r="396" spans="17:18">
      <c r="Q396" s="21">
        <f t="shared" si="40"/>
        <v>0</v>
      </c>
      <c r="R396" s="22">
        <f t="shared" si="41"/>
        <v>0</v>
      </c>
    </row>
    <row r="397" spans="17:18">
      <c r="Q397" s="21">
        <f t="shared" si="40"/>
        <v>0</v>
      </c>
      <c r="R397" s="22">
        <f t="shared" si="41"/>
        <v>0</v>
      </c>
    </row>
    <row r="398" spans="17:18">
      <c r="Q398" s="21">
        <f t="shared" si="40"/>
        <v>0</v>
      </c>
      <c r="R398" s="22">
        <f t="shared" si="41"/>
        <v>0</v>
      </c>
    </row>
    <row r="399" spans="17:18">
      <c r="Q399" s="21">
        <f t="shared" si="40"/>
        <v>0</v>
      </c>
      <c r="R399" s="22">
        <f t="shared" si="41"/>
        <v>0</v>
      </c>
    </row>
    <row r="400" spans="17:18">
      <c r="Q400" s="21">
        <f t="shared" si="40"/>
        <v>0</v>
      </c>
      <c r="R400" s="22">
        <f t="shared" si="41"/>
        <v>0</v>
      </c>
    </row>
    <row r="401" spans="17:18">
      <c r="Q401" s="21">
        <f t="shared" si="40"/>
        <v>0</v>
      </c>
      <c r="R401" s="22">
        <f t="shared" si="41"/>
        <v>0</v>
      </c>
    </row>
    <row r="402" spans="17:18">
      <c r="Q402" s="21">
        <f t="shared" si="40"/>
        <v>0</v>
      </c>
      <c r="R402" s="22">
        <f t="shared" si="41"/>
        <v>0</v>
      </c>
    </row>
    <row r="403" spans="17:18">
      <c r="Q403" s="21">
        <f t="shared" si="40"/>
        <v>0</v>
      </c>
      <c r="R403" s="22">
        <f t="shared" si="41"/>
        <v>0</v>
      </c>
    </row>
    <row r="404" spans="17:18">
      <c r="Q404" s="21">
        <f t="shared" si="40"/>
        <v>0</v>
      </c>
      <c r="R404" s="22">
        <f t="shared" si="41"/>
        <v>0</v>
      </c>
    </row>
    <row r="405" spans="17:18">
      <c r="Q405" s="21">
        <f t="shared" si="40"/>
        <v>0</v>
      </c>
      <c r="R405" s="22">
        <f t="shared" si="41"/>
        <v>0</v>
      </c>
    </row>
    <row r="406" spans="17:18">
      <c r="Q406" s="21">
        <f t="shared" si="40"/>
        <v>0</v>
      </c>
      <c r="R406" s="22">
        <f t="shared" si="41"/>
        <v>0</v>
      </c>
    </row>
    <row r="407" spans="17:18">
      <c r="Q407" s="21">
        <f t="shared" si="40"/>
        <v>0</v>
      </c>
      <c r="R407" s="22">
        <f t="shared" si="41"/>
        <v>0</v>
      </c>
    </row>
    <row r="408" spans="17:18">
      <c r="Q408" s="21">
        <f t="shared" si="40"/>
        <v>0</v>
      </c>
      <c r="R408" s="22">
        <f t="shared" si="41"/>
        <v>0</v>
      </c>
    </row>
    <row r="409" spans="17:18">
      <c r="Q409" s="21">
        <f t="shared" ref="Q409:Q472" si="42">IF(ISBLANK(K409),0,SUM(K409,-I409))</f>
        <v>0</v>
      </c>
      <c r="R409" s="22">
        <f t="shared" ref="R409:R472" si="43">IF(ISBLANK(P409),0,SUM(P409,-I409))</f>
        <v>0</v>
      </c>
    </row>
    <row r="410" spans="17:18">
      <c r="Q410" s="21">
        <f t="shared" si="42"/>
        <v>0</v>
      </c>
      <c r="R410" s="22">
        <f t="shared" si="43"/>
        <v>0</v>
      </c>
    </row>
    <row r="411" spans="17:18">
      <c r="Q411" s="21">
        <f t="shared" si="42"/>
        <v>0</v>
      </c>
      <c r="R411" s="22">
        <f t="shared" si="43"/>
        <v>0</v>
      </c>
    </row>
    <row r="412" spans="17:18">
      <c r="Q412" s="21">
        <f t="shared" si="42"/>
        <v>0</v>
      </c>
      <c r="R412" s="22">
        <f t="shared" si="43"/>
        <v>0</v>
      </c>
    </row>
    <row r="413" spans="17:18">
      <c r="Q413" s="21">
        <f t="shared" si="42"/>
        <v>0</v>
      </c>
      <c r="R413" s="22">
        <f t="shared" si="43"/>
        <v>0</v>
      </c>
    </row>
    <row r="414" spans="17:18">
      <c r="Q414" s="21">
        <f t="shared" si="42"/>
        <v>0</v>
      </c>
      <c r="R414" s="22">
        <f t="shared" si="43"/>
        <v>0</v>
      </c>
    </row>
    <row r="415" spans="17:18">
      <c r="Q415" s="21">
        <f t="shared" si="42"/>
        <v>0</v>
      </c>
      <c r="R415" s="22">
        <f t="shared" si="43"/>
        <v>0</v>
      </c>
    </row>
    <row r="416" spans="17:18">
      <c r="Q416" s="21">
        <f t="shared" si="42"/>
        <v>0</v>
      </c>
      <c r="R416" s="22">
        <f t="shared" si="43"/>
        <v>0</v>
      </c>
    </row>
    <row r="417" spans="17:18">
      <c r="Q417" s="21">
        <f t="shared" si="42"/>
        <v>0</v>
      </c>
      <c r="R417" s="22">
        <f t="shared" si="43"/>
        <v>0</v>
      </c>
    </row>
    <row r="418" spans="17:18">
      <c r="Q418" s="21">
        <f t="shared" si="42"/>
        <v>0</v>
      </c>
      <c r="R418" s="22">
        <f t="shared" si="43"/>
        <v>0</v>
      </c>
    </row>
    <row r="419" spans="17:18">
      <c r="Q419" s="21">
        <f t="shared" si="42"/>
        <v>0</v>
      </c>
      <c r="R419" s="22">
        <f t="shared" si="43"/>
        <v>0</v>
      </c>
    </row>
    <row r="420" spans="17:18">
      <c r="Q420" s="21">
        <f t="shared" si="42"/>
        <v>0</v>
      </c>
      <c r="R420" s="22">
        <f t="shared" si="43"/>
        <v>0</v>
      </c>
    </row>
    <row r="421" spans="17:18">
      <c r="Q421" s="21">
        <f t="shared" si="42"/>
        <v>0</v>
      </c>
      <c r="R421" s="22">
        <f t="shared" si="43"/>
        <v>0</v>
      </c>
    </row>
    <row r="422" spans="17:18">
      <c r="Q422" s="21">
        <f t="shared" si="42"/>
        <v>0</v>
      </c>
      <c r="R422" s="22">
        <f t="shared" si="43"/>
        <v>0</v>
      </c>
    </row>
    <row r="423" spans="17:18">
      <c r="Q423" s="21">
        <f t="shared" si="42"/>
        <v>0</v>
      </c>
      <c r="R423" s="22">
        <f t="shared" si="43"/>
        <v>0</v>
      </c>
    </row>
    <row r="424" spans="17:18">
      <c r="Q424" s="21">
        <f t="shared" si="42"/>
        <v>0</v>
      </c>
      <c r="R424" s="22">
        <f t="shared" si="43"/>
        <v>0</v>
      </c>
    </row>
    <row r="425" spans="17:18">
      <c r="Q425" s="21">
        <f t="shared" si="42"/>
        <v>0</v>
      </c>
      <c r="R425" s="22">
        <f t="shared" si="43"/>
        <v>0</v>
      </c>
    </row>
    <row r="426" spans="17:18">
      <c r="Q426" s="21">
        <f t="shared" si="42"/>
        <v>0</v>
      </c>
      <c r="R426" s="22">
        <f t="shared" si="43"/>
        <v>0</v>
      </c>
    </row>
    <row r="427" spans="17:18">
      <c r="Q427" s="21">
        <f t="shared" si="42"/>
        <v>0</v>
      </c>
      <c r="R427" s="22">
        <f t="shared" si="43"/>
        <v>0</v>
      </c>
    </row>
    <row r="428" spans="17:18">
      <c r="Q428" s="21">
        <f t="shared" si="42"/>
        <v>0</v>
      </c>
      <c r="R428" s="22">
        <f t="shared" si="43"/>
        <v>0</v>
      </c>
    </row>
    <row r="429" spans="17:18">
      <c r="Q429" s="21">
        <f t="shared" si="42"/>
        <v>0</v>
      </c>
      <c r="R429" s="22">
        <f t="shared" si="43"/>
        <v>0</v>
      </c>
    </row>
    <row r="430" spans="17:18">
      <c r="Q430" s="21">
        <f t="shared" si="42"/>
        <v>0</v>
      </c>
      <c r="R430" s="22">
        <f t="shared" si="43"/>
        <v>0</v>
      </c>
    </row>
    <row r="431" spans="17:18">
      <c r="Q431" s="21">
        <f t="shared" si="42"/>
        <v>0</v>
      </c>
      <c r="R431" s="22">
        <f t="shared" si="43"/>
        <v>0</v>
      </c>
    </row>
    <row r="432" spans="17:18">
      <c r="Q432" s="21">
        <f t="shared" si="42"/>
        <v>0</v>
      </c>
      <c r="R432" s="22">
        <f t="shared" si="43"/>
        <v>0</v>
      </c>
    </row>
    <row r="433" spans="17:18">
      <c r="Q433" s="21">
        <f t="shared" si="42"/>
        <v>0</v>
      </c>
      <c r="R433" s="22">
        <f t="shared" si="43"/>
        <v>0</v>
      </c>
    </row>
    <row r="434" spans="17:18">
      <c r="Q434" s="21">
        <f t="shared" si="42"/>
        <v>0</v>
      </c>
      <c r="R434" s="22">
        <f t="shared" si="43"/>
        <v>0</v>
      </c>
    </row>
    <row r="435" spans="17:18">
      <c r="Q435" s="21">
        <f t="shared" si="42"/>
        <v>0</v>
      </c>
      <c r="R435" s="22">
        <f t="shared" si="43"/>
        <v>0</v>
      </c>
    </row>
    <row r="436" spans="17:18">
      <c r="Q436" s="21">
        <f t="shared" si="42"/>
        <v>0</v>
      </c>
      <c r="R436" s="22">
        <f t="shared" si="43"/>
        <v>0</v>
      </c>
    </row>
    <row r="437" spans="17:18">
      <c r="Q437" s="21">
        <f t="shared" si="42"/>
        <v>0</v>
      </c>
      <c r="R437" s="22">
        <f t="shared" si="43"/>
        <v>0</v>
      </c>
    </row>
    <row r="438" spans="17:18">
      <c r="Q438" s="21">
        <f t="shared" si="42"/>
        <v>0</v>
      </c>
      <c r="R438" s="22">
        <f t="shared" si="43"/>
        <v>0</v>
      </c>
    </row>
    <row r="439" spans="17:18">
      <c r="Q439" s="21">
        <f t="shared" si="42"/>
        <v>0</v>
      </c>
      <c r="R439" s="22">
        <f t="shared" si="43"/>
        <v>0</v>
      </c>
    </row>
    <row r="440" spans="17:18">
      <c r="Q440" s="21">
        <f t="shared" si="42"/>
        <v>0</v>
      </c>
      <c r="R440" s="22">
        <f t="shared" si="43"/>
        <v>0</v>
      </c>
    </row>
    <row r="441" spans="17:18">
      <c r="Q441" s="21">
        <f t="shared" si="42"/>
        <v>0</v>
      </c>
      <c r="R441" s="22">
        <f t="shared" si="43"/>
        <v>0</v>
      </c>
    </row>
    <row r="442" spans="17:18">
      <c r="Q442" s="21">
        <f t="shared" si="42"/>
        <v>0</v>
      </c>
      <c r="R442" s="22">
        <f t="shared" si="43"/>
        <v>0</v>
      </c>
    </row>
    <row r="443" spans="17:18">
      <c r="Q443" s="21">
        <f t="shared" si="42"/>
        <v>0</v>
      </c>
      <c r="R443" s="22">
        <f t="shared" si="43"/>
        <v>0</v>
      </c>
    </row>
    <row r="444" spans="17:18">
      <c r="Q444" s="21">
        <f t="shared" si="42"/>
        <v>0</v>
      </c>
      <c r="R444" s="22">
        <f t="shared" si="43"/>
        <v>0</v>
      </c>
    </row>
    <row r="445" spans="17:18">
      <c r="Q445" s="21">
        <f t="shared" si="42"/>
        <v>0</v>
      </c>
      <c r="R445" s="22">
        <f t="shared" si="43"/>
        <v>0</v>
      </c>
    </row>
    <row r="446" spans="17:18">
      <c r="Q446" s="21">
        <f t="shared" si="42"/>
        <v>0</v>
      </c>
      <c r="R446" s="22">
        <f t="shared" si="43"/>
        <v>0</v>
      </c>
    </row>
    <row r="447" spans="17:18">
      <c r="Q447" s="21">
        <f t="shared" si="42"/>
        <v>0</v>
      </c>
      <c r="R447" s="22">
        <f t="shared" si="43"/>
        <v>0</v>
      </c>
    </row>
    <row r="448" spans="17:18">
      <c r="Q448" s="21">
        <f t="shared" si="42"/>
        <v>0</v>
      </c>
      <c r="R448" s="22">
        <f t="shared" si="43"/>
        <v>0</v>
      </c>
    </row>
    <row r="449" spans="17:18">
      <c r="Q449" s="21">
        <f t="shared" si="42"/>
        <v>0</v>
      </c>
      <c r="R449" s="22">
        <f t="shared" si="43"/>
        <v>0</v>
      </c>
    </row>
    <row r="450" spans="17:18">
      <c r="Q450" s="21">
        <f t="shared" si="42"/>
        <v>0</v>
      </c>
      <c r="R450" s="22">
        <f t="shared" si="43"/>
        <v>0</v>
      </c>
    </row>
    <row r="451" spans="17:18">
      <c r="Q451" s="21">
        <f t="shared" si="42"/>
        <v>0</v>
      </c>
      <c r="R451" s="22">
        <f t="shared" si="43"/>
        <v>0</v>
      </c>
    </row>
    <row r="452" spans="17:18">
      <c r="Q452" s="21">
        <f t="shared" si="42"/>
        <v>0</v>
      </c>
      <c r="R452" s="22">
        <f t="shared" si="43"/>
        <v>0</v>
      </c>
    </row>
    <row r="453" spans="17:18">
      <c r="Q453" s="21">
        <f t="shared" si="42"/>
        <v>0</v>
      </c>
      <c r="R453" s="22">
        <f t="shared" si="43"/>
        <v>0</v>
      </c>
    </row>
    <row r="454" spans="17:18">
      <c r="Q454" s="21">
        <f t="shared" si="42"/>
        <v>0</v>
      </c>
      <c r="R454" s="22">
        <f t="shared" si="43"/>
        <v>0</v>
      </c>
    </row>
    <row r="455" spans="17:18">
      <c r="Q455" s="21">
        <f t="shared" si="42"/>
        <v>0</v>
      </c>
      <c r="R455" s="22">
        <f t="shared" si="43"/>
        <v>0</v>
      </c>
    </row>
    <row r="456" spans="17:18">
      <c r="Q456" s="21">
        <f t="shared" si="42"/>
        <v>0</v>
      </c>
      <c r="R456" s="22">
        <f t="shared" si="43"/>
        <v>0</v>
      </c>
    </row>
    <row r="457" spans="17:18">
      <c r="Q457" s="21">
        <f t="shared" si="42"/>
        <v>0</v>
      </c>
      <c r="R457" s="22">
        <f t="shared" si="43"/>
        <v>0</v>
      </c>
    </row>
    <row r="458" spans="17:18">
      <c r="Q458" s="21">
        <f t="shared" si="42"/>
        <v>0</v>
      </c>
      <c r="R458" s="22">
        <f t="shared" si="43"/>
        <v>0</v>
      </c>
    </row>
    <row r="459" spans="17:18">
      <c r="Q459" s="21">
        <f t="shared" si="42"/>
        <v>0</v>
      </c>
      <c r="R459" s="22">
        <f t="shared" si="43"/>
        <v>0</v>
      </c>
    </row>
    <row r="460" spans="17:18">
      <c r="Q460" s="21">
        <f t="shared" si="42"/>
        <v>0</v>
      </c>
      <c r="R460" s="22">
        <f t="shared" si="43"/>
        <v>0</v>
      </c>
    </row>
    <row r="461" spans="17:18">
      <c r="Q461" s="21">
        <f t="shared" si="42"/>
        <v>0</v>
      </c>
      <c r="R461" s="22">
        <f t="shared" si="43"/>
        <v>0</v>
      </c>
    </row>
    <row r="462" spans="17:18">
      <c r="Q462" s="21">
        <f t="shared" si="42"/>
        <v>0</v>
      </c>
      <c r="R462" s="22">
        <f t="shared" si="43"/>
        <v>0</v>
      </c>
    </row>
    <row r="463" spans="17:18">
      <c r="Q463" s="21">
        <f t="shared" si="42"/>
        <v>0</v>
      </c>
      <c r="R463" s="22">
        <f t="shared" si="43"/>
        <v>0</v>
      </c>
    </row>
    <row r="464" spans="17:18">
      <c r="Q464" s="21">
        <f t="shared" si="42"/>
        <v>0</v>
      </c>
      <c r="R464" s="22">
        <f t="shared" si="43"/>
        <v>0</v>
      </c>
    </row>
    <row r="465" spans="17:18">
      <c r="Q465" s="21">
        <f t="shared" si="42"/>
        <v>0</v>
      </c>
      <c r="R465" s="22">
        <f t="shared" si="43"/>
        <v>0</v>
      </c>
    </row>
    <row r="466" spans="17:18">
      <c r="Q466" s="21">
        <f t="shared" si="42"/>
        <v>0</v>
      </c>
      <c r="R466" s="22">
        <f t="shared" si="43"/>
        <v>0</v>
      </c>
    </row>
    <row r="467" spans="17:18">
      <c r="Q467" s="21">
        <f t="shared" si="42"/>
        <v>0</v>
      </c>
      <c r="R467" s="22">
        <f t="shared" si="43"/>
        <v>0</v>
      </c>
    </row>
    <row r="468" spans="17:18">
      <c r="Q468" s="21">
        <f t="shared" si="42"/>
        <v>0</v>
      </c>
      <c r="R468" s="22">
        <f t="shared" si="43"/>
        <v>0</v>
      </c>
    </row>
    <row r="469" spans="17:18">
      <c r="Q469" s="21">
        <f t="shared" si="42"/>
        <v>0</v>
      </c>
      <c r="R469" s="22">
        <f t="shared" si="43"/>
        <v>0</v>
      </c>
    </row>
    <row r="470" spans="17:18">
      <c r="Q470" s="21">
        <f t="shared" si="42"/>
        <v>0</v>
      </c>
      <c r="R470" s="22">
        <f t="shared" si="43"/>
        <v>0</v>
      </c>
    </row>
    <row r="471" spans="17:18">
      <c r="Q471" s="21">
        <f t="shared" si="42"/>
        <v>0</v>
      </c>
      <c r="R471" s="22">
        <f t="shared" si="43"/>
        <v>0</v>
      </c>
    </row>
    <row r="472" spans="17:18">
      <c r="Q472" s="21">
        <f t="shared" si="42"/>
        <v>0</v>
      </c>
      <c r="R472" s="22">
        <f t="shared" si="43"/>
        <v>0</v>
      </c>
    </row>
    <row r="473" spans="17:18">
      <c r="Q473" s="21">
        <f>IF(ISBLANK(K473),0,SUM(K473,-I473))</f>
        <v>0</v>
      </c>
      <c r="R473" s="22">
        <f>IF(ISBLANK(P473),0,SUM(P473,-I473))</f>
        <v>0</v>
      </c>
    </row>
    <row r="474" spans="17:18">
      <c r="Q474" s="21">
        <f>IF(ISBLANK(K474),0,SUM(K474,-I474))</f>
        <v>0</v>
      </c>
      <c r="R474" s="22">
        <f>IF(ISBLANK(P474),0,SUM(P474,-I474))</f>
        <v>0</v>
      </c>
    </row>
  </sheetData>
  <autoFilter ref="A2:R385">
    <filterColumn colId="0"/>
    <filterColumn colId="2"/>
    <filterColumn colId="3"/>
    <filterColumn colId="6"/>
    <filterColumn colId="8"/>
    <filterColumn colId="9"/>
    <filterColumn colId="10">
      <filters blank="1"/>
    </filterColumn>
    <filterColumn colId="11"/>
    <filterColumn colId="13"/>
  </autoFilter>
  <sortState ref="B109:P145">
    <sortCondition ref="B3:B145"/>
    <sortCondition ref="I3:I145"/>
  </sortState>
  <mergeCells count="2">
    <mergeCell ref="D1:E1"/>
    <mergeCell ref="G1:I1"/>
  </mergeCells>
  <phoneticPr fontId="175" type="noConversion"/>
  <pageMargins left="0.19685039370078741" right="0.19685039370078741" top="0.15748031496062992" bottom="0.19685039370078741" header="0.15748031496062992" footer="0.19685039370078741"/>
  <pageSetup paperSize="9" scale="9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R500"/>
  <sheetViews>
    <sheetView zoomScale="120" zoomScaleNormal="120" workbookViewId="0">
      <pane ySplit="3" topLeftCell="A208" activePane="bottomLeft" state="frozen"/>
      <selection activeCell="F309" sqref="F309"/>
      <selection pane="bottomLeft" activeCell="G4" sqref="G4:G213"/>
    </sheetView>
  </sheetViews>
  <sheetFormatPr baseColWidth="10" defaultColWidth="11.44140625" defaultRowHeight="12.75" customHeight="1"/>
  <cols>
    <col min="1" max="1" width="1.5546875" style="41" customWidth="1"/>
    <col min="2" max="2" width="16.44140625" style="379" bestFit="1" customWidth="1"/>
    <col min="3" max="3" width="25.33203125" style="379" customWidth="1"/>
    <col min="4" max="4" width="13.88671875" style="379" customWidth="1"/>
    <col min="5" max="5" width="3.33203125" style="379" customWidth="1"/>
    <col min="6" max="6" width="4.44140625" style="379" customWidth="1"/>
    <col min="7" max="7" width="33.44140625" style="379" customWidth="1"/>
    <col min="8" max="8" width="5.109375" style="82" customWidth="1"/>
    <col min="9" max="9" width="11.88671875" style="379" customWidth="1"/>
    <col min="10" max="10" width="11.88671875" style="420" hidden="1" customWidth="1"/>
    <col min="11" max="11" width="11.88671875" style="421" customWidth="1"/>
    <col min="12" max="12" width="8.6640625" style="82" customWidth="1"/>
    <col min="13" max="13" width="13.109375" style="422" customWidth="1"/>
    <col min="14" max="14" width="15.44140625" style="205" customWidth="1"/>
    <col min="15" max="15" width="14.88671875" style="169" bestFit="1" customWidth="1"/>
    <col min="16" max="16" width="8" style="86" customWidth="1"/>
    <col min="17" max="17" width="15.44140625" style="379" bestFit="1" customWidth="1"/>
    <col min="18" max="18" width="14.6640625" style="379" customWidth="1"/>
    <col min="19" max="16384" width="11.44140625" style="379"/>
  </cols>
  <sheetData>
    <row r="1" spans="2:18" ht="72" customHeight="1" thickBot="1">
      <c r="B1" s="372" t="s">
        <v>17</v>
      </c>
      <c r="C1" s="336" t="s">
        <v>16</v>
      </c>
      <c r="D1" s="373" t="s">
        <v>21</v>
      </c>
      <c r="E1" s="821" t="s">
        <v>20</v>
      </c>
      <c r="F1" s="822"/>
      <c r="G1" s="818" t="s">
        <v>15</v>
      </c>
      <c r="H1" s="819"/>
      <c r="I1" s="820"/>
      <c r="J1" s="423"/>
      <c r="K1" s="375"/>
      <c r="L1" s="376">
        <f>SUBTOTAL(1,L4:L11454)</f>
        <v>16.357954545454547</v>
      </c>
      <c r="M1" s="375">
        <f>SUBTOTAL(9,F4:F2394)</f>
        <v>270</v>
      </c>
      <c r="N1" s="377"/>
      <c r="O1" s="378">
        <v>18</v>
      </c>
      <c r="P1" s="84">
        <v>19</v>
      </c>
    </row>
    <row r="2" spans="2:18" ht="14.4" thickBot="1">
      <c r="B2" s="28" t="s">
        <v>1</v>
      </c>
      <c r="C2" s="374" t="s">
        <v>2</v>
      </c>
      <c r="D2" s="28" t="s">
        <v>104</v>
      </c>
      <c r="E2" s="28" t="s">
        <v>3</v>
      </c>
      <c r="F2" s="28" t="s">
        <v>105</v>
      </c>
      <c r="G2" s="28" t="s">
        <v>4</v>
      </c>
      <c r="H2" s="28" t="s">
        <v>0</v>
      </c>
      <c r="I2" s="28" t="s">
        <v>103</v>
      </c>
      <c r="J2" s="424" t="s">
        <v>371</v>
      </c>
      <c r="K2" s="380" t="s">
        <v>44</v>
      </c>
      <c r="L2" s="381"/>
      <c r="M2" s="85"/>
      <c r="N2" s="63"/>
      <c r="O2" s="42"/>
      <c r="P2" s="84"/>
    </row>
    <row r="3" spans="2:18" ht="12.75" customHeight="1" thickBot="1">
      <c r="B3" s="28" t="s">
        <v>1</v>
      </c>
      <c r="C3" s="374" t="s">
        <v>2</v>
      </c>
      <c r="D3" s="28" t="s">
        <v>104</v>
      </c>
      <c r="E3" s="28" t="s">
        <v>3</v>
      </c>
      <c r="F3" s="28" t="s">
        <v>105</v>
      </c>
      <c r="G3" s="28" t="s">
        <v>4</v>
      </c>
      <c r="H3" s="28" t="s">
        <v>0</v>
      </c>
      <c r="I3" s="28" t="s">
        <v>103</v>
      </c>
      <c r="J3" s="424"/>
      <c r="K3" s="380" t="s">
        <v>44</v>
      </c>
      <c r="L3" s="381"/>
      <c r="M3" s="85"/>
      <c r="N3" s="63"/>
      <c r="O3" s="42"/>
      <c r="P3" s="82" t="s">
        <v>45</v>
      </c>
      <c r="Q3" s="62" t="s">
        <v>129</v>
      </c>
      <c r="R3" s="63" t="s">
        <v>981</v>
      </c>
    </row>
    <row r="4" spans="2:18" ht="12.75" customHeight="1">
      <c r="B4" s="91" t="s">
        <v>281</v>
      </c>
      <c r="C4" s="425" t="s">
        <v>80</v>
      </c>
      <c r="D4" s="106">
        <v>42034</v>
      </c>
      <c r="E4" s="425">
        <v>3</v>
      </c>
      <c r="F4" s="425">
        <v>3</v>
      </c>
      <c r="G4" s="425" t="s">
        <v>98</v>
      </c>
      <c r="H4" s="425" t="s">
        <v>79</v>
      </c>
      <c r="I4" s="426">
        <v>42012</v>
      </c>
      <c r="J4" s="426"/>
      <c r="K4" s="87">
        <v>42019</v>
      </c>
      <c r="L4" s="427">
        <f t="shared" ref="L4:L14" si="0">IF(ISBLANK(K4),"",NETWORKDAYS(I4,K4))</f>
        <v>6</v>
      </c>
      <c r="M4" s="398"/>
      <c r="N4" s="399" t="s">
        <v>36</v>
      </c>
      <c r="O4" s="76"/>
      <c r="Q4" s="21">
        <f t="shared" ref="Q4:Q11" si="1">IF(ISBLANK(K5),0,SUM(K5,-I5))</f>
        <v>13</v>
      </c>
      <c r="R4" s="22">
        <f t="shared" ref="R4:R11" si="2">IF(ISBLANK(P4),0,SUM(P4,-I5))</f>
        <v>0</v>
      </c>
    </row>
    <row r="5" spans="2:18" ht="12.75" customHeight="1">
      <c r="B5" s="91" t="s">
        <v>274</v>
      </c>
      <c r="C5" s="425" t="s">
        <v>80</v>
      </c>
      <c r="D5" s="106">
        <v>42034</v>
      </c>
      <c r="E5" s="425">
        <v>1</v>
      </c>
      <c r="F5" s="425">
        <v>1</v>
      </c>
      <c r="G5" s="425" t="s">
        <v>275</v>
      </c>
      <c r="H5" s="425" t="s">
        <v>79</v>
      </c>
      <c r="I5" s="426">
        <v>42013</v>
      </c>
      <c r="J5" s="426"/>
      <c r="K5" s="87">
        <v>42026</v>
      </c>
      <c r="L5" s="427">
        <f t="shared" si="0"/>
        <v>10</v>
      </c>
      <c r="M5" s="428"/>
      <c r="N5" s="399" t="s">
        <v>36</v>
      </c>
      <c r="O5" s="76"/>
      <c r="Q5" s="21">
        <f t="shared" si="1"/>
        <v>19</v>
      </c>
      <c r="R5" s="22">
        <f t="shared" si="2"/>
        <v>0</v>
      </c>
    </row>
    <row r="6" spans="2:18" ht="12.75" customHeight="1">
      <c r="B6" s="115" t="s">
        <v>288</v>
      </c>
      <c r="C6" s="429" t="s">
        <v>84</v>
      </c>
      <c r="D6" s="144">
        <v>42054</v>
      </c>
      <c r="E6" s="429">
        <v>2</v>
      </c>
      <c r="F6" s="429">
        <v>2</v>
      </c>
      <c r="G6" s="429" t="s">
        <v>193</v>
      </c>
      <c r="H6" s="429" t="s">
        <v>14</v>
      </c>
      <c r="I6" s="430">
        <v>42018</v>
      </c>
      <c r="J6" s="430"/>
      <c r="K6" s="88">
        <v>42037</v>
      </c>
      <c r="L6" s="431">
        <f t="shared" si="0"/>
        <v>14</v>
      </c>
      <c r="M6" s="384"/>
      <c r="N6" s="350" t="s">
        <v>96</v>
      </c>
      <c r="O6" s="69"/>
      <c r="Q6" s="21">
        <f t="shared" si="1"/>
        <v>19</v>
      </c>
      <c r="R6" s="22">
        <f t="shared" si="2"/>
        <v>0</v>
      </c>
    </row>
    <row r="7" spans="2:18" ht="12.75" customHeight="1">
      <c r="B7" s="115" t="s">
        <v>288</v>
      </c>
      <c r="C7" s="429" t="s">
        <v>100</v>
      </c>
      <c r="D7" s="144">
        <v>42054</v>
      </c>
      <c r="E7" s="429">
        <v>2</v>
      </c>
      <c r="F7" s="429">
        <v>2</v>
      </c>
      <c r="G7" s="429" t="s">
        <v>193</v>
      </c>
      <c r="H7" s="429" t="s">
        <v>14</v>
      </c>
      <c r="I7" s="430">
        <v>42018</v>
      </c>
      <c r="J7" s="430"/>
      <c r="K7" s="88">
        <v>42037</v>
      </c>
      <c r="L7" s="431">
        <f t="shared" si="0"/>
        <v>14</v>
      </c>
      <c r="M7" s="384"/>
      <c r="N7" s="350" t="s">
        <v>123</v>
      </c>
      <c r="O7" s="69" t="s">
        <v>35</v>
      </c>
      <c r="P7" s="86">
        <v>42026</v>
      </c>
      <c r="Q7" s="21">
        <f t="shared" si="1"/>
        <v>19</v>
      </c>
      <c r="R7" s="22">
        <f t="shared" si="2"/>
        <v>8</v>
      </c>
    </row>
    <row r="8" spans="2:18" ht="12.75" customHeight="1">
      <c r="B8" s="115" t="s">
        <v>289</v>
      </c>
      <c r="C8" s="429" t="s">
        <v>84</v>
      </c>
      <c r="D8" s="144">
        <v>42054</v>
      </c>
      <c r="E8" s="429">
        <v>1</v>
      </c>
      <c r="F8" s="429">
        <v>1</v>
      </c>
      <c r="G8" s="429" t="s">
        <v>290</v>
      </c>
      <c r="H8" s="429" t="s">
        <v>14</v>
      </c>
      <c r="I8" s="430">
        <v>42018</v>
      </c>
      <c r="J8" s="430"/>
      <c r="K8" s="88">
        <v>42037</v>
      </c>
      <c r="L8" s="431">
        <f t="shared" si="0"/>
        <v>14</v>
      </c>
      <c r="M8" s="384"/>
      <c r="N8" s="350" t="s">
        <v>96</v>
      </c>
      <c r="O8" s="69"/>
      <c r="Q8" s="21">
        <f t="shared" si="1"/>
        <v>19</v>
      </c>
      <c r="R8" s="22">
        <f t="shared" si="2"/>
        <v>0</v>
      </c>
    </row>
    <row r="9" spans="2:18" ht="12.75" customHeight="1">
      <c r="B9" s="115" t="s">
        <v>289</v>
      </c>
      <c r="C9" s="429" t="s">
        <v>100</v>
      </c>
      <c r="D9" s="144">
        <v>42054</v>
      </c>
      <c r="E9" s="429">
        <v>1</v>
      </c>
      <c r="F9" s="429">
        <v>1</v>
      </c>
      <c r="G9" s="429" t="s">
        <v>290</v>
      </c>
      <c r="H9" s="429" t="s">
        <v>14</v>
      </c>
      <c r="I9" s="430">
        <v>42018</v>
      </c>
      <c r="J9" s="430"/>
      <c r="K9" s="88">
        <v>42037</v>
      </c>
      <c r="L9" s="431">
        <f t="shared" si="0"/>
        <v>14</v>
      </c>
      <c r="M9" s="384"/>
      <c r="N9" s="350" t="s">
        <v>123</v>
      </c>
      <c r="O9" s="69" t="s">
        <v>35</v>
      </c>
      <c r="P9" s="86">
        <v>42026</v>
      </c>
      <c r="Q9" s="21">
        <f t="shared" si="1"/>
        <v>21</v>
      </c>
      <c r="R9" s="22">
        <f t="shared" si="2"/>
        <v>6</v>
      </c>
    </row>
    <row r="10" spans="2:18" ht="12.75" customHeight="1">
      <c r="B10" s="115" t="s">
        <v>299</v>
      </c>
      <c r="C10" s="429" t="s">
        <v>24</v>
      </c>
      <c r="D10" s="144">
        <v>42046</v>
      </c>
      <c r="E10" s="429">
        <v>1</v>
      </c>
      <c r="F10" s="429">
        <v>1</v>
      </c>
      <c r="G10" s="429" t="s">
        <v>95</v>
      </c>
      <c r="H10" s="429" t="s">
        <v>14</v>
      </c>
      <c r="I10" s="430">
        <v>42020</v>
      </c>
      <c r="J10" s="430"/>
      <c r="K10" s="88">
        <v>42041</v>
      </c>
      <c r="L10" s="431">
        <f t="shared" si="0"/>
        <v>16</v>
      </c>
      <c r="M10" s="384"/>
      <c r="N10" s="350" t="s">
        <v>123</v>
      </c>
      <c r="O10" s="69" t="s">
        <v>35</v>
      </c>
      <c r="P10" s="86">
        <v>42031</v>
      </c>
      <c r="Q10" s="21">
        <f t="shared" si="1"/>
        <v>17</v>
      </c>
      <c r="R10" s="22">
        <f t="shared" si="2"/>
        <v>7</v>
      </c>
    </row>
    <row r="11" spans="2:18" ht="12.75" customHeight="1">
      <c r="B11" s="138" t="s">
        <v>310</v>
      </c>
      <c r="C11" s="432" t="s">
        <v>24</v>
      </c>
      <c r="D11" s="147">
        <v>42059</v>
      </c>
      <c r="E11" s="432">
        <v>1</v>
      </c>
      <c r="F11" s="432">
        <v>1</v>
      </c>
      <c r="G11" s="432" t="s">
        <v>219</v>
      </c>
      <c r="H11" s="432" t="s">
        <v>14</v>
      </c>
      <c r="I11" s="433">
        <v>42024</v>
      </c>
      <c r="J11" s="433"/>
      <c r="K11" s="88">
        <v>42041</v>
      </c>
      <c r="L11" s="431">
        <f t="shared" si="0"/>
        <v>14</v>
      </c>
      <c r="M11" s="384"/>
      <c r="N11" s="350" t="s">
        <v>123</v>
      </c>
      <c r="O11" s="69" t="s">
        <v>35</v>
      </c>
      <c r="P11" s="86">
        <v>42031</v>
      </c>
      <c r="Q11" s="21">
        <f t="shared" si="1"/>
        <v>22</v>
      </c>
      <c r="R11" s="22">
        <f t="shared" si="2"/>
        <v>6</v>
      </c>
    </row>
    <row r="12" spans="2:18" ht="12.75" customHeight="1">
      <c r="B12" s="103" t="s">
        <v>313</v>
      </c>
      <c r="C12" s="434" t="s">
        <v>83</v>
      </c>
      <c r="D12" s="108">
        <v>42044</v>
      </c>
      <c r="E12" s="434">
        <v>2</v>
      </c>
      <c r="F12" s="434">
        <v>2</v>
      </c>
      <c r="G12" s="434" t="s">
        <v>120</v>
      </c>
      <c r="H12" s="434" t="s">
        <v>79</v>
      </c>
      <c r="I12" s="435">
        <v>42025</v>
      </c>
      <c r="J12" s="162">
        <v>1648.8</v>
      </c>
      <c r="K12" s="87">
        <v>42047</v>
      </c>
      <c r="L12" s="427">
        <f t="shared" si="0"/>
        <v>17</v>
      </c>
      <c r="M12" s="398"/>
      <c r="N12" s="399" t="s">
        <v>36</v>
      </c>
      <c r="O12" s="76"/>
      <c r="Q12" s="21">
        <f t="shared" ref="Q12:Q29" si="3">IF(ISBLANK(K14),0,SUM(K14,-I14))</f>
        <v>31</v>
      </c>
      <c r="R12" s="22">
        <f>IF(ISBLANK(P12),0,SUM(P12,-I14))</f>
        <v>0</v>
      </c>
    </row>
    <row r="13" spans="2:18" ht="12.75" customHeight="1">
      <c r="B13" s="122" t="s">
        <v>324</v>
      </c>
      <c r="C13" s="436" t="s">
        <v>78</v>
      </c>
      <c r="D13" s="133">
        <v>42044</v>
      </c>
      <c r="E13" s="436">
        <v>1</v>
      </c>
      <c r="F13" s="436">
        <v>1</v>
      </c>
      <c r="G13" s="436" t="s">
        <v>98</v>
      </c>
      <c r="H13" s="436" t="s">
        <v>79</v>
      </c>
      <c r="I13" s="437">
        <v>42027</v>
      </c>
      <c r="J13" s="437"/>
      <c r="K13" s="87">
        <v>42045</v>
      </c>
      <c r="L13" s="427">
        <f t="shared" si="0"/>
        <v>13</v>
      </c>
      <c r="M13" s="398"/>
      <c r="N13" s="399" t="s">
        <v>36</v>
      </c>
      <c r="O13" s="76"/>
      <c r="Q13" s="21">
        <f t="shared" si="3"/>
        <v>20</v>
      </c>
      <c r="R13" s="22">
        <f>IF(ISBLANK(P13),0,SUM(P13,-I15))</f>
        <v>0</v>
      </c>
    </row>
    <row r="14" spans="2:18" ht="12.75" customHeight="1">
      <c r="B14" s="121" t="s">
        <v>327</v>
      </c>
      <c r="C14" s="438" t="s">
        <v>24</v>
      </c>
      <c r="D14" s="134">
        <v>42072</v>
      </c>
      <c r="E14" s="438">
        <v>1</v>
      </c>
      <c r="F14" s="438">
        <v>1</v>
      </c>
      <c r="G14" s="438" t="s">
        <v>113</v>
      </c>
      <c r="H14" s="438" t="s">
        <v>251</v>
      </c>
      <c r="I14" s="439">
        <v>42027</v>
      </c>
      <c r="J14" s="158">
        <v>1894.56</v>
      </c>
      <c r="K14" s="88">
        <v>42058</v>
      </c>
      <c r="L14" s="431">
        <f t="shared" si="0"/>
        <v>22</v>
      </c>
      <c r="M14" s="384"/>
      <c r="N14" s="350" t="s">
        <v>123</v>
      </c>
      <c r="O14" s="69" t="s">
        <v>35</v>
      </c>
      <c r="P14" s="86">
        <v>42033</v>
      </c>
      <c r="Q14" s="21">
        <f t="shared" si="3"/>
        <v>14</v>
      </c>
      <c r="R14" s="22">
        <f>IF(ISBLANK(P14),0,SUM(P14,-I16))</f>
        <v>6</v>
      </c>
    </row>
    <row r="15" spans="2:18" ht="12.75" customHeight="1">
      <c r="B15" s="128" t="s">
        <v>338</v>
      </c>
      <c r="C15" s="438" t="s">
        <v>39</v>
      </c>
      <c r="D15" s="134">
        <v>42058</v>
      </c>
      <c r="E15" s="438">
        <v>1</v>
      </c>
      <c r="F15" s="438">
        <v>1</v>
      </c>
      <c r="G15" s="438" t="s">
        <v>339</v>
      </c>
      <c r="H15" s="438" t="s">
        <v>14</v>
      </c>
      <c r="I15" s="439">
        <v>42027</v>
      </c>
      <c r="J15" s="158">
        <v>1321.2</v>
      </c>
      <c r="K15" s="88">
        <v>42047</v>
      </c>
      <c r="L15" s="431">
        <f>IF(ISBLANK(K15),"",NETWORKDAYS(I15,K15))</f>
        <v>15</v>
      </c>
      <c r="M15" s="384"/>
      <c r="N15" s="350" t="s">
        <v>123</v>
      </c>
      <c r="O15" s="69" t="s">
        <v>35</v>
      </c>
      <c r="P15" s="86">
        <v>42033</v>
      </c>
      <c r="Q15" s="21">
        <f t="shared" si="3"/>
        <v>27</v>
      </c>
      <c r="R15" s="22">
        <f>IF(ISBLANK(P15),0,SUM(P15,-I15))</f>
        <v>6</v>
      </c>
    </row>
    <row r="16" spans="2:18" ht="12.75" customHeight="1">
      <c r="B16" s="122" t="s">
        <v>340</v>
      </c>
      <c r="C16" s="436" t="s">
        <v>78</v>
      </c>
      <c r="D16" s="133">
        <v>42051</v>
      </c>
      <c r="E16" s="436">
        <v>3</v>
      </c>
      <c r="F16" s="436">
        <v>3</v>
      </c>
      <c r="G16" s="436" t="s">
        <v>341</v>
      </c>
      <c r="H16" s="436" t="s">
        <v>79</v>
      </c>
      <c r="I16" s="437">
        <v>42027</v>
      </c>
      <c r="J16" s="437"/>
      <c r="K16" s="87">
        <v>42041</v>
      </c>
      <c r="L16" s="427">
        <f t="shared" ref="L16:L43" si="4">IF(ISBLANK(K16),"",NETWORKDAYS(I16,K16))</f>
        <v>11</v>
      </c>
      <c r="M16" s="398"/>
      <c r="N16" s="399" t="s">
        <v>36</v>
      </c>
      <c r="O16" s="76"/>
      <c r="Q16" s="21">
        <f t="shared" si="3"/>
        <v>22</v>
      </c>
      <c r="R16" s="22">
        <f>IF(ISBLANK(P16),0,SUM(P16,-I16))</f>
        <v>0</v>
      </c>
    </row>
    <row r="17" spans="2:18" ht="12.75" customHeight="1">
      <c r="B17" s="440" t="s">
        <v>362</v>
      </c>
      <c r="C17" s="441" t="s">
        <v>24</v>
      </c>
      <c r="D17" s="180">
        <v>42055</v>
      </c>
      <c r="E17" s="441">
        <v>1</v>
      </c>
      <c r="F17" s="441">
        <v>1</v>
      </c>
      <c r="G17" s="441" t="s">
        <v>99</v>
      </c>
      <c r="H17" s="441" t="s">
        <v>14</v>
      </c>
      <c r="I17" s="442">
        <v>42041</v>
      </c>
      <c r="J17" s="150">
        <v>1335.6</v>
      </c>
      <c r="K17" s="88">
        <v>42068</v>
      </c>
      <c r="L17" s="431">
        <f>IF(ISBLANK(K17),"",NETWORKDAYS(I17,K17))</f>
        <v>20</v>
      </c>
      <c r="M17" s="384"/>
      <c r="N17" s="350" t="s">
        <v>123</v>
      </c>
      <c r="O17" s="69" t="s">
        <v>35</v>
      </c>
      <c r="P17" s="86">
        <v>42054</v>
      </c>
      <c r="Q17" s="21">
        <f t="shared" si="3"/>
        <v>17</v>
      </c>
      <c r="R17" s="22">
        <f>IF(ISBLANK(P17),0,SUM(P17,-I17))</f>
        <v>13</v>
      </c>
    </row>
    <row r="18" spans="2:18" ht="12.75" customHeight="1">
      <c r="B18" s="212" t="s">
        <v>376</v>
      </c>
      <c r="C18" s="443" t="s">
        <v>118</v>
      </c>
      <c r="D18" s="213">
        <v>42065</v>
      </c>
      <c r="E18" s="443">
        <v>1</v>
      </c>
      <c r="F18" s="443">
        <v>1</v>
      </c>
      <c r="G18" s="443" t="s">
        <v>28</v>
      </c>
      <c r="H18" s="443" t="s">
        <v>14</v>
      </c>
      <c r="I18" s="444">
        <v>42046</v>
      </c>
      <c r="J18" s="445">
        <v>1302</v>
      </c>
      <c r="K18" s="88">
        <v>42068</v>
      </c>
      <c r="L18" s="431">
        <f t="shared" si="4"/>
        <v>17</v>
      </c>
      <c r="M18" s="384"/>
      <c r="N18" s="350" t="s">
        <v>123</v>
      </c>
      <c r="O18" s="69" t="s">
        <v>33</v>
      </c>
      <c r="P18" s="86">
        <v>42054</v>
      </c>
      <c r="Q18" s="21">
        <f t="shared" si="3"/>
        <v>23</v>
      </c>
      <c r="R18" s="22">
        <f t="shared" ref="R18:R31" si="5">IF(ISBLANK(P18),0,SUM(P18,-I18))</f>
        <v>8</v>
      </c>
    </row>
    <row r="19" spans="2:18" ht="12.75" customHeight="1">
      <c r="B19" s="212" t="s">
        <v>374</v>
      </c>
      <c r="C19" s="443" t="s">
        <v>24</v>
      </c>
      <c r="D19" s="213">
        <v>42075</v>
      </c>
      <c r="E19" s="443">
        <v>1</v>
      </c>
      <c r="F19" s="443">
        <v>1</v>
      </c>
      <c r="G19" s="443" t="s">
        <v>375</v>
      </c>
      <c r="H19" s="443" t="s">
        <v>14</v>
      </c>
      <c r="I19" s="444">
        <v>42051</v>
      </c>
      <c r="J19" s="445">
        <v>1581.21</v>
      </c>
      <c r="K19" s="88">
        <v>42068</v>
      </c>
      <c r="L19" s="431">
        <f t="shared" si="4"/>
        <v>14</v>
      </c>
      <c r="M19" s="384"/>
      <c r="N19" s="350" t="s">
        <v>123</v>
      </c>
      <c r="O19" s="69" t="s">
        <v>42</v>
      </c>
      <c r="P19" s="86">
        <v>42058</v>
      </c>
      <c r="Q19" s="21">
        <f t="shared" si="3"/>
        <v>17</v>
      </c>
      <c r="R19" s="22">
        <f t="shared" si="5"/>
        <v>7</v>
      </c>
    </row>
    <row r="20" spans="2:18" ht="12.75" customHeight="1">
      <c r="B20" s="215" t="s">
        <v>380</v>
      </c>
      <c r="C20" s="446" t="s">
        <v>72</v>
      </c>
      <c r="D20" s="216">
        <v>42072</v>
      </c>
      <c r="E20" s="446">
        <v>1</v>
      </c>
      <c r="F20" s="446">
        <v>1</v>
      </c>
      <c r="G20" s="446" t="s">
        <v>121</v>
      </c>
      <c r="H20" s="446" t="s">
        <v>14</v>
      </c>
      <c r="I20" s="447">
        <v>42051</v>
      </c>
      <c r="J20" s="448" t="s">
        <v>381</v>
      </c>
      <c r="K20" s="88">
        <v>42074</v>
      </c>
      <c r="L20" s="431">
        <f t="shared" si="4"/>
        <v>18</v>
      </c>
      <c r="M20" s="384"/>
      <c r="N20" s="350" t="s">
        <v>123</v>
      </c>
      <c r="O20" s="69" t="s">
        <v>35</v>
      </c>
      <c r="P20" s="86">
        <v>42058</v>
      </c>
      <c r="Q20" s="21">
        <f t="shared" si="3"/>
        <v>31</v>
      </c>
      <c r="R20" s="22">
        <f t="shared" si="5"/>
        <v>7</v>
      </c>
    </row>
    <row r="21" spans="2:18" ht="12.75" customHeight="1">
      <c r="B21" s="449" t="s">
        <v>384</v>
      </c>
      <c r="C21" s="450" t="s">
        <v>78</v>
      </c>
      <c r="D21" s="209">
        <v>42093</v>
      </c>
      <c r="E21" s="450">
        <v>1</v>
      </c>
      <c r="F21" s="450">
        <v>1</v>
      </c>
      <c r="G21" s="450" t="s">
        <v>77</v>
      </c>
      <c r="H21" s="450" t="s">
        <v>251</v>
      </c>
      <c r="I21" s="451">
        <v>42052</v>
      </c>
      <c r="J21" s="452"/>
      <c r="K21" s="453">
        <v>42069</v>
      </c>
      <c r="L21" s="427">
        <f t="shared" si="4"/>
        <v>14</v>
      </c>
      <c r="M21" s="399"/>
      <c r="N21" s="399" t="s">
        <v>36</v>
      </c>
      <c r="O21" s="76"/>
      <c r="Q21" s="21">
        <f t="shared" si="3"/>
        <v>23</v>
      </c>
      <c r="R21" s="22">
        <f t="shared" si="5"/>
        <v>0</v>
      </c>
    </row>
    <row r="22" spans="2:18" ht="12.75" customHeight="1">
      <c r="B22" s="449" t="s">
        <v>385</v>
      </c>
      <c r="C22" s="446" t="s">
        <v>24</v>
      </c>
      <c r="D22" s="216">
        <v>42068</v>
      </c>
      <c r="E22" s="446">
        <v>2</v>
      </c>
      <c r="F22" s="446">
        <v>2</v>
      </c>
      <c r="G22" s="446" t="s">
        <v>5</v>
      </c>
      <c r="H22" s="446" t="s">
        <v>14</v>
      </c>
      <c r="I22" s="447">
        <v>42052</v>
      </c>
      <c r="J22" s="448">
        <v>1846.42</v>
      </c>
      <c r="K22" s="88">
        <v>42083</v>
      </c>
      <c r="L22" s="351">
        <f t="shared" si="4"/>
        <v>24</v>
      </c>
      <c r="M22" s="384"/>
      <c r="N22" s="350" t="s">
        <v>123</v>
      </c>
      <c r="O22" s="69" t="s">
        <v>35</v>
      </c>
      <c r="P22" s="86">
        <v>42066</v>
      </c>
      <c r="Q22" s="21">
        <f t="shared" si="3"/>
        <v>7</v>
      </c>
      <c r="R22" s="22">
        <f t="shared" si="5"/>
        <v>14</v>
      </c>
    </row>
    <row r="23" spans="2:18" ht="12.75" customHeight="1">
      <c r="B23" s="215" t="s">
        <v>387</v>
      </c>
      <c r="C23" s="446" t="s">
        <v>24</v>
      </c>
      <c r="D23" s="216">
        <v>42075</v>
      </c>
      <c r="E23" s="446">
        <v>1</v>
      </c>
      <c r="F23" s="446">
        <v>1</v>
      </c>
      <c r="G23" s="446" t="s">
        <v>193</v>
      </c>
      <c r="H23" s="446" t="s">
        <v>79</v>
      </c>
      <c r="I23" s="447">
        <v>42053</v>
      </c>
      <c r="J23" s="448" t="s">
        <v>388</v>
      </c>
      <c r="K23" s="88">
        <v>42076</v>
      </c>
      <c r="L23" s="431">
        <f t="shared" si="4"/>
        <v>18</v>
      </c>
      <c r="M23" s="384"/>
      <c r="N23" s="350" t="s">
        <v>123</v>
      </c>
      <c r="O23" s="69" t="s">
        <v>35</v>
      </c>
      <c r="P23" s="86">
        <v>42060</v>
      </c>
      <c r="Q23" s="21">
        <f t="shared" si="3"/>
        <v>14</v>
      </c>
      <c r="R23" s="22">
        <f t="shared" si="5"/>
        <v>7</v>
      </c>
    </row>
    <row r="24" spans="2:18" ht="12.75" customHeight="1">
      <c r="B24" s="68">
        <v>60805754</v>
      </c>
      <c r="C24" s="446" t="s">
        <v>24</v>
      </c>
      <c r="D24" s="120">
        <v>42051</v>
      </c>
      <c r="E24" s="446">
        <v>1</v>
      </c>
      <c r="F24" s="446">
        <v>1</v>
      </c>
      <c r="G24" s="446" t="s">
        <v>390</v>
      </c>
      <c r="H24" s="454" t="s">
        <v>14</v>
      </c>
      <c r="I24" s="455">
        <v>42051</v>
      </c>
      <c r="K24" s="88">
        <v>42058</v>
      </c>
      <c r="L24" s="431">
        <f t="shared" si="4"/>
        <v>6</v>
      </c>
      <c r="M24" s="384"/>
      <c r="N24" s="350" t="s">
        <v>123</v>
      </c>
      <c r="O24" s="69" t="s">
        <v>33</v>
      </c>
      <c r="P24" s="86">
        <v>42054</v>
      </c>
      <c r="Q24" s="21">
        <f t="shared" si="3"/>
        <v>18</v>
      </c>
      <c r="R24" s="22">
        <f t="shared" si="5"/>
        <v>3</v>
      </c>
    </row>
    <row r="25" spans="2:18" ht="12.75" customHeight="1">
      <c r="B25" s="231" t="s">
        <v>398</v>
      </c>
      <c r="C25" s="456" t="s">
        <v>39</v>
      </c>
      <c r="D25" s="233">
        <v>42086</v>
      </c>
      <c r="E25" s="456">
        <v>1</v>
      </c>
      <c r="F25" s="456">
        <v>1</v>
      </c>
      <c r="G25" s="456" t="s">
        <v>87</v>
      </c>
      <c r="H25" s="456" t="s">
        <v>14</v>
      </c>
      <c r="I25" s="457">
        <v>42055</v>
      </c>
      <c r="J25" s="458">
        <v>871.8</v>
      </c>
      <c r="K25" s="459">
        <v>42069</v>
      </c>
      <c r="L25" s="431">
        <f t="shared" si="4"/>
        <v>11</v>
      </c>
      <c r="M25" s="233"/>
      <c r="N25" s="233" t="s">
        <v>123</v>
      </c>
      <c r="O25" s="233" t="s">
        <v>35</v>
      </c>
      <c r="P25" s="86">
        <v>42060</v>
      </c>
      <c r="Q25" s="21">
        <f t="shared" si="3"/>
        <v>18</v>
      </c>
      <c r="R25" s="22">
        <f t="shared" si="5"/>
        <v>5</v>
      </c>
    </row>
    <row r="26" spans="2:18" ht="12.75" customHeight="1">
      <c r="B26" s="231" t="s">
        <v>399</v>
      </c>
      <c r="C26" s="456" t="s">
        <v>24</v>
      </c>
      <c r="D26" s="233">
        <v>42079</v>
      </c>
      <c r="E26" s="456">
        <v>1</v>
      </c>
      <c r="F26" s="456">
        <v>1</v>
      </c>
      <c r="G26" s="456" t="s">
        <v>99</v>
      </c>
      <c r="H26" s="456" t="s">
        <v>14</v>
      </c>
      <c r="I26" s="457">
        <v>42058</v>
      </c>
      <c r="J26" s="458">
        <v>1701.48</v>
      </c>
      <c r="K26" s="459">
        <v>42076</v>
      </c>
      <c r="L26" s="431">
        <f t="shared" si="4"/>
        <v>15</v>
      </c>
      <c r="M26" s="233"/>
      <c r="N26" s="233" t="s">
        <v>123</v>
      </c>
      <c r="O26" s="233" t="s">
        <v>35</v>
      </c>
      <c r="P26" s="86">
        <v>42065</v>
      </c>
      <c r="Q26" s="21">
        <f t="shared" si="3"/>
        <v>11</v>
      </c>
      <c r="R26" s="22">
        <f t="shared" si="5"/>
        <v>7</v>
      </c>
    </row>
    <row r="27" spans="2:18" ht="12.75" customHeight="1">
      <c r="B27" s="231" t="s">
        <v>400</v>
      </c>
      <c r="C27" s="456" t="s">
        <v>24</v>
      </c>
      <c r="D27" s="233">
        <v>42079</v>
      </c>
      <c r="E27" s="456">
        <v>1</v>
      </c>
      <c r="F27" s="456">
        <v>1</v>
      </c>
      <c r="G27" s="456" t="s">
        <v>94</v>
      </c>
      <c r="H27" s="456" t="s">
        <v>14</v>
      </c>
      <c r="I27" s="457">
        <v>42058</v>
      </c>
      <c r="J27" s="458">
        <v>2172.6</v>
      </c>
      <c r="K27" s="459">
        <v>42076</v>
      </c>
      <c r="L27" s="431">
        <f t="shared" si="4"/>
        <v>15</v>
      </c>
      <c r="M27" s="233"/>
      <c r="N27" s="233" t="s">
        <v>123</v>
      </c>
      <c r="O27" s="233" t="s">
        <v>35</v>
      </c>
      <c r="P27" s="86">
        <v>42067</v>
      </c>
      <c r="Q27" s="21">
        <f t="shared" si="3"/>
        <v>20</v>
      </c>
      <c r="R27" s="22">
        <f t="shared" si="5"/>
        <v>9</v>
      </c>
    </row>
    <row r="28" spans="2:18" ht="12.75" customHeight="1">
      <c r="B28" s="224" t="s">
        <v>405</v>
      </c>
      <c r="C28" s="460" t="s">
        <v>78</v>
      </c>
      <c r="D28" s="225">
        <v>42079</v>
      </c>
      <c r="E28" s="460">
        <v>1</v>
      </c>
      <c r="F28" s="460">
        <v>1</v>
      </c>
      <c r="G28" s="460" t="s">
        <v>406</v>
      </c>
      <c r="H28" s="460" t="s">
        <v>79</v>
      </c>
      <c r="I28" s="461">
        <v>42058</v>
      </c>
      <c r="J28" s="462">
        <v>736.8</v>
      </c>
      <c r="K28" s="87">
        <v>42069</v>
      </c>
      <c r="L28" s="427">
        <f t="shared" si="4"/>
        <v>10</v>
      </c>
      <c r="M28" s="398"/>
      <c r="N28" s="399" t="s">
        <v>36</v>
      </c>
      <c r="O28" s="76"/>
      <c r="Q28" s="21">
        <f t="shared" si="3"/>
        <v>19</v>
      </c>
      <c r="R28" s="22">
        <f t="shared" si="5"/>
        <v>0</v>
      </c>
    </row>
    <row r="29" spans="2:18" ht="12.75" customHeight="1">
      <c r="B29" s="231" t="s">
        <v>407</v>
      </c>
      <c r="C29" s="456" t="s">
        <v>24</v>
      </c>
      <c r="D29" s="233">
        <v>42080</v>
      </c>
      <c r="E29" s="456">
        <v>1</v>
      </c>
      <c r="F29" s="456">
        <v>1</v>
      </c>
      <c r="G29" s="456" t="s">
        <v>97</v>
      </c>
      <c r="H29" s="456" t="s">
        <v>14</v>
      </c>
      <c r="I29" s="457">
        <v>42059</v>
      </c>
      <c r="J29" s="462">
        <v>1297.08</v>
      </c>
      <c r="K29" s="88">
        <v>42079</v>
      </c>
      <c r="L29" s="431">
        <f t="shared" si="4"/>
        <v>15</v>
      </c>
      <c r="M29" s="384"/>
      <c r="N29" s="350" t="s">
        <v>123</v>
      </c>
      <c r="O29" s="69" t="s">
        <v>35</v>
      </c>
      <c r="P29" s="86">
        <v>42065</v>
      </c>
      <c r="Q29" s="21">
        <f t="shared" si="3"/>
        <v>14</v>
      </c>
      <c r="R29" s="22">
        <f t="shared" si="5"/>
        <v>6</v>
      </c>
    </row>
    <row r="30" spans="2:18" ht="12.75" customHeight="1">
      <c r="B30" s="231" t="s">
        <v>408</v>
      </c>
      <c r="C30" s="456" t="s">
        <v>24</v>
      </c>
      <c r="D30" s="233">
        <v>42082</v>
      </c>
      <c r="E30" s="456">
        <v>1</v>
      </c>
      <c r="F30" s="456">
        <v>1</v>
      </c>
      <c r="G30" s="456" t="s">
        <v>201</v>
      </c>
      <c r="H30" s="456" t="s">
        <v>14</v>
      </c>
      <c r="I30" s="457">
        <v>42060</v>
      </c>
      <c r="J30" s="462">
        <v>1529</v>
      </c>
      <c r="K30" s="88">
        <v>42079</v>
      </c>
      <c r="L30" s="431">
        <f t="shared" si="4"/>
        <v>14</v>
      </c>
      <c r="M30" s="384"/>
      <c r="N30" s="350" t="s">
        <v>123</v>
      </c>
      <c r="O30" s="69" t="s">
        <v>33</v>
      </c>
      <c r="P30" s="86">
        <v>42065</v>
      </c>
      <c r="Q30" s="21">
        <f>IF(ISBLANK(K34),0,SUM(K34,-I34))</f>
        <v>21</v>
      </c>
      <c r="R30" s="22">
        <f t="shared" si="5"/>
        <v>5</v>
      </c>
    </row>
    <row r="31" spans="2:18" ht="12.75" customHeight="1">
      <c r="B31" s="231" t="s">
        <v>404</v>
      </c>
      <c r="C31" s="456" t="s">
        <v>39</v>
      </c>
      <c r="D31" s="233">
        <v>42086</v>
      </c>
      <c r="E31" s="456">
        <v>6</v>
      </c>
      <c r="F31" s="456">
        <v>6</v>
      </c>
      <c r="G31" s="456" t="s">
        <v>203</v>
      </c>
      <c r="H31" s="456" t="s">
        <v>14</v>
      </c>
      <c r="I31" s="457">
        <v>42060</v>
      </c>
      <c r="J31" s="462">
        <v>2460</v>
      </c>
      <c r="K31" s="88">
        <v>42074</v>
      </c>
      <c r="L31" s="431">
        <f t="shared" si="4"/>
        <v>11</v>
      </c>
      <c r="M31" s="384"/>
      <c r="N31" s="350" t="s">
        <v>123</v>
      </c>
      <c r="O31" s="69" t="s">
        <v>35</v>
      </c>
      <c r="P31" s="86">
        <v>42065</v>
      </c>
      <c r="Q31" s="21">
        <f>IF(ISBLANK(K35),0,SUM(K35,-I35))</f>
        <v>18</v>
      </c>
      <c r="R31" s="22">
        <f t="shared" si="5"/>
        <v>5</v>
      </c>
    </row>
    <row r="32" spans="2:18" ht="12.75" customHeight="1">
      <c r="B32" s="278" t="s">
        <v>434</v>
      </c>
      <c r="C32" s="463" t="s">
        <v>8</v>
      </c>
      <c r="D32" s="280">
        <v>42107</v>
      </c>
      <c r="E32" s="463">
        <v>1</v>
      </c>
      <c r="F32" s="463">
        <v>1</v>
      </c>
      <c r="G32" s="463" t="s">
        <v>135</v>
      </c>
      <c r="H32" s="463" t="s">
        <v>14</v>
      </c>
      <c r="I32" s="464">
        <v>42074</v>
      </c>
      <c r="J32" s="462"/>
      <c r="K32" s="88">
        <v>42081</v>
      </c>
      <c r="L32" s="351">
        <f t="shared" si="4"/>
        <v>6</v>
      </c>
      <c r="M32" s="384" t="s">
        <v>62</v>
      </c>
      <c r="N32" s="350" t="s">
        <v>123</v>
      </c>
      <c r="O32" s="69" t="s">
        <v>35</v>
      </c>
      <c r="P32" s="86">
        <v>42080</v>
      </c>
      <c r="Q32" s="21">
        <f>IF(ISBLANK(K36),0,SUM(K36,-I36))</f>
        <v>14</v>
      </c>
      <c r="R32" s="22">
        <f>IF(ISBLANK(P32),0,SUM(P32,-I32))</f>
        <v>6</v>
      </c>
    </row>
    <row r="33" spans="2:18" ht="12.75" customHeight="1">
      <c r="B33" s="245" t="s">
        <v>419</v>
      </c>
      <c r="C33" s="465" t="s">
        <v>24</v>
      </c>
      <c r="D33" s="247">
        <v>42093</v>
      </c>
      <c r="E33" s="465">
        <v>1</v>
      </c>
      <c r="F33" s="465">
        <v>1</v>
      </c>
      <c r="G33" s="465" t="s">
        <v>420</v>
      </c>
      <c r="H33" s="465" t="s">
        <v>14</v>
      </c>
      <c r="I33" s="466">
        <v>42065</v>
      </c>
      <c r="J33" s="71"/>
      <c r="K33" s="467">
        <v>42086</v>
      </c>
      <c r="L33" s="351">
        <f>IF(ISBLANK(K33),"",NETWORKDAYS(I32,K33))</f>
        <v>9</v>
      </c>
      <c r="M33" s="350"/>
      <c r="N33" s="69" t="s">
        <v>123</v>
      </c>
      <c r="O33" s="69" t="s">
        <v>35</v>
      </c>
      <c r="P33" s="86">
        <v>42073</v>
      </c>
      <c r="Q33" s="21">
        <f t="shared" ref="Q33:Q38" si="6">IF(ISBLANK(K37),0,SUM(K37,-I37))</f>
        <v>14</v>
      </c>
      <c r="R33" s="22">
        <f t="shared" ref="R33:R40" si="7">IF(ISBLANK(P33),0,SUM(P33,-I33))</f>
        <v>8</v>
      </c>
    </row>
    <row r="34" spans="2:18" ht="12.75" customHeight="1">
      <c r="B34" s="245" t="s">
        <v>418</v>
      </c>
      <c r="C34" s="465" t="s">
        <v>24</v>
      </c>
      <c r="D34" s="247">
        <v>42083</v>
      </c>
      <c r="E34" s="465">
        <v>1</v>
      </c>
      <c r="F34" s="465">
        <v>1</v>
      </c>
      <c r="G34" s="465" t="s">
        <v>5</v>
      </c>
      <c r="H34" s="465" t="s">
        <v>14</v>
      </c>
      <c r="I34" s="466">
        <v>42065</v>
      </c>
      <c r="J34" s="468">
        <v>1092.67</v>
      </c>
      <c r="K34" s="88">
        <v>42086</v>
      </c>
      <c r="L34" s="351">
        <f t="shared" si="4"/>
        <v>16</v>
      </c>
      <c r="M34" s="384"/>
      <c r="N34" s="350" t="s">
        <v>123</v>
      </c>
      <c r="O34" s="69" t="s">
        <v>33</v>
      </c>
      <c r="P34" s="86">
        <v>42065</v>
      </c>
      <c r="Q34" s="21">
        <f t="shared" si="6"/>
        <v>22</v>
      </c>
      <c r="R34" s="22">
        <f t="shared" si="7"/>
        <v>0</v>
      </c>
    </row>
    <row r="35" spans="2:18" ht="12.75" customHeight="1">
      <c r="B35" s="255" t="s">
        <v>429</v>
      </c>
      <c r="C35" s="469" t="s">
        <v>78</v>
      </c>
      <c r="D35" s="256">
        <v>42093</v>
      </c>
      <c r="E35" s="469">
        <v>2</v>
      </c>
      <c r="F35" s="469">
        <v>2</v>
      </c>
      <c r="G35" s="469" t="s">
        <v>98</v>
      </c>
      <c r="H35" s="469" t="s">
        <v>79</v>
      </c>
      <c r="I35" s="470">
        <v>42069</v>
      </c>
      <c r="J35" s="471">
        <v>2170.08</v>
      </c>
      <c r="K35" s="472">
        <v>42087</v>
      </c>
      <c r="L35" s="352">
        <f t="shared" si="4"/>
        <v>13</v>
      </c>
      <c r="M35" s="256"/>
      <c r="N35" s="256" t="s">
        <v>36</v>
      </c>
      <c r="O35" s="256"/>
      <c r="Q35" s="21">
        <f t="shared" si="6"/>
        <v>14</v>
      </c>
      <c r="R35" s="22">
        <f t="shared" si="7"/>
        <v>0</v>
      </c>
    </row>
    <row r="36" spans="2:18" ht="12.75" customHeight="1">
      <c r="B36" s="278" t="s">
        <v>491</v>
      </c>
      <c r="C36" s="463" t="s">
        <v>81</v>
      </c>
      <c r="D36" s="280">
        <v>42097</v>
      </c>
      <c r="E36" s="463">
        <v>2</v>
      </c>
      <c r="F36" s="463">
        <v>2</v>
      </c>
      <c r="G36" s="463" t="s">
        <v>115</v>
      </c>
      <c r="H36" s="463" t="s">
        <v>14</v>
      </c>
      <c r="I36" s="464">
        <v>42074</v>
      </c>
      <c r="J36" s="473">
        <v>3003.29</v>
      </c>
      <c r="K36" s="474">
        <v>42088</v>
      </c>
      <c r="L36" s="351">
        <f t="shared" si="4"/>
        <v>11</v>
      </c>
      <c r="M36" s="259"/>
      <c r="N36" s="259" t="s">
        <v>123</v>
      </c>
      <c r="O36" s="259" t="s">
        <v>33</v>
      </c>
      <c r="P36" s="86">
        <v>42081</v>
      </c>
      <c r="Q36" s="21">
        <f t="shared" si="6"/>
        <v>13</v>
      </c>
      <c r="R36" s="22">
        <f t="shared" si="7"/>
        <v>7</v>
      </c>
    </row>
    <row r="37" spans="2:18" ht="12.75" customHeight="1">
      <c r="B37" s="283" t="s">
        <v>441</v>
      </c>
      <c r="C37" s="475" t="s">
        <v>24</v>
      </c>
      <c r="D37" s="285">
        <v>42093</v>
      </c>
      <c r="E37" s="475">
        <v>1</v>
      </c>
      <c r="F37" s="475">
        <v>1</v>
      </c>
      <c r="G37" s="475" t="s">
        <v>442</v>
      </c>
      <c r="H37" s="475" t="s">
        <v>14</v>
      </c>
      <c r="I37" s="476">
        <v>42075</v>
      </c>
      <c r="J37" s="477">
        <v>1968.12</v>
      </c>
      <c r="K37" s="474">
        <v>42089</v>
      </c>
      <c r="L37" s="351">
        <f t="shared" si="4"/>
        <v>11</v>
      </c>
      <c r="M37" s="259"/>
      <c r="N37" s="259" t="s">
        <v>123</v>
      </c>
      <c r="O37" s="259" t="s">
        <v>35</v>
      </c>
      <c r="P37" s="86">
        <v>42082</v>
      </c>
      <c r="Q37" s="21">
        <f t="shared" si="6"/>
        <v>23</v>
      </c>
      <c r="R37" s="22">
        <f t="shared" si="7"/>
        <v>7</v>
      </c>
    </row>
    <row r="38" spans="2:18" ht="12.75" customHeight="1">
      <c r="B38" s="283" t="s">
        <v>444</v>
      </c>
      <c r="C38" s="475" t="s">
        <v>24</v>
      </c>
      <c r="D38" s="285">
        <v>42107</v>
      </c>
      <c r="E38" s="475">
        <v>1</v>
      </c>
      <c r="F38" s="475">
        <v>1</v>
      </c>
      <c r="G38" s="475" t="s">
        <v>445</v>
      </c>
      <c r="H38" s="475" t="s">
        <v>14</v>
      </c>
      <c r="I38" s="476">
        <v>42075</v>
      </c>
      <c r="J38" s="477">
        <v>1193.94</v>
      </c>
      <c r="K38" s="474">
        <v>42097</v>
      </c>
      <c r="L38" s="351">
        <f t="shared" si="4"/>
        <v>17</v>
      </c>
      <c r="M38" s="259"/>
      <c r="N38" s="259" t="s">
        <v>123</v>
      </c>
      <c r="O38" s="259" t="s">
        <v>35</v>
      </c>
      <c r="P38" s="86">
        <v>42090</v>
      </c>
      <c r="Q38" s="21">
        <f t="shared" si="6"/>
        <v>10</v>
      </c>
      <c r="R38" s="22">
        <f t="shared" si="7"/>
        <v>15</v>
      </c>
    </row>
    <row r="39" spans="2:18" ht="12.75" customHeight="1">
      <c r="B39" s="283" t="s">
        <v>446</v>
      </c>
      <c r="C39" s="475" t="s">
        <v>39</v>
      </c>
      <c r="D39" s="285">
        <v>42107</v>
      </c>
      <c r="E39" s="475">
        <v>2</v>
      </c>
      <c r="F39" s="475">
        <v>2</v>
      </c>
      <c r="G39" s="475" t="s">
        <v>447</v>
      </c>
      <c r="H39" s="475" t="s">
        <v>14</v>
      </c>
      <c r="I39" s="476">
        <v>42076</v>
      </c>
      <c r="J39" s="477">
        <v>2341.44</v>
      </c>
      <c r="K39" s="474">
        <v>42090</v>
      </c>
      <c r="L39" s="351">
        <f t="shared" si="4"/>
        <v>11</v>
      </c>
      <c r="M39" s="259"/>
      <c r="N39" s="259" t="s">
        <v>123</v>
      </c>
      <c r="O39" s="259" t="s">
        <v>35</v>
      </c>
      <c r="P39" s="86">
        <v>42083</v>
      </c>
      <c r="Q39" s="21">
        <f t="shared" ref="Q39:Q45" si="8">IF(ISBLANK(K44),0,SUM(K44,-I44))</f>
        <v>22</v>
      </c>
      <c r="R39" s="22">
        <f t="shared" si="7"/>
        <v>7</v>
      </c>
    </row>
    <row r="40" spans="2:18" ht="12.75" customHeight="1">
      <c r="B40" s="283" t="s">
        <v>450</v>
      </c>
      <c r="C40" s="475" t="s">
        <v>24</v>
      </c>
      <c r="D40" s="285">
        <v>42107</v>
      </c>
      <c r="E40" s="475">
        <v>1</v>
      </c>
      <c r="F40" s="475">
        <v>1</v>
      </c>
      <c r="G40" s="475" t="s">
        <v>451</v>
      </c>
      <c r="H40" s="475" t="s">
        <v>14</v>
      </c>
      <c r="I40" s="476">
        <v>42076</v>
      </c>
      <c r="J40" s="477">
        <v>1850.03</v>
      </c>
      <c r="K40" s="474">
        <v>42089</v>
      </c>
      <c r="L40" s="351">
        <f t="shared" si="4"/>
        <v>10</v>
      </c>
      <c r="M40" s="259"/>
      <c r="N40" s="259" t="s">
        <v>123</v>
      </c>
      <c r="O40" s="259" t="s">
        <v>35</v>
      </c>
      <c r="P40" s="86">
        <v>42083</v>
      </c>
      <c r="Q40" s="21">
        <f t="shared" si="8"/>
        <v>21</v>
      </c>
      <c r="R40" s="22">
        <f t="shared" si="7"/>
        <v>7</v>
      </c>
    </row>
    <row r="41" spans="2:18" ht="12.75" customHeight="1">
      <c r="B41" s="273" t="s">
        <v>455</v>
      </c>
      <c r="C41" s="478" t="s">
        <v>24</v>
      </c>
      <c r="D41" s="276">
        <v>42121</v>
      </c>
      <c r="E41" s="478">
        <v>1</v>
      </c>
      <c r="F41" s="478">
        <v>1</v>
      </c>
      <c r="G41" s="478" t="s">
        <v>77</v>
      </c>
      <c r="H41" s="478" t="s">
        <v>251</v>
      </c>
      <c r="I41" s="479">
        <v>42079</v>
      </c>
      <c r="J41" s="477"/>
      <c r="K41" s="472">
        <v>42102</v>
      </c>
      <c r="L41" s="352">
        <f t="shared" si="4"/>
        <v>18</v>
      </c>
      <c r="M41" s="256"/>
      <c r="N41" s="256" t="s">
        <v>36</v>
      </c>
      <c r="O41" s="256"/>
      <c r="Q41" s="21">
        <f t="shared" si="8"/>
        <v>10</v>
      </c>
      <c r="R41" s="22">
        <f t="shared" ref="R41:R55" si="9">IF(ISBLANK(P41),0,SUM(P41,-I41))</f>
        <v>0</v>
      </c>
    </row>
    <row r="42" spans="2:18" ht="12.75" customHeight="1">
      <c r="B42" s="283" t="s">
        <v>458</v>
      </c>
      <c r="C42" s="475" t="s">
        <v>24</v>
      </c>
      <c r="D42" s="285">
        <v>42107</v>
      </c>
      <c r="E42" s="475">
        <v>1</v>
      </c>
      <c r="F42" s="475">
        <v>1</v>
      </c>
      <c r="G42" s="475" t="s">
        <v>97</v>
      </c>
      <c r="H42" s="475" t="s">
        <v>14</v>
      </c>
      <c r="I42" s="476">
        <v>42079</v>
      </c>
      <c r="J42" s="477">
        <v>1419.66</v>
      </c>
      <c r="K42" s="474">
        <v>42089</v>
      </c>
      <c r="L42" s="351">
        <f t="shared" si="4"/>
        <v>9</v>
      </c>
      <c r="M42" s="259"/>
      <c r="N42" s="259" t="s">
        <v>123</v>
      </c>
      <c r="O42" s="259" t="s">
        <v>35</v>
      </c>
      <c r="P42" s="86">
        <v>42083</v>
      </c>
      <c r="Q42" s="21">
        <f t="shared" si="8"/>
        <v>23</v>
      </c>
      <c r="R42" s="22">
        <f t="shared" si="9"/>
        <v>4</v>
      </c>
    </row>
    <row r="43" spans="2:18" ht="12.75" customHeight="1">
      <c r="B43" s="283" t="s">
        <v>466</v>
      </c>
      <c r="C43" s="475" t="s">
        <v>24</v>
      </c>
      <c r="D43" s="285">
        <v>42108</v>
      </c>
      <c r="E43" s="475">
        <v>1</v>
      </c>
      <c r="F43" s="475">
        <v>1</v>
      </c>
      <c r="G43" s="475" t="s">
        <v>442</v>
      </c>
      <c r="H43" s="475" t="s">
        <v>14</v>
      </c>
      <c r="I43" s="476">
        <v>42080</v>
      </c>
      <c r="J43" s="480"/>
      <c r="K43" s="474">
        <v>42108</v>
      </c>
      <c r="L43" s="351">
        <f t="shared" si="4"/>
        <v>21</v>
      </c>
      <c r="M43" s="259"/>
      <c r="N43" s="259" t="s">
        <v>123</v>
      </c>
      <c r="O43" s="259" t="s">
        <v>35</v>
      </c>
      <c r="P43" s="86">
        <v>42083</v>
      </c>
      <c r="Q43" s="21">
        <f t="shared" si="8"/>
        <v>26</v>
      </c>
      <c r="R43" s="22">
        <f t="shared" si="9"/>
        <v>3</v>
      </c>
    </row>
    <row r="44" spans="2:18" ht="12.75" customHeight="1">
      <c r="B44" s="283" t="s">
        <v>463</v>
      </c>
      <c r="C44" s="475" t="s">
        <v>24</v>
      </c>
      <c r="D44" s="285">
        <v>42094</v>
      </c>
      <c r="E44" s="475">
        <v>1</v>
      </c>
      <c r="F44" s="475">
        <v>1</v>
      </c>
      <c r="G44" s="475" t="s">
        <v>464</v>
      </c>
      <c r="H44" s="475" t="s">
        <v>14</v>
      </c>
      <c r="I44" s="476">
        <v>42080</v>
      </c>
      <c r="K44" s="474">
        <v>42102</v>
      </c>
      <c r="L44" s="351">
        <f t="shared" ref="L44:L50" si="10">IF(ISBLANK(K44),"",NETWORKDAYS(I44,K44))</f>
        <v>17</v>
      </c>
      <c r="M44" s="259"/>
      <c r="N44" s="259" t="s">
        <v>123</v>
      </c>
      <c r="O44" s="259" t="s">
        <v>35</v>
      </c>
      <c r="P44" s="86">
        <v>42087</v>
      </c>
      <c r="Q44" s="21">
        <f t="shared" si="8"/>
        <v>22</v>
      </c>
      <c r="R44" s="22">
        <f t="shared" si="9"/>
        <v>7</v>
      </c>
    </row>
    <row r="45" spans="2:18" ht="12.75" customHeight="1">
      <c r="B45" s="283" t="s">
        <v>465</v>
      </c>
      <c r="C45" s="475" t="s">
        <v>24</v>
      </c>
      <c r="D45" s="285">
        <v>42094</v>
      </c>
      <c r="E45" s="475">
        <v>1</v>
      </c>
      <c r="F45" s="475">
        <v>1</v>
      </c>
      <c r="G45" s="475" t="s">
        <v>464</v>
      </c>
      <c r="H45" s="475" t="s">
        <v>14</v>
      </c>
      <c r="I45" s="476">
        <v>42080</v>
      </c>
      <c r="K45" s="474">
        <v>42101</v>
      </c>
      <c r="L45" s="351">
        <f t="shared" si="10"/>
        <v>16</v>
      </c>
      <c r="M45" s="259"/>
      <c r="N45" s="259" t="s">
        <v>123</v>
      </c>
      <c r="O45" s="259" t="s">
        <v>35</v>
      </c>
      <c r="P45" s="86">
        <v>42087</v>
      </c>
      <c r="Q45" s="21">
        <f t="shared" si="8"/>
        <v>22</v>
      </c>
      <c r="R45" s="22">
        <f t="shared" si="9"/>
        <v>7</v>
      </c>
    </row>
    <row r="46" spans="2:18" ht="12.75" customHeight="1">
      <c r="B46" s="283" t="s">
        <v>469</v>
      </c>
      <c r="C46" s="475" t="s">
        <v>39</v>
      </c>
      <c r="D46" s="285">
        <v>42108</v>
      </c>
      <c r="E46" s="475">
        <v>1</v>
      </c>
      <c r="F46" s="475">
        <v>1</v>
      </c>
      <c r="G46" s="475" t="s">
        <v>470</v>
      </c>
      <c r="H46" s="475" t="s">
        <v>14</v>
      </c>
      <c r="I46" s="476">
        <v>42080</v>
      </c>
      <c r="J46" s="477">
        <v>1170.72</v>
      </c>
      <c r="K46" s="474">
        <v>42090</v>
      </c>
      <c r="L46" s="351">
        <f t="shared" si="10"/>
        <v>9</v>
      </c>
      <c r="M46" s="259"/>
      <c r="N46" s="259" t="s">
        <v>123</v>
      </c>
      <c r="O46" s="259" t="s">
        <v>35</v>
      </c>
      <c r="P46" s="86">
        <v>42088</v>
      </c>
      <c r="Q46" s="21">
        <f>IF(ISBLANK(K51),0,SUM(K51,-I51))</f>
        <v>16</v>
      </c>
      <c r="R46" s="22">
        <f>IF(ISBLANK(P46),0,SUM(P46,-I46))</f>
        <v>8</v>
      </c>
    </row>
    <row r="47" spans="2:18" ht="12.75" customHeight="1">
      <c r="B47" s="283" t="s">
        <v>471</v>
      </c>
      <c r="C47" s="475" t="s">
        <v>24</v>
      </c>
      <c r="D47" s="285">
        <v>42108</v>
      </c>
      <c r="E47" s="475">
        <v>2</v>
      </c>
      <c r="F47" s="475">
        <v>2</v>
      </c>
      <c r="G47" s="475" t="s">
        <v>472</v>
      </c>
      <c r="H47" s="475" t="s">
        <v>14</v>
      </c>
      <c r="I47" s="476">
        <v>42080</v>
      </c>
      <c r="J47" s="477">
        <v>3890.38</v>
      </c>
      <c r="K47" s="474">
        <v>42103</v>
      </c>
      <c r="L47" s="351">
        <f t="shared" si="10"/>
        <v>18</v>
      </c>
      <c r="M47" s="259"/>
      <c r="N47" s="259" t="s">
        <v>123</v>
      </c>
      <c r="O47" s="259" t="s">
        <v>35</v>
      </c>
      <c r="P47" s="86">
        <v>42088</v>
      </c>
      <c r="Q47" s="21">
        <f>IF(ISBLANK(K52),0,SUM(K52,-I52))</f>
        <v>16</v>
      </c>
      <c r="R47" s="22">
        <f>IF(ISBLANK(P47),0,SUM(P47,-I47))</f>
        <v>8</v>
      </c>
    </row>
    <row r="48" spans="2:18" ht="12.75" customHeight="1">
      <c r="B48" s="283" t="s">
        <v>476</v>
      </c>
      <c r="C48" s="475" t="s">
        <v>81</v>
      </c>
      <c r="D48" s="285">
        <v>42111</v>
      </c>
      <c r="E48" s="475">
        <v>1</v>
      </c>
      <c r="F48" s="475">
        <v>1</v>
      </c>
      <c r="G48" s="475" t="s">
        <v>477</v>
      </c>
      <c r="H48" s="475" t="s">
        <v>14</v>
      </c>
      <c r="I48" s="476">
        <v>42082</v>
      </c>
      <c r="J48" s="477">
        <v>1020.23</v>
      </c>
      <c r="K48" s="474">
        <v>42108</v>
      </c>
      <c r="L48" s="351">
        <f t="shared" si="10"/>
        <v>19</v>
      </c>
      <c r="M48" s="259"/>
      <c r="N48" s="259" t="s">
        <v>123</v>
      </c>
      <c r="O48" s="259" t="s">
        <v>35</v>
      </c>
      <c r="P48" s="86">
        <v>42089</v>
      </c>
      <c r="Q48" s="21">
        <f>IF(ISBLANK(K53),0,SUM(K53,-I53))</f>
        <v>17</v>
      </c>
      <c r="R48" s="22">
        <f>IF(ISBLANK(P48),0,SUM(P48,-I48))</f>
        <v>7</v>
      </c>
    </row>
    <row r="49" spans="2:18" ht="12.75" customHeight="1">
      <c r="B49" s="273" t="s">
        <v>479</v>
      </c>
      <c r="C49" s="478" t="s">
        <v>83</v>
      </c>
      <c r="D49" s="276">
        <v>42128</v>
      </c>
      <c r="E49" s="478">
        <v>1</v>
      </c>
      <c r="F49" s="478">
        <v>1</v>
      </c>
      <c r="G49" s="478" t="s">
        <v>77</v>
      </c>
      <c r="H49" s="478" t="s">
        <v>251</v>
      </c>
      <c r="I49" s="479">
        <v>42082</v>
      </c>
      <c r="K49" s="472">
        <v>42104</v>
      </c>
      <c r="L49" s="352">
        <f t="shared" si="10"/>
        <v>17</v>
      </c>
      <c r="M49" s="256"/>
      <c r="N49" s="256" t="s">
        <v>36</v>
      </c>
      <c r="O49" s="256"/>
      <c r="Q49" s="21">
        <f>IF(ISBLANK(K54),0,SUM(K54,-I54))</f>
        <v>16</v>
      </c>
      <c r="R49" s="22">
        <f>IF(ISBLANK(P49),0,SUM(P49,-I49))</f>
        <v>0</v>
      </c>
    </row>
    <row r="50" spans="2:18" ht="12.75" customHeight="1">
      <c r="B50" s="273" t="s">
        <v>479</v>
      </c>
      <c r="C50" s="478" t="s">
        <v>83</v>
      </c>
      <c r="D50" s="276">
        <v>42128</v>
      </c>
      <c r="E50" s="478">
        <v>1</v>
      </c>
      <c r="F50" s="478">
        <v>1</v>
      </c>
      <c r="G50" s="478" t="s">
        <v>77</v>
      </c>
      <c r="H50" s="478" t="s">
        <v>251</v>
      </c>
      <c r="I50" s="479">
        <v>42082</v>
      </c>
      <c r="K50" s="472">
        <v>42104</v>
      </c>
      <c r="L50" s="352">
        <f t="shared" si="10"/>
        <v>17</v>
      </c>
      <c r="M50" s="256"/>
      <c r="N50" s="256" t="s">
        <v>36</v>
      </c>
      <c r="O50" s="256"/>
      <c r="Q50" s="21">
        <f>IF(ISBLANK(K54),0,SUM(K54,-I54))</f>
        <v>16</v>
      </c>
      <c r="R50" s="22">
        <f t="shared" si="9"/>
        <v>0</v>
      </c>
    </row>
    <row r="51" spans="2:18" ht="12.75" customHeight="1">
      <c r="B51" s="291" t="s">
        <v>507</v>
      </c>
      <c r="C51" s="481" t="s">
        <v>78</v>
      </c>
      <c r="D51" s="292">
        <v>42100</v>
      </c>
      <c r="E51" s="481">
        <v>1</v>
      </c>
      <c r="F51" s="481">
        <v>1</v>
      </c>
      <c r="G51" s="481" t="s">
        <v>98</v>
      </c>
      <c r="H51" s="481" t="s">
        <v>79</v>
      </c>
      <c r="I51" s="482">
        <v>42086</v>
      </c>
      <c r="J51" s="412">
        <v>947.16</v>
      </c>
      <c r="K51" s="472">
        <v>42102</v>
      </c>
      <c r="L51" s="352">
        <f t="shared" ref="L51:L71" si="11">IF(ISBLANK(K51),"",NETWORKDAYS(I51,K51))</f>
        <v>13</v>
      </c>
      <c r="M51" s="256"/>
      <c r="N51" s="256" t="s">
        <v>36</v>
      </c>
      <c r="O51" s="256"/>
      <c r="Q51" s="21">
        <f>IF(ISBLANK(K52),0,SUM(K52,-I52))</f>
        <v>16</v>
      </c>
      <c r="R51" s="22">
        <f t="shared" si="9"/>
        <v>0</v>
      </c>
    </row>
    <row r="52" spans="2:18" ht="12.75" customHeight="1">
      <c r="B52" s="291" t="s">
        <v>507</v>
      </c>
      <c r="C52" s="481" t="s">
        <v>78</v>
      </c>
      <c r="D52" s="292">
        <v>42100</v>
      </c>
      <c r="E52" s="481">
        <v>1</v>
      </c>
      <c r="F52" s="481">
        <v>1</v>
      </c>
      <c r="G52" s="481" t="s">
        <v>98</v>
      </c>
      <c r="H52" s="481" t="s">
        <v>79</v>
      </c>
      <c r="I52" s="482">
        <v>42086</v>
      </c>
      <c r="J52" s="412" t="s">
        <v>508</v>
      </c>
      <c r="K52" s="472">
        <v>42102</v>
      </c>
      <c r="L52" s="352">
        <f t="shared" si="11"/>
        <v>13</v>
      </c>
      <c r="M52" s="256"/>
      <c r="N52" s="256" t="s">
        <v>36</v>
      </c>
      <c r="O52" s="256"/>
      <c r="Q52" s="21">
        <f>IF(ISBLANK(K53),0,SUM(K53,-I53))</f>
        <v>17</v>
      </c>
      <c r="R52" s="22">
        <f t="shared" si="9"/>
        <v>0</v>
      </c>
    </row>
    <row r="53" spans="2:18" ht="12.75" customHeight="1">
      <c r="B53" s="314" t="s">
        <v>497</v>
      </c>
      <c r="C53" s="483" t="s">
        <v>24</v>
      </c>
      <c r="D53" s="316">
        <v>42102</v>
      </c>
      <c r="E53" s="483">
        <v>1</v>
      </c>
      <c r="F53" s="483">
        <v>1</v>
      </c>
      <c r="G53" s="483" t="s">
        <v>498</v>
      </c>
      <c r="H53" s="483" t="s">
        <v>14</v>
      </c>
      <c r="I53" s="484">
        <v>42087</v>
      </c>
      <c r="J53" s="412" t="s">
        <v>509</v>
      </c>
      <c r="K53" s="474">
        <v>42104</v>
      </c>
      <c r="L53" s="351">
        <f t="shared" si="11"/>
        <v>14</v>
      </c>
      <c r="M53" s="259"/>
      <c r="N53" s="259" t="s">
        <v>123</v>
      </c>
      <c r="O53" s="259" t="s">
        <v>35</v>
      </c>
      <c r="P53" s="86">
        <v>42093</v>
      </c>
      <c r="Q53" s="21">
        <f>IF(ISBLANK(K54),0,SUM(K54,-I54))</f>
        <v>16</v>
      </c>
      <c r="R53" s="22">
        <f t="shared" si="9"/>
        <v>6</v>
      </c>
    </row>
    <row r="54" spans="2:18" ht="12.75" customHeight="1">
      <c r="B54" s="314" t="s">
        <v>499</v>
      </c>
      <c r="C54" s="483" t="s">
        <v>24</v>
      </c>
      <c r="D54" s="316">
        <v>42104</v>
      </c>
      <c r="E54" s="483">
        <v>1</v>
      </c>
      <c r="F54" s="483">
        <v>1</v>
      </c>
      <c r="G54" s="483" t="s">
        <v>500</v>
      </c>
      <c r="H54" s="483" t="s">
        <v>14</v>
      </c>
      <c r="I54" s="484">
        <v>42087</v>
      </c>
      <c r="J54" s="412">
        <v>790.16</v>
      </c>
      <c r="K54" s="474">
        <v>42103</v>
      </c>
      <c r="L54" s="351">
        <f t="shared" si="11"/>
        <v>13</v>
      </c>
      <c r="M54" s="259"/>
      <c r="N54" s="259" t="s">
        <v>123</v>
      </c>
      <c r="O54" s="259" t="s">
        <v>35</v>
      </c>
      <c r="P54" s="86">
        <v>42096</v>
      </c>
      <c r="Q54" s="21">
        <f>IF(ISBLANK(K55),0,SUM(K55,-I55))</f>
        <v>20</v>
      </c>
      <c r="R54" s="22">
        <f t="shared" si="9"/>
        <v>9</v>
      </c>
    </row>
    <row r="55" spans="2:18" ht="12.75" customHeight="1">
      <c r="B55" s="314" t="s">
        <v>506</v>
      </c>
      <c r="C55" s="483" t="s">
        <v>39</v>
      </c>
      <c r="D55" s="316">
        <v>42107</v>
      </c>
      <c r="E55" s="483">
        <v>1</v>
      </c>
      <c r="F55" s="483">
        <v>1</v>
      </c>
      <c r="G55" s="483" t="s">
        <v>88</v>
      </c>
      <c r="H55" s="483" t="s">
        <v>14</v>
      </c>
      <c r="I55" s="484">
        <v>42088</v>
      </c>
      <c r="J55" s="485"/>
      <c r="K55" s="467">
        <v>42108</v>
      </c>
      <c r="L55" s="351">
        <f t="shared" si="11"/>
        <v>15</v>
      </c>
      <c r="M55" s="259"/>
      <c r="N55" s="259" t="s">
        <v>123</v>
      </c>
      <c r="O55" s="259" t="s">
        <v>35</v>
      </c>
      <c r="P55" s="86">
        <v>42102</v>
      </c>
      <c r="Q55" s="21">
        <f>IF(ISBLANK(K55),0,SUM(K55,-I55))</f>
        <v>20</v>
      </c>
      <c r="R55" s="22">
        <f t="shared" si="9"/>
        <v>14</v>
      </c>
    </row>
    <row r="56" spans="2:18" ht="12.75" customHeight="1">
      <c r="B56" s="314" t="s">
        <v>510</v>
      </c>
      <c r="C56" s="483" t="s">
        <v>24</v>
      </c>
      <c r="D56" s="316">
        <v>42099</v>
      </c>
      <c r="E56" s="483">
        <v>2</v>
      </c>
      <c r="F56" s="483">
        <v>2</v>
      </c>
      <c r="G56" s="483" t="s">
        <v>480</v>
      </c>
      <c r="H56" s="483" t="s">
        <v>14</v>
      </c>
      <c r="I56" s="484">
        <v>42089</v>
      </c>
      <c r="K56" s="467">
        <v>42109</v>
      </c>
      <c r="L56" s="351">
        <f t="shared" si="11"/>
        <v>15</v>
      </c>
      <c r="M56" s="259"/>
      <c r="N56" s="259" t="s">
        <v>123</v>
      </c>
      <c r="O56" s="259" t="s">
        <v>33</v>
      </c>
      <c r="P56" s="86">
        <v>42096</v>
      </c>
      <c r="Q56" s="21">
        <f>IF(ISBLANK(K56),0,SUM(K56,-I56))</f>
        <v>20</v>
      </c>
      <c r="R56" s="22">
        <f t="shared" ref="R56:R65" si="12">IF(ISBLANK(P56),0,SUM(P56,-I56))</f>
        <v>7</v>
      </c>
    </row>
    <row r="57" spans="2:18" ht="12.75" customHeight="1">
      <c r="B57" s="297" t="s">
        <v>519</v>
      </c>
      <c r="C57" s="486" t="s">
        <v>83</v>
      </c>
      <c r="D57" s="299">
        <v>42107</v>
      </c>
      <c r="E57" s="486">
        <v>1</v>
      </c>
      <c r="F57" s="486">
        <v>1</v>
      </c>
      <c r="G57" s="486" t="s">
        <v>520</v>
      </c>
      <c r="H57" s="486" t="s">
        <v>14</v>
      </c>
      <c r="I57" s="487">
        <v>42089</v>
      </c>
      <c r="J57" s="413">
        <v>763.8</v>
      </c>
      <c r="K57" s="87">
        <v>42107</v>
      </c>
      <c r="L57" s="352">
        <f t="shared" si="11"/>
        <v>13</v>
      </c>
      <c r="M57" s="398"/>
      <c r="N57" s="399" t="s">
        <v>36</v>
      </c>
      <c r="O57" s="76"/>
      <c r="Q57" s="21">
        <f>IF(ISBLANK(K59),0,SUM(K59,-I59))</f>
        <v>20</v>
      </c>
      <c r="R57" s="22">
        <f t="shared" si="12"/>
        <v>0</v>
      </c>
    </row>
    <row r="58" spans="2:18" ht="12.75" customHeight="1">
      <c r="B58" s="488" t="s">
        <v>543</v>
      </c>
      <c r="C58" s="489" t="s">
        <v>24</v>
      </c>
      <c r="D58" s="490">
        <v>42099</v>
      </c>
      <c r="E58" s="489">
        <v>1</v>
      </c>
      <c r="F58" s="489">
        <v>1</v>
      </c>
      <c r="G58" s="489" t="s">
        <v>480</v>
      </c>
      <c r="H58" s="489" t="s">
        <v>14</v>
      </c>
      <c r="I58" s="491">
        <v>42089</v>
      </c>
      <c r="J58" s="413"/>
      <c r="K58" s="88">
        <v>42110</v>
      </c>
      <c r="L58" s="351">
        <f t="shared" si="11"/>
        <v>16</v>
      </c>
      <c r="M58" s="384"/>
      <c r="N58" s="350" t="s">
        <v>123</v>
      </c>
      <c r="O58" s="69" t="s">
        <v>33</v>
      </c>
      <c r="P58" s="86">
        <v>42096</v>
      </c>
      <c r="Q58" s="21">
        <f t="shared" ref="Q58:Q68" si="13">IF(ISBLANK(K58),0,SUM(K58,-I58))</f>
        <v>21</v>
      </c>
      <c r="R58" s="22">
        <f>IF(ISBLANK(P58),0,SUM(P58,-I58))</f>
        <v>7</v>
      </c>
    </row>
    <row r="59" spans="2:18" ht="12.75" customHeight="1">
      <c r="B59" s="488" t="s">
        <v>521</v>
      </c>
      <c r="C59" s="489" t="s">
        <v>39</v>
      </c>
      <c r="D59" s="490">
        <v>42114</v>
      </c>
      <c r="E59" s="489">
        <v>1</v>
      </c>
      <c r="F59" s="489">
        <v>1</v>
      </c>
      <c r="G59" s="489" t="s">
        <v>522</v>
      </c>
      <c r="H59" s="489" t="s">
        <v>14</v>
      </c>
      <c r="I59" s="491">
        <v>42090</v>
      </c>
      <c r="J59" s="413">
        <v>747.84</v>
      </c>
      <c r="K59" s="88">
        <v>42110</v>
      </c>
      <c r="L59" s="351">
        <f t="shared" si="11"/>
        <v>15</v>
      </c>
      <c r="M59" s="384"/>
      <c r="N59" s="350" t="s">
        <v>123</v>
      </c>
      <c r="O59" s="69" t="s">
        <v>35</v>
      </c>
      <c r="P59" s="86">
        <v>42095</v>
      </c>
      <c r="Q59" s="21">
        <f t="shared" si="13"/>
        <v>20</v>
      </c>
      <c r="R59" s="22">
        <f>IF(ISBLANK(P59),0,SUM(P59,-I59))</f>
        <v>5</v>
      </c>
    </row>
    <row r="60" spans="2:18" ht="12.75" customHeight="1">
      <c r="B60" s="488" t="s">
        <v>528</v>
      </c>
      <c r="C60" s="489" t="s">
        <v>24</v>
      </c>
      <c r="D60" s="490">
        <v>42107</v>
      </c>
      <c r="E60" s="489">
        <v>1</v>
      </c>
      <c r="F60" s="489">
        <v>1</v>
      </c>
      <c r="G60" s="489" t="s">
        <v>529</v>
      </c>
      <c r="H60" s="489" t="s">
        <v>14</v>
      </c>
      <c r="I60" s="491">
        <v>42090</v>
      </c>
      <c r="J60" s="413" t="s">
        <v>530</v>
      </c>
      <c r="K60" s="88">
        <v>42110</v>
      </c>
      <c r="L60" s="351">
        <f t="shared" si="11"/>
        <v>15</v>
      </c>
      <c r="M60" s="384"/>
      <c r="N60" s="350" t="s">
        <v>123</v>
      </c>
      <c r="O60" s="69" t="s">
        <v>33</v>
      </c>
      <c r="P60" s="86">
        <v>42096</v>
      </c>
      <c r="Q60" s="21">
        <f t="shared" si="13"/>
        <v>20</v>
      </c>
      <c r="R60" s="22">
        <f>IF(ISBLANK(P60),0,SUM(P60,-I60))</f>
        <v>6</v>
      </c>
    </row>
    <row r="61" spans="2:18" ht="12.75" customHeight="1">
      <c r="B61" s="488" t="s">
        <v>528</v>
      </c>
      <c r="C61" s="489" t="s">
        <v>24</v>
      </c>
      <c r="D61" s="490">
        <v>42107</v>
      </c>
      <c r="E61" s="489">
        <v>1</v>
      </c>
      <c r="F61" s="489">
        <v>1</v>
      </c>
      <c r="G61" s="489" t="s">
        <v>529</v>
      </c>
      <c r="H61" s="489" t="s">
        <v>14</v>
      </c>
      <c r="I61" s="491">
        <v>42090</v>
      </c>
      <c r="J61" s="413" t="s">
        <v>531</v>
      </c>
      <c r="K61" s="88">
        <v>42110</v>
      </c>
      <c r="L61" s="351">
        <f t="shared" si="11"/>
        <v>15</v>
      </c>
      <c r="M61" s="384"/>
      <c r="N61" s="350" t="s">
        <v>123</v>
      </c>
      <c r="O61" s="69" t="s">
        <v>33</v>
      </c>
      <c r="P61" s="86">
        <v>42096</v>
      </c>
      <c r="Q61" s="21">
        <f t="shared" si="13"/>
        <v>20</v>
      </c>
      <c r="R61" s="22">
        <f>IF(ISBLANK(P61),0,SUM(P61,-I61))</f>
        <v>6</v>
      </c>
    </row>
    <row r="62" spans="2:18" ht="12.75" customHeight="1">
      <c r="B62" s="488" t="s">
        <v>532</v>
      </c>
      <c r="C62" s="489" t="s">
        <v>24</v>
      </c>
      <c r="D62" s="490">
        <v>42107</v>
      </c>
      <c r="E62" s="489">
        <v>1</v>
      </c>
      <c r="F62" s="489">
        <v>1</v>
      </c>
      <c r="G62" s="489" t="s">
        <v>533</v>
      </c>
      <c r="H62" s="489" t="s">
        <v>14</v>
      </c>
      <c r="I62" s="491">
        <v>42090</v>
      </c>
      <c r="J62" s="413" t="s">
        <v>534</v>
      </c>
      <c r="K62" s="88">
        <v>42115</v>
      </c>
      <c r="L62" s="351">
        <f t="shared" si="11"/>
        <v>18</v>
      </c>
      <c r="M62" s="384"/>
      <c r="N62" s="350" t="s">
        <v>123</v>
      </c>
      <c r="O62" s="69" t="s">
        <v>33</v>
      </c>
      <c r="P62" s="86">
        <v>42096</v>
      </c>
      <c r="Q62" s="21">
        <f t="shared" si="13"/>
        <v>25</v>
      </c>
      <c r="R62" s="22">
        <f>IF(ISBLANK(P62),0,SUM(P62,-I62))</f>
        <v>6</v>
      </c>
    </row>
    <row r="63" spans="2:18" ht="12.75" customHeight="1">
      <c r="B63" s="492" t="s">
        <v>538</v>
      </c>
      <c r="C63" s="489" t="s">
        <v>24</v>
      </c>
      <c r="D63" s="490">
        <v>42135</v>
      </c>
      <c r="E63" s="489">
        <v>1</v>
      </c>
      <c r="F63" s="489">
        <v>1</v>
      </c>
      <c r="G63" s="489" t="s">
        <v>539</v>
      </c>
      <c r="H63" s="489" t="s">
        <v>251</v>
      </c>
      <c r="I63" s="491">
        <v>42090</v>
      </c>
      <c r="J63" s="413"/>
      <c r="K63" s="88">
        <v>42117</v>
      </c>
      <c r="L63" s="351">
        <f t="shared" si="11"/>
        <v>20</v>
      </c>
      <c r="M63" s="384"/>
      <c r="N63" s="350" t="s">
        <v>123</v>
      </c>
      <c r="O63" s="69" t="s">
        <v>35</v>
      </c>
      <c r="P63" s="86">
        <v>42110</v>
      </c>
      <c r="Q63" s="21">
        <f t="shared" si="13"/>
        <v>27</v>
      </c>
      <c r="R63" s="22">
        <f t="shared" si="12"/>
        <v>20</v>
      </c>
    </row>
    <row r="64" spans="2:18" ht="12.75" customHeight="1">
      <c r="B64" s="488" t="s">
        <v>513</v>
      </c>
      <c r="C64" s="489" t="s">
        <v>24</v>
      </c>
      <c r="D64" s="490">
        <v>42114</v>
      </c>
      <c r="E64" s="489">
        <v>1</v>
      </c>
      <c r="F64" s="489">
        <v>1</v>
      </c>
      <c r="G64" s="489" t="s">
        <v>514</v>
      </c>
      <c r="H64" s="489" t="s">
        <v>14</v>
      </c>
      <c r="I64" s="491">
        <v>42093</v>
      </c>
      <c r="J64" s="413" t="s">
        <v>535</v>
      </c>
      <c r="K64" s="88">
        <v>42115</v>
      </c>
      <c r="L64" s="351">
        <f t="shared" si="11"/>
        <v>17</v>
      </c>
      <c r="M64" s="384"/>
      <c r="N64" s="350" t="s">
        <v>123</v>
      </c>
      <c r="O64" s="69" t="s">
        <v>35</v>
      </c>
      <c r="P64" s="86">
        <v>42102</v>
      </c>
      <c r="Q64" s="21">
        <f t="shared" si="13"/>
        <v>22</v>
      </c>
      <c r="R64" s="22">
        <f t="shared" si="12"/>
        <v>9</v>
      </c>
    </row>
    <row r="65" spans="2:18" ht="12.75" customHeight="1">
      <c r="B65" s="488" t="s">
        <v>536</v>
      </c>
      <c r="C65" s="489" t="s">
        <v>24</v>
      </c>
      <c r="D65" s="490">
        <v>42114</v>
      </c>
      <c r="E65" s="489">
        <v>1</v>
      </c>
      <c r="F65" s="489">
        <v>1</v>
      </c>
      <c r="G65" s="489" t="s">
        <v>95</v>
      </c>
      <c r="H65" s="489" t="s">
        <v>14</v>
      </c>
      <c r="I65" s="491">
        <v>42093</v>
      </c>
      <c r="J65" s="413" t="s">
        <v>537</v>
      </c>
      <c r="K65" s="88">
        <v>42115</v>
      </c>
      <c r="L65" s="351">
        <f t="shared" si="11"/>
        <v>17</v>
      </c>
      <c r="M65" s="384"/>
      <c r="N65" s="350" t="s">
        <v>123</v>
      </c>
      <c r="O65" s="69" t="s">
        <v>35</v>
      </c>
      <c r="P65" s="86">
        <v>42096</v>
      </c>
      <c r="Q65" s="21">
        <f t="shared" si="13"/>
        <v>22</v>
      </c>
      <c r="R65" s="22">
        <f t="shared" si="12"/>
        <v>3</v>
      </c>
    </row>
    <row r="66" spans="2:18" ht="12.75" customHeight="1">
      <c r="B66" s="488" t="s">
        <v>523</v>
      </c>
      <c r="C66" s="489" t="s">
        <v>39</v>
      </c>
      <c r="D66" s="490">
        <v>42114</v>
      </c>
      <c r="E66" s="489">
        <v>1</v>
      </c>
      <c r="F66" s="489">
        <v>1</v>
      </c>
      <c r="G66" s="489" t="s">
        <v>99</v>
      </c>
      <c r="H66" s="489" t="s">
        <v>14</v>
      </c>
      <c r="I66" s="491">
        <v>42093</v>
      </c>
      <c r="J66" s="413" t="s">
        <v>524</v>
      </c>
      <c r="K66" s="88">
        <v>42115</v>
      </c>
      <c r="L66" s="351">
        <f t="shared" si="11"/>
        <v>17</v>
      </c>
      <c r="M66" s="384"/>
      <c r="N66" s="350" t="s">
        <v>123</v>
      </c>
      <c r="O66" s="69" t="s">
        <v>35</v>
      </c>
      <c r="P66" s="86">
        <v>42102</v>
      </c>
      <c r="Q66" s="21">
        <f t="shared" si="13"/>
        <v>22</v>
      </c>
      <c r="R66" s="22">
        <f t="shared" ref="R66:R75" si="14">IF(ISBLANK(P66),0,SUM(P66,-I66))</f>
        <v>9</v>
      </c>
    </row>
    <row r="67" spans="2:18" ht="12.75" customHeight="1">
      <c r="B67" s="488" t="s">
        <v>525</v>
      </c>
      <c r="C67" s="489" t="s">
        <v>78</v>
      </c>
      <c r="D67" s="490">
        <v>42114</v>
      </c>
      <c r="E67" s="489">
        <v>1</v>
      </c>
      <c r="F67" s="489">
        <v>1</v>
      </c>
      <c r="G67" s="489" t="s">
        <v>526</v>
      </c>
      <c r="H67" s="489" t="s">
        <v>14</v>
      </c>
      <c r="I67" s="491">
        <v>42093</v>
      </c>
      <c r="J67" s="413" t="s">
        <v>527</v>
      </c>
      <c r="K67" s="88">
        <v>42117</v>
      </c>
      <c r="L67" s="351">
        <f t="shared" si="11"/>
        <v>19</v>
      </c>
      <c r="M67" s="384"/>
      <c r="N67" s="350" t="s">
        <v>123</v>
      </c>
      <c r="O67" s="69" t="s">
        <v>35</v>
      </c>
      <c r="P67" s="86">
        <v>42102</v>
      </c>
      <c r="Q67" s="21">
        <f t="shared" si="13"/>
        <v>24</v>
      </c>
      <c r="R67" s="22">
        <f t="shared" si="14"/>
        <v>9</v>
      </c>
    </row>
    <row r="68" spans="2:18" ht="12.75" customHeight="1">
      <c r="B68" s="320" t="s">
        <v>551</v>
      </c>
      <c r="C68" s="493" t="s">
        <v>39</v>
      </c>
      <c r="D68" s="321">
        <v>42114</v>
      </c>
      <c r="E68" s="493">
        <v>1</v>
      </c>
      <c r="F68" s="493">
        <v>1</v>
      </c>
      <c r="G68" s="493" t="s">
        <v>552</v>
      </c>
      <c r="H68" s="493" t="s">
        <v>14</v>
      </c>
      <c r="I68" s="494">
        <v>42094</v>
      </c>
      <c r="J68" s="414">
        <v>886.61</v>
      </c>
      <c r="K68" s="88">
        <v>42115</v>
      </c>
      <c r="L68" s="351">
        <f t="shared" si="11"/>
        <v>16</v>
      </c>
      <c r="M68" s="384"/>
      <c r="N68" s="350" t="s">
        <v>123</v>
      </c>
      <c r="O68" s="69" t="s">
        <v>35</v>
      </c>
      <c r="P68" s="86">
        <v>42103</v>
      </c>
      <c r="Q68" s="21">
        <f t="shared" si="13"/>
        <v>21</v>
      </c>
      <c r="R68" s="22">
        <f t="shared" si="14"/>
        <v>9</v>
      </c>
    </row>
    <row r="69" spans="2:18" ht="12.75" customHeight="1">
      <c r="B69" s="304" t="s">
        <v>557</v>
      </c>
      <c r="C69" s="495" t="s">
        <v>78</v>
      </c>
      <c r="D69" s="305">
        <v>42114</v>
      </c>
      <c r="E69" s="495">
        <v>1</v>
      </c>
      <c r="F69" s="495">
        <v>1</v>
      </c>
      <c r="G69" s="495" t="s">
        <v>98</v>
      </c>
      <c r="H69" s="495" t="s">
        <v>79</v>
      </c>
      <c r="I69" s="496">
        <v>42095</v>
      </c>
      <c r="J69" s="414" t="s">
        <v>558</v>
      </c>
      <c r="K69" s="87">
        <v>42103</v>
      </c>
      <c r="L69" s="352">
        <f t="shared" si="11"/>
        <v>7</v>
      </c>
      <c r="M69" s="398"/>
      <c r="N69" s="399" t="s">
        <v>36</v>
      </c>
      <c r="O69" s="76"/>
      <c r="Q69" s="21">
        <f>IF(ISBLANK(K70),0,SUM(K70,-I70))</f>
        <v>20</v>
      </c>
      <c r="R69" s="22">
        <f t="shared" si="14"/>
        <v>0</v>
      </c>
    </row>
    <row r="70" spans="2:18" ht="12.75" customHeight="1">
      <c r="B70" s="322" t="s">
        <v>573</v>
      </c>
      <c r="C70" s="382" t="s">
        <v>39</v>
      </c>
      <c r="D70" s="324">
        <v>42114</v>
      </c>
      <c r="E70" s="382">
        <v>1</v>
      </c>
      <c r="F70" s="382">
        <v>1</v>
      </c>
      <c r="G70" s="382" t="s">
        <v>574</v>
      </c>
      <c r="H70" s="382" t="s">
        <v>14</v>
      </c>
      <c r="I70" s="383">
        <v>42095</v>
      </c>
      <c r="J70" s="415">
        <v>946.2</v>
      </c>
      <c r="K70" s="88">
        <v>42115</v>
      </c>
      <c r="L70" s="351">
        <f t="shared" si="11"/>
        <v>15</v>
      </c>
      <c r="M70" s="384"/>
      <c r="N70" s="350" t="s">
        <v>123</v>
      </c>
      <c r="O70" s="69" t="s">
        <v>35</v>
      </c>
      <c r="P70" s="86">
        <v>42108</v>
      </c>
      <c r="Q70" s="21">
        <f t="shared" ref="Q70:Q81" si="15">IF(ISBLANK(K70),0,SUM(K70,-I70))</f>
        <v>20</v>
      </c>
      <c r="R70" s="22">
        <f t="shared" si="14"/>
        <v>13</v>
      </c>
    </row>
    <row r="71" spans="2:18" ht="12.75" customHeight="1">
      <c r="B71" s="322" t="s">
        <v>575</v>
      </c>
      <c r="C71" s="382" t="s">
        <v>39</v>
      </c>
      <c r="D71" s="324">
        <v>42118</v>
      </c>
      <c r="E71" s="382">
        <v>1</v>
      </c>
      <c r="F71" s="382">
        <v>1</v>
      </c>
      <c r="G71" s="382" t="s">
        <v>127</v>
      </c>
      <c r="H71" s="382" t="s">
        <v>14</v>
      </c>
      <c r="I71" s="383">
        <v>42096</v>
      </c>
      <c r="J71" s="415">
        <v>839.04</v>
      </c>
      <c r="K71" s="88">
        <v>42115</v>
      </c>
      <c r="L71" s="351">
        <f t="shared" si="11"/>
        <v>14</v>
      </c>
      <c r="M71" s="384"/>
      <c r="N71" s="350" t="s">
        <v>123</v>
      </c>
      <c r="O71" s="69" t="s">
        <v>35</v>
      </c>
      <c r="P71" s="86">
        <v>42107</v>
      </c>
      <c r="Q71" s="21">
        <f t="shared" si="15"/>
        <v>19</v>
      </c>
      <c r="R71" s="22">
        <f t="shared" si="14"/>
        <v>11</v>
      </c>
    </row>
    <row r="72" spans="2:18" ht="12.75" customHeight="1">
      <c r="B72" s="322" t="s">
        <v>576</v>
      </c>
      <c r="C72" s="382" t="s">
        <v>39</v>
      </c>
      <c r="D72" s="324">
        <v>42121</v>
      </c>
      <c r="E72" s="382">
        <v>2</v>
      </c>
      <c r="F72" s="382">
        <v>2</v>
      </c>
      <c r="G72" s="382" t="s">
        <v>88</v>
      </c>
      <c r="H72" s="382" t="s">
        <v>14</v>
      </c>
      <c r="I72" s="383">
        <v>42097</v>
      </c>
      <c r="J72" s="415" t="s">
        <v>577</v>
      </c>
      <c r="K72" s="88">
        <v>42122</v>
      </c>
      <c r="L72" s="351">
        <f t="shared" ref="L72:L79" si="16">IF(ISBLANK(K72),"",NETWORKDAYS(I72,K72))</f>
        <v>18</v>
      </c>
      <c r="M72" s="384"/>
      <c r="N72" s="350" t="s">
        <v>123</v>
      </c>
      <c r="O72" s="69" t="s">
        <v>34</v>
      </c>
      <c r="P72" s="86">
        <v>42111</v>
      </c>
      <c r="Q72" s="21">
        <f t="shared" si="15"/>
        <v>25</v>
      </c>
      <c r="R72" s="22">
        <f t="shared" si="14"/>
        <v>14</v>
      </c>
    </row>
    <row r="73" spans="2:18" ht="12.75" customHeight="1">
      <c r="B73" s="322" t="s">
        <v>578</v>
      </c>
      <c r="C73" s="382" t="s">
        <v>39</v>
      </c>
      <c r="D73" s="324">
        <v>42121</v>
      </c>
      <c r="E73" s="382">
        <v>1</v>
      </c>
      <c r="F73" s="382">
        <v>1</v>
      </c>
      <c r="G73" s="382" t="s">
        <v>579</v>
      </c>
      <c r="H73" s="382" t="s">
        <v>14</v>
      </c>
      <c r="I73" s="383">
        <v>42101</v>
      </c>
      <c r="J73" s="415">
        <v>835.62</v>
      </c>
      <c r="K73" s="88">
        <v>42122</v>
      </c>
      <c r="L73" s="351">
        <f t="shared" si="16"/>
        <v>16</v>
      </c>
      <c r="M73" s="384"/>
      <c r="N73" s="350" t="s">
        <v>123</v>
      </c>
      <c r="O73" s="69" t="s">
        <v>35</v>
      </c>
      <c r="P73" s="86">
        <v>42107</v>
      </c>
      <c r="Q73" s="21">
        <f t="shared" si="15"/>
        <v>21</v>
      </c>
      <c r="R73" s="22">
        <f t="shared" si="14"/>
        <v>6</v>
      </c>
    </row>
    <row r="74" spans="2:18" ht="12.75" customHeight="1">
      <c r="B74" s="309" t="s">
        <v>580</v>
      </c>
      <c r="C74" s="382" t="s">
        <v>39</v>
      </c>
      <c r="D74" s="324">
        <v>42142</v>
      </c>
      <c r="E74" s="382">
        <v>1</v>
      </c>
      <c r="F74" s="382">
        <v>1</v>
      </c>
      <c r="G74" s="382" t="s">
        <v>522</v>
      </c>
      <c r="H74" s="382" t="s">
        <v>14</v>
      </c>
      <c r="I74" s="383">
        <v>42101</v>
      </c>
      <c r="J74" s="415" t="s">
        <v>581</v>
      </c>
      <c r="K74" s="88">
        <v>42123</v>
      </c>
      <c r="L74" s="351">
        <f t="shared" si="16"/>
        <v>17</v>
      </c>
      <c r="M74" s="384"/>
      <c r="N74" s="350" t="s">
        <v>123</v>
      </c>
      <c r="O74" s="69" t="s">
        <v>35</v>
      </c>
      <c r="P74" s="86">
        <v>42114</v>
      </c>
      <c r="Q74" s="21">
        <f t="shared" si="15"/>
        <v>22</v>
      </c>
      <c r="R74" s="22">
        <f t="shared" si="14"/>
        <v>13</v>
      </c>
    </row>
    <row r="75" spans="2:18" ht="12.75" customHeight="1">
      <c r="B75" s="322" t="s">
        <v>590</v>
      </c>
      <c r="C75" s="382" t="s">
        <v>24</v>
      </c>
      <c r="D75" s="324">
        <v>42121</v>
      </c>
      <c r="E75" s="382">
        <v>1</v>
      </c>
      <c r="F75" s="382">
        <v>1</v>
      </c>
      <c r="G75" s="382" t="s">
        <v>82</v>
      </c>
      <c r="H75" s="382" t="s">
        <v>14</v>
      </c>
      <c r="I75" s="383">
        <v>42101</v>
      </c>
      <c r="J75" s="415" t="s">
        <v>595</v>
      </c>
      <c r="K75" s="88">
        <v>42115</v>
      </c>
      <c r="L75" s="351">
        <f t="shared" si="16"/>
        <v>11</v>
      </c>
      <c r="M75" s="384"/>
      <c r="N75" s="350" t="s">
        <v>123</v>
      </c>
      <c r="O75" s="69" t="s">
        <v>35</v>
      </c>
      <c r="P75" s="86">
        <v>42111</v>
      </c>
      <c r="Q75" s="21">
        <f t="shared" si="15"/>
        <v>14</v>
      </c>
      <c r="R75" s="22">
        <f t="shared" si="14"/>
        <v>10</v>
      </c>
    </row>
    <row r="76" spans="2:18" ht="12.75" customHeight="1">
      <c r="B76" s="322" t="s">
        <v>592</v>
      </c>
      <c r="C76" s="382" t="s">
        <v>24</v>
      </c>
      <c r="D76" s="324">
        <v>42121</v>
      </c>
      <c r="E76" s="382">
        <v>1</v>
      </c>
      <c r="F76" s="382">
        <v>1</v>
      </c>
      <c r="G76" s="382" t="s">
        <v>593</v>
      </c>
      <c r="H76" s="382" t="s">
        <v>14</v>
      </c>
      <c r="I76" s="383">
        <v>42101</v>
      </c>
      <c r="J76" s="415" t="s">
        <v>594</v>
      </c>
      <c r="K76" s="88">
        <v>42117</v>
      </c>
      <c r="L76" s="351">
        <f t="shared" si="16"/>
        <v>13</v>
      </c>
      <c r="M76" s="384"/>
      <c r="N76" s="350" t="s">
        <v>123</v>
      </c>
      <c r="O76" s="69" t="s">
        <v>35</v>
      </c>
      <c r="P76" s="86">
        <v>42115</v>
      </c>
      <c r="Q76" s="21">
        <f t="shared" si="15"/>
        <v>16</v>
      </c>
      <c r="R76" s="22">
        <f t="shared" ref="R76:R89" si="17">IF(ISBLANK(P76),0,SUM(P76,-I76))</f>
        <v>14</v>
      </c>
    </row>
    <row r="77" spans="2:18" ht="12.75" customHeight="1">
      <c r="B77" s="322" t="s">
        <v>602</v>
      </c>
      <c r="C77" s="382" t="s">
        <v>118</v>
      </c>
      <c r="D77" s="324">
        <v>42121</v>
      </c>
      <c r="E77" s="382">
        <v>1</v>
      </c>
      <c r="F77" s="382">
        <v>1</v>
      </c>
      <c r="G77" s="382" t="s">
        <v>603</v>
      </c>
      <c r="H77" s="382" t="s">
        <v>14</v>
      </c>
      <c r="I77" s="383">
        <v>42102</v>
      </c>
      <c r="J77" s="416">
        <v>177.74</v>
      </c>
      <c r="K77" s="88">
        <v>42124</v>
      </c>
      <c r="L77" s="351">
        <f t="shared" si="16"/>
        <v>17</v>
      </c>
      <c r="M77" s="384"/>
      <c r="N77" s="350" t="s">
        <v>123</v>
      </c>
      <c r="O77" s="69" t="s">
        <v>35</v>
      </c>
      <c r="P77" s="86">
        <v>42114</v>
      </c>
      <c r="Q77" s="21">
        <f t="shared" si="15"/>
        <v>22</v>
      </c>
      <c r="R77" s="22">
        <f t="shared" si="17"/>
        <v>12</v>
      </c>
    </row>
    <row r="78" spans="2:18" ht="12.75" customHeight="1">
      <c r="B78" s="322" t="s">
        <v>604</v>
      </c>
      <c r="C78" s="382" t="s">
        <v>24</v>
      </c>
      <c r="D78" s="324">
        <v>42116</v>
      </c>
      <c r="E78" s="382">
        <v>1</v>
      </c>
      <c r="F78" s="382">
        <v>1</v>
      </c>
      <c r="G78" s="382" t="s">
        <v>500</v>
      </c>
      <c r="H78" s="382" t="s">
        <v>14</v>
      </c>
      <c r="I78" s="383">
        <v>42102</v>
      </c>
      <c r="J78" s="416">
        <v>892.29</v>
      </c>
      <c r="K78" s="88">
        <v>42117</v>
      </c>
      <c r="L78" s="351">
        <f t="shared" si="16"/>
        <v>12</v>
      </c>
      <c r="M78" s="384"/>
      <c r="N78" s="350" t="s">
        <v>123</v>
      </c>
      <c r="O78" s="69" t="s">
        <v>35</v>
      </c>
      <c r="P78" s="86">
        <v>42115</v>
      </c>
      <c r="Q78" s="21">
        <f t="shared" si="15"/>
        <v>15</v>
      </c>
      <c r="R78" s="22">
        <f t="shared" si="17"/>
        <v>13</v>
      </c>
    </row>
    <row r="79" spans="2:18" ht="12.75" customHeight="1">
      <c r="B79" s="322" t="s">
        <v>598</v>
      </c>
      <c r="C79" s="382" t="s">
        <v>24</v>
      </c>
      <c r="D79" s="324">
        <v>42114</v>
      </c>
      <c r="E79" s="382">
        <v>1</v>
      </c>
      <c r="F79" s="382">
        <v>1</v>
      </c>
      <c r="G79" s="382" t="s">
        <v>500</v>
      </c>
      <c r="H79" s="382" t="s">
        <v>14</v>
      </c>
      <c r="I79" s="383">
        <v>42103</v>
      </c>
      <c r="J79" s="416">
        <v>685.73</v>
      </c>
      <c r="K79" s="88">
        <v>42118</v>
      </c>
      <c r="L79" s="351">
        <f t="shared" si="16"/>
        <v>12</v>
      </c>
      <c r="M79" s="384"/>
      <c r="N79" s="350" t="s">
        <v>123</v>
      </c>
      <c r="O79" s="69" t="s">
        <v>35</v>
      </c>
      <c r="P79" s="86">
        <v>42111</v>
      </c>
      <c r="Q79" s="21">
        <f t="shared" si="15"/>
        <v>15</v>
      </c>
      <c r="R79" s="22">
        <f t="shared" si="17"/>
        <v>8</v>
      </c>
    </row>
    <row r="80" spans="2:18" ht="12.75" customHeight="1">
      <c r="B80" s="322" t="s">
        <v>606</v>
      </c>
      <c r="C80" s="382" t="s">
        <v>24</v>
      </c>
      <c r="D80" s="324">
        <v>42121</v>
      </c>
      <c r="E80" s="382">
        <v>1</v>
      </c>
      <c r="F80" s="382">
        <v>1</v>
      </c>
      <c r="G80" s="382" t="s">
        <v>607</v>
      </c>
      <c r="H80" s="382" t="s">
        <v>14</v>
      </c>
      <c r="I80" s="383">
        <v>42103</v>
      </c>
      <c r="J80" s="416" t="s">
        <v>608</v>
      </c>
      <c r="K80" s="88">
        <v>42130</v>
      </c>
      <c r="L80" s="351">
        <f t="shared" ref="L80:L97" si="18">IF(ISBLANK(K80),"",NETWORKDAYS(I80,K80))</f>
        <v>20</v>
      </c>
      <c r="M80" s="384"/>
      <c r="N80" s="350" t="s">
        <v>123</v>
      </c>
      <c r="O80" s="69" t="s">
        <v>35</v>
      </c>
      <c r="P80" s="86">
        <v>42115</v>
      </c>
      <c r="Q80" s="21">
        <f t="shared" si="15"/>
        <v>27</v>
      </c>
      <c r="R80" s="22">
        <f t="shared" si="17"/>
        <v>12</v>
      </c>
    </row>
    <row r="81" spans="2:18" ht="12.75" customHeight="1">
      <c r="B81" s="322" t="s">
        <v>597</v>
      </c>
      <c r="C81" s="382" t="s">
        <v>24</v>
      </c>
      <c r="D81" s="324">
        <v>42119</v>
      </c>
      <c r="E81" s="382">
        <v>1</v>
      </c>
      <c r="F81" s="382">
        <v>1</v>
      </c>
      <c r="G81" s="382" t="s">
        <v>48</v>
      </c>
      <c r="H81" s="382" t="s">
        <v>14</v>
      </c>
      <c r="I81" s="383">
        <v>42103</v>
      </c>
      <c r="J81" s="416" t="s">
        <v>605</v>
      </c>
      <c r="K81" s="88">
        <v>42128</v>
      </c>
      <c r="L81" s="351">
        <f t="shared" si="18"/>
        <v>18</v>
      </c>
      <c r="M81" s="384"/>
      <c r="N81" s="350" t="s">
        <v>123</v>
      </c>
      <c r="O81" s="69" t="s">
        <v>35</v>
      </c>
      <c r="P81" s="86">
        <v>42121</v>
      </c>
      <c r="Q81" s="21">
        <f t="shared" si="15"/>
        <v>25</v>
      </c>
      <c r="R81" s="22">
        <f t="shared" si="17"/>
        <v>18</v>
      </c>
    </row>
    <row r="82" spans="2:18" ht="12.75" customHeight="1">
      <c r="B82" s="322" t="s">
        <v>627</v>
      </c>
      <c r="C82" s="382" t="s">
        <v>24</v>
      </c>
      <c r="D82" s="324">
        <v>42128</v>
      </c>
      <c r="E82" s="382">
        <v>1</v>
      </c>
      <c r="F82" s="382">
        <v>1</v>
      </c>
      <c r="G82" s="382" t="s">
        <v>628</v>
      </c>
      <c r="H82" s="382" t="s">
        <v>14</v>
      </c>
      <c r="I82" s="383">
        <v>42108</v>
      </c>
      <c r="J82" s="415" t="s">
        <v>629</v>
      </c>
      <c r="K82" s="88">
        <v>42124</v>
      </c>
      <c r="L82" s="351">
        <f t="shared" si="18"/>
        <v>13</v>
      </c>
      <c r="M82" s="384"/>
      <c r="N82" s="350" t="s">
        <v>123</v>
      </c>
      <c r="O82" s="69" t="s">
        <v>33</v>
      </c>
      <c r="P82" s="86">
        <v>42111</v>
      </c>
      <c r="Q82" s="21">
        <f>IF(ISBLANK(K82),0,SUM(K82,-I82))</f>
        <v>16</v>
      </c>
      <c r="R82" s="22">
        <f t="shared" si="17"/>
        <v>3</v>
      </c>
    </row>
    <row r="83" spans="2:18" ht="12.75" customHeight="1">
      <c r="B83" s="313" t="s">
        <v>630</v>
      </c>
      <c r="C83" s="497" t="s">
        <v>83</v>
      </c>
      <c r="D83" s="311">
        <v>42128</v>
      </c>
      <c r="E83" s="497">
        <v>1</v>
      </c>
      <c r="F83" s="497">
        <v>1</v>
      </c>
      <c r="G83" s="497" t="s">
        <v>77</v>
      </c>
      <c r="H83" s="497" t="s">
        <v>79</v>
      </c>
      <c r="I83" s="498">
        <v>42108</v>
      </c>
      <c r="J83" s="415">
        <v>773.81</v>
      </c>
      <c r="K83" s="87">
        <v>42123</v>
      </c>
      <c r="L83" s="352">
        <f t="shared" si="18"/>
        <v>12</v>
      </c>
      <c r="M83" s="398"/>
      <c r="N83" s="399" t="s">
        <v>36</v>
      </c>
      <c r="O83" s="76"/>
      <c r="Q83" s="21">
        <f>IF(ISBLANK(K83),0,SUM(K83,-I83))</f>
        <v>15</v>
      </c>
      <c r="R83" s="22">
        <f t="shared" si="17"/>
        <v>0</v>
      </c>
    </row>
    <row r="84" spans="2:18" ht="12.75" customHeight="1">
      <c r="B84" s="313" t="s">
        <v>631</v>
      </c>
      <c r="C84" s="497" t="s">
        <v>78</v>
      </c>
      <c r="D84" s="311">
        <v>42128</v>
      </c>
      <c r="E84" s="497">
        <v>1</v>
      </c>
      <c r="F84" s="497">
        <v>1</v>
      </c>
      <c r="G84" s="497" t="s">
        <v>98</v>
      </c>
      <c r="H84" s="497" t="s">
        <v>79</v>
      </c>
      <c r="I84" s="498">
        <v>42108</v>
      </c>
      <c r="J84" s="415" t="s">
        <v>632</v>
      </c>
      <c r="K84" s="87">
        <v>42124</v>
      </c>
      <c r="L84" s="352">
        <f t="shared" si="18"/>
        <v>13</v>
      </c>
      <c r="M84" s="398"/>
      <c r="N84" s="399" t="s">
        <v>36</v>
      </c>
      <c r="O84" s="76"/>
      <c r="Q84" s="21">
        <f>IF(ISBLANK(K84),0,SUM(K84,-I84))</f>
        <v>16</v>
      </c>
      <c r="R84" s="22">
        <f t="shared" si="17"/>
        <v>0</v>
      </c>
    </row>
    <row r="85" spans="2:18" ht="12.75" customHeight="1">
      <c r="B85" s="322" t="s">
        <v>633</v>
      </c>
      <c r="C85" s="382" t="s">
        <v>83</v>
      </c>
      <c r="D85" s="324">
        <v>42128</v>
      </c>
      <c r="E85" s="382">
        <v>3</v>
      </c>
      <c r="F85" s="382">
        <v>3</v>
      </c>
      <c r="G85" s="382" t="s">
        <v>82</v>
      </c>
      <c r="H85" s="382" t="s">
        <v>14</v>
      </c>
      <c r="I85" s="383">
        <v>42107</v>
      </c>
      <c r="J85" s="415" t="s">
        <v>634</v>
      </c>
      <c r="K85" s="88">
        <v>42128</v>
      </c>
      <c r="L85" s="351">
        <f t="shared" si="18"/>
        <v>16</v>
      </c>
      <c r="M85" s="384"/>
      <c r="N85" s="350" t="s">
        <v>123</v>
      </c>
      <c r="O85" s="69" t="s">
        <v>35</v>
      </c>
      <c r="P85" s="86">
        <v>42121</v>
      </c>
      <c r="Q85" s="21">
        <f>IF(ISBLANK(K85),0,SUM(K85,-I85))</f>
        <v>21</v>
      </c>
      <c r="R85" s="22">
        <f t="shared" si="17"/>
        <v>14</v>
      </c>
    </row>
    <row r="86" spans="2:18" ht="12.75" customHeight="1">
      <c r="B86" s="322" t="s">
        <v>639</v>
      </c>
      <c r="C86" s="382" t="s">
        <v>24</v>
      </c>
      <c r="D86" s="324">
        <v>42124</v>
      </c>
      <c r="E86" s="382">
        <v>1</v>
      </c>
      <c r="F86" s="382">
        <v>1</v>
      </c>
      <c r="G86" s="382" t="s">
        <v>500</v>
      </c>
      <c r="H86" s="382" t="s">
        <v>14</v>
      </c>
      <c r="I86" s="383">
        <v>42109</v>
      </c>
      <c r="J86" s="415">
        <v>925.22</v>
      </c>
      <c r="K86" s="88">
        <v>42129</v>
      </c>
      <c r="L86" s="351">
        <f t="shared" si="18"/>
        <v>15</v>
      </c>
      <c r="M86" s="384"/>
      <c r="N86" s="350" t="s">
        <v>123</v>
      </c>
      <c r="O86" s="69" t="s">
        <v>35</v>
      </c>
      <c r="P86" s="86">
        <v>42123</v>
      </c>
      <c r="Q86" s="21">
        <f t="shared" ref="Q86:Q97" si="19">IF(ISBLANK(K86),0,SUM(K86,-I86))</f>
        <v>20</v>
      </c>
      <c r="R86" s="22">
        <f t="shared" si="17"/>
        <v>14</v>
      </c>
    </row>
    <row r="87" spans="2:18" ht="12.75" customHeight="1">
      <c r="B87" s="353" t="s">
        <v>643</v>
      </c>
      <c r="C87" s="386" t="s">
        <v>24</v>
      </c>
      <c r="D87" s="355">
        <v>42135</v>
      </c>
      <c r="E87" s="386">
        <v>1</v>
      </c>
      <c r="F87" s="386">
        <v>1</v>
      </c>
      <c r="G87" s="386" t="s">
        <v>644</v>
      </c>
      <c r="H87" s="386" t="s">
        <v>14</v>
      </c>
      <c r="I87" s="387">
        <v>42109</v>
      </c>
      <c r="J87" s="417" t="s">
        <v>645</v>
      </c>
      <c r="K87" s="88">
        <v>42128</v>
      </c>
      <c r="L87" s="351">
        <f t="shared" si="18"/>
        <v>14</v>
      </c>
      <c r="M87" s="384"/>
      <c r="N87" s="350" t="s">
        <v>123</v>
      </c>
      <c r="O87" s="69" t="s">
        <v>33</v>
      </c>
      <c r="P87" s="86">
        <v>42118</v>
      </c>
      <c r="Q87" s="21">
        <f t="shared" si="19"/>
        <v>19</v>
      </c>
      <c r="R87" s="22">
        <f t="shared" si="17"/>
        <v>9</v>
      </c>
    </row>
    <row r="88" spans="2:18" ht="12.75" customHeight="1">
      <c r="B88" s="353" t="s">
        <v>649</v>
      </c>
      <c r="C88" s="386" t="s">
        <v>24</v>
      </c>
      <c r="D88" s="355">
        <v>42142</v>
      </c>
      <c r="E88" s="386">
        <v>2</v>
      </c>
      <c r="F88" s="386">
        <v>2</v>
      </c>
      <c r="G88" s="386" t="s">
        <v>107</v>
      </c>
      <c r="H88" s="386" t="s">
        <v>14</v>
      </c>
      <c r="I88" s="387">
        <v>42110</v>
      </c>
      <c r="J88" s="417" t="s">
        <v>650</v>
      </c>
      <c r="K88" s="88">
        <v>42131</v>
      </c>
      <c r="L88" s="351">
        <f t="shared" si="18"/>
        <v>16</v>
      </c>
      <c r="M88" s="384"/>
      <c r="N88" s="350" t="s">
        <v>123</v>
      </c>
      <c r="O88" s="69" t="s">
        <v>35</v>
      </c>
      <c r="P88" s="86">
        <v>42122</v>
      </c>
      <c r="Q88" s="21">
        <f t="shared" si="19"/>
        <v>21</v>
      </c>
      <c r="R88" s="22">
        <f t="shared" si="17"/>
        <v>12</v>
      </c>
    </row>
    <row r="89" spans="2:18" ht="12.75" customHeight="1">
      <c r="B89" s="353" t="s">
        <v>651</v>
      </c>
      <c r="C89" s="386" t="s">
        <v>39</v>
      </c>
      <c r="D89" s="355">
        <v>42142</v>
      </c>
      <c r="E89" s="386">
        <v>1</v>
      </c>
      <c r="F89" s="386">
        <v>1</v>
      </c>
      <c r="G89" s="386" t="s">
        <v>652</v>
      </c>
      <c r="H89" s="386" t="s">
        <v>14</v>
      </c>
      <c r="I89" s="387">
        <v>42110</v>
      </c>
      <c r="J89" s="417" t="s">
        <v>653</v>
      </c>
      <c r="K89" s="88">
        <v>42144</v>
      </c>
      <c r="L89" s="351">
        <f t="shared" si="18"/>
        <v>25</v>
      </c>
      <c r="M89" s="384"/>
      <c r="N89" s="350" t="s">
        <v>123</v>
      </c>
      <c r="O89" s="69" t="s">
        <v>35</v>
      </c>
      <c r="P89" s="86">
        <v>42122</v>
      </c>
      <c r="Q89" s="21">
        <f t="shared" si="19"/>
        <v>34</v>
      </c>
      <c r="R89" s="22">
        <f t="shared" si="17"/>
        <v>12</v>
      </c>
    </row>
    <row r="90" spans="2:18" ht="12.75" customHeight="1">
      <c r="B90" s="345" t="s">
        <v>654</v>
      </c>
      <c r="C90" s="499" t="s">
        <v>78</v>
      </c>
      <c r="D90" s="342">
        <v>42142</v>
      </c>
      <c r="E90" s="499">
        <v>1</v>
      </c>
      <c r="F90" s="499">
        <v>1</v>
      </c>
      <c r="G90" s="499" t="s">
        <v>655</v>
      </c>
      <c r="H90" s="499" t="s">
        <v>79</v>
      </c>
      <c r="I90" s="500">
        <v>42110</v>
      </c>
      <c r="J90" s="417">
        <v>931.17</v>
      </c>
      <c r="K90" s="87">
        <v>42116</v>
      </c>
      <c r="L90" s="352">
        <f t="shared" si="18"/>
        <v>5</v>
      </c>
      <c r="M90" s="398"/>
      <c r="N90" s="399" t="s">
        <v>36</v>
      </c>
      <c r="O90" s="76"/>
      <c r="Q90" s="21">
        <f t="shared" si="19"/>
        <v>6</v>
      </c>
      <c r="R90" s="22">
        <f>IF(ISBLANK(P90),0,SUM(P90,-#REF!))</f>
        <v>0</v>
      </c>
    </row>
    <row r="91" spans="2:18" ht="12.75" customHeight="1">
      <c r="B91" s="345" t="s">
        <v>657</v>
      </c>
      <c r="C91" s="499" t="s">
        <v>118</v>
      </c>
      <c r="D91" s="342">
        <v>42142</v>
      </c>
      <c r="E91" s="499">
        <v>1</v>
      </c>
      <c r="F91" s="499">
        <v>1</v>
      </c>
      <c r="G91" s="499" t="s">
        <v>98</v>
      </c>
      <c r="H91" s="499" t="s">
        <v>79</v>
      </c>
      <c r="I91" s="500">
        <v>42111</v>
      </c>
      <c r="J91" s="417">
        <v>472.28</v>
      </c>
      <c r="K91" s="87">
        <v>42116</v>
      </c>
      <c r="L91" s="352">
        <f t="shared" si="18"/>
        <v>4</v>
      </c>
      <c r="M91" s="398"/>
      <c r="N91" s="399" t="s">
        <v>36</v>
      </c>
      <c r="O91" s="76"/>
      <c r="Q91" s="21">
        <f t="shared" si="19"/>
        <v>5</v>
      </c>
      <c r="R91" s="22">
        <f>IF(ISBLANK(P91),0,SUM(P91,-#REF!))</f>
        <v>0</v>
      </c>
    </row>
    <row r="92" spans="2:18" ht="12.75" customHeight="1">
      <c r="B92" s="345" t="s">
        <v>658</v>
      </c>
      <c r="C92" s="499" t="s">
        <v>78</v>
      </c>
      <c r="D92" s="342">
        <v>42142</v>
      </c>
      <c r="E92" s="499">
        <v>1</v>
      </c>
      <c r="F92" s="499">
        <v>1</v>
      </c>
      <c r="G92" s="499" t="s">
        <v>98</v>
      </c>
      <c r="H92" s="499" t="s">
        <v>79</v>
      </c>
      <c r="I92" s="500">
        <v>42111</v>
      </c>
      <c r="J92" s="417" t="s">
        <v>659</v>
      </c>
      <c r="K92" s="87">
        <v>42115</v>
      </c>
      <c r="L92" s="352">
        <f t="shared" si="18"/>
        <v>3</v>
      </c>
      <c r="M92" s="398"/>
      <c r="N92" s="399" t="s">
        <v>36</v>
      </c>
      <c r="O92" s="76"/>
      <c r="Q92" s="21">
        <f t="shared" si="19"/>
        <v>4</v>
      </c>
      <c r="R92" s="22">
        <f>IF(ISBLANK(P92),0,SUM(P92,-#REF!))</f>
        <v>0</v>
      </c>
    </row>
    <row r="93" spans="2:18" ht="12.75" customHeight="1">
      <c r="B93" s="353" t="s">
        <v>660</v>
      </c>
      <c r="C93" s="386" t="s">
        <v>661</v>
      </c>
      <c r="D93" s="355">
        <v>42135</v>
      </c>
      <c r="E93" s="386">
        <v>1</v>
      </c>
      <c r="F93" s="386">
        <v>1</v>
      </c>
      <c r="G93" s="386" t="s">
        <v>662</v>
      </c>
      <c r="H93" s="386" t="s">
        <v>14</v>
      </c>
      <c r="I93" s="387">
        <v>42111</v>
      </c>
      <c r="J93" s="417" t="s">
        <v>663</v>
      </c>
      <c r="K93" s="88">
        <v>42142</v>
      </c>
      <c r="L93" s="351">
        <f t="shared" si="18"/>
        <v>22</v>
      </c>
      <c r="M93" s="384"/>
      <c r="N93" s="350" t="s">
        <v>123</v>
      </c>
      <c r="O93" s="69" t="s">
        <v>35</v>
      </c>
      <c r="P93" s="86">
        <v>42122</v>
      </c>
      <c r="Q93" s="21">
        <f t="shared" si="19"/>
        <v>31</v>
      </c>
      <c r="R93" s="22">
        <f t="shared" ref="R93:R153" si="20">IF(ISBLANK(P93),0,SUM(P93,-I93))</f>
        <v>11</v>
      </c>
    </row>
    <row r="94" spans="2:18" ht="12.75" customHeight="1">
      <c r="B94" s="353" t="s">
        <v>664</v>
      </c>
      <c r="C94" s="530" t="s">
        <v>832</v>
      </c>
      <c r="D94" s="355">
        <v>42135</v>
      </c>
      <c r="E94" s="386">
        <v>1</v>
      </c>
      <c r="F94" s="386">
        <v>1</v>
      </c>
      <c r="G94" s="386" t="s">
        <v>28</v>
      </c>
      <c r="H94" s="386" t="s">
        <v>14</v>
      </c>
      <c r="I94" s="387">
        <v>42111</v>
      </c>
      <c r="J94" s="417" t="s">
        <v>665</v>
      </c>
      <c r="K94" s="88">
        <v>42135</v>
      </c>
      <c r="L94" s="351">
        <f t="shared" si="18"/>
        <v>17</v>
      </c>
      <c r="M94" s="384"/>
      <c r="N94" s="350" t="s">
        <v>123</v>
      </c>
      <c r="O94" s="69" t="s">
        <v>35</v>
      </c>
      <c r="P94" s="86">
        <v>42122</v>
      </c>
      <c r="Q94" s="21">
        <f t="shared" si="19"/>
        <v>24</v>
      </c>
      <c r="R94" s="22">
        <f t="shared" si="20"/>
        <v>11</v>
      </c>
    </row>
    <row r="95" spans="2:18" ht="12.75" customHeight="1">
      <c r="B95" s="353" t="s">
        <v>670</v>
      </c>
      <c r="C95" s="386" t="s">
        <v>24</v>
      </c>
      <c r="D95" s="355">
        <v>42142</v>
      </c>
      <c r="E95" s="386">
        <v>1</v>
      </c>
      <c r="F95" s="386">
        <v>1</v>
      </c>
      <c r="G95" s="386" t="s">
        <v>99</v>
      </c>
      <c r="H95" s="386" t="s">
        <v>14</v>
      </c>
      <c r="I95" s="387">
        <v>42111</v>
      </c>
      <c r="J95" s="417" t="s">
        <v>671</v>
      </c>
      <c r="K95" s="88">
        <v>42136</v>
      </c>
      <c r="L95" s="351">
        <f t="shared" si="18"/>
        <v>18</v>
      </c>
      <c r="M95" s="384"/>
      <c r="N95" s="350" t="s">
        <v>123</v>
      </c>
      <c r="O95" s="69" t="s">
        <v>35</v>
      </c>
      <c r="P95" s="86">
        <v>42122</v>
      </c>
      <c r="Q95" s="21">
        <f t="shared" si="19"/>
        <v>25</v>
      </c>
      <c r="R95" s="22">
        <f t="shared" si="20"/>
        <v>11</v>
      </c>
    </row>
    <row r="96" spans="2:18" ht="12.75" customHeight="1">
      <c r="B96" s="345" t="s">
        <v>674</v>
      </c>
      <c r="C96" s="499" t="s">
        <v>78</v>
      </c>
      <c r="D96" s="342">
        <v>42142</v>
      </c>
      <c r="E96" s="499">
        <v>1</v>
      </c>
      <c r="F96" s="499">
        <v>1</v>
      </c>
      <c r="G96" s="499" t="s">
        <v>675</v>
      </c>
      <c r="H96" s="499" t="s">
        <v>14</v>
      </c>
      <c r="I96" s="500">
        <v>42114</v>
      </c>
      <c r="J96" s="417">
        <v>867.6</v>
      </c>
      <c r="K96" s="87">
        <v>42124</v>
      </c>
      <c r="L96" s="352">
        <f t="shared" si="18"/>
        <v>9</v>
      </c>
      <c r="M96" s="398"/>
      <c r="N96" s="399" t="s">
        <v>36</v>
      </c>
      <c r="O96" s="76"/>
      <c r="Q96" s="21">
        <f t="shared" si="19"/>
        <v>10</v>
      </c>
      <c r="R96" s="22">
        <f t="shared" si="20"/>
        <v>0</v>
      </c>
    </row>
    <row r="97" spans="2:18" ht="12.75" customHeight="1">
      <c r="B97" s="353" t="s">
        <v>676</v>
      </c>
      <c r="C97" s="386" t="s">
        <v>39</v>
      </c>
      <c r="D97" s="355">
        <v>42142</v>
      </c>
      <c r="E97" s="386">
        <v>1</v>
      </c>
      <c r="F97" s="386">
        <v>1</v>
      </c>
      <c r="G97" s="386" t="s">
        <v>406</v>
      </c>
      <c r="H97" s="386" t="s">
        <v>14</v>
      </c>
      <c r="I97" s="387">
        <v>42114</v>
      </c>
      <c r="J97" s="417" t="s">
        <v>677</v>
      </c>
      <c r="K97" s="88">
        <v>42146</v>
      </c>
      <c r="L97" s="351">
        <f t="shared" si="18"/>
        <v>25</v>
      </c>
      <c r="M97" s="384"/>
      <c r="N97" s="350" t="s">
        <v>123</v>
      </c>
      <c r="O97" s="69" t="s">
        <v>35</v>
      </c>
      <c r="P97" s="86">
        <v>42122</v>
      </c>
      <c r="Q97" s="21">
        <f t="shared" si="19"/>
        <v>32</v>
      </c>
      <c r="R97" s="22">
        <f t="shared" si="20"/>
        <v>8</v>
      </c>
    </row>
    <row r="98" spans="2:18" ht="12.75" customHeight="1">
      <c r="B98" s="353" t="s">
        <v>700</v>
      </c>
      <c r="C98" s="386" t="s">
        <v>39</v>
      </c>
      <c r="D98" s="355">
        <v>42142</v>
      </c>
      <c r="E98" s="386">
        <v>1</v>
      </c>
      <c r="F98" s="386">
        <v>1</v>
      </c>
      <c r="G98" s="386" t="s">
        <v>701</v>
      </c>
      <c r="H98" s="386" t="s">
        <v>14</v>
      </c>
      <c r="I98" s="387">
        <v>42114</v>
      </c>
      <c r="J98" s="418"/>
      <c r="K98" s="88">
        <v>42151</v>
      </c>
      <c r="L98" s="351">
        <f t="shared" ref="L98:L114" si="21">IF(ISBLANK(K98),"",NETWORKDAYS(I98,K98))</f>
        <v>28</v>
      </c>
      <c r="M98" s="384"/>
      <c r="N98" s="350" t="s">
        <v>123</v>
      </c>
      <c r="O98" s="69" t="s">
        <v>35</v>
      </c>
      <c r="P98" s="86">
        <v>42123</v>
      </c>
      <c r="Q98" s="21">
        <f>IF(ISBLANK(K98),0,SUM(K98,-I98))</f>
        <v>37</v>
      </c>
      <c r="R98" s="22">
        <f t="shared" si="20"/>
        <v>9</v>
      </c>
    </row>
    <row r="99" spans="2:18" ht="12.75" customHeight="1">
      <c r="B99" s="353" t="s">
        <v>686</v>
      </c>
      <c r="C99" s="386" t="s">
        <v>39</v>
      </c>
      <c r="D99" s="355">
        <v>42139</v>
      </c>
      <c r="E99" s="386">
        <v>1</v>
      </c>
      <c r="F99" s="386">
        <v>1</v>
      </c>
      <c r="G99" s="386" t="s">
        <v>28</v>
      </c>
      <c r="H99" s="386" t="s">
        <v>14</v>
      </c>
      <c r="I99" s="387">
        <v>42115</v>
      </c>
      <c r="J99" s="418" t="s">
        <v>687</v>
      </c>
      <c r="K99" s="88">
        <v>42145</v>
      </c>
      <c r="L99" s="351">
        <f t="shared" si="21"/>
        <v>23</v>
      </c>
      <c r="M99" s="384"/>
      <c r="N99" s="350" t="s">
        <v>123</v>
      </c>
      <c r="O99" s="69" t="s">
        <v>33</v>
      </c>
      <c r="P99" s="86">
        <v>42135</v>
      </c>
      <c r="Q99" s="21">
        <f>IF(ISBLANK(K99),0,SUM(K99,-I99))</f>
        <v>30</v>
      </c>
      <c r="R99" s="22">
        <f t="shared" si="20"/>
        <v>20</v>
      </c>
    </row>
    <row r="100" spans="2:18" ht="12.75" customHeight="1">
      <c r="B100" s="353" t="s">
        <v>692</v>
      </c>
      <c r="C100" s="386" t="s">
        <v>118</v>
      </c>
      <c r="D100" s="355">
        <v>42143</v>
      </c>
      <c r="E100" s="386">
        <v>1</v>
      </c>
      <c r="F100" s="386">
        <v>1</v>
      </c>
      <c r="G100" s="386" t="s">
        <v>693</v>
      </c>
      <c r="H100" s="386" t="s">
        <v>14</v>
      </c>
      <c r="I100" s="387">
        <v>42115</v>
      </c>
      <c r="J100" s="418" t="s">
        <v>694</v>
      </c>
      <c r="K100" s="88">
        <v>42137</v>
      </c>
      <c r="L100" s="351">
        <f t="shared" si="21"/>
        <v>17</v>
      </c>
      <c r="M100" s="384"/>
      <c r="N100" s="350" t="s">
        <v>123</v>
      </c>
      <c r="O100" s="69" t="s">
        <v>35</v>
      </c>
      <c r="P100" s="86">
        <v>42136</v>
      </c>
      <c r="Q100" s="21">
        <f>IF(ISBLANK(K100),0,SUM(K100,-I100))</f>
        <v>22</v>
      </c>
      <c r="R100" s="22">
        <f t="shared" si="20"/>
        <v>21</v>
      </c>
    </row>
    <row r="101" spans="2:18" ht="12.75" customHeight="1">
      <c r="B101" s="353" t="s">
        <v>688</v>
      </c>
      <c r="C101" s="386" t="s">
        <v>39</v>
      </c>
      <c r="D101" s="355">
        <v>42142</v>
      </c>
      <c r="E101" s="386">
        <v>6</v>
      </c>
      <c r="F101" s="386">
        <v>6</v>
      </c>
      <c r="G101" s="386" t="s">
        <v>82</v>
      </c>
      <c r="H101" s="386" t="s">
        <v>14</v>
      </c>
      <c r="I101" s="387">
        <v>42114</v>
      </c>
      <c r="J101" s="418" t="s">
        <v>689</v>
      </c>
      <c r="K101" s="88">
        <v>42144</v>
      </c>
      <c r="L101" s="351">
        <f t="shared" si="21"/>
        <v>23</v>
      </c>
      <c r="M101" s="384"/>
      <c r="N101" s="350" t="s">
        <v>123</v>
      </c>
      <c r="O101" s="69" t="s">
        <v>35</v>
      </c>
      <c r="P101" s="86">
        <v>42130</v>
      </c>
      <c r="Q101" s="21">
        <f>IF(ISBLANK(K102),0,SUM(K102,-I102))</f>
        <v>31</v>
      </c>
      <c r="R101" s="22">
        <f t="shared" si="20"/>
        <v>16</v>
      </c>
    </row>
    <row r="102" spans="2:18" ht="12.75" customHeight="1">
      <c r="B102" s="353" t="s">
        <v>681</v>
      </c>
      <c r="C102" s="386" t="s">
        <v>24</v>
      </c>
      <c r="D102" s="355">
        <v>42129</v>
      </c>
      <c r="E102" s="386">
        <v>1</v>
      </c>
      <c r="F102" s="386">
        <v>1</v>
      </c>
      <c r="G102" s="386" t="s">
        <v>611</v>
      </c>
      <c r="H102" s="386" t="s">
        <v>14</v>
      </c>
      <c r="I102" s="387">
        <v>42115</v>
      </c>
      <c r="J102" s="418">
        <v>856.8</v>
      </c>
      <c r="K102" s="88">
        <v>42146</v>
      </c>
      <c r="L102" s="351">
        <f t="shared" si="21"/>
        <v>24</v>
      </c>
      <c r="M102" s="384"/>
      <c r="N102" s="350" t="s">
        <v>123</v>
      </c>
      <c r="O102" s="69" t="s">
        <v>42</v>
      </c>
      <c r="P102" s="86">
        <v>42139</v>
      </c>
      <c r="Q102" s="21">
        <f>IF(ISBLANK(K103),0,SUM(K103,-I103))</f>
        <v>35</v>
      </c>
      <c r="R102" s="22">
        <f t="shared" si="20"/>
        <v>24</v>
      </c>
    </row>
    <row r="103" spans="2:18" ht="12.75" customHeight="1">
      <c r="B103" s="353" t="s">
        <v>690</v>
      </c>
      <c r="C103" s="386" t="s">
        <v>39</v>
      </c>
      <c r="D103" s="355">
        <v>42149</v>
      </c>
      <c r="E103" s="386">
        <v>1</v>
      </c>
      <c r="F103" s="386">
        <v>1</v>
      </c>
      <c r="G103" s="386" t="s">
        <v>88</v>
      </c>
      <c r="H103" s="386" t="s">
        <v>14</v>
      </c>
      <c r="I103" s="387">
        <v>42116</v>
      </c>
      <c r="J103" s="418" t="s">
        <v>691</v>
      </c>
      <c r="K103" s="88">
        <v>42151</v>
      </c>
      <c r="L103" s="351">
        <f t="shared" si="21"/>
        <v>26</v>
      </c>
      <c r="M103" s="384"/>
      <c r="N103" s="350" t="s">
        <v>123</v>
      </c>
      <c r="O103" s="69" t="s">
        <v>35</v>
      </c>
      <c r="P103" s="86">
        <v>42135</v>
      </c>
      <c r="Q103" s="21">
        <f>IF(ISBLANK(K104),0,SUM(K104,-I104))</f>
        <v>29</v>
      </c>
      <c r="R103" s="22">
        <f t="shared" si="20"/>
        <v>19</v>
      </c>
    </row>
    <row r="104" spans="2:18" ht="12.75" customHeight="1">
      <c r="B104" s="353" t="s">
        <v>695</v>
      </c>
      <c r="C104" s="386" t="s">
        <v>24</v>
      </c>
      <c r="D104" s="355">
        <v>42150</v>
      </c>
      <c r="E104" s="386">
        <v>1</v>
      </c>
      <c r="F104" s="386">
        <v>1</v>
      </c>
      <c r="G104" s="386" t="s">
        <v>97</v>
      </c>
      <c r="H104" s="386" t="s">
        <v>14</v>
      </c>
      <c r="I104" s="387">
        <v>42116</v>
      </c>
      <c r="J104" s="418" t="s">
        <v>696</v>
      </c>
      <c r="K104" s="88">
        <v>42145</v>
      </c>
      <c r="L104" s="351">
        <f t="shared" si="21"/>
        <v>22</v>
      </c>
      <c r="M104" s="384"/>
      <c r="N104" s="350" t="s">
        <v>123</v>
      </c>
      <c r="O104" s="69" t="s">
        <v>35</v>
      </c>
      <c r="P104" s="86">
        <v>42142</v>
      </c>
      <c r="Q104" s="21">
        <f>IF(ISBLANK(K105),0,SUM(K105,-I105))</f>
        <v>35</v>
      </c>
      <c r="R104" s="22">
        <f t="shared" si="20"/>
        <v>26</v>
      </c>
    </row>
    <row r="105" spans="2:18" ht="12.75" customHeight="1">
      <c r="B105" s="353" t="s">
        <v>690</v>
      </c>
      <c r="C105" s="591" t="s">
        <v>979</v>
      </c>
      <c r="D105" s="355">
        <v>42149</v>
      </c>
      <c r="E105" s="386">
        <v>6</v>
      </c>
      <c r="F105" s="386">
        <v>6</v>
      </c>
      <c r="G105" s="386" t="s">
        <v>88</v>
      </c>
      <c r="H105" s="386" t="s">
        <v>14</v>
      </c>
      <c r="I105" s="387">
        <v>42116</v>
      </c>
      <c r="J105" s="418"/>
      <c r="K105" s="88">
        <v>42151</v>
      </c>
      <c r="L105" s="351">
        <f t="shared" si="21"/>
        <v>26</v>
      </c>
      <c r="M105" s="384"/>
      <c r="N105" s="350" t="s">
        <v>123</v>
      </c>
      <c r="O105" s="69" t="s">
        <v>35</v>
      </c>
      <c r="P105" s="86">
        <v>42129</v>
      </c>
      <c r="Q105" s="21">
        <f>IF(ISBLANK(K107),0,SUM(K107,-I107))</f>
        <v>32</v>
      </c>
      <c r="R105" s="22">
        <f t="shared" si="20"/>
        <v>13</v>
      </c>
    </row>
    <row r="106" spans="2:18" ht="12.75" customHeight="1">
      <c r="B106" s="364" t="s">
        <v>708</v>
      </c>
      <c r="C106" s="526" t="s">
        <v>24</v>
      </c>
      <c r="D106" s="369">
        <v>42139</v>
      </c>
      <c r="E106" s="526">
        <v>2</v>
      </c>
      <c r="F106" s="526">
        <v>2</v>
      </c>
      <c r="G106" s="526" t="s">
        <v>709</v>
      </c>
      <c r="H106" s="526" t="s">
        <v>14</v>
      </c>
      <c r="I106" s="527">
        <v>42117</v>
      </c>
      <c r="J106" s="419" t="s">
        <v>725</v>
      </c>
      <c r="K106" s="88">
        <v>42149</v>
      </c>
      <c r="L106" s="351">
        <f t="shared" si="21"/>
        <v>23</v>
      </c>
      <c r="M106" s="384"/>
      <c r="N106" s="350" t="s">
        <v>123</v>
      </c>
      <c r="O106" s="69" t="s">
        <v>35</v>
      </c>
      <c r="P106" s="86">
        <v>42129</v>
      </c>
      <c r="Q106" s="21">
        <f>IF(ISBLANK(K108),0,SUM(K108,-I108))</f>
        <v>19</v>
      </c>
      <c r="R106" s="22">
        <f>IF(ISBLANK(P106),0,SUM(P106,-I106))</f>
        <v>12</v>
      </c>
    </row>
    <row r="107" spans="2:18" ht="12.75" customHeight="1">
      <c r="B107" s="364" t="s">
        <v>710</v>
      </c>
      <c r="C107" s="526" t="s">
        <v>24</v>
      </c>
      <c r="D107" s="369">
        <v>42144</v>
      </c>
      <c r="E107" s="526">
        <v>1</v>
      </c>
      <c r="F107" s="526">
        <v>1</v>
      </c>
      <c r="G107" s="526" t="s">
        <v>709</v>
      </c>
      <c r="H107" s="526" t="s">
        <v>14</v>
      </c>
      <c r="I107" s="527">
        <v>42117</v>
      </c>
      <c r="J107" s="419" t="s">
        <v>726</v>
      </c>
      <c r="K107" s="88">
        <v>42149</v>
      </c>
      <c r="L107" s="351">
        <f t="shared" si="21"/>
        <v>23</v>
      </c>
      <c r="M107" s="384"/>
      <c r="N107" s="350" t="s">
        <v>123</v>
      </c>
      <c r="O107" s="69" t="s">
        <v>35</v>
      </c>
      <c r="P107" s="86">
        <v>42129</v>
      </c>
      <c r="Q107" s="21">
        <f>IF(ISBLANK(K107),0,SUM(K107,-I107))</f>
        <v>32</v>
      </c>
      <c r="R107" s="22">
        <f t="shared" si="20"/>
        <v>12</v>
      </c>
    </row>
    <row r="108" spans="2:18" ht="12.75" customHeight="1">
      <c r="B108" s="367" t="s">
        <v>727</v>
      </c>
      <c r="C108" s="526" t="s">
        <v>24</v>
      </c>
      <c r="D108" s="369">
        <v>42150</v>
      </c>
      <c r="E108" s="526">
        <v>1</v>
      </c>
      <c r="F108" s="526">
        <v>1</v>
      </c>
      <c r="G108" s="526" t="s">
        <v>728</v>
      </c>
      <c r="H108" s="526" t="s">
        <v>14</v>
      </c>
      <c r="I108" s="527">
        <v>42117</v>
      </c>
      <c r="J108" s="419" t="s">
        <v>729</v>
      </c>
      <c r="K108" s="88">
        <v>42136</v>
      </c>
      <c r="L108" s="351">
        <f t="shared" si="21"/>
        <v>14</v>
      </c>
      <c r="M108" s="384"/>
      <c r="N108" s="350" t="s">
        <v>123</v>
      </c>
      <c r="O108" s="69" t="s">
        <v>35</v>
      </c>
      <c r="P108" s="86">
        <v>42129</v>
      </c>
      <c r="Q108" s="21">
        <f t="shared" ref="Q108:Q123" si="22">IF(ISBLANK(K110),0,SUM(K110,-I110))</f>
        <v>24</v>
      </c>
      <c r="R108" s="22">
        <f t="shared" si="20"/>
        <v>12</v>
      </c>
    </row>
    <row r="109" spans="2:18" ht="12.75" customHeight="1">
      <c r="B109" s="364" t="s">
        <v>737</v>
      </c>
      <c r="C109" s="526" t="s">
        <v>24</v>
      </c>
      <c r="D109" s="369">
        <v>42163</v>
      </c>
      <c r="E109" s="526">
        <v>1</v>
      </c>
      <c r="F109" s="526">
        <v>1</v>
      </c>
      <c r="G109" s="526" t="s">
        <v>97</v>
      </c>
      <c r="H109" s="526" t="s">
        <v>14</v>
      </c>
      <c r="I109" s="527">
        <v>42117</v>
      </c>
      <c r="J109" s="419"/>
      <c r="K109" s="88">
        <v>42149</v>
      </c>
      <c r="L109" s="351">
        <f t="shared" si="21"/>
        <v>23</v>
      </c>
      <c r="M109" s="384"/>
      <c r="N109" s="350" t="s">
        <v>123</v>
      </c>
      <c r="O109" s="69" t="s">
        <v>35</v>
      </c>
      <c r="P109" s="86">
        <v>42135</v>
      </c>
      <c r="Q109" s="21">
        <f t="shared" si="22"/>
        <v>14</v>
      </c>
      <c r="R109" s="22">
        <f t="shared" si="20"/>
        <v>18</v>
      </c>
    </row>
    <row r="110" spans="2:18" ht="12.75" customHeight="1">
      <c r="B110" s="367" t="s">
        <v>723</v>
      </c>
      <c r="C110" s="526" t="s">
        <v>39</v>
      </c>
      <c r="D110" s="369">
        <v>42150</v>
      </c>
      <c r="E110" s="526">
        <v>1</v>
      </c>
      <c r="F110" s="526">
        <v>1</v>
      </c>
      <c r="G110" s="526" t="s">
        <v>99</v>
      </c>
      <c r="H110" s="526" t="s">
        <v>14</v>
      </c>
      <c r="I110" s="527">
        <v>42121</v>
      </c>
      <c r="J110" s="419" t="s">
        <v>724</v>
      </c>
      <c r="K110" s="88">
        <v>42145</v>
      </c>
      <c r="L110" s="351">
        <f t="shared" si="21"/>
        <v>19</v>
      </c>
      <c r="M110" s="384"/>
      <c r="N110" s="350" t="s">
        <v>123</v>
      </c>
      <c r="O110" s="69" t="s">
        <v>35</v>
      </c>
      <c r="P110" s="86">
        <v>42136</v>
      </c>
      <c r="Q110" s="21">
        <f t="shared" si="22"/>
        <v>8</v>
      </c>
      <c r="R110" s="22">
        <f t="shared" si="20"/>
        <v>15</v>
      </c>
    </row>
    <row r="111" spans="2:18" ht="12.75" customHeight="1">
      <c r="B111" s="358" t="s">
        <v>752</v>
      </c>
      <c r="C111" s="390" t="s">
        <v>78</v>
      </c>
      <c r="D111" s="360">
        <v>42142</v>
      </c>
      <c r="E111" s="390">
        <v>1</v>
      </c>
      <c r="F111" s="390">
        <v>1</v>
      </c>
      <c r="G111" s="390" t="s">
        <v>98</v>
      </c>
      <c r="H111" s="390" t="s">
        <v>79</v>
      </c>
      <c r="I111" s="391">
        <v>42122</v>
      </c>
      <c r="J111" s="392">
        <v>836.46</v>
      </c>
      <c r="K111" s="87">
        <v>42136</v>
      </c>
      <c r="L111" s="352">
        <f t="shared" si="21"/>
        <v>11</v>
      </c>
      <c r="M111" s="398"/>
      <c r="N111" s="399" t="s">
        <v>36</v>
      </c>
      <c r="O111" s="76"/>
      <c r="Q111" s="21">
        <f t="shared" si="22"/>
        <v>15</v>
      </c>
      <c r="R111" s="22">
        <f>IF(ISBLANK(P111),0,SUM(P111,-#REF!))</f>
        <v>0</v>
      </c>
    </row>
    <row r="112" spans="2:18" ht="12.75" customHeight="1">
      <c r="B112" s="358" t="s">
        <v>750</v>
      </c>
      <c r="C112" s="390" t="s">
        <v>83</v>
      </c>
      <c r="D112" s="360">
        <v>42150</v>
      </c>
      <c r="E112" s="390">
        <v>1</v>
      </c>
      <c r="F112" s="390">
        <v>1</v>
      </c>
      <c r="G112" s="390" t="s">
        <v>751</v>
      </c>
      <c r="H112" s="390" t="s">
        <v>79</v>
      </c>
      <c r="I112" s="391">
        <v>42122</v>
      </c>
      <c r="J112" s="392">
        <v>698.22</v>
      </c>
      <c r="K112" s="87">
        <v>42130</v>
      </c>
      <c r="L112" s="352">
        <f t="shared" si="21"/>
        <v>7</v>
      </c>
      <c r="M112" s="398"/>
      <c r="N112" s="399" t="s">
        <v>36</v>
      </c>
      <c r="O112" s="76"/>
      <c r="Q112" s="21">
        <f t="shared" si="22"/>
        <v>16</v>
      </c>
      <c r="R112" s="22">
        <f t="shared" si="20"/>
        <v>0</v>
      </c>
    </row>
    <row r="113" spans="1:18" ht="12.75" customHeight="1">
      <c r="B113" s="367" t="s">
        <v>756</v>
      </c>
      <c r="C113" s="526" t="s">
        <v>24</v>
      </c>
      <c r="D113" s="369">
        <v>42150</v>
      </c>
      <c r="E113" s="526">
        <v>1</v>
      </c>
      <c r="F113" s="526">
        <v>1</v>
      </c>
      <c r="G113" s="526" t="s">
        <v>203</v>
      </c>
      <c r="H113" s="526" t="s">
        <v>14</v>
      </c>
      <c r="I113" s="527">
        <v>42122</v>
      </c>
      <c r="J113" s="392">
        <v>986.04</v>
      </c>
      <c r="K113" s="88">
        <v>42137</v>
      </c>
      <c r="L113" s="351">
        <f t="shared" si="21"/>
        <v>12</v>
      </c>
      <c r="M113" s="384"/>
      <c r="N113" s="350" t="s">
        <v>123</v>
      </c>
      <c r="O113" s="69" t="s">
        <v>35</v>
      </c>
      <c r="P113" s="86">
        <v>42136</v>
      </c>
      <c r="Q113" s="21">
        <f t="shared" si="22"/>
        <v>47</v>
      </c>
      <c r="R113" s="22">
        <f t="shared" si="20"/>
        <v>14</v>
      </c>
    </row>
    <row r="114" spans="1:18" ht="12.75" customHeight="1">
      <c r="B114" s="367" t="s">
        <v>738</v>
      </c>
      <c r="C114" s="526" t="s">
        <v>24</v>
      </c>
      <c r="D114" s="369">
        <v>42150</v>
      </c>
      <c r="E114" s="526">
        <v>1</v>
      </c>
      <c r="F114" s="526">
        <v>1</v>
      </c>
      <c r="G114" s="526" t="s">
        <v>82</v>
      </c>
      <c r="H114" s="526" t="s">
        <v>14</v>
      </c>
      <c r="I114" s="527">
        <v>42123</v>
      </c>
      <c r="J114" s="392" t="s">
        <v>757</v>
      </c>
      <c r="K114" s="88">
        <v>42139</v>
      </c>
      <c r="L114" s="351">
        <f t="shared" si="21"/>
        <v>13</v>
      </c>
      <c r="M114" s="384"/>
      <c r="N114" s="350" t="s">
        <v>123</v>
      </c>
      <c r="O114" s="69" t="s">
        <v>33</v>
      </c>
      <c r="P114" s="86">
        <v>42135</v>
      </c>
      <c r="Q114" s="21">
        <f t="shared" si="22"/>
        <v>19</v>
      </c>
      <c r="R114" s="22">
        <f t="shared" si="20"/>
        <v>12</v>
      </c>
    </row>
    <row r="115" spans="1:18" ht="12.75" customHeight="1">
      <c r="A115" s="41" t="s">
        <v>122</v>
      </c>
      <c r="B115" s="367" t="s">
        <v>743</v>
      </c>
      <c r="C115" s="526" t="s">
        <v>24</v>
      </c>
      <c r="D115" s="369">
        <v>42150</v>
      </c>
      <c r="E115" s="526">
        <v>1</v>
      </c>
      <c r="F115" s="526">
        <v>1</v>
      </c>
      <c r="G115" s="526" t="s">
        <v>704</v>
      </c>
      <c r="H115" s="526" t="s">
        <v>14</v>
      </c>
      <c r="I115" s="527">
        <v>42123</v>
      </c>
      <c r="J115" s="392" t="s">
        <v>758</v>
      </c>
      <c r="K115" s="88">
        <v>42170</v>
      </c>
      <c r="L115" s="351">
        <f t="shared" ref="L115:L146" si="23">IF(ISBLANK(K115),"",NETWORKDAYS(I115,K115))</f>
        <v>34</v>
      </c>
      <c r="M115" s="384"/>
      <c r="N115" s="350" t="s">
        <v>123</v>
      </c>
      <c r="O115" s="69" t="s">
        <v>35</v>
      </c>
      <c r="P115" s="86">
        <v>42139</v>
      </c>
      <c r="Q115" s="21">
        <f>IF(ISBLANK(K115),0,SUM(K115,-I115))</f>
        <v>47</v>
      </c>
      <c r="R115" s="22">
        <f t="shared" si="20"/>
        <v>16</v>
      </c>
    </row>
    <row r="116" spans="1:18" ht="12.75" customHeight="1">
      <c r="B116" s="367" t="s">
        <v>753</v>
      </c>
      <c r="C116" s="526" t="s">
        <v>24</v>
      </c>
      <c r="D116" s="369">
        <v>42150</v>
      </c>
      <c r="E116" s="526">
        <v>1</v>
      </c>
      <c r="F116" s="526">
        <v>1</v>
      </c>
      <c r="G116" s="526" t="s">
        <v>754</v>
      </c>
      <c r="H116" s="526" t="s">
        <v>14</v>
      </c>
      <c r="I116" s="527">
        <v>42123</v>
      </c>
      <c r="J116" s="392" t="s">
        <v>755</v>
      </c>
      <c r="K116" s="88">
        <v>42142</v>
      </c>
      <c r="L116" s="351">
        <f t="shared" si="23"/>
        <v>14</v>
      </c>
      <c r="M116" s="384"/>
      <c r="N116" s="350" t="s">
        <v>123</v>
      </c>
      <c r="O116" s="69" t="s">
        <v>35</v>
      </c>
      <c r="P116" s="86">
        <v>42137</v>
      </c>
      <c r="Q116" s="21">
        <f t="shared" si="22"/>
        <v>12</v>
      </c>
      <c r="R116" s="22">
        <f t="shared" si="20"/>
        <v>14</v>
      </c>
    </row>
    <row r="117" spans="1:18" ht="12.75" customHeight="1">
      <c r="B117" s="532" t="s">
        <v>775</v>
      </c>
      <c r="C117" s="569" t="s">
        <v>24</v>
      </c>
      <c r="D117" s="534">
        <v>42150</v>
      </c>
      <c r="E117" s="569">
        <v>1</v>
      </c>
      <c r="F117" s="569">
        <v>1</v>
      </c>
      <c r="G117" s="569" t="s">
        <v>99</v>
      </c>
      <c r="H117" s="569" t="s">
        <v>14</v>
      </c>
      <c r="I117" s="570">
        <v>42123</v>
      </c>
      <c r="J117" s="393" t="s">
        <v>776</v>
      </c>
      <c r="K117" s="88">
        <v>42152</v>
      </c>
      <c r="L117" s="351">
        <f t="shared" si="23"/>
        <v>22</v>
      </c>
      <c r="M117" s="384"/>
      <c r="N117" s="350" t="s">
        <v>123</v>
      </c>
      <c r="O117" s="69" t="s">
        <v>35</v>
      </c>
      <c r="P117" s="86">
        <v>42139</v>
      </c>
      <c r="Q117" s="21">
        <f>IF(ISBLANK(K117),0,SUM(K117,-I117))</f>
        <v>29</v>
      </c>
      <c r="R117" s="22">
        <f t="shared" si="20"/>
        <v>16</v>
      </c>
    </row>
    <row r="118" spans="1:18" ht="12.75" customHeight="1">
      <c r="B118" s="400" t="s">
        <v>773</v>
      </c>
      <c r="C118" s="407" t="s">
        <v>78</v>
      </c>
      <c r="D118" s="402">
        <v>42150</v>
      </c>
      <c r="E118" s="407">
        <v>1</v>
      </c>
      <c r="F118" s="407">
        <v>1</v>
      </c>
      <c r="G118" s="407" t="s">
        <v>655</v>
      </c>
      <c r="H118" s="407" t="s">
        <v>79</v>
      </c>
      <c r="I118" s="408">
        <v>42123</v>
      </c>
      <c r="J118" s="393" t="s">
        <v>774</v>
      </c>
      <c r="K118" s="87">
        <v>42135</v>
      </c>
      <c r="L118" s="352">
        <f t="shared" si="23"/>
        <v>9</v>
      </c>
      <c r="M118" s="398"/>
      <c r="N118" s="399" t="s">
        <v>36</v>
      </c>
      <c r="O118" s="76"/>
      <c r="Q118" s="21">
        <f t="shared" si="22"/>
        <v>28</v>
      </c>
      <c r="R118" s="22">
        <f>IF(ISBLANK(P118),0,SUM(P118,-#REF!))</f>
        <v>0</v>
      </c>
    </row>
    <row r="119" spans="1:18" ht="12.75" customHeight="1">
      <c r="B119" s="406" t="s">
        <v>759</v>
      </c>
      <c r="C119" s="569" t="s">
        <v>24</v>
      </c>
      <c r="D119" s="534">
        <v>42163</v>
      </c>
      <c r="E119" s="569">
        <v>1</v>
      </c>
      <c r="F119" s="569">
        <v>1</v>
      </c>
      <c r="G119" s="569" t="s">
        <v>195</v>
      </c>
      <c r="H119" s="569" t="s">
        <v>251</v>
      </c>
      <c r="I119" s="570">
        <v>42124</v>
      </c>
      <c r="J119" s="393" t="s">
        <v>778</v>
      </c>
      <c r="K119" s="88">
        <v>42151</v>
      </c>
      <c r="L119" s="351">
        <f t="shared" si="23"/>
        <v>20</v>
      </c>
      <c r="M119" s="384"/>
      <c r="N119" s="350" t="s">
        <v>123</v>
      </c>
      <c r="O119" s="69" t="s">
        <v>35</v>
      </c>
      <c r="P119" s="86">
        <v>42168</v>
      </c>
      <c r="Q119" s="21">
        <f t="shared" si="22"/>
        <v>13</v>
      </c>
      <c r="R119" s="22">
        <f t="shared" si="20"/>
        <v>44</v>
      </c>
    </row>
    <row r="120" spans="1:18" ht="12.75" customHeight="1">
      <c r="B120" s="532" t="s">
        <v>777</v>
      </c>
      <c r="C120" s="569" t="s">
        <v>24</v>
      </c>
      <c r="D120" s="534">
        <v>42153</v>
      </c>
      <c r="E120" s="569">
        <v>2</v>
      </c>
      <c r="F120" s="569">
        <v>2</v>
      </c>
      <c r="G120" s="569" t="s">
        <v>97</v>
      </c>
      <c r="H120" s="569" t="s">
        <v>14</v>
      </c>
      <c r="I120" s="570">
        <v>42124</v>
      </c>
      <c r="J120" s="393" t="s">
        <v>608</v>
      </c>
      <c r="K120" s="88">
        <v>42152</v>
      </c>
      <c r="L120" s="351">
        <f t="shared" si="23"/>
        <v>21</v>
      </c>
      <c r="M120" s="384"/>
      <c r="N120" s="350" t="s">
        <v>123</v>
      </c>
      <c r="O120" s="69" t="s">
        <v>35</v>
      </c>
      <c r="P120" s="86">
        <v>42139</v>
      </c>
      <c r="Q120" s="21">
        <f>IF(ISBLANK(K120),0,SUM(K120,-I120))</f>
        <v>28</v>
      </c>
      <c r="R120" s="22">
        <f t="shared" si="20"/>
        <v>15</v>
      </c>
    </row>
    <row r="121" spans="1:18" ht="12.75" customHeight="1">
      <c r="B121" s="400" t="s">
        <v>770</v>
      </c>
      <c r="C121" s="407" t="s">
        <v>78</v>
      </c>
      <c r="D121" s="402">
        <v>42139</v>
      </c>
      <c r="E121" s="407">
        <v>1</v>
      </c>
      <c r="F121" s="407">
        <v>1</v>
      </c>
      <c r="G121" s="407" t="s">
        <v>771</v>
      </c>
      <c r="H121" s="407" t="s">
        <v>79</v>
      </c>
      <c r="I121" s="408">
        <v>42124</v>
      </c>
      <c r="J121" s="393" t="s">
        <v>772</v>
      </c>
      <c r="K121" s="87">
        <v>42137</v>
      </c>
      <c r="L121" s="352">
        <f t="shared" si="23"/>
        <v>10</v>
      </c>
      <c r="M121" s="398"/>
      <c r="N121" s="399" t="s">
        <v>36</v>
      </c>
      <c r="O121" s="76"/>
      <c r="Q121" s="21">
        <f t="shared" si="22"/>
        <v>17</v>
      </c>
      <c r="R121" s="22">
        <f>IF(ISBLANK(P121),0,SUM(P121,-#REF!))</f>
        <v>0</v>
      </c>
    </row>
    <row r="122" spans="1:18" ht="12.75" customHeight="1">
      <c r="A122" s="41" t="s">
        <v>122</v>
      </c>
      <c r="B122" s="532" t="s">
        <v>779</v>
      </c>
      <c r="C122" s="569" t="s">
        <v>81</v>
      </c>
      <c r="D122" s="534">
        <v>42151</v>
      </c>
      <c r="E122" s="569">
        <v>4</v>
      </c>
      <c r="F122" s="569">
        <v>4</v>
      </c>
      <c r="G122" s="569" t="s">
        <v>477</v>
      </c>
      <c r="H122" s="569" t="s">
        <v>14</v>
      </c>
      <c r="I122" s="570">
        <v>42124</v>
      </c>
      <c r="J122" s="393" t="s">
        <v>780</v>
      </c>
      <c r="K122" s="88">
        <v>42164</v>
      </c>
      <c r="L122" s="351">
        <f t="shared" si="23"/>
        <v>29</v>
      </c>
      <c r="M122" s="384"/>
      <c r="N122" s="350" t="s">
        <v>123</v>
      </c>
      <c r="O122" s="69" t="s">
        <v>33</v>
      </c>
      <c r="P122" s="86">
        <v>42149</v>
      </c>
      <c r="Q122" s="21">
        <f>IF(ISBLANK(K122),0,SUM(K122,-I122))</f>
        <v>40</v>
      </c>
      <c r="R122" s="22">
        <f t="shared" si="20"/>
        <v>25</v>
      </c>
    </row>
    <row r="123" spans="1:18" ht="12.75" customHeight="1">
      <c r="B123" s="532" t="s">
        <v>799</v>
      </c>
      <c r="C123" s="533" t="s">
        <v>39</v>
      </c>
      <c r="D123" s="534">
        <v>42144</v>
      </c>
      <c r="E123" s="533">
        <v>2</v>
      </c>
      <c r="F123" s="533">
        <v>2</v>
      </c>
      <c r="G123" s="533" t="s">
        <v>500</v>
      </c>
      <c r="H123" s="533" t="s">
        <v>14</v>
      </c>
      <c r="I123" s="535">
        <v>42128</v>
      </c>
      <c r="J123" s="371">
        <v>588.45000000000005</v>
      </c>
      <c r="K123" s="88">
        <v>42145</v>
      </c>
      <c r="L123" s="351">
        <f t="shared" si="23"/>
        <v>14</v>
      </c>
      <c r="M123" s="384"/>
      <c r="N123" s="350" t="s">
        <v>123</v>
      </c>
      <c r="O123" s="69" t="s">
        <v>35</v>
      </c>
      <c r="P123" s="86">
        <v>42144</v>
      </c>
      <c r="Q123" s="21">
        <f t="shared" si="22"/>
        <v>23</v>
      </c>
      <c r="R123" s="22">
        <f t="shared" si="20"/>
        <v>16</v>
      </c>
    </row>
    <row r="124" spans="1:18" ht="12.75" customHeight="1">
      <c r="B124" s="532" t="s">
        <v>800</v>
      </c>
      <c r="C124" s="533" t="s">
        <v>39</v>
      </c>
      <c r="D124" s="534">
        <v>42156</v>
      </c>
      <c r="E124" s="533">
        <v>1</v>
      </c>
      <c r="F124" s="533">
        <v>1</v>
      </c>
      <c r="G124" s="533" t="s">
        <v>99</v>
      </c>
      <c r="H124" s="533" t="s">
        <v>14</v>
      </c>
      <c r="I124" s="535">
        <v>42128</v>
      </c>
      <c r="J124" s="371" t="s">
        <v>801</v>
      </c>
      <c r="K124" s="88">
        <v>42153</v>
      </c>
      <c r="L124" s="351">
        <f t="shared" si="23"/>
        <v>20</v>
      </c>
      <c r="M124" s="384"/>
      <c r="N124" s="350" t="s">
        <v>123</v>
      </c>
      <c r="O124" s="69" t="s">
        <v>35</v>
      </c>
      <c r="P124" s="86">
        <v>42143</v>
      </c>
      <c r="Q124" s="21">
        <f t="shared" ref="Q124:Q131" si="24">IF(ISBLANK(K124),0,SUM(K124,-I124))</f>
        <v>25</v>
      </c>
      <c r="R124" s="22">
        <f t="shared" si="20"/>
        <v>15</v>
      </c>
    </row>
    <row r="125" spans="1:18" ht="12.75" customHeight="1">
      <c r="B125" s="532" t="s">
        <v>805</v>
      </c>
      <c r="C125" s="533" t="s">
        <v>24</v>
      </c>
      <c r="D125" s="534">
        <v>42156</v>
      </c>
      <c r="E125" s="533">
        <v>1</v>
      </c>
      <c r="F125" s="533">
        <v>1</v>
      </c>
      <c r="G125" s="533" t="s">
        <v>268</v>
      </c>
      <c r="H125" s="533" t="s">
        <v>14</v>
      </c>
      <c r="I125" s="535">
        <v>42129</v>
      </c>
      <c r="J125" s="371" t="s">
        <v>806</v>
      </c>
      <c r="K125" s="88">
        <v>42152</v>
      </c>
      <c r="L125" s="351">
        <f t="shared" si="23"/>
        <v>18</v>
      </c>
      <c r="M125" s="384"/>
      <c r="N125" s="350" t="s">
        <v>123</v>
      </c>
      <c r="O125" s="69" t="s">
        <v>35</v>
      </c>
      <c r="P125" s="86">
        <v>42139</v>
      </c>
      <c r="Q125" s="21">
        <f t="shared" si="24"/>
        <v>23</v>
      </c>
      <c r="R125" s="22">
        <f t="shared" si="20"/>
        <v>10</v>
      </c>
    </row>
    <row r="126" spans="1:18" ht="12.75" customHeight="1">
      <c r="B126" s="532" t="s">
        <v>808</v>
      </c>
      <c r="C126" s="533" t="s">
        <v>24</v>
      </c>
      <c r="D126" s="534">
        <v>42156</v>
      </c>
      <c r="E126" s="533">
        <v>1</v>
      </c>
      <c r="F126" s="533">
        <v>1</v>
      </c>
      <c r="G126" s="533" t="s">
        <v>97</v>
      </c>
      <c r="H126" s="533" t="s">
        <v>14</v>
      </c>
      <c r="I126" s="535">
        <v>42129</v>
      </c>
      <c r="J126" s="371" t="s">
        <v>809</v>
      </c>
      <c r="K126" s="88">
        <v>42156</v>
      </c>
      <c r="L126" s="351">
        <f t="shared" si="23"/>
        <v>20</v>
      </c>
      <c r="M126" s="384"/>
      <c r="N126" s="350" t="s">
        <v>123</v>
      </c>
      <c r="O126" s="69" t="s">
        <v>35</v>
      </c>
      <c r="P126" s="86">
        <v>42142</v>
      </c>
      <c r="Q126" s="21">
        <f t="shared" si="24"/>
        <v>27</v>
      </c>
      <c r="R126" s="22">
        <f t="shared" si="20"/>
        <v>13</v>
      </c>
    </row>
    <row r="127" spans="1:18" ht="12.75" customHeight="1">
      <c r="B127" s="532" t="s">
        <v>811</v>
      </c>
      <c r="C127" s="533" t="s">
        <v>24</v>
      </c>
      <c r="D127" s="534">
        <v>42156</v>
      </c>
      <c r="E127" s="533">
        <v>1</v>
      </c>
      <c r="F127" s="533">
        <v>1</v>
      </c>
      <c r="G127" s="533" t="s">
        <v>812</v>
      </c>
      <c r="H127" s="533" t="s">
        <v>14</v>
      </c>
      <c r="I127" s="535">
        <v>42129</v>
      </c>
      <c r="J127" s="371" t="s">
        <v>813</v>
      </c>
      <c r="K127" s="88">
        <v>42156</v>
      </c>
      <c r="L127" s="351">
        <f t="shared" si="23"/>
        <v>20</v>
      </c>
      <c r="M127" s="384"/>
      <c r="N127" s="350" t="s">
        <v>123</v>
      </c>
      <c r="O127" s="69" t="s">
        <v>35</v>
      </c>
      <c r="P127" s="86">
        <v>42142</v>
      </c>
      <c r="Q127" s="21">
        <f>IF(ISBLANK(K127),0,SUM(K127,-I127))</f>
        <v>27</v>
      </c>
      <c r="R127" s="22">
        <f t="shared" si="20"/>
        <v>13</v>
      </c>
    </row>
    <row r="128" spans="1:18" ht="12.75" customHeight="1">
      <c r="B128" s="532" t="s">
        <v>824</v>
      </c>
      <c r="C128" s="533" t="s">
        <v>39</v>
      </c>
      <c r="D128" s="534">
        <v>42144</v>
      </c>
      <c r="E128" s="533">
        <v>1</v>
      </c>
      <c r="F128" s="533">
        <v>1</v>
      </c>
      <c r="G128" s="533" t="s">
        <v>500</v>
      </c>
      <c r="H128" s="533" t="s">
        <v>14</v>
      </c>
      <c r="I128" s="535">
        <v>42130</v>
      </c>
      <c r="J128" s="371">
        <v>611.66</v>
      </c>
      <c r="K128" s="88">
        <v>42152</v>
      </c>
      <c r="L128" s="351">
        <f t="shared" si="23"/>
        <v>17</v>
      </c>
      <c r="M128" s="384"/>
      <c r="N128" s="350" t="s">
        <v>123</v>
      </c>
      <c r="O128" s="69" t="s">
        <v>35</v>
      </c>
      <c r="P128" s="86">
        <v>42142</v>
      </c>
      <c r="Q128" s="21">
        <f t="shared" si="24"/>
        <v>22</v>
      </c>
      <c r="R128" s="22">
        <f t="shared" si="20"/>
        <v>12</v>
      </c>
    </row>
    <row r="129" spans="1:18" ht="12.75" customHeight="1">
      <c r="B129" s="532" t="s">
        <v>826</v>
      </c>
      <c r="C129" s="533" t="s">
        <v>24</v>
      </c>
      <c r="D129" s="534">
        <v>42156</v>
      </c>
      <c r="E129" s="533">
        <v>1</v>
      </c>
      <c r="F129" s="533">
        <v>1</v>
      </c>
      <c r="G129" s="533" t="s">
        <v>572</v>
      </c>
      <c r="H129" s="533" t="s">
        <v>14</v>
      </c>
      <c r="I129" s="535">
        <v>42130</v>
      </c>
      <c r="J129" s="371" t="s">
        <v>827</v>
      </c>
      <c r="K129" s="88">
        <v>42157</v>
      </c>
      <c r="L129" s="351">
        <f t="shared" si="23"/>
        <v>20</v>
      </c>
      <c r="M129" s="384"/>
      <c r="N129" s="350" t="s">
        <v>123</v>
      </c>
      <c r="O129" s="69" t="s">
        <v>35</v>
      </c>
      <c r="P129" s="86">
        <v>42143</v>
      </c>
      <c r="Q129" s="21">
        <f t="shared" si="24"/>
        <v>27</v>
      </c>
      <c r="R129" s="22">
        <f t="shared" si="20"/>
        <v>13</v>
      </c>
    </row>
    <row r="130" spans="1:18" ht="12.75" customHeight="1">
      <c r="B130" s="576" t="s">
        <v>851</v>
      </c>
      <c r="C130" s="577" t="s">
        <v>24</v>
      </c>
      <c r="D130" s="578">
        <v>42163</v>
      </c>
      <c r="E130" s="577">
        <v>1</v>
      </c>
      <c r="F130" s="577">
        <v>1</v>
      </c>
      <c r="G130" s="577" t="s">
        <v>494</v>
      </c>
      <c r="H130" s="577" t="s">
        <v>14</v>
      </c>
      <c r="I130" s="579">
        <v>42131</v>
      </c>
      <c r="J130" s="563" t="s">
        <v>776</v>
      </c>
      <c r="K130" s="88">
        <v>42156</v>
      </c>
      <c r="L130" s="351">
        <f t="shared" si="23"/>
        <v>18</v>
      </c>
      <c r="M130" s="384"/>
      <c r="N130" s="350" t="s">
        <v>123</v>
      </c>
      <c r="O130" s="69" t="s">
        <v>35</v>
      </c>
      <c r="P130" s="86">
        <v>42144</v>
      </c>
      <c r="Q130" s="21">
        <f t="shared" si="24"/>
        <v>25</v>
      </c>
      <c r="R130" s="22">
        <f t="shared" si="20"/>
        <v>13</v>
      </c>
    </row>
    <row r="131" spans="1:18" ht="12.75" customHeight="1">
      <c r="B131" s="576" t="s">
        <v>869</v>
      </c>
      <c r="C131" s="577" t="s">
        <v>24</v>
      </c>
      <c r="D131" s="578">
        <v>42167</v>
      </c>
      <c r="E131" s="577">
        <v>1</v>
      </c>
      <c r="F131" s="577">
        <v>1</v>
      </c>
      <c r="G131" s="577" t="s">
        <v>477</v>
      </c>
      <c r="H131" s="577" t="s">
        <v>14</v>
      </c>
      <c r="I131" s="579">
        <v>42135</v>
      </c>
      <c r="J131" s="563"/>
      <c r="K131" s="88">
        <v>42159</v>
      </c>
      <c r="L131" s="351">
        <f t="shared" si="23"/>
        <v>19</v>
      </c>
      <c r="M131" s="384"/>
      <c r="N131" s="350" t="s">
        <v>123</v>
      </c>
      <c r="O131" s="69" t="s">
        <v>35</v>
      </c>
      <c r="P131" s="86">
        <v>42145</v>
      </c>
      <c r="Q131" s="21">
        <f t="shared" si="24"/>
        <v>24</v>
      </c>
      <c r="R131" s="22">
        <f t="shared" si="20"/>
        <v>10</v>
      </c>
    </row>
    <row r="132" spans="1:18" ht="12.75" customHeight="1">
      <c r="B132" s="568" t="s">
        <v>847</v>
      </c>
      <c r="C132" s="565" t="s">
        <v>78</v>
      </c>
      <c r="D132" s="566">
        <v>42177</v>
      </c>
      <c r="E132" s="565">
        <v>1</v>
      </c>
      <c r="F132" s="565">
        <v>1</v>
      </c>
      <c r="G132" s="565" t="s">
        <v>815</v>
      </c>
      <c r="H132" s="565" t="s">
        <v>251</v>
      </c>
      <c r="I132" s="567">
        <v>42135</v>
      </c>
      <c r="J132" s="563"/>
      <c r="K132" s="87">
        <v>42149</v>
      </c>
      <c r="L132" s="352">
        <f t="shared" si="23"/>
        <v>11</v>
      </c>
      <c r="M132" s="398"/>
      <c r="N132" s="399" t="s">
        <v>36</v>
      </c>
      <c r="O132" s="76"/>
      <c r="P132" s="86">
        <v>42145</v>
      </c>
      <c r="Q132" s="21">
        <f>IF(ISBLANK(K134),0,SUM(K134,-I134))</f>
        <v>10</v>
      </c>
      <c r="R132" s="22">
        <f t="shared" si="20"/>
        <v>10</v>
      </c>
    </row>
    <row r="133" spans="1:18" ht="12.75" customHeight="1">
      <c r="B133" s="576" t="s">
        <v>835</v>
      </c>
      <c r="C133" s="577" t="s">
        <v>24</v>
      </c>
      <c r="D133" s="578">
        <v>42154</v>
      </c>
      <c r="E133" s="577">
        <v>1</v>
      </c>
      <c r="F133" s="577">
        <v>1</v>
      </c>
      <c r="G133" s="577" t="s">
        <v>836</v>
      </c>
      <c r="H133" s="577" t="s">
        <v>14</v>
      </c>
      <c r="I133" s="579">
        <v>42135</v>
      </c>
      <c r="J133" s="563" t="s">
        <v>848</v>
      </c>
      <c r="K133" s="88">
        <v>42174</v>
      </c>
      <c r="L133" s="351">
        <f t="shared" si="23"/>
        <v>30</v>
      </c>
      <c r="M133" s="384"/>
      <c r="N133" s="350" t="s">
        <v>123</v>
      </c>
      <c r="O133" s="69" t="s">
        <v>35</v>
      </c>
      <c r="P133" s="86">
        <v>42170</v>
      </c>
      <c r="Q133" s="21">
        <f>IF(ISBLANK(K133),0,SUM(K133,-I133))</f>
        <v>39</v>
      </c>
      <c r="R133" s="22">
        <f t="shared" si="20"/>
        <v>35</v>
      </c>
    </row>
    <row r="134" spans="1:18" ht="12.75" customHeight="1">
      <c r="B134" s="564" t="s">
        <v>845</v>
      </c>
      <c r="C134" s="565" t="s">
        <v>83</v>
      </c>
      <c r="D134" s="566">
        <v>42163</v>
      </c>
      <c r="E134" s="565">
        <v>1</v>
      </c>
      <c r="F134" s="565">
        <v>1</v>
      </c>
      <c r="G134" s="565" t="s">
        <v>98</v>
      </c>
      <c r="H134" s="565" t="s">
        <v>79</v>
      </c>
      <c r="I134" s="567">
        <v>42135</v>
      </c>
      <c r="J134" s="563">
        <v>620.75</v>
      </c>
      <c r="K134" s="87">
        <v>42145</v>
      </c>
      <c r="L134" s="352">
        <f t="shared" si="23"/>
        <v>9</v>
      </c>
      <c r="M134" s="398"/>
      <c r="N134" s="399" t="s">
        <v>36</v>
      </c>
      <c r="O134" s="76"/>
      <c r="Q134" s="21">
        <f>IF(ISBLANK(K136),0,SUM(K136,-I136))</f>
        <v>24</v>
      </c>
      <c r="R134" s="22">
        <f t="shared" si="20"/>
        <v>0</v>
      </c>
    </row>
    <row r="135" spans="1:18" ht="12.75" customHeight="1">
      <c r="B135" s="576" t="s">
        <v>854</v>
      </c>
      <c r="C135" s="577" t="s">
        <v>24</v>
      </c>
      <c r="D135" s="578">
        <v>42163</v>
      </c>
      <c r="E135" s="577">
        <v>1</v>
      </c>
      <c r="F135" s="577">
        <v>1</v>
      </c>
      <c r="G135" s="577" t="s">
        <v>97</v>
      </c>
      <c r="H135" s="577" t="s">
        <v>14</v>
      </c>
      <c r="I135" s="579">
        <v>42135</v>
      </c>
      <c r="J135" s="563" t="s">
        <v>855</v>
      </c>
      <c r="K135" s="88">
        <v>42159</v>
      </c>
      <c r="L135" s="351">
        <f t="shared" si="23"/>
        <v>19</v>
      </c>
      <c r="M135" s="384"/>
      <c r="N135" s="350" t="s">
        <v>123</v>
      </c>
      <c r="O135" s="69" t="s">
        <v>35</v>
      </c>
      <c r="P135" s="86">
        <v>42153</v>
      </c>
      <c r="Q135" s="21">
        <f t="shared" ref="Q135:Q181" si="25">IF(ISBLANK(K135),0,SUM(K135,-I135))</f>
        <v>24</v>
      </c>
      <c r="R135" s="22">
        <f t="shared" si="20"/>
        <v>18</v>
      </c>
    </row>
    <row r="136" spans="1:18" ht="12.75" customHeight="1">
      <c r="B136" s="576" t="s">
        <v>849</v>
      </c>
      <c r="C136" s="577" t="s">
        <v>24</v>
      </c>
      <c r="D136" s="578">
        <v>42163</v>
      </c>
      <c r="E136" s="577">
        <v>1</v>
      </c>
      <c r="F136" s="577">
        <v>1</v>
      </c>
      <c r="G136" s="599" t="s">
        <v>850</v>
      </c>
      <c r="H136" s="577" t="s">
        <v>14</v>
      </c>
      <c r="I136" s="579">
        <v>42135</v>
      </c>
      <c r="J136" s="563"/>
      <c r="K136" s="88">
        <v>42159</v>
      </c>
      <c r="L136" s="351">
        <f t="shared" si="23"/>
        <v>19</v>
      </c>
      <c r="M136" s="384"/>
      <c r="N136" s="350" t="s">
        <v>123</v>
      </c>
      <c r="O136" s="69" t="s">
        <v>33</v>
      </c>
      <c r="P136" s="86">
        <v>42149</v>
      </c>
      <c r="Q136" s="21">
        <f t="shared" si="25"/>
        <v>24</v>
      </c>
      <c r="R136" s="22">
        <f t="shared" si="20"/>
        <v>14</v>
      </c>
    </row>
    <row r="137" spans="1:18" ht="12.75" customHeight="1">
      <c r="B137" s="576" t="s">
        <v>852</v>
      </c>
      <c r="C137" s="577" t="s">
        <v>24</v>
      </c>
      <c r="D137" s="578">
        <v>42163</v>
      </c>
      <c r="E137" s="577">
        <v>1</v>
      </c>
      <c r="F137" s="577">
        <v>1</v>
      </c>
      <c r="G137" s="577" t="s">
        <v>88</v>
      </c>
      <c r="H137" s="577" t="s">
        <v>14</v>
      </c>
      <c r="I137" s="579">
        <v>42135</v>
      </c>
      <c r="J137" s="563" t="s">
        <v>853</v>
      </c>
      <c r="K137" s="88">
        <v>42160</v>
      </c>
      <c r="L137" s="351">
        <f t="shared" si="23"/>
        <v>20</v>
      </c>
      <c r="M137" s="384"/>
      <c r="N137" s="350" t="s">
        <v>123</v>
      </c>
      <c r="O137" s="69" t="s">
        <v>35</v>
      </c>
      <c r="P137" s="86">
        <v>42145</v>
      </c>
      <c r="Q137" s="21">
        <f t="shared" si="25"/>
        <v>25</v>
      </c>
      <c r="R137" s="22">
        <f t="shared" si="20"/>
        <v>10</v>
      </c>
    </row>
    <row r="138" spans="1:18" ht="12.75" customHeight="1">
      <c r="B138" s="564" t="s">
        <v>846</v>
      </c>
      <c r="C138" s="565" t="s">
        <v>78</v>
      </c>
      <c r="D138" s="566">
        <v>42163</v>
      </c>
      <c r="E138" s="565">
        <v>1</v>
      </c>
      <c r="F138" s="565">
        <v>1</v>
      </c>
      <c r="G138" s="565" t="s">
        <v>655</v>
      </c>
      <c r="H138" s="565" t="s">
        <v>79</v>
      </c>
      <c r="I138" s="567">
        <v>42135</v>
      </c>
      <c r="J138" s="563" t="s">
        <v>774</v>
      </c>
      <c r="K138" s="87">
        <v>42157</v>
      </c>
      <c r="L138" s="352">
        <f t="shared" si="23"/>
        <v>17</v>
      </c>
      <c r="M138" s="398"/>
      <c r="N138" s="399" t="s">
        <v>36</v>
      </c>
      <c r="O138" s="76"/>
      <c r="Q138" s="21">
        <f t="shared" si="25"/>
        <v>22</v>
      </c>
      <c r="R138" s="22">
        <f t="shared" si="20"/>
        <v>0</v>
      </c>
    </row>
    <row r="139" spans="1:18" ht="12.75" customHeight="1">
      <c r="B139" s="587" t="s">
        <v>874</v>
      </c>
      <c r="C139" s="588" t="s">
        <v>24</v>
      </c>
      <c r="D139" s="589">
        <v>42163</v>
      </c>
      <c r="E139" s="588">
        <v>1</v>
      </c>
      <c r="F139" s="588">
        <v>1</v>
      </c>
      <c r="G139" s="588" t="s">
        <v>196</v>
      </c>
      <c r="H139" s="588" t="s">
        <v>14</v>
      </c>
      <c r="I139" s="590">
        <v>42136</v>
      </c>
      <c r="J139" s="571" t="s">
        <v>880</v>
      </c>
      <c r="K139" s="88">
        <v>42170</v>
      </c>
      <c r="L139" s="351">
        <f t="shared" si="23"/>
        <v>25</v>
      </c>
      <c r="M139" s="384"/>
      <c r="N139" s="350" t="s">
        <v>123</v>
      </c>
      <c r="O139" s="69" t="s">
        <v>35</v>
      </c>
      <c r="P139" s="86">
        <v>42144</v>
      </c>
      <c r="Q139" s="21">
        <f t="shared" si="25"/>
        <v>34</v>
      </c>
      <c r="R139" s="22">
        <f t="shared" si="20"/>
        <v>8</v>
      </c>
    </row>
    <row r="140" spans="1:18" ht="12.75" customHeight="1">
      <c r="B140" s="580" t="s">
        <v>887</v>
      </c>
      <c r="C140" s="588" t="s">
        <v>24</v>
      </c>
      <c r="D140" s="589">
        <v>42177</v>
      </c>
      <c r="E140" s="588">
        <v>2</v>
      </c>
      <c r="F140" s="588">
        <v>2</v>
      </c>
      <c r="G140" s="588" t="s">
        <v>88</v>
      </c>
      <c r="H140" s="588" t="s">
        <v>251</v>
      </c>
      <c r="I140" s="590">
        <v>42136</v>
      </c>
      <c r="J140" s="571" t="s">
        <v>888</v>
      </c>
      <c r="K140" s="88">
        <v>42172</v>
      </c>
      <c r="L140" s="351">
        <f t="shared" si="23"/>
        <v>27</v>
      </c>
      <c r="M140" s="384"/>
      <c r="N140" s="350" t="s">
        <v>123</v>
      </c>
      <c r="O140" s="69" t="s">
        <v>33</v>
      </c>
      <c r="P140" s="86">
        <v>42149</v>
      </c>
      <c r="Q140" s="21">
        <f t="shared" si="25"/>
        <v>36</v>
      </c>
      <c r="R140" s="22">
        <f t="shared" si="20"/>
        <v>13</v>
      </c>
    </row>
    <row r="141" spans="1:18" ht="12.75" customHeight="1">
      <c r="B141" s="587" t="s">
        <v>881</v>
      </c>
      <c r="C141" s="588" t="s">
        <v>24</v>
      </c>
      <c r="D141" s="589">
        <v>42163</v>
      </c>
      <c r="E141" s="588">
        <v>1</v>
      </c>
      <c r="F141" s="588">
        <v>1</v>
      </c>
      <c r="G141" s="588" t="s">
        <v>97</v>
      </c>
      <c r="H141" s="588" t="s">
        <v>14</v>
      </c>
      <c r="I141" s="590">
        <v>42136</v>
      </c>
      <c r="J141" s="571" t="s">
        <v>882</v>
      </c>
      <c r="K141" s="88">
        <v>42160</v>
      </c>
      <c r="L141" s="351">
        <f t="shared" si="23"/>
        <v>19</v>
      </c>
      <c r="M141" s="384"/>
      <c r="N141" s="350" t="s">
        <v>123</v>
      </c>
      <c r="O141" s="69" t="s">
        <v>35</v>
      </c>
      <c r="P141" s="86">
        <v>42151</v>
      </c>
      <c r="Q141" s="21">
        <f t="shared" si="25"/>
        <v>24</v>
      </c>
      <c r="R141" s="22">
        <f t="shared" si="20"/>
        <v>15</v>
      </c>
    </row>
    <row r="142" spans="1:18" ht="12.75" customHeight="1">
      <c r="B142" s="587" t="s">
        <v>877</v>
      </c>
      <c r="C142" s="588" t="s">
        <v>39</v>
      </c>
      <c r="D142" s="589">
        <v>42163</v>
      </c>
      <c r="E142" s="588">
        <v>2</v>
      </c>
      <c r="F142" s="588">
        <v>2</v>
      </c>
      <c r="G142" s="588" t="s">
        <v>89</v>
      </c>
      <c r="H142" s="588" t="s">
        <v>14</v>
      </c>
      <c r="I142" s="590">
        <v>42136</v>
      </c>
      <c r="J142" s="571" t="s">
        <v>878</v>
      </c>
      <c r="K142" s="88">
        <v>42153</v>
      </c>
      <c r="L142" s="351">
        <f t="shared" si="23"/>
        <v>14</v>
      </c>
      <c r="M142" s="384"/>
      <c r="N142" s="350" t="s">
        <v>123</v>
      </c>
      <c r="O142" s="69" t="s">
        <v>33</v>
      </c>
      <c r="P142" s="86">
        <v>42149</v>
      </c>
      <c r="Q142" s="21">
        <f t="shared" si="25"/>
        <v>17</v>
      </c>
      <c r="R142" s="22">
        <f t="shared" si="20"/>
        <v>13</v>
      </c>
    </row>
    <row r="143" spans="1:18" ht="12.75" customHeight="1">
      <c r="A143" s="41" t="s">
        <v>122</v>
      </c>
      <c r="B143" s="587" t="s">
        <v>879</v>
      </c>
      <c r="C143" s="588" t="s">
        <v>39</v>
      </c>
      <c r="D143" s="589">
        <v>42163</v>
      </c>
      <c r="E143" s="588">
        <v>1</v>
      </c>
      <c r="F143" s="588">
        <v>1</v>
      </c>
      <c r="G143" s="588" t="s">
        <v>127</v>
      </c>
      <c r="H143" s="588" t="s">
        <v>14</v>
      </c>
      <c r="I143" s="590">
        <v>42136</v>
      </c>
      <c r="J143" s="571">
        <v>927.6</v>
      </c>
      <c r="K143" s="88">
        <v>42164</v>
      </c>
      <c r="L143" s="351">
        <f t="shared" si="23"/>
        <v>21</v>
      </c>
      <c r="M143" s="384"/>
      <c r="N143" s="350" t="s">
        <v>123</v>
      </c>
      <c r="O143" s="69" t="s">
        <v>35</v>
      </c>
      <c r="P143" s="86">
        <v>42163</v>
      </c>
      <c r="Q143" s="21">
        <f t="shared" si="25"/>
        <v>28</v>
      </c>
      <c r="R143" s="22">
        <f t="shared" si="20"/>
        <v>27</v>
      </c>
    </row>
    <row r="144" spans="1:18" ht="12.75" customHeight="1">
      <c r="A144" s="41" t="s">
        <v>122</v>
      </c>
      <c r="B144" s="587" t="s">
        <v>883</v>
      </c>
      <c r="C144" s="588" t="s">
        <v>24</v>
      </c>
      <c r="D144" s="589">
        <v>42163</v>
      </c>
      <c r="E144" s="588">
        <v>3</v>
      </c>
      <c r="F144" s="588">
        <v>3</v>
      </c>
      <c r="G144" s="588" t="s">
        <v>884</v>
      </c>
      <c r="H144" s="588" t="s">
        <v>14</v>
      </c>
      <c r="I144" s="590">
        <v>42136</v>
      </c>
      <c r="J144" s="571" t="s">
        <v>885</v>
      </c>
      <c r="K144" s="88">
        <v>42160</v>
      </c>
      <c r="L144" s="351">
        <f t="shared" si="23"/>
        <v>19</v>
      </c>
      <c r="M144" s="384"/>
      <c r="N144" s="350" t="s">
        <v>123</v>
      </c>
      <c r="O144" s="69" t="s">
        <v>34</v>
      </c>
      <c r="P144" s="86">
        <v>42157</v>
      </c>
      <c r="Q144" s="21">
        <f t="shared" si="25"/>
        <v>24</v>
      </c>
      <c r="R144" s="22">
        <f t="shared" si="20"/>
        <v>21</v>
      </c>
    </row>
    <row r="145" spans="2:18" ht="12.75" customHeight="1">
      <c r="B145" s="587" t="s">
        <v>1014</v>
      </c>
      <c r="C145" s="588" t="s">
        <v>24</v>
      </c>
      <c r="D145" s="589">
        <v>42165</v>
      </c>
      <c r="E145" s="588">
        <v>1</v>
      </c>
      <c r="F145" s="588">
        <v>1</v>
      </c>
      <c r="G145" s="607" t="s">
        <v>1015</v>
      </c>
      <c r="H145" s="588" t="s">
        <v>14</v>
      </c>
      <c r="I145" s="590">
        <v>42137</v>
      </c>
      <c r="J145" s="571"/>
      <c r="K145" s="88">
        <v>42170</v>
      </c>
      <c r="L145" s="351">
        <f t="shared" si="23"/>
        <v>24</v>
      </c>
      <c r="M145" s="384"/>
      <c r="N145" s="350" t="s">
        <v>123</v>
      </c>
      <c r="O145" s="69" t="s">
        <v>35</v>
      </c>
      <c r="P145" s="86">
        <v>42153</v>
      </c>
      <c r="Q145" s="21">
        <f>IF(ISBLANK(K145),0,SUM(K145,-I145))</f>
        <v>33</v>
      </c>
      <c r="R145" s="22">
        <f>IF(ISBLANK(P145),0,SUM(P145,-I145))</f>
        <v>16</v>
      </c>
    </row>
    <row r="146" spans="2:18" ht="12.75" customHeight="1">
      <c r="B146" s="587" t="s">
        <v>870</v>
      </c>
      <c r="C146" s="588" t="s">
        <v>24</v>
      </c>
      <c r="D146" s="589">
        <v>42165</v>
      </c>
      <c r="E146" s="588">
        <v>1</v>
      </c>
      <c r="F146" s="588">
        <v>1</v>
      </c>
      <c r="G146" s="588" t="s">
        <v>871</v>
      </c>
      <c r="H146" s="588" t="s">
        <v>14</v>
      </c>
      <c r="I146" s="590">
        <v>42137</v>
      </c>
      <c r="J146" s="571" t="s">
        <v>886</v>
      </c>
      <c r="K146" s="88">
        <v>42170</v>
      </c>
      <c r="L146" s="351">
        <f t="shared" si="23"/>
        <v>24</v>
      </c>
      <c r="M146" s="384"/>
      <c r="N146" s="350" t="s">
        <v>123</v>
      </c>
      <c r="O146" s="69" t="s">
        <v>35</v>
      </c>
      <c r="P146" s="86">
        <v>42150</v>
      </c>
      <c r="Q146" s="21">
        <f t="shared" si="25"/>
        <v>33</v>
      </c>
      <c r="R146" s="22">
        <f t="shared" si="20"/>
        <v>13</v>
      </c>
    </row>
    <row r="147" spans="2:18" ht="12.75" customHeight="1">
      <c r="B147" s="593" t="s">
        <v>910</v>
      </c>
      <c r="C147" s="594" t="s">
        <v>24</v>
      </c>
      <c r="D147" s="595">
        <v>42170</v>
      </c>
      <c r="E147" s="594">
        <v>1</v>
      </c>
      <c r="F147" s="594">
        <v>1</v>
      </c>
      <c r="G147" s="594" t="s">
        <v>579</v>
      </c>
      <c r="H147" s="594" t="s">
        <v>14</v>
      </c>
      <c r="I147" s="596">
        <v>42142</v>
      </c>
      <c r="J147" s="581" t="s">
        <v>911</v>
      </c>
      <c r="K147" s="88">
        <v>42170</v>
      </c>
      <c r="L147" s="351">
        <f t="shared" ref="L147:L175" si="26">IF(ISBLANK(K147),"",NETWORKDAYS(I147,K147))</f>
        <v>21</v>
      </c>
      <c r="M147" s="384"/>
      <c r="N147" s="350" t="s">
        <v>123</v>
      </c>
      <c r="O147" s="69" t="s">
        <v>35</v>
      </c>
      <c r="P147" s="86">
        <v>42150</v>
      </c>
      <c r="Q147" s="21">
        <f t="shared" si="25"/>
        <v>28</v>
      </c>
      <c r="R147" s="22">
        <f t="shared" si="20"/>
        <v>8</v>
      </c>
    </row>
    <row r="148" spans="2:18" ht="12.75" customHeight="1">
      <c r="B148" s="593" t="s">
        <v>906</v>
      </c>
      <c r="C148" s="594" t="s">
        <v>39</v>
      </c>
      <c r="D148" s="595">
        <v>42156</v>
      </c>
      <c r="E148" s="594">
        <v>1</v>
      </c>
      <c r="F148" s="594">
        <v>1</v>
      </c>
      <c r="G148" s="594" t="s">
        <v>907</v>
      </c>
      <c r="H148" s="594" t="s">
        <v>14</v>
      </c>
      <c r="I148" s="596">
        <v>42142</v>
      </c>
      <c r="J148" s="581">
        <v>860.16</v>
      </c>
      <c r="K148" s="88">
        <v>42158</v>
      </c>
      <c r="L148" s="351">
        <f t="shared" si="26"/>
        <v>13</v>
      </c>
      <c r="M148" s="384"/>
      <c r="N148" s="350" t="s">
        <v>123</v>
      </c>
      <c r="O148" s="69" t="s">
        <v>33</v>
      </c>
      <c r="P148" s="86">
        <v>42153</v>
      </c>
      <c r="Q148" s="21">
        <f t="shared" si="25"/>
        <v>16</v>
      </c>
      <c r="R148" s="22">
        <f t="shared" si="20"/>
        <v>11</v>
      </c>
    </row>
    <row r="149" spans="2:18" ht="12.75" customHeight="1">
      <c r="B149" s="593" t="s">
        <v>915</v>
      </c>
      <c r="C149" s="594" t="s">
        <v>24</v>
      </c>
      <c r="D149" s="595">
        <v>42170</v>
      </c>
      <c r="E149" s="594">
        <v>1</v>
      </c>
      <c r="F149" s="594">
        <v>1</v>
      </c>
      <c r="G149" s="594" t="s">
        <v>97</v>
      </c>
      <c r="H149" s="594" t="s">
        <v>14</v>
      </c>
      <c r="I149" s="596">
        <v>42142</v>
      </c>
      <c r="J149" s="581" t="s">
        <v>916</v>
      </c>
      <c r="K149" s="88">
        <v>42173</v>
      </c>
      <c r="L149" s="351">
        <f t="shared" si="26"/>
        <v>24</v>
      </c>
      <c r="M149" s="384"/>
      <c r="N149" s="350" t="s">
        <v>123</v>
      </c>
      <c r="O149" s="69" t="s">
        <v>35</v>
      </c>
      <c r="P149" s="86">
        <v>42151</v>
      </c>
      <c r="Q149" s="21">
        <f t="shared" si="25"/>
        <v>31</v>
      </c>
      <c r="R149" s="22">
        <f t="shared" si="20"/>
        <v>9</v>
      </c>
    </row>
    <row r="150" spans="2:18" ht="12.75" customHeight="1">
      <c r="B150" s="593" t="s">
        <v>908</v>
      </c>
      <c r="C150" s="594" t="s">
        <v>24</v>
      </c>
      <c r="D150" s="595">
        <v>42170</v>
      </c>
      <c r="E150" s="594">
        <v>1</v>
      </c>
      <c r="F150" s="594">
        <v>1</v>
      </c>
      <c r="G150" s="594" t="s">
        <v>97</v>
      </c>
      <c r="H150" s="594" t="s">
        <v>14</v>
      </c>
      <c r="I150" s="596">
        <v>42142</v>
      </c>
      <c r="J150" s="581" t="s">
        <v>909</v>
      </c>
      <c r="K150" s="88">
        <v>42172</v>
      </c>
      <c r="L150" s="351">
        <f t="shared" si="26"/>
        <v>23</v>
      </c>
      <c r="M150" s="384"/>
      <c r="N150" s="350" t="s">
        <v>123</v>
      </c>
      <c r="O150" s="69" t="s">
        <v>35</v>
      </c>
      <c r="P150" s="86">
        <v>42151</v>
      </c>
      <c r="Q150" s="21">
        <f t="shared" si="25"/>
        <v>30</v>
      </c>
      <c r="R150" s="22">
        <f t="shared" si="20"/>
        <v>9</v>
      </c>
    </row>
    <row r="151" spans="2:18" ht="12.75" customHeight="1">
      <c r="B151" s="593" t="s">
        <v>913</v>
      </c>
      <c r="C151" s="594" t="s">
        <v>24</v>
      </c>
      <c r="D151" s="595">
        <v>42170</v>
      </c>
      <c r="E151" s="594">
        <v>1</v>
      </c>
      <c r="F151" s="594">
        <v>1</v>
      </c>
      <c r="G151" s="594" t="s">
        <v>97</v>
      </c>
      <c r="H151" s="594" t="s">
        <v>14</v>
      </c>
      <c r="I151" s="596">
        <v>42142</v>
      </c>
      <c r="J151" s="581" t="s">
        <v>914</v>
      </c>
      <c r="K151" s="88">
        <v>42165</v>
      </c>
      <c r="L151" s="351">
        <f t="shared" si="26"/>
        <v>18</v>
      </c>
      <c r="M151" s="384"/>
      <c r="N151" s="350" t="s">
        <v>123</v>
      </c>
      <c r="O151" s="69" t="s">
        <v>35</v>
      </c>
      <c r="P151" s="86">
        <v>42152</v>
      </c>
      <c r="Q151" s="21">
        <f t="shared" si="25"/>
        <v>23</v>
      </c>
      <c r="R151" s="22">
        <f t="shared" si="20"/>
        <v>10</v>
      </c>
    </row>
    <row r="152" spans="2:18" ht="12.75" customHeight="1">
      <c r="B152" s="584" t="s">
        <v>950</v>
      </c>
      <c r="C152" s="582" t="s">
        <v>78</v>
      </c>
      <c r="D152" s="585">
        <v>42150</v>
      </c>
      <c r="E152" s="582">
        <v>1</v>
      </c>
      <c r="F152" s="582">
        <v>1</v>
      </c>
      <c r="G152" s="582" t="s">
        <v>951</v>
      </c>
      <c r="H152" s="582" t="s">
        <v>79</v>
      </c>
      <c r="I152" s="583">
        <v>42142</v>
      </c>
      <c r="J152" s="581" t="s">
        <v>952</v>
      </c>
      <c r="K152" s="87">
        <v>42157</v>
      </c>
      <c r="L152" s="352">
        <f t="shared" si="26"/>
        <v>12</v>
      </c>
      <c r="M152" s="398"/>
      <c r="N152" s="399" t="s">
        <v>36</v>
      </c>
      <c r="O152" s="76"/>
      <c r="Q152" s="21">
        <f t="shared" si="25"/>
        <v>15</v>
      </c>
      <c r="R152" s="22">
        <f t="shared" si="20"/>
        <v>0</v>
      </c>
    </row>
    <row r="153" spans="2:18" ht="12.75" customHeight="1">
      <c r="B153" s="593" t="s">
        <v>1013</v>
      </c>
      <c r="C153" s="606" t="s">
        <v>24</v>
      </c>
      <c r="D153" s="595">
        <v>42157</v>
      </c>
      <c r="E153" s="594">
        <v>1</v>
      </c>
      <c r="F153" s="594">
        <v>1</v>
      </c>
      <c r="G153" s="606" t="s">
        <v>480</v>
      </c>
      <c r="H153" s="606" t="s">
        <v>14</v>
      </c>
      <c r="I153" s="596">
        <v>42143</v>
      </c>
      <c r="J153" s="581"/>
      <c r="K153" s="88">
        <v>42170</v>
      </c>
      <c r="L153" s="351">
        <f t="shared" si="26"/>
        <v>20</v>
      </c>
      <c r="M153" s="384"/>
      <c r="N153" s="350" t="s">
        <v>123</v>
      </c>
      <c r="O153" s="69" t="s">
        <v>33</v>
      </c>
      <c r="P153" s="86">
        <v>42153</v>
      </c>
      <c r="Q153" s="21">
        <f t="shared" si="25"/>
        <v>27</v>
      </c>
      <c r="R153" s="22">
        <f t="shared" si="20"/>
        <v>10</v>
      </c>
    </row>
    <row r="154" spans="2:18" ht="12.75" customHeight="1">
      <c r="B154" s="593" t="s">
        <v>903</v>
      </c>
      <c r="C154" s="594" t="s">
        <v>24</v>
      </c>
      <c r="D154" s="595">
        <v>42170</v>
      </c>
      <c r="E154" s="594">
        <v>2</v>
      </c>
      <c r="F154" s="594">
        <v>2</v>
      </c>
      <c r="G154" s="594" t="s">
        <v>904</v>
      </c>
      <c r="H154" s="594" t="s">
        <v>14</v>
      </c>
      <c r="I154" s="596">
        <v>42143</v>
      </c>
      <c r="J154" s="581" t="s">
        <v>912</v>
      </c>
      <c r="K154" s="88">
        <v>42170</v>
      </c>
      <c r="L154" s="351">
        <f t="shared" si="26"/>
        <v>20</v>
      </c>
      <c r="M154" s="384"/>
      <c r="N154" s="350" t="s">
        <v>123</v>
      </c>
      <c r="O154" s="69" t="s">
        <v>35</v>
      </c>
      <c r="P154" s="86">
        <v>42151</v>
      </c>
      <c r="Q154" s="21">
        <f t="shared" si="25"/>
        <v>27</v>
      </c>
      <c r="R154" s="22">
        <f t="shared" ref="R154:R188" si="27">IF(ISBLANK(P154),0,SUM(P154,-I154))</f>
        <v>8</v>
      </c>
    </row>
    <row r="155" spans="2:18" ht="12.75" customHeight="1">
      <c r="B155" s="592" t="s">
        <v>967</v>
      </c>
      <c r="C155" s="594" t="s">
        <v>81</v>
      </c>
      <c r="D155" s="595">
        <v>42181</v>
      </c>
      <c r="E155" s="594">
        <v>1</v>
      </c>
      <c r="F155" s="594">
        <v>1</v>
      </c>
      <c r="G155" s="594" t="s">
        <v>968</v>
      </c>
      <c r="H155" s="627" t="s">
        <v>251</v>
      </c>
      <c r="I155" s="596">
        <v>42143</v>
      </c>
      <c r="J155" s="581" t="s">
        <v>969</v>
      </c>
      <c r="K155" s="88">
        <v>42174</v>
      </c>
      <c r="L155" s="351">
        <f t="shared" si="26"/>
        <v>24</v>
      </c>
      <c r="M155" s="384"/>
      <c r="N155" s="350" t="s">
        <v>123</v>
      </c>
      <c r="O155" s="69" t="s">
        <v>35</v>
      </c>
      <c r="P155" s="86">
        <v>42156</v>
      </c>
      <c r="Q155" s="21">
        <f t="shared" si="25"/>
        <v>31</v>
      </c>
      <c r="R155" s="22">
        <f t="shared" si="27"/>
        <v>13</v>
      </c>
    </row>
    <row r="156" spans="2:18" ht="12.75" customHeight="1">
      <c r="B156" s="584" t="s">
        <v>953</v>
      </c>
      <c r="C156" s="582" t="s">
        <v>78</v>
      </c>
      <c r="D156" s="585">
        <v>42165</v>
      </c>
      <c r="E156" s="582">
        <v>2</v>
      </c>
      <c r="F156" s="582">
        <v>2</v>
      </c>
      <c r="G156" s="582" t="s">
        <v>938</v>
      </c>
      <c r="H156" s="582" t="s">
        <v>79</v>
      </c>
      <c r="I156" s="583">
        <v>42144</v>
      </c>
      <c r="J156" s="581" t="s">
        <v>954</v>
      </c>
      <c r="K156" s="87">
        <v>42174</v>
      </c>
      <c r="L156" s="352">
        <f t="shared" si="26"/>
        <v>23</v>
      </c>
      <c r="M156" s="398"/>
      <c r="N156" s="399" t="s">
        <v>36</v>
      </c>
      <c r="O156" s="76"/>
      <c r="Q156" s="21">
        <f t="shared" si="25"/>
        <v>30</v>
      </c>
      <c r="R156" s="22">
        <f t="shared" si="27"/>
        <v>0</v>
      </c>
    </row>
    <row r="157" spans="2:18" ht="12.75" customHeight="1">
      <c r="B157" s="593" t="s">
        <v>956</v>
      </c>
      <c r="C157" s="594" t="s">
        <v>24</v>
      </c>
      <c r="D157" s="595">
        <v>42172</v>
      </c>
      <c r="E157" s="594">
        <v>1</v>
      </c>
      <c r="F157" s="594">
        <v>1</v>
      </c>
      <c r="G157" s="594" t="s">
        <v>957</v>
      </c>
      <c r="H157" s="594" t="s">
        <v>14</v>
      </c>
      <c r="I157" s="596">
        <v>42144</v>
      </c>
      <c r="J157" s="581" t="s">
        <v>958</v>
      </c>
      <c r="K157" s="88">
        <v>42164</v>
      </c>
      <c r="L157" s="351">
        <f t="shared" si="26"/>
        <v>15</v>
      </c>
      <c r="M157" s="384"/>
      <c r="N157" s="350" t="s">
        <v>123</v>
      </c>
      <c r="O157" s="69" t="s">
        <v>35</v>
      </c>
      <c r="P157" s="86">
        <v>42157</v>
      </c>
      <c r="Q157" s="21">
        <f t="shared" si="25"/>
        <v>20</v>
      </c>
      <c r="R157" s="22">
        <f t="shared" si="27"/>
        <v>13</v>
      </c>
    </row>
    <row r="158" spans="2:18" ht="12.75" customHeight="1">
      <c r="B158" s="593" t="s">
        <v>965</v>
      </c>
      <c r="C158" s="594" t="s">
        <v>24</v>
      </c>
      <c r="D158" s="595">
        <v>42173</v>
      </c>
      <c r="E158" s="594">
        <v>1</v>
      </c>
      <c r="F158" s="594">
        <v>1</v>
      </c>
      <c r="G158" s="594" t="s">
        <v>966</v>
      </c>
      <c r="H158" s="594" t="s">
        <v>14</v>
      </c>
      <c r="I158" s="596">
        <v>42144</v>
      </c>
      <c r="J158" s="581" t="s">
        <v>776</v>
      </c>
      <c r="K158" s="88">
        <v>42170</v>
      </c>
      <c r="L158" s="351">
        <f t="shared" si="26"/>
        <v>19</v>
      </c>
      <c r="M158" s="384"/>
      <c r="N158" s="350" t="s">
        <v>123</v>
      </c>
      <c r="O158" s="69" t="s">
        <v>35</v>
      </c>
      <c r="P158" s="86">
        <v>42153</v>
      </c>
      <c r="Q158" s="21">
        <f t="shared" si="25"/>
        <v>26</v>
      </c>
      <c r="R158" s="22">
        <f t="shared" si="27"/>
        <v>9</v>
      </c>
    </row>
    <row r="159" spans="2:18" ht="12.75" customHeight="1">
      <c r="B159" s="593" t="s">
        <v>936</v>
      </c>
      <c r="C159" s="594" t="s">
        <v>39</v>
      </c>
      <c r="D159" s="595">
        <v>42172</v>
      </c>
      <c r="E159" s="594">
        <v>1</v>
      </c>
      <c r="F159" s="594">
        <v>1</v>
      </c>
      <c r="G159" s="594" t="s">
        <v>498</v>
      </c>
      <c r="H159" s="594" t="s">
        <v>14</v>
      </c>
      <c r="I159" s="596">
        <v>42144</v>
      </c>
      <c r="J159" s="581" t="s">
        <v>944</v>
      </c>
      <c r="K159" s="88">
        <v>42158</v>
      </c>
      <c r="L159" s="351">
        <f t="shared" si="26"/>
        <v>11</v>
      </c>
      <c r="M159" s="384"/>
      <c r="N159" s="350" t="s">
        <v>123</v>
      </c>
      <c r="O159" s="69" t="s">
        <v>35</v>
      </c>
      <c r="P159" s="86">
        <v>42157</v>
      </c>
      <c r="Q159" s="21">
        <f t="shared" si="25"/>
        <v>14</v>
      </c>
      <c r="R159" s="22">
        <f t="shared" si="27"/>
        <v>13</v>
      </c>
    </row>
    <row r="160" spans="2:18" ht="12.75" customHeight="1">
      <c r="B160" s="593" t="s">
        <v>931</v>
      </c>
      <c r="C160" s="594" t="s">
        <v>24</v>
      </c>
      <c r="D160" s="595">
        <v>42172</v>
      </c>
      <c r="E160" s="594">
        <v>1</v>
      </c>
      <c r="F160" s="594">
        <v>1</v>
      </c>
      <c r="G160" s="594" t="s">
        <v>720</v>
      </c>
      <c r="H160" s="594" t="s">
        <v>14</v>
      </c>
      <c r="I160" s="596">
        <v>42144</v>
      </c>
      <c r="J160" s="581" t="s">
        <v>959</v>
      </c>
      <c r="K160" s="88">
        <v>42170</v>
      </c>
      <c r="L160" s="351">
        <f t="shared" si="26"/>
        <v>19</v>
      </c>
      <c r="M160" s="384"/>
      <c r="N160" s="350" t="s">
        <v>123</v>
      </c>
      <c r="O160" s="69" t="s">
        <v>35</v>
      </c>
      <c r="P160" s="86">
        <v>42160</v>
      </c>
      <c r="Q160" s="21">
        <f t="shared" si="25"/>
        <v>26</v>
      </c>
      <c r="R160" s="22">
        <f t="shared" si="27"/>
        <v>16</v>
      </c>
    </row>
    <row r="161" spans="1:18" ht="12.75" customHeight="1">
      <c r="A161" s="41" t="s">
        <v>122</v>
      </c>
      <c r="B161" s="593" t="s">
        <v>960</v>
      </c>
      <c r="C161" s="594" t="s">
        <v>24</v>
      </c>
      <c r="D161" s="595">
        <v>42172</v>
      </c>
      <c r="E161" s="594">
        <v>1</v>
      </c>
      <c r="F161" s="594">
        <v>1</v>
      </c>
      <c r="G161" s="594" t="s">
        <v>99</v>
      </c>
      <c r="H161" s="594" t="s">
        <v>14</v>
      </c>
      <c r="I161" s="596">
        <v>42144</v>
      </c>
      <c r="J161" s="581" t="s">
        <v>961</v>
      </c>
      <c r="K161" s="88">
        <v>42171</v>
      </c>
      <c r="L161" s="351">
        <f t="shared" si="26"/>
        <v>20</v>
      </c>
      <c r="M161" s="384"/>
      <c r="N161" s="350" t="s">
        <v>123</v>
      </c>
      <c r="O161" s="69" t="s">
        <v>35</v>
      </c>
      <c r="P161" s="86">
        <v>42157</v>
      </c>
      <c r="Q161" s="21">
        <f t="shared" si="25"/>
        <v>27</v>
      </c>
      <c r="R161" s="22">
        <f t="shared" si="27"/>
        <v>13</v>
      </c>
    </row>
    <row r="162" spans="1:18" ht="12.75" customHeight="1">
      <c r="A162" s="41" t="s">
        <v>122</v>
      </c>
      <c r="B162" s="593" t="s">
        <v>928</v>
      </c>
      <c r="C162" s="594" t="s">
        <v>24</v>
      </c>
      <c r="D162" s="595">
        <v>42172</v>
      </c>
      <c r="E162" s="594">
        <v>1</v>
      </c>
      <c r="F162" s="594">
        <v>1</v>
      </c>
      <c r="G162" s="594" t="s">
        <v>929</v>
      </c>
      <c r="H162" s="594" t="s">
        <v>14</v>
      </c>
      <c r="I162" s="596">
        <v>42144</v>
      </c>
      <c r="J162" s="581" t="s">
        <v>955</v>
      </c>
      <c r="K162" s="88">
        <v>42171</v>
      </c>
      <c r="L162" s="351">
        <f t="shared" si="26"/>
        <v>20</v>
      </c>
      <c r="M162" s="384"/>
      <c r="N162" s="350" t="s">
        <v>123</v>
      </c>
      <c r="O162" s="69" t="s">
        <v>35</v>
      </c>
      <c r="P162" s="86">
        <v>42153</v>
      </c>
      <c r="Q162" s="21">
        <f t="shared" si="25"/>
        <v>27</v>
      </c>
      <c r="R162" s="22">
        <f t="shared" si="27"/>
        <v>9</v>
      </c>
    </row>
    <row r="163" spans="1:18" ht="12.75" customHeight="1">
      <c r="A163" s="41" t="s">
        <v>122</v>
      </c>
      <c r="B163" s="593" t="s">
        <v>948</v>
      </c>
      <c r="C163" s="594" t="s">
        <v>39</v>
      </c>
      <c r="D163" s="595">
        <v>42173</v>
      </c>
      <c r="E163" s="594">
        <v>2</v>
      </c>
      <c r="F163" s="594">
        <v>2</v>
      </c>
      <c r="G163" s="594" t="s">
        <v>135</v>
      </c>
      <c r="H163" s="594" t="s">
        <v>14</v>
      </c>
      <c r="I163" s="596">
        <v>42145</v>
      </c>
      <c r="J163" s="581" t="s">
        <v>949</v>
      </c>
      <c r="K163" s="88">
        <v>42163</v>
      </c>
      <c r="L163" s="351">
        <f t="shared" si="26"/>
        <v>13</v>
      </c>
      <c r="M163" s="384"/>
      <c r="N163" s="350" t="s">
        <v>123</v>
      </c>
      <c r="O163" s="69" t="s">
        <v>35</v>
      </c>
      <c r="P163" s="86">
        <v>42158</v>
      </c>
      <c r="Q163" s="21">
        <f t="shared" si="25"/>
        <v>18</v>
      </c>
      <c r="R163" s="22">
        <f t="shared" si="27"/>
        <v>13</v>
      </c>
    </row>
    <row r="164" spans="1:18" ht="12.75" customHeight="1">
      <c r="B164" s="593" t="s">
        <v>932</v>
      </c>
      <c r="C164" s="594" t="s">
        <v>24</v>
      </c>
      <c r="D164" s="595">
        <v>42173</v>
      </c>
      <c r="E164" s="594">
        <v>1</v>
      </c>
      <c r="F164" s="594">
        <v>1</v>
      </c>
      <c r="G164" s="594" t="s">
        <v>99</v>
      </c>
      <c r="H164" s="594" t="s">
        <v>14</v>
      </c>
      <c r="I164" s="596">
        <v>42145</v>
      </c>
      <c r="J164" s="581" t="s">
        <v>964</v>
      </c>
      <c r="K164" s="88">
        <v>42171</v>
      </c>
      <c r="L164" s="351">
        <f t="shared" si="26"/>
        <v>19</v>
      </c>
      <c r="M164" s="384"/>
      <c r="N164" s="350" t="s">
        <v>123</v>
      </c>
      <c r="O164" s="69" t="s">
        <v>34</v>
      </c>
      <c r="P164" s="86">
        <v>42163</v>
      </c>
      <c r="Q164" s="21">
        <f t="shared" si="25"/>
        <v>26</v>
      </c>
      <c r="R164" s="22">
        <f t="shared" si="27"/>
        <v>18</v>
      </c>
    </row>
    <row r="165" spans="1:18" ht="12.75" customHeight="1">
      <c r="B165" s="593" t="s">
        <v>945</v>
      </c>
      <c r="C165" s="594" t="s">
        <v>39</v>
      </c>
      <c r="D165" s="595">
        <v>42173</v>
      </c>
      <c r="E165" s="594">
        <v>1</v>
      </c>
      <c r="F165" s="594">
        <v>1</v>
      </c>
      <c r="G165" s="594" t="s">
        <v>946</v>
      </c>
      <c r="H165" s="594" t="s">
        <v>14</v>
      </c>
      <c r="I165" s="596">
        <v>42145</v>
      </c>
      <c r="J165" s="581" t="s">
        <v>947</v>
      </c>
      <c r="K165" s="88">
        <v>42164</v>
      </c>
      <c r="L165" s="351">
        <f t="shared" si="26"/>
        <v>14</v>
      </c>
      <c r="M165" s="384"/>
      <c r="N165" s="350" t="s">
        <v>123</v>
      </c>
      <c r="O165" s="69" t="s">
        <v>34</v>
      </c>
      <c r="P165" s="86">
        <v>42163</v>
      </c>
      <c r="Q165" s="21">
        <f t="shared" si="25"/>
        <v>19</v>
      </c>
      <c r="R165" s="22">
        <f t="shared" si="27"/>
        <v>18</v>
      </c>
    </row>
    <row r="166" spans="1:18" ht="12.75" customHeight="1">
      <c r="B166" s="593" t="s">
        <v>962</v>
      </c>
      <c r="C166" s="594" t="s">
        <v>24</v>
      </c>
      <c r="D166" s="595">
        <v>42173</v>
      </c>
      <c r="E166" s="594">
        <v>1</v>
      </c>
      <c r="F166" s="594">
        <v>1</v>
      </c>
      <c r="G166" s="594" t="s">
        <v>593</v>
      </c>
      <c r="H166" s="594" t="s">
        <v>14</v>
      </c>
      <c r="I166" s="596">
        <v>42145</v>
      </c>
      <c r="J166" s="581" t="s">
        <v>963</v>
      </c>
      <c r="K166" s="88">
        <v>42180</v>
      </c>
      <c r="L166" s="351">
        <f t="shared" si="26"/>
        <v>26</v>
      </c>
      <c r="M166" s="384"/>
      <c r="N166" s="350" t="s">
        <v>123</v>
      </c>
      <c r="O166" s="69" t="s">
        <v>35</v>
      </c>
      <c r="P166" s="86">
        <v>42158</v>
      </c>
      <c r="Q166" s="21">
        <f t="shared" si="25"/>
        <v>35</v>
      </c>
      <c r="R166" s="22">
        <f t="shared" si="27"/>
        <v>13</v>
      </c>
    </row>
    <row r="167" spans="1:18" ht="12.75" customHeight="1">
      <c r="A167" s="41" t="s">
        <v>122</v>
      </c>
      <c r="B167" s="593" t="s">
        <v>980</v>
      </c>
      <c r="C167" s="594" t="s">
        <v>39</v>
      </c>
      <c r="D167" s="595">
        <v>42177</v>
      </c>
      <c r="E167" s="594">
        <v>1</v>
      </c>
      <c r="F167" s="594">
        <v>1</v>
      </c>
      <c r="G167" s="594" t="s">
        <v>203</v>
      </c>
      <c r="H167" s="594" t="s">
        <v>14</v>
      </c>
      <c r="I167" s="596">
        <v>42146</v>
      </c>
      <c r="K167" s="88">
        <v>42167</v>
      </c>
      <c r="L167" s="351">
        <f t="shared" si="26"/>
        <v>16</v>
      </c>
      <c r="M167" s="384"/>
      <c r="N167" s="350" t="s">
        <v>123</v>
      </c>
      <c r="O167" s="69" t="s">
        <v>35</v>
      </c>
      <c r="P167" s="86">
        <v>42159</v>
      </c>
      <c r="Q167" s="21">
        <f t="shared" si="25"/>
        <v>21</v>
      </c>
      <c r="R167" s="22">
        <f t="shared" si="27"/>
        <v>13</v>
      </c>
    </row>
    <row r="168" spans="1:18" ht="12.75" customHeight="1">
      <c r="B168" s="629" t="s">
        <v>984</v>
      </c>
      <c r="C168" s="646" t="s">
        <v>39</v>
      </c>
      <c r="D168" s="631">
        <v>42177</v>
      </c>
      <c r="E168" s="630">
        <v>1</v>
      </c>
      <c r="F168" s="630">
        <v>1</v>
      </c>
      <c r="G168" s="630" t="s">
        <v>99</v>
      </c>
      <c r="H168" s="630" t="s">
        <v>14</v>
      </c>
      <c r="I168" s="632">
        <v>42150</v>
      </c>
      <c r="J168" s="597" t="s">
        <v>985</v>
      </c>
      <c r="K168" s="385"/>
      <c r="L168" s="351" t="str">
        <f t="shared" si="26"/>
        <v/>
      </c>
      <c r="M168" s="384"/>
      <c r="N168" s="350" t="s">
        <v>123</v>
      </c>
      <c r="O168" s="69" t="s">
        <v>35</v>
      </c>
      <c r="P168" s="86">
        <v>42167</v>
      </c>
      <c r="Q168" s="21">
        <f t="shared" si="25"/>
        <v>0</v>
      </c>
      <c r="R168" s="22">
        <f t="shared" si="27"/>
        <v>17</v>
      </c>
    </row>
    <row r="169" spans="1:18" ht="12.75" customHeight="1">
      <c r="B169" s="605" t="s">
        <v>993</v>
      </c>
      <c r="C169" s="602" t="s">
        <v>83</v>
      </c>
      <c r="D169" s="603">
        <v>42163</v>
      </c>
      <c r="E169" s="602">
        <v>1</v>
      </c>
      <c r="F169" s="602">
        <v>1</v>
      </c>
      <c r="G169" s="602" t="s">
        <v>994</v>
      </c>
      <c r="H169" s="602" t="s">
        <v>251</v>
      </c>
      <c r="I169" s="604">
        <v>42150</v>
      </c>
      <c r="J169" s="600">
        <v>781.32</v>
      </c>
      <c r="K169" s="87">
        <v>42172</v>
      </c>
      <c r="L169" s="352">
        <f t="shared" si="26"/>
        <v>17</v>
      </c>
      <c r="M169" s="398"/>
      <c r="N169" s="399" t="s">
        <v>36</v>
      </c>
      <c r="O169" s="76"/>
      <c r="Q169" s="21">
        <f t="shared" si="25"/>
        <v>22</v>
      </c>
      <c r="R169" s="22">
        <f t="shared" si="27"/>
        <v>0</v>
      </c>
    </row>
    <row r="170" spans="1:18" ht="12.75" customHeight="1">
      <c r="B170" s="633" t="s">
        <v>998</v>
      </c>
      <c r="C170" s="634" t="s">
        <v>24</v>
      </c>
      <c r="D170" s="635">
        <v>42177</v>
      </c>
      <c r="E170" s="634">
        <v>2</v>
      </c>
      <c r="F170" s="634">
        <v>2</v>
      </c>
      <c r="G170" s="634" t="s">
        <v>113</v>
      </c>
      <c r="H170" s="634" t="s">
        <v>14</v>
      </c>
      <c r="I170" s="636">
        <v>42150</v>
      </c>
      <c r="J170" s="600" t="s">
        <v>999</v>
      </c>
      <c r="K170" s="88">
        <v>42173</v>
      </c>
      <c r="L170" s="351">
        <f t="shared" si="26"/>
        <v>18</v>
      </c>
      <c r="M170" s="384"/>
      <c r="N170" s="350" t="s">
        <v>123</v>
      </c>
      <c r="O170" s="69" t="s">
        <v>35</v>
      </c>
      <c r="P170" s="86">
        <v>42170</v>
      </c>
      <c r="Q170" s="21">
        <f t="shared" si="25"/>
        <v>23</v>
      </c>
      <c r="R170" s="22">
        <f t="shared" si="27"/>
        <v>20</v>
      </c>
    </row>
    <row r="171" spans="1:18" ht="12.75" customHeight="1">
      <c r="B171" s="633" t="s">
        <v>997</v>
      </c>
      <c r="C171" s="634" t="s">
        <v>24</v>
      </c>
      <c r="D171" s="635">
        <v>42166</v>
      </c>
      <c r="E171" s="634">
        <v>1</v>
      </c>
      <c r="F171" s="634">
        <v>1</v>
      </c>
      <c r="G171" s="634" t="s">
        <v>500</v>
      </c>
      <c r="H171" s="634" t="s">
        <v>14</v>
      </c>
      <c r="I171" s="636">
        <v>42150</v>
      </c>
      <c r="J171" s="600">
        <v>728.87</v>
      </c>
      <c r="K171" s="88">
        <v>42174</v>
      </c>
      <c r="L171" s="351">
        <f t="shared" si="26"/>
        <v>19</v>
      </c>
      <c r="M171" s="384"/>
      <c r="N171" s="350" t="s">
        <v>123</v>
      </c>
      <c r="O171" s="69" t="s">
        <v>35</v>
      </c>
      <c r="P171" s="86">
        <v>42170</v>
      </c>
      <c r="Q171" s="21">
        <f t="shared" si="25"/>
        <v>24</v>
      </c>
      <c r="R171" s="22">
        <f t="shared" si="27"/>
        <v>20</v>
      </c>
    </row>
    <row r="172" spans="1:18" ht="12.75" customHeight="1">
      <c r="B172" s="633" t="s">
        <v>988</v>
      </c>
      <c r="C172" s="634" t="s">
        <v>24</v>
      </c>
      <c r="D172" s="635">
        <v>42177</v>
      </c>
      <c r="E172" s="634">
        <v>2</v>
      </c>
      <c r="F172" s="634">
        <v>2</v>
      </c>
      <c r="G172" s="634" t="s">
        <v>989</v>
      </c>
      <c r="H172" s="634" t="s">
        <v>14</v>
      </c>
      <c r="I172" s="636">
        <v>42150</v>
      </c>
      <c r="J172" s="600" t="s">
        <v>1000</v>
      </c>
      <c r="K172" s="88">
        <v>42180</v>
      </c>
      <c r="L172" s="351">
        <f t="shared" si="26"/>
        <v>23</v>
      </c>
      <c r="M172" s="384"/>
      <c r="N172" s="350" t="s">
        <v>123</v>
      </c>
      <c r="O172" s="69" t="s">
        <v>35</v>
      </c>
      <c r="P172" s="86">
        <v>42170</v>
      </c>
      <c r="Q172" s="21">
        <f t="shared" si="25"/>
        <v>30</v>
      </c>
      <c r="R172" s="22">
        <f t="shared" si="27"/>
        <v>20</v>
      </c>
    </row>
    <row r="173" spans="1:18" ht="12.75" customHeight="1">
      <c r="B173" s="633" t="s">
        <v>990</v>
      </c>
      <c r="C173" s="634" t="s">
        <v>24</v>
      </c>
      <c r="D173" s="635">
        <v>42180</v>
      </c>
      <c r="E173" s="634">
        <v>6</v>
      </c>
      <c r="F173" s="634">
        <v>6</v>
      </c>
      <c r="G173" s="634" t="s">
        <v>70</v>
      </c>
      <c r="H173" s="634" t="s">
        <v>14</v>
      </c>
      <c r="I173" s="636">
        <v>42151</v>
      </c>
      <c r="J173" s="600" t="s">
        <v>1001</v>
      </c>
      <c r="K173" s="385"/>
      <c r="L173" s="351" t="str">
        <f t="shared" si="26"/>
        <v/>
      </c>
      <c r="M173" s="384"/>
      <c r="N173" s="350" t="s">
        <v>123</v>
      </c>
      <c r="O173" s="69" t="s">
        <v>33</v>
      </c>
      <c r="P173" s="86">
        <v>42163</v>
      </c>
      <c r="Q173" s="21">
        <f t="shared" si="25"/>
        <v>0</v>
      </c>
      <c r="R173" s="22">
        <f t="shared" si="27"/>
        <v>12</v>
      </c>
    </row>
    <row r="174" spans="1:18" ht="12.75" customHeight="1">
      <c r="B174" s="633" t="s">
        <v>1002</v>
      </c>
      <c r="C174" s="634" t="s">
        <v>24</v>
      </c>
      <c r="D174" s="635">
        <v>42181</v>
      </c>
      <c r="E174" s="634">
        <v>1</v>
      </c>
      <c r="F174" s="634">
        <v>1</v>
      </c>
      <c r="G174" s="634" t="s">
        <v>684</v>
      </c>
      <c r="H174" s="634" t="s">
        <v>14</v>
      </c>
      <c r="I174" s="636">
        <v>42152</v>
      </c>
      <c r="J174" s="600" t="s">
        <v>1003</v>
      </c>
      <c r="K174" s="88">
        <v>42180</v>
      </c>
      <c r="L174" s="351">
        <f t="shared" si="26"/>
        <v>21</v>
      </c>
      <c r="M174" s="384"/>
      <c r="N174" s="350" t="s">
        <v>123</v>
      </c>
      <c r="O174" s="69" t="s">
        <v>35</v>
      </c>
      <c r="P174" s="86">
        <v>42165</v>
      </c>
      <c r="Q174" s="21">
        <f t="shared" si="25"/>
        <v>28</v>
      </c>
      <c r="R174" s="22">
        <f t="shared" si="27"/>
        <v>13</v>
      </c>
    </row>
    <row r="175" spans="1:18" ht="12.75" customHeight="1">
      <c r="A175" s="41" t="s">
        <v>122</v>
      </c>
      <c r="B175" s="601" t="s">
        <v>995</v>
      </c>
      <c r="C175" s="602" t="s">
        <v>83</v>
      </c>
      <c r="D175" s="603">
        <v>42167</v>
      </c>
      <c r="E175" s="602">
        <v>1</v>
      </c>
      <c r="F175" s="602">
        <v>1</v>
      </c>
      <c r="G175" s="602" t="s">
        <v>996</v>
      </c>
      <c r="H175" s="602" t="s">
        <v>79</v>
      </c>
      <c r="I175" s="604">
        <v>42152</v>
      </c>
      <c r="J175" s="600">
        <v>607.05999999999995</v>
      </c>
      <c r="K175" s="87">
        <v>42170</v>
      </c>
      <c r="L175" s="352">
        <f t="shared" si="26"/>
        <v>13</v>
      </c>
      <c r="M175" s="398"/>
      <c r="N175" s="399" t="s">
        <v>36</v>
      </c>
      <c r="O175" s="76"/>
      <c r="Q175" s="21">
        <f t="shared" si="25"/>
        <v>18</v>
      </c>
      <c r="R175" s="22">
        <f t="shared" si="27"/>
        <v>0</v>
      </c>
    </row>
    <row r="176" spans="1:18" ht="12.75" customHeight="1">
      <c r="A176" s="41" t="s">
        <v>122</v>
      </c>
      <c r="B176" s="637" t="s">
        <v>1023</v>
      </c>
      <c r="C176" s="638" t="s">
        <v>39</v>
      </c>
      <c r="D176" s="639">
        <v>42184</v>
      </c>
      <c r="E176" s="638">
        <v>1</v>
      </c>
      <c r="F176" s="638">
        <v>1</v>
      </c>
      <c r="G176" s="638" t="s">
        <v>1024</v>
      </c>
      <c r="H176" s="638" t="s">
        <v>14</v>
      </c>
      <c r="I176" s="640">
        <v>42153</v>
      </c>
      <c r="J176" s="610" t="s">
        <v>1025</v>
      </c>
      <c r="K176" s="88">
        <v>42167</v>
      </c>
      <c r="L176" s="351">
        <f t="shared" ref="L176:L199" si="28">IF(ISBLANK(K176),"",NETWORKDAYS(I176,K176))</f>
        <v>11</v>
      </c>
      <c r="M176" s="641"/>
      <c r="N176" s="350" t="s">
        <v>123</v>
      </c>
      <c r="O176" s="69" t="s">
        <v>35</v>
      </c>
      <c r="P176" s="86">
        <v>42163</v>
      </c>
      <c r="Q176" s="21">
        <f t="shared" si="25"/>
        <v>14</v>
      </c>
      <c r="R176" s="22">
        <f t="shared" si="27"/>
        <v>10</v>
      </c>
    </row>
    <row r="177" spans="1:18" ht="12.75" customHeight="1">
      <c r="B177" s="637" t="s">
        <v>1030</v>
      </c>
      <c r="C177" s="638" t="s">
        <v>24</v>
      </c>
      <c r="D177" s="639">
        <v>42185</v>
      </c>
      <c r="E177" s="638">
        <v>1</v>
      </c>
      <c r="F177" s="638">
        <v>1</v>
      </c>
      <c r="G177" s="638" t="s">
        <v>99</v>
      </c>
      <c r="H177" s="638" t="s">
        <v>14</v>
      </c>
      <c r="I177" s="640">
        <v>42153</v>
      </c>
      <c r="J177" s="610" t="s">
        <v>1031</v>
      </c>
      <c r="K177" s="88">
        <v>42180</v>
      </c>
      <c r="L177" s="351">
        <f t="shared" si="28"/>
        <v>20</v>
      </c>
      <c r="M177" s="641"/>
      <c r="N177" s="350" t="s">
        <v>123</v>
      </c>
      <c r="O177" s="69" t="s">
        <v>35</v>
      </c>
      <c r="P177" s="86">
        <v>42164</v>
      </c>
      <c r="Q177" s="21">
        <f t="shared" si="25"/>
        <v>27</v>
      </c>
      <c r="R177" s="22">
        <f t="shared" si="27"/>
        <v>11</v>
      </c>
    </row>
    <row r="178" spans="1:18" ht="12.75" customHeight="1">
      <c r="B178" s="615" t="s">
        <v>1035</v>
      </c>
      <c r="C178" s="638" t="s">
        <v>24</v>
      </c>
      <c r="D178" s="639">
        <v>42198</v>
      </c>
      <c r="E178" s="638">
        <v>1</v>
      </c>
      <c r="F178" s="638">
        <v>1</v>
      </c>
      <c r="G178" s="638" t="s">
        <v>97</v>
      </c>
      <c r="H178" s="638" t="s">
        <v>251</v>
      </c>
      <c r="I178" s="640">
        <v>42156</v>
      </c>
      <c r="J178" s="610" t="s">
        <v>1036</v>
      </c>
      <c r="K178" s="385"/>
      <c r="L178" s="351" t="str">
        <f t="shared" si="28"/>
        <v/>
      </c>
      <c r="M178" s="641"/>
      <c r="N178" s="350" t="s">
        <v>123</v>
      </c>
      <c r="O178" s="69" t="s">
        <v>35</v>
      </c>
      <c r="P178" s="86">
        <v>42171</v>
      </c>
      <c r="Q178" s="21">
        <f t="shared" si="25"/>
        <v>0</v>
      </c>
      <c r="R178" s="22">
        <f t="shared" si="27"/>
        <v>15</v>
      </c>
    </row>
    <row r="179" spans="1:18" ht="12.75" customHeight="1">
      <c r="B179" s="637" t="s">
        <v>1017</v>
      </c>
      <c r="C179" s="638" t="s">
        <v>24</v>
      </c>
      <c r="D179" s="639">
        <v>42185</v>
      </c>
      <c r="E179" s="638">
        <v>1</v>
      </c>
      <c r="F179" s="638">
        <v>1</v>
      </c>
      <c r="G179" s="638" t="s">
        <v>1018</v>
      </c>
      <c r="H179" s="638" t="s">
        <v>14</v>
      </c>
      <c r="I179" s="640">
        <v>42156</v>
      </c>
      <c r="J179" s="610" t="s">
        <v>1026</v>
      </c>
      <c r="K179" s="385"/>
      <c r="L179" s="351" t="str">
        <f t="shared" si="28"/>
        <v/>
      </c>
      <c r="M179" s="641"/>
      <c r="N179" s="350" t="s">
        <v>123</v>
      </c>
      <c r="O179" s="69" t="s">
        <v>35</v>
      </c>
      <c r="P179" s="86">
        <v>42171</v>
      </c>
      <c r="Q179" s="21">
        <f t="shared" si="25"/>
        <v>0</v>
      </c>
      <c r="R179" s="22">
        <f t="shared" si="27"/>
        <v>15</v>
      </c>
    </row>
    <row r="180" spans="1:18" ht="12.75" customHeight="1">
      <c r="B180" s="637" t="s">
        <v>1032</v>
      </c>
      <c r="C180" s="638" t="s">
        <v>24</v>
      </c>
      <c r="D180" s="639">
        <v>42185</v>
      </c>
      <c r="E180" s="638">
        <v>1</v>
      </c>
      <c r="F180" s="638">
        <v>1</v>
      </c>
      <c r="G180" s="638" t="s">
        <v>1033</v>
      </c>
      <c r="H180" s="638" t="s">
        <v>14</v>
      </c>
      <c r="I180" s="640">
        <v>42156</v>
      </c>
      <c r="J180" s="610" t="s">
        <v>1034</v>
      </c>
      <c r="K180" s="385"/>
      <c r="L180" s="351" t="str">
        <f t="shared" si="28"/>
        <v/>
      </c>
      <c r="M180" s="641"/>
      <c r="N180" s="350" t="s">
        <v>123</v>
      </c>
      <c r="O180" s="69" t="s">
        <v>35</v>
      </c>
      <c r="P180" s="86">
        <v>42171</v>
      </c>
      <c r="Q180" s="21">
        <f t="shared" si="25"/>
        <v>0</v>
      </c>
      <c r="R180" s="22">
        <f t="shared" si="27"/>
        <v>15</v>
      </c>
    </row>
    <row r="181" spans="1:18" ht="12.75" customHeight="1">
      <c r="B181" s="616" t="s">
        <v>1027</v>
      </c>
      <c r="C181" s="611" t="s">
        <v>24</v>
      </c>
      <c r="D181" s="612">
        <v>42185</v>
      </c>
      <c r="E181" s="611">
        <v>1</v>
      </c>
      <c r="F181" s="611">
        <v>1</v>
      </c>
      <c r="G181" s="611" t="s">
        <v>1028</v>
      </c>
      <c r="H181" s="611" t="s">
        <v>14</v>
      </c>
      <c r="I181" s="613">
        <v>42156</v>
      </c>
      <c r="J181" s="610" t="s">
        <v>1029</v>
      </c>
      <c r="K181" s="395"/>
      <c r="L181" s="394" t="str">
        <f t="shared" si="28"/>
        <v/>
      </c>
      <c r="M181" s="622"/>
      <c r="N181" s="302" t="s">
        <v>41</v>
      </c>
      <c r="O181" s="72" t="s">
        <v>35</v>
      </c>
      <c r="Q181" s="21">
        <f t="shared" si="25"/>
        <v>0</v>
      </c>
      <c r="R181" s="22">
        <f t="shared" si="27"/>
        <v>0</v>
      </c>
    </row>
    <row r="182" spans="1:18" ht="12.75" customHeight="1">
      <c r="A182" s="41" t="s">
        <v>122</v>
      </c>
      <c r="B182" s="623" t="s">
        <v>1053</v>
      </c>
      <c r="C182" s="618" t="s">
        <v>83</v>
      </c>
      <c r="D182" s="619">
        <v>42185</v>
      </c>
      <c r="E182" s="618">
        <v>1</v>
      </c>
      <c r="F182" s="618">
        <v>1</v>
      </c>
      <c r="G182" s="618" t="s">
        <v>1054</v>
      </c>
      <c r="H182" s="618" t="s">
        <v>79</v>
      </c>
      <c r="I182" s="620">
        <v>42158</v>
      </c>
      <c r="J182" s="626">
        <v>735.45</v>
      </c>
      <c r="K182" s="87">
        <v>42167</v>
      </c>
      <c r="L182" s="352">
        <f t="shared" si="28"/>
        <v>8</v>
      </c>
      <c r="M182" s="398"/>
      <c r="N182" s="399" t="s">
        <v>36</v>
      </c>
      <c r="O182" s="76"/>
      <c r="Q182" s="21">
        <f>IF(ISBLANK(K182),0,SUM(K182,-I182))</f>
        <v>9</v>
      </c>
      <c r="R182" s="22">
        <f>IF(ISBLANK(P182),0,SUM(P182,-#REF!))</f>
        <v>0</v>
      </c>
    </row>
    <row r="183" spans="1:18" ht="12.75" customHeight="1">
      <c r="B183" s="623" t="s">
        <v>1060</v>
      </c>
      <c r="C183" s="618" t="s">
        <v>78</v>
      </c>
      <c r="D183" s="619">
        <v>42185</v>
      </c>
      <c r="E183" s="618">
        <v>2</v>
      </c>
      <c r="F183" s="618">
        <v>2</v>
      </c>
      <c r="G183" s="618" t="s">
        <v>98</v>
      </c>
      <c r="H183" s="618" t="s">
        <v>79</v>
      </c>
      <c r="I183" s="620">
        <v>42158</v>
      </c>
      <c r="J183" s="626">
        <v>947.16</v>
      </c>
      <c r="K183" s="397"/>
      <c r="L183" s="352" t="str">
        <f t="shared" si="28"/>
        <v/>
      </c>
      <c r="M183" s="398"/>
      <c r="N183" s="399" t="s">
        <v>36</v>
      </c>
      <c r="O183" s="76"/>
      <c r="Q183" s="21">
        <f>IF(ISBLANK(K183),0,SUM(K183,-I183))</f>
        <v>0</v>
      </c>
      <c r="R183" s="22">
        <f t="shared" si="27"/>
        <v>0</v>
      </c>
    </row>
    <row r="184" spans="1:18" ht="12.75" customHeight="1">
      <c r="B184" s="616" t="s">
        <v>1058</v>
      </c>
      <c r="C184" s="611" t="s">
        <v>39</v>
      </c>
      <c r="D184" s="612">
        <v>42188</v>
      </c>
      <c r="E184" s="611">
        <v>1</v>
      </c>
      <c r="F184" s="611">
        <v>1</v>
      </c>
      <c r="G184" s="611" t="s">
        <v>838</v>
      </c>
      <c r="H184" s="611" t="s">
        <v>14</v>
      </c>
      <c r="I184" s="613">
        <v>42158</v>
      </c>
      <c r="J184" s="626" t="s">
        <v>1059</v>
      </c>
      <c r="K184" s="395"/>
      <c r="L184" s="394" t="str">
        <f t="shared" si="28"/>
        <v/>
      </c>
      <c r="M184" s="396"/>
      <c r="N184" s="302" t="s">
        <v>41</v>
      </c>
      <c r="O184" s="72" t="s">
        <v>35</v>
      </c>
      <c r="Q184" s="21">
        <f>IF(ISBLANK(K184),0,SUM(K184,-I184))</f>
        <v>0</v>
      </c>
      <c r="R184" s="22">
        <f t="shared" si="27"/>
        <v>0</v>
      </c>
    </row>
    <row r="185" spans="1:18" ht="12.75" customHeight="1">
      <c r="A185" s="41" t="s">
        <v>122</v>
      </c>
      <c r="B185" s="623" t="s">
        <v>1055</v>
      </c>
      <c r="C185" s="618" t="s">
        <v>83</v>
      </c>
      <c r="D185" s="619">
        <v>42185</v>
      </c>
      <c r="E185" s="618">
        <v>1</v>
      </c>
      <c r="F185" s="618">
        <v>1</v>
      </c>
      <c r="G185" s="618" t="s">
        <v>1019</v>
      </c>
      <c r="H185" s="618" t="s">
        <v>79</v>
      </c>
      <c r="I185" s="620">
        <v>42159</v>
      </c>
      <c r="J185" s="626">
        <v>785.4</v>
      </c>
      <c r="K185" s="87">
        <v>42167</v>
      </c>
      <c r="L185" s="352">
        <f t="shared" si="28"/>
        <v>7</v>
      </c>
      <c r="M185" s="398"/>
      <c r="N185" s="399" t="s">
        <v>36</v>
      </c>
      <c r="O185" s="76"/>
      <c r="Q185" s="21">
        <f t="shared" ref="Q185:Q193" si="29">IF(ISBLANK(K189),0,SUM(K189,-I189))</f>
        <v>6</v>
      </c>
      <c r="R185" s="22">
        <f>IF(ISBLANK(P185),0,SUM(P185,-#REF!))</f>
        <v>0</v>
      </c>
    </row>
    <row r="186" spans="1:18" ht="12.75" customHeight="1">
      <c r="B186" s="623" t="s">
        <v>1061</v>
      </c>
      <c r="C186" s="618" t="s">
        <v>78</v>
      </c>
      <c r="D186" s="619">
        <v>42185</v>
      </c>
      <c r="E186" s="618">
        <v>1</v>
      </c>
      <c r="F186" s="618">
        <v>1</v>
      </c>
      <c r="G186" s="618" t="s">
        <v>1054</v>
      </c>
      <c r="H186" s="618" t="s">
        <v>79</v>
      </c>
      <c r="I186" s="620">
        <v>42159</v>
      </c>
      <c r="J186" s="626" t="s">
        <v>1062</v>
      </c>
      <c r="K186" s="397"/>
      <c r="L186" s="352" t="str">
        <f t="shared" si="28"/>
        <v/>
      </c>
      <c r="M186" s="398"/>
      <c r="N186" s="399" t="s">
        <v>36</v>
      </c>
      <c r="O186" s="76"/>
      <c r="Q186" s="21">
        <f t="shared" si="29"/>
        <v>6</v>
      </c>
      <c r="R186" s="22">
        <f t="shared" si="27"/>
        <v>0</v>
      </c>
    </row>
    <row r="187" spans="1:18" ht="12.75" customHeight="1">
      <c r="B187" s="637" t="s">
        <v>1074</v>
      </c>
      <c r="C187" s="638" t="s">
        <v>24</v>
      </c>
      <c r="D187" s="639">
        <v>42175</v>
      </c>
      <c r="E187" s="638">
        <v>1</v>
      </c>
      <c r="F187" s="638">
        <v>1</v>
      </c>
      <c r="G187" s="638" t="s">
        <v>1075</v>
      </c>
      <c r="H187" s="638" t="s">
        <v>14</v>
      </c>
      <c r="I187" s="640">
        <v>42160</v>
      </c>
      <c r="J187" s="626"/>
      <c r="K187" s="385"/>
      <c r="L187" s="351" t="str">
        <f>IF(ISBLANK(K187),"",NETWORKDAYS(I187,K187))</f>
        <v/>
      </c>
      <c r="M187" s="384"/>
      <c r="N187" s="350" t="s">
        <v>123</v>
      </c>
      <c r="O187" s="69" t="s">
        <v>33</v>
      </c>
      <c r="P187" s="86">
        <v>42167</v>
      </c>
      <c r="Q187" s="21">
        <f t="shared" si="29"/>
        <v>0</v>
      </c>
      <c r="R187" s="22">
        <f t="shared" si="27"/>
        <v>7</v>
      </c>
    </row>
    <row r="188" spans="1:18" ht="12.75" customHeight="1">
      <c r="B188" s="615" t="s">
        <v>1045</v>
      </c>
      <c r="C188" s="638" t="s">
        <v>24</v>
      </c>
      <c r="D188" s="639">
        <v>42202</v>
      </c>
      <c r="E188" s="638">
        <v>1</v>
      </c>
      <c r="F188" s="638">
        <v>1</v>
      </c>
      <c r="G188" s="638" t="s">
        <v>1046</v>
      </c>
      <c r="H188" s="638" t="s">
        <v>251</v>
      </c>
      <c r="I188" s="640">
        <v>42160</v>
      </c>
      <c r="J188" s="626"/>
      <c r="K188" s="385"/>
      <c r="L188" s="351" t="str">
        <f t="shared" si="28"/>
        <v/>
      </c>
      <c r="M188" s="384"/>
      <c r="N188" s="350" t="s">
        <v>123</v>
      </c>
      <c r="O188" s="69" t="s">
        <v>33</v>
      </c>
      <c r="P188" s="86">
        <v>42167</v>
      </c>
      <c r="Q188" s="21">
        <f t="shared" si="29"/>
        <v>0</v>
      </c>
      <c r="R188" s="22">
        <f t="shared" si="27"/>
        <v>7</v>
      </c>
    </row>
    <row r="189" spans="1:18" ht="12.75" customHeight="1">
      <c r="B189" s="623" t="s">
        <v>1056</v>
      </c>
      <c r="C189" s="618" t="s">
        <v>83</v>
      </c>
      <c r="D189" s="619">
        <v>42189</v>
      </c>
      <c r="E189" s="618">
        <v>1</v>
      </c>
      <c r="F189" s="618">
        <v>1</v>
      </c>
      <c r="G189" s="618" t="s">
        <v>1057</v>
      </c>
      <c r="H189" s="618" t="s">
        <v>79</v>
      </c>
      <c r="I189" s="620">
        <v>42160</v>
      </c>
      <c r="J189" s="626">
        <v>714.03</v>
      </c>
      <c r="K189" s="87">
        <v>42166</v>
      </c>
      <c r="L189" s="352">
        <f t="shared" si="28"/>
        <v>5</v>
      </c>
      <c r="M189" s="398"/>
      <c r="N189" s="399" t="s">
        <v>36</v>
      </c>
      <c r="O189" s="76"/>
      <c r="Q189" s="21">
        <f t="shared" si="29"/>
        <v>0</v>
      </c>
      <c r="R189" s="22">
        <f>IF(ISBLANK(P189),0,SUM(P189,-#REF!))</f>
        <v>0</v>
      </c>
    </row>
    <row r="190" spans="1:18" ht="12.75" customHeight="1">
      <c r="B190" s="623" t="s">
        <v>1056</v>
      </c>
      <c r="C190" s="618" t="s">
        <v>78</v>
      </c>
      <c r="D190" s="619">
        <v>42189</v>
      </c>
      <c r="E190" s="618">
        <v>1</v>
      </c>
      <c r="F190" s="618">
        <v>1</v>
      </c>
      <c r="G190" s="618" t="s">
        <v>1057</v>
      </c>
      <c r="H190" s="618" t="s">
        <v>79</v>
      </c>
      <c r="I190" s="620">
        <v>42160</v>
      </c>
      <c r="J190" s="626">
        <v>949.21</v>
      </c>
      <c r="K190" s="87">
        <v>42166</v>
      </c>
      <c r="L190" s="352">
        <f t="shared" si="28"/>
        <v>5</v>
      </c>
      <c r="M190" s="398"/>
      <c r="N190" s="399" t="s">
        <v>36</v>
      </c>
      <c r="O190" s="76"/>
      <c r="Q190" s="21">
        <f t="shared" si="29"/>
        <v>0</v>
      </c>
      <c r="R190" s="22">
        <f>IF(ISBLANK(P190),0,SUM(P190,-#REF!))</f>
        <v>0</v>
      </c>
    </row>
    <row r="191" spans="1:18" ht="12.75" customHeight="1">
      <c r="B191" s="615" t="s">
        <v>1063</v>
      </c>
      <c r="C191" s="618" t="s">
        <v>78</v>
      </c>
      <c r="D191" s="619">
        <v>42202</v>
      </c>
      <c r="E191" s="618">
        <v>1</v>
      </c>
      <c r="F191" s="618">
        <v>1</v>
      </c>
      <c r="G191" s="618" t="s">
        <v>1057</v>
      </c>
      <c r="H191" s="618" t="s">
        <v>251</v>
      </c>
      <c r="I191" s="620">
        <v>42160</v>
      </c>
      <c r="K191" s="397"/>
      <c r="L191" s="352" t="str">
        <f t="shared" si="28"/>
        <v/>
      </c>
      <c r="M191" s="398"/>
      <c r="N191" s="399" t="s">
        <v>36</v>
      </c>
      <c r="O191" s="76"/>
      <c r="Q191" s="21">
        <f t="shared" si="29"/>
        <v>0</v>
      </c>
      <c r="R191" s="22">
        <f>IF(ISBLANK(P191),0,SUM(P191,-I191))</f>
        <v>0</v>
      </c>
    </row>
    <row r="192" spans="1:18" ht="12.75" customHeight="1">
      <c r="B192" s="623" t="s">
        <v>1084</v>
      </c>
      <c r="C192" s="618" t="s">
        <v>78</v>
      </c>
      <c r="D192" s="619">
        <v>42189</v>
      </c>
      <c r="E192" s="618">
        <v>2</v>
      </c>
      <c r="F192" s="618">
        <v>2</v>
      </c>
      <c r="G192" s="618" t="s">
        <v>884</v>
      </c>
      <c r="H192" s="618" t="s">
        <v>79</v>
      </c>
      <c r="I192" s="620">
        <v>42160</v>
      </c>
      <c r="J192" s="642" t="s">
        <v>1085</v>
      </c>
      <c r="K192" s="397"/>
      <c r="L192" s="352" t="str">
        <f t="shared" si="28"/>
        <v/>
      </c>
      <c r="M192" s="428"/>
      <c r="N192" s="399" t="s">
        <v>36</v>
      </c>
      <c r="O192" s="76"/>
      <c r="Q192" s="21">
        <f t="shared" si="29"/>
        <v>0</v>
      </c>
      <c r="R192" s="22">
        <f>IF(ISBLANK(P192),0,SUM(P192,-I192))</f>
        <v>0</v>
      </c>
    </row>
    <row r="193" spans="2:18" ht="12.75" customHeight="1">
      <c r="B193" s="615" t="s">
        <v>1081</v>
      </c>
      <c r="C193" s="611" t="s">
        <v>39</v>
      </c>
      <c r="D193" s="612">
        <v>42202</v>
      </c>
      <c r="E193" s="611">
        <v>1</v>
      </c>
      <c r="F193" s="611">
        <v>1</v>
      </c>
      <c r="G193" s="611" t="s">
        <v>946</v>
      </c>
      <c r="H193" s="611" t="s">
        <v>251</v>
      </c>
      <c r="I193" s="613">
        <v>42160</v>
      </c>
      <c r="J193" s="642"/>
      <c r="K193" s="395"/>
      <c r="L193" s="394" t="str">
        <f t="shared" si="28"/>
        <v/>
      </c>
      <c r="M193" s="622"/>
      <c r="N193" s="302" t="s">
        <v>41</v>
      </c>
      <c r="O193" s="72" t="s">
        <v>34</v>
      </c>
      <c r="Q193" s="21">
        <f t="shared" si="29"/>
        <v>0</v>
      </c>
      <c r="R193" s="22">
        <f>IF(ISBLANK(P193),0,SUM(P193,-I193))</f>
        <v>0</v>
      </c>
    </row>
    <row r="194" spans="2:18" ht="12.75" customHeight="1">
      <c r="B194" s="637" t="s">
        <v>1079</v>
      </c>
      <c r="C194" s="638" t="s">
        <v>39</v>
      </c>
      <c r="D194" s="639">
        <v>42188</v>
      </c>
      <c r="E194" s="638">
        <v>1</v>
      </c>
      <c r="F194" s="638">
        <v>1</v>
      </c>
      <c r="G194" s="638" t="s">
        <v>1080</v>
      </c>
      <c r="H194" s="638" t="s">
        <v>14</v>
      </c>
      <c r="I194" s="640">
        <v>42160</v>
      </c>
      <c r="J194" s="642">
        <v>856</v>
      </c>
      <c r="K194" s="385"/>
      <c r="L194" s="351" t="str">
        <f t="shared" si="28"/>
        <v/>
      </c>
      <c r="M194" s="641"/>
      <c r="N194" s="350" t="s">
        <v>123</v>
      </c>
      <c r="O194" s="69" t="s">
        <v>35</v>
      </c>
      <c r="P194" s="86">
        <v>42173</v>
      </c>
      <c r="Q194" s="21">
        <f t="shared" ref="Q194:Q203" si="30">IF(ISBLANK(K198),0,SUM(K198,-I198))</f>
        <v>0</v>
      </c>
      <c r="R194" s="22">
        <f t="shared" ref="R194:R205" si="31">IF(ISBLANK(P194),0,SUM(P194,-I194))</f>
        <v>13</v>
      </c>
    </row>
    <row r="195" spans="2:18" ht="12.75" customHeight="1">
      <c r="B195" s="623" t="s">
        <v>1082</v>
      </c>
      <c r="C195" s="618" t="s">
        <v>78</v>
      </c>
      <c r="D195" s="619">
        <v>42185</v>
      </c>
      <c r="E195" s="618">
        <v>1</v>
      </c>
      <c r="F195" s="618">
        <v>1</v>
      </c>
      <c r="G195" s="618" t="s">
        <v>675</v>
      </c>
      <c r="H195" s="618" t="s">
        <v>79</v>
      </c>
      <c r="I195" s="620">
        <v>42163</v>
      </c>
      <c r="J195" s="642" t="s">
        <v>1083</v>
      </c>
      <c r="K195" s="397"/>
      <c r="L195" s="352" t="str">
        <f t="shared" si="28"/>
        <v/>
      </c>
      <c r="M195" s="428"/>
      <c r="N195" s="399" t="s">
        <v>36</v>
      </c>
      <c r="O195" s="76"/>
      <c r="Q195" s="21">
        <f t="shared" si="30"/>
        <v>0</v>
      </c>
      <c r="R195" s="22">
        <f t="shared" si="31"/>
        <v>0</v>
      </c>
    </row>
    <row r="196" spans="2:18" ht="12.75" customHeight="1">
      <c r="B196" s="637" t="s">
        <v>1098</v>
      </c>
      <c r="C196" s="638" t="s">
        <v>24</v>
      </c>
      <c r="D196" s="639">
        <v>42188</v>
      </c>
      <c r="E196" s="638">
        <v>2</v>
      </c>
      <c r="F196" s="638">
        <v>2</v>
      </c>
      <c r="G196" s="638" t="s">
        <v>1099</v>
      </c>
      <c r="H196" s="638" t="s">
        <v>14</v>
      </c>
      <c r="I196" s="640">
        <v>42164</v>
      </c>
      <c r="J196" s="643" t="s">
        <v>1100</v>
      </c>
      <c r="K196" s="385"/>
      <c r="L196" s="351" t="str">
        <f t="shared" si="28"/>
        <v/>
      </c>
      <c r="M196" s="641"/>
      <c r="N196" s="350" t="s">
        <v>123</v>
      </c>
      <c r="O196" s="69" t="s">
        <v>35</v>
      </c>
      <c r="P196" s="86">
        <v>42174</v>
      </c>
      <c r="Q196" s="21">
        <f t="shared" si="30"/>
        <v>0</v>
      </c>
      <c r="R196" s="22">
        <f t="shared" si="31"/>
        <v>10</v>
      </c>
    </row>
    <row r="197" spans="2:18" ht="12.75" customHeight="1">
      <c r="B197" s="615" t="s">
        <v>1090</v>
      </c>
      <c r="C197" s="611" t="s">
        <v>24</v>
      </c>
      <c r="D197" s="612">
        <v>42202</v>
      </c>
      <c r="E197" s="611">
        <v>1</v>
      </c>
      <c r="F197" s="611">
        <v>1</v>
      </c>
      <c r="G197" s="611" t="s">
        <v>107</v>
      </c>
      <c r="H197" s="611" t="s">
        <v>251</v>
      </c>
      <c r="I197" s="613">
        <v>42164</v>
      </c>
      <c r="J197" s="643"/>
      <c r="K197" s="395"/>
      <c r="L197" s="394" t="str">
        <f t="shared" si="28"/>
        <v/>
      </c>
      <c r="M197" s="622"/>
      <c r="N197" s="302" t="s">
        <v>41</v>
      </c>
      <c r="O197" s="72" t="s">
        <v>34</v>
      </c>
      <c r="Q197" s="21">
        <f t="shared" si="30"/>
        <v>0</v>
      </c>
      <c r="R197" s="22">
        <f t="shared" si="31"/>
        <v>0</v>
      </c>
    </row>
    <row r="198" spans="2:18" ht="12.75" customHeight="1">
      <c r="B198" s="616" t="s">
        <v>1092</v>
      </c>
      <c r="C198" s="611" t="s">
        <v>39</v>
      </c>
      <c r="D198" s="612">
        <v>42185</v>
      </c>
      <c r="E198" s="611">
        <v>1</v>
      </c>
      <c r="F198" s="611">
        <v>1</v>
      </c>
      <c r="G198" s="611" t="s">
        <v>705</v>
      </c>
      <c r="H198" s="611" t="s">
        <v>14</v>
      </c>
      <c r="I198" s="613">
        <v>42164</v>
      </c>
      <c r="J198" s="643" t="s">
        <v>1093</v>
      </c>
      <c r="K198" s="395"/>
      <c r="L198" s="394" t="str">
        <f t="shared" si="28"/>
        <v/>
      </c>
      <c r="M198" s="622"/>
      <c r="N198" s="302" t="s">
        <v>41</v>
      </c>
      <c r="O198" s="72" t="s">
        <v>35</v>
      </c>
      <c r="Q198" s="21">
        <f t="shared" si="30"/>
        <v>0</v>
      </c>
      <c r="R198" s="22">
        <f t="shared" si="31"/>
        <v>0</v>
      </c>
    </row>
    <row r="199" spans="2:18" ht="12.75" customHeight="1">
      <c r="B199" s="616" t="s">
        <v>1097</v>
      </c>
      <c r="C199" s="611" t="s">
        <v>24</v>
      </c>
      <c r="D199" s="612">
        <v>42164</v>
      </c>
      <c r="E199" s="611">
        <v>1</v>
      </c>
      <c r="F199" s="611">
        <v>1</v>
      </c>
      <c r="G199" s="611" t="s">
        <v>500</v>
      </c>
      <c r="H199" s="611" t="s">
        <v>14</v>
      </c>
      <c r="I199" s="613">
        <v>42164</v>
      </c>
      <c r="J199" s="643">
        <v>636.35</v>
      </c>
      <c r="K199" s="395"/>
      <c r="L199" s="394" t="str">
        <f t="shared" si="28"/>
        <v/>
      </c>
      <c r="M199" s="622"/>
      <c r="N199" s="302" t="s">
        <v>41</v>
      </c>
      <c r="O199" s="72" t="s">
        <v>35</v>
      </c>
      <c r="Q199" s="21">
        <f t="shared" si="30"/>
        <v>0</v>
      </c>
      <c r="R199" s="22">
        <f t="shared" si="31"/>
        <v>0</v>
      </c>
    </row>
    <row r="200" spans="2:18" ht="12.75" customHeight="1">
      <c r="B200" s="650" t="s">
        <v>1126</v>
      </c>
      <c r="C200" s="649" t="s">
        <v>39</v>
      </c>
      <c r="D200" s="651">
        <v>42185</v>
      </c>
      <c r="E200" s="649">
        <v>1</v>
      </c>
      <c r="F200" s="649">
        <v>1</v>
      </c>
      <c r="G200" s="649" t="s">
        <v>1127</v>
      </c>
      <c r="H200" s="649" t="s">
        <v>14</v>
      </c>
      <c r="I200" s="652">
        <v>42165</v>
      </c>
      <c r="J200" s="647" t="s">
        <v>1128</v>
      </c>
      <c r="K200" s="660"/>
      <c r="L200" s="662"/>
      <c r="M200" s="622"/>
      <c r="N200" s="302" t="s">
        <v>41</v>
      </c>
      <c r="O200" s="72" t="s">
        <v>35</v>
      </c>
      <c r="Q200" s="21">
        <f t="shared" si="30"/>
        <v>0</v>
      </c>
      <c r="R200" s="22">
        <f t="shared" si="31"/>
        <v>0</v>
      </c>
    </row>
    <row r="201" spans="2:18" ht="12.75" customHeight="1">
      <c r="B201" s="672" t="s">
        <v>1094</v>
      </c>
      <c r="C201" s="673" t="s">
        <v>39</v>
      </c>
      <c r="D201" s="674">
        <v>42186</v>
      </c>
      <c r="E201" s="673">
        <v>1</v>
      </c>
      <c r="F201" s="673">
        <v>1</v>
      </c>
      <c r="G201" s="673" t="s">
        <v>1095</v>
      </c>
      <c r="H201" s="673" t="s">
        <v>14</v>
      </c>
      <c r="I201" s="675">
        <v>42165</v>
      </c>
      <c r="J201" s="647" t="s">
        <v>1096</v>
      </c>
      <c r="K201" s="676"/>
      <c r="L201" s="454"/>
      <c r="M201" s="641"/>
      <c r="N201" s="350" t="s">
        <v>123</v>
      </c>
      <c r="O201" s="69" t="s">
        <v>35</v>
      </c>
      <c r="P201" s="86">
        <v>42174</v>
      </c>
      <c r="Q201" s="21">
        <f t="shared" si="30"/>
        <v>0</v>
      </c>
      <c r="R201" s="22">
        <f t="shared" si="31"/>
        <v>9</v>
      </c>
    </row>
    <row r="202" spans="2:18" ht="12.75" customHeight="1">
      <c r="B202" s="654" t="s">
        <v>1118</v>
      </c>
      <c r="C202" s="655" t="s">
        <v>78</v>
      </c>
      <c r="D202" s="656">
        <v>42186</v>
      </c>
      <c r="E202" s="655">
        <v>1</v>
      </c>
      <c r="F202" s="655">
        <v>1</v>
      </c>
      <c r="G202" s="655" t="s">
        <v>520</v>
      </c>
      <c r="H202" s="655" t="s">
        <v>14</v>
      </c>
      <c r="I202" s="657">
        <v>42165</v>
      </c>
      <c r="J202" s="647" t="s">
        <v>1134</v>
      </c>
      <c r="K202" s="658"/>
      <c r="L202" s="352" t="str">
        <f>IF(ISBLANK(K202),"",NETWORKDAYS(I202,K202))</f>
        <v/>
      </c>
      <c r="M202" s="428"/>
      <c r="N202" s="399" t="s">
        <v>36</v>
      </c>
      <c r="O202" s="76"/>
      <c r="Q202" s="21">
        <f t="shared" si="30"/>
        <v>0</v>
      </c>
      <c r="R202" s="22">
        <f t="shared" si="31"/>
        <v>0</v>
      </c>
    </row>
    <row r="203" spans="2:18" ht="12.75" customHeight="1">
      <c r="B203" s="650" t="s">
        <v>1115</v>
      </c>
      <c r="C203" s="649" t="s">
        <v>24</v>
      </c>
      <c r="D203" s="651">
        <v>42186</v>
      </c>
      <c r="E203" s="649">
        <v>1</v>
      </c>
      <c r="F203" s="649">
        <v>1</v>
      </c>
      <c r="G203" s="649" t="s">
        <v>1116</v>
      </c>
      <c r="H203" s="649" t="s">
        <v>14</v>
      </c>
      <c r="I203" s="652">
        <v>42166</v>
      </c>
      <c r="J203" s="647" t="s">
        <v>1113</v>
      </c>
      <c r="K203" s="660"/>
      <c r="L203" s="394" t="str">
        <f>IF(ISBLANK(K203),"",NETWORKDAYS(I203,K203))</f>
        <v/>
      </c>
      <c r="M203" s="622"/>
      <c r="N203" s="302" t="s">
        <v>41</v>
      </c>
      <c r="O203" s="72" t="s">
        <v>35</v>
      </c>
      <c r="Q203" s="21">
        <f t="shared" si="30"/>
        <v>0</v>
      </c>
      <c r="R203" s="22">
        <f t="shared" si="31"/>
        <v>0</v>
      </c>
    </row>
    <row r="204" spans="2:18" ht="12.75" customHeight="1">
      <c r="B204" s="654" t="s">
        <v>1131</v>
      </c>
      <c r="C204" s="655" t="s">
        <v>78</v>
      </c>
      <c r="D204" s="656">
        <v>42186</v>
      </c>
      <c r="E204" s="655">
        <v>2</v>
      </c>
      <c r="F204" s="655">
        <v>2</v>
      </c>
      <c r="G204" s="655" t="s">
        <v>1132</v>
      </c>
      <c r="H204" s="655" t="s">
        <v>79</v>
      </c>
      <c r="I204" s="657">
        <v>42166</v>
      </c>
      <c r="J204" s="647" t="s">
        <v>1133</v>
      </c>
      <c r="K204" s="658"/>
      <c r="L204" s="352" t="str">
        <f t="shared" ref="L204:L212" si="32">IF(ISBLANK(K204),"",NETWORKDAYS(I204,K204))</f>
        <v/>
      </c>
      <c r="M204" s="428"/>
      <c r="N204" s="399" t="s">
        <v>36</v>
      </c>
      <c r="O204" s="76"/>
      <c r="Q204" s="21">
        <f>IF(ISBLANK(K209),0,SUM(K209,-I209))</f>
        <v>0</v>
      </c>
      <c r="R204" s="22">
        <f t="shared" si="31"/>
        <v>0</v>
      </c>
    </row>
    <row r="205" spans="2:18" ht="12.75" customHeight="1">
      <c r="B205" s="654" t="s">
        <v>1123</v>
      </c>
      <c r="C205" s="655" t="s">
        <v>83</v>
      </c>
      <c r="D205" s="656">
        <v>42186</v>
      </c>
      <c r="E205" s="655">
        <v>1</v>
      </c>
      <c r="F205" s="655">
        <v>1</v>
      </c>
      <c r="G205" s="655" t="s">
        <v>82</v>
      </c>
      <c r="H205" s="655" t="s">
        <v>79</v>
      </c>
      <c r="I205" s="657">
        <v>42166</v>
      </c>
      <c r="J205" s="647">
        <v>680.4</v>
      </c>
      <c r="K205" s="658"/>
      <c r="L205" s="659"/>
      <c r="M205" s="428"/>
      <c r="N205" s="399" t="s">
        <v>36</v>
      </c>
      <c r="O205" s="76"/>
      <c r="Q205" s="21">
        <f>IF(ISBLANK(K210),0,SUM(K210,-I210))</f>
        <v>0</v>
      </c>
      <c r="R205" s="22">
        <f t="shared" si="31"/>
        <v>0</v>
      </c>
    </row>
    <row r="206" spans="2:18" ht="12.75" customHeight="1">
      <c r="B206" s="650" t="s">
        <v>1117</v>
      </c>
      <c r="C206" s="649" t="s">
        <v>24</v>
      </c>
      <c r="D206" s="651">
        <v>42186</v>
      </c>
      <c r="E206" s="649">
        <v>1</v>
      </c>
      <c r="F206" s="649">
        <v>1</v>
      </c>
      <c r="G206" s="649" t="s">
        <v>718</v>
      </c>
      <c r="H206" s="649" t="s">
        <v>14</v>
      </c>
      <c r="I206" s="652">
        <v>42166</v>
      </c>
      <c r="J206" s="647" t="s">
        <v>1136</v>
      </c>
      <c r="K206" s="660"/>
      <c r="L206" s="394" t="str">
        <f t="shared" si="32"/>
        <v/>
      </c>
      <c r="M206" s="622"/>
      <c r="N206" s="302" t="s">
        <v>588</v>
      </c>
      <c r="O206" s="72" t="s">
        <v>35</v>
      </c>
      <c r="Q206" s="21">
        <f t="shared" ref="Q206:Q214" si="33">IF(ISBLANK(K211),0,SUM(K211,-I211))</f>
        <v>0</v>
      </c>
      <c r="R206" s="22">
        <f t="shared" ref="R206:R214" si="34">IF(ISBLANK(P206),0,SUM(P206,-I206))</f>
        <v>0</v>
      </c>
    </row>
    <row r="207" spans="2:18" ht="12.75" customHeight="1">
      <c r="B207" s="650" t="s">
        <v>1119</v>
      </c>
      <c r="C207" s="649" t="s">
        <v>24</v>
      </c>
      <c r="D207" s="651">
        <v>42187</v>
      </c>
      <c r="E207" s="649">
        <v>1</v>
      </c>
      <c r="F207" s="649">
        <v>1</v>
      </c>
      <c r="G207" s="649" t="s">
        <v>601</v>
      </c>
      <c r="H207" s="649" t="s">
        <v>14</v>
      </c>
      <c r="I207" s="652">
        <v>42167</v>
      </c>
      <c r="J207" s="647" t="s">
        <v>1139</v>
      </c>
      <c r="K207" s="660"/>
      <c r="L207" s="394" t="str">
        <f t="shared" si="32"/>
        <v/>
      </c>
      <c r="M207" s="622"/>
      <c r="N207" s="302" t="s">
        <v>588</v>
      </c>
      <c r="O207" s="72" t="s">
        <v>35</v>
      </c>
      <c r="Q207" s="21">
        <f t="shared" si="33"/>
        <v>0</v>
      </c>
      <c r="R207" s="22">
        <f t="shared" si="34"/>
        <v>0</v>
      </c>
    </row>
    <row r="208" spans="2:18" ht="12.75" customHeight="1">
      <c r="B208" s="650" t="s">
        <v>1120</v>
      </c>
      <c r="C208" s="649" t="s">
        <v>24</v>
      </c>
      <c r="D208" s="651">
        <v>42187</v>
      </c>
      <c r="E208" s="649">
        <v>1</v>
      </c>
      <c r="F208" s="649">
        <v>1</v>
      </c>
      <c r="G208" s="649" t="s">
        <v>601</v>
      </c>
      <c r="H208" s="649" t="s">
        <v>79</v>
      </c>
      <c r="I208" s="652">
        <v>42167</v>
      </c>
      <c r="J208" s="647" t="s">
        <v>1145</v>
      </c>
      <c r="K208" s="660"/>
      <c r="L208" s="394" t="str">
        <f t="shared" si="32"/>
        <v/>
      </c>
      <c r="M208" s="622"/>
      <c r="N208" s="302" t="s">
        <v>588</v>
      </c>
      <c r="O208" s="72" t="s">
        <v>35</v>
      </c>
      <c r="Q208" s="21">
        <f t="shared" si="33"/>
        <v>0</v>
      </c>
      <c r="R208" s="22">
        <f t="shared" si="34"/>
        <v>0</v>
      </c>
    </row>
    <row r="209" spans="2:18" ht="12.75" customHeight="1">
      <c r="B209" s="650" t="s">
        <v>1129</v>
      </c>
      <c r="C209" s="649" t="s">
        <v>39</v>
      </c>
      <c r="D209" s="651">
        <v>42187</v>
      </c>
      <c r="E209" s="649">
        <v>1</v>
      </c>
      <c r="F209" s="649">
        <v>1</v>
      </c>
      <c r="G209" s="649" t="s">
        <v>457</v>
      </c>
      <c r="H209" s="649" t="s">
        <v>14</v>
      </c>
      <c r="I209" s="652">
        <v>42167</v>
      </c>
      <c r="J209" s="647" t="s">
        <v>1130</v>
      </c>
      <c r="K209" s="660"/>
      <c r="L209" s="662"/>
      <c r="M209" s="622"/>
      <c r="N209" s="302" t="s">
        <v>588</v>
      </c>
      <c r="O209" s="72" t="s">
        <v>35</v>
      </c>
      <c r="Q209" s="21">
        <f t="shared" si="33"/>
        <v>0</v>
      </c>
      <c r="R209" s="22">
        <f t="shared" si="34"/>
        <v>0</v>
      </c>
    </row>
    <row r="210" spans="2:18" ht="12.75" customHeight="1">
      <c r="B210" s="650" t="s">
        <v>1137</v>
      </c>
      <c r="C210" s="649" t="s">
        <v>24</v>
      </c>
      <c r="D210" s="651">
        <v>42187</v>
      </c>
      <c r="E210" s="649">
        <v>1</v>
      </c>
      <c r="F210" s="649">
        <v>1</v>
      </c>
      <c r="G210" s="649" t="s">
        <v>1138</v>
      </c>
      <c r="H210" s="649" t="s">
        <v>14</v>
      </c>
      <c r="I210" s="652">
        <v>42167</v>
      </c>
      <c r="J210" s="647" t="s">
        <v>776</v>
      </c>
      <c r="K210" s="660"/>
      <c r="L210" s="394" t="str">
        <f t="shared" si="32"/>
        <v/>
      </c>
      <c r="M210" s="622"/>
      <c r="N210" s="302" t="s">
        <v>41</v>
      </c>
      <c r="O210" s="72" t="s">
        <v>35</v>
      </c>
      <c r="Q210" s="21">
        <f t="shared" si="33"/>
        <v>0</v>
      </c>
      <c r="R210" s="22">
        <f t="shared" si="34"/>
        <v>0</v>
      </c>
    </row>
    <row r="211" spans="2:18" ht="12.75" customHeight="1">
      <c r="B211" s="650" t="s">
        <v>1111</v>
      </c>
      <c r="C211" s="649" t="s">
        <v>24</v>
      </c>
      <c r="D211" s="651">
        <v>42191</v>
      </c>
      <c r="E211" s="649">
        <v>1</v>
      </c>
      <c r="F211" s="649">
        <v>1</v>
      </c>
      <c r="G211" s="649" t="s">
        <v>1112</v>
      </c>
      <c r="H211" s="649" t="s">
        <v>14</v>
      </c>
      <c r="I211" s="652">
        <v>42170</v>
      </c>
      <c r="J211" s="647" t="s">
        <v>1140</v>
      </c>
      <c r="K211" s="660"/>
      <c r="L211" s="394" t="str">
        <f t="shared" si="32"/>
        <v/>
      </c>
      <c r="M211" s="622"/>
      <c r="N211" s="302" t="s">
        <v>41</v>
      </c>
      <c r="O211" s="72" t="s">
        <v>35</v>
      </c>
      <c r="Q211" s="21">
        <f t="shared" si="33"/>
        <v>0</v>
      </c>
      <c r="R211" s="22">
        <f t="shared" si="34"/>
        <v>0</v>
      </c>
    </row>
    <row r="212" spans="2:18" ht="12.75" customHeight="1">
      <c r="B212" s="650" t="s">
        <v>1109</v>
      </c>
      <c r="C212" s="649" t="s">
        <v>78</v>
      </c>
      <c r="D212" s="651">
        <v>42191</v>
      </c>
      <c r="E212" s="649">
        <v>1</v>
      </c>
      <c r="F212" s="649">
        <v>1</v>
      </c>
      <c r="G212" s="649" t="s">
        <v>1110</v>
      </c>
      <c r="H212" s="649" t="s">
        <v>14</v>
      </c>
      <c r="I212" s="652">
        <v>42170</v>
      </c>
      <c r="J212" s="647" t="s">
        <v>1135</v>
      </c>
      <c r="K212" s="660"/>
      <c r="L212" s="394" t="str">
        <f t="shared" si="32"/>
        <v/>
      </c>
      <c r="M212" s="622"/>
      <c r="N212" s="302" t="s">
        <v>41</v>
      </c>
      <c r="O212" s="72" t="s">
        <v>35</v>
      </c>
      <c r="Q212" s="21">
        <f t="shared" si="33"/>
        <v>0</v>
      </c>
      <c r="R212" s="22">
        <f t="shared" si="34"/>
        <v>0</v>
      </c>
    </row>
    <row r="213" spans="2:18" ht="12.75" customHeight="1">
      <c r="B213" s="650" t="s">
        <v>1155</v>
      </c>
      <c r="C213" s="649" t="s">
        <v>24</v>
      </c>
      <c r="D213" s="651">
        <v>42193</v>
      </c>
      <c r="E213" s="649">
        <v>1</v>
      </c>
      <c r="F213" s="649">
        <v>1</v>
      </c>
      <c r="G213" s="649" t="s">
        <v>720</v>
      </c>
      <c r="H213" s="649" t="s">
        <v>14</v>
      </c>
      <c r="I213" s="652">
        <v>42172</v>
      </c>
      <c r="J213" s="648" t="s">
        <v>1157</v>
      </c>
      <c r="K213" s="660"/>
      <c r="L213" s="394" t="str">
        <f>IF(ISBLANK(K213),"",NETWORKDAYS(I213,K213))</f>
        <v/>
      </c>
      <c r="M213" s="622"/>
      <c r="N213" s="302" t="s">
        <v>41</v>
      </c>
      <c r="O213" s="72" t="s">
        <v>35</v>
      </c>
      <c r="Q213" s="21">
        <f t="shared" si="33"/>
        <v>0</v>
      </c>
      <c r="R213" s="22">
        <f t="shared" si="34"/>
        <v>0</v>
      </c>
    </row>
    <row r="214" spans="2:18" ht="12.75" customHeight="1">
      <c r="Q214" s="21">
        <f t="shared" si="33"/>
        <v>0</v>
      </c>
      <c r="R214" s="22">
        <f t="shared" si="34"/>
        <v>0</v>
      </c>
    </row>
    <row r="215" spans="2:18" ht="12.75" customHeight="1">
      <c r="Q215" s="21">
        <f t="shared" ref="Q215:Q269" si="35">IF(ISBLANK(K217),0,SUM(K217,-I217))</f>
        <v>0</v>
      </c>
      <c r="R215" s="22">
        <f>IF(ISBLANK(P215),0,SUM(P215,-#REF!))</f>
        <v>0</v>
      </c>
    </row>
    <row r="216" spans="2:18" ht="12.75" customHeight="1">
      <c r="Q216" s="21">
        <f t="shared" si="35"/>
        <v>0</v>
      </c>
      <c r="R216" s="22">
        <f>IF(ISBLANK(P216),0,SUM(P216,-#REF!))</f>
        <v>0</v>
      </c>
    </row>
    <row r="217" spans="2:18" ht="12.75" customHeight="1">
      <c r="Q217" s="21">
        <f t="shared" si="35"/>
        <v>0</v>
      </c>
      <c r="R217" s="22">
        <f>IF(ISBLANK(P217),0,SUM(P217,-#REF!))</f>
        <v>0</v>
      </c>
    </row>
    <row r="218" spans="2:18" ht="12.75" customHeight="1">
      <c r="Q218" s="21">
        <f t="shared" si="35"/>
        <v>0</v>
      </c>
      <c r="R218" s="22">
        <f>IF(ISBLANK(P218),0,SUM(P218,-#REF!))</f>
        <v>0</v>
      </c>
    </row>
    <row r="219" spans="2:18" ht="12.75" customHeight="1">
      <c r="Q219" s="21">
        <f t="shared" si="35"/>
        <v>0</v>
      </c>
      <c r="R219" s="22">
        <f>IF(ISBLANK(P219),0,SUM(P219,-#REF!))</f>
        <v>0</v>
      </c>
    </row>
    <row r="220" spans="2:18" ht="12.75" customHeight="1">
      <c r="Q220" s="21">
        <f t="shared" si="35"/>
        <v>0</v>
      </c>
      <c r="R220" s="22">
        <f>IF(ISBLANK(P220),0,SUM(P220,-#REF!))</f>
        <v>0</v>
      </c>
    </row>
    <row r="221" spans="2:18" ht="12.75" customHeight="1">
      <c r="Q221" s="21">
        <f t="shared" si="35"/>
        <v>0</v>
      </c>
      <c r="R221" s="22">
        <f>IF(ISBLANK(P221),0,SUM(P221,-#REF!))</f>
        <v>0</v>
      </c>
    </row>
    <row r="222" spans="2:18" ht="12.75" customHeight="1">
      <c r="Q222" s="21">
        <f t="shared" si="35"/>
        <v>0</v>
      </c>
      <c r="R222" s="22">
        <f>IF(ISBLANK(P222),0,SUM(P222,-#REF!))</f>
        <v>0</v>
      </c>
    </row>
    <row r="223" spans="2:18" ht="12.75" customHeight="1">
      <c r="Q223" s="21">
        <f t="shared" si="35"/>
        <v>0</v>
      </c>
      <c r="R223" s="22">
        <f>IF(ISBLANK(P223),0,SUM(P223,-#REF!))</f>
        <v>0</v>
      </c>
    </row>
    <row r="224" spans="2:18" ht="12.75" customHeight="1">
      <c r="Q224" s="21">
        <f t="shared" si="35"/>
        <v>0</v>
      </c>
      <c r="R224" s="22">
        <f>IF(ISBLANK(P224),0,SUM(P224,-#REF!))</f>
        <v>0</v>
      </c>
    </row>
    <row r="225" spans="17:18" ht="12.75" customHeight="1">
      <c r="Q225" s="21">
        <f t="shared" si="35"/>
        <v>0</v>
      </c>
      <c r="R225" s="22">
        <f>IF(ISBLANK(P225),0,SUM(P225,-#REF!))</f>
        <v>0</v>
      </c>
    </row>
    <row r="226" spans="17:18" ht="12.75" customHeight="1">
      <c r="Q226" s="21">
        <f t="shared" si="35"/>
        <v>0</v>
      </c>
      <c r="R226" s="22">
        <f>IF(ISBLANK(P226),0,SUM(P226,-#REF!))</f>
        <v>0</v>
      </c>
    </row>
    <row r="227" spans="17:18" ht="12.75" customHeight="1">
      <c r="Q227" s="21">
        <f t="shared" si="35"/>
        <v>0</v>
      </c>
      <c r="R227" s="22">
        <f>IF(ISBLANK(P227),0,SUM(P227,-#REF!))</f>
        <v>0</v>
      </c>
    </row>
    <row r="228" spans="17:18" ht="12.75" customHeight="1">
      <c r="Q228" s="21">
        <f t="shared" si="35"/>
        <v>0</v>
      </c>
      <c r="R228" s="22">
        <f>IF(ISBLANK(P228),0,SUM(P228,-#REF!))</f>
        <v>0</v>
      </c>
    </row>
    <row r="229" spans="17:18" ht="12.75" customHeight="1">
      <c r="Q229" s="21">
        <f t="shared" si="35"/>
        <v>0</v>
      </c>
      <c r="R229" s="22">
        <f>IF(ISBLANK(P229),0,SUM(P229,-#REF!))</f>
        <v>0</v>
      </c>
    </row>
    <row r="230" spans="17:18" ht="12.75" customHeight="1">
      <c r="Q230" s="21">
        <f t="shared" si="35"/>
        <v>0</v>
      </c>
      <c r="R230" s="22">
        <f>IF(ISBLANK(P230),0,SUM(P230,-#REF!))</f>
        <v>0</v>
      </c>
    </row>
    <row r="231" spans="17:18" ht="12.75" customHeight="1">
      <c r="Q231" s="21">
        <f t="shared" si="35"/>
        <v>0</v>
      </c>
      <c r="R231" s="22">
        <f>IF(ISBLANK(P231),0,SUM(P231,-#REF!))</f>
        <v>0</v>
      </c>
    </row>
    <row r="232" spans="17:18" ht="12.75" customHeight="1">
      <c r="Q232" s="21">
        <f t="shared" si="35"/>
        <v>0</v>
      </c>
      <c r="R232" s="22">
        <f>IF(ISBLANK(P232),0,SUM(P232,-#REF!))</f>
        <v>0</v>
      </c>
    </row>
    <row r="233" spans="17:18" ht="12.75" customHeight="1">
      <c r="Q233" s="21">
        <f t="shared" si="35"/>
        <v>0</v>
      </c>
      <c r="R233" s="22">
        <f>IF(ISBLANK(P233),0,SUM(P233,-#REF!))</f>
        <v>0</v>
      </c>
    </row>
    <row r="234" spans="17:18" ht="12.75" customHeight="1">
      <c r="Q234" s="21">
        <f t="shared" si="35"/>
        <v>0</v>
      </c>
      <c r="R234" s="22">
        <f>IF(ISBLANK(P234),0,SUM(P234,-#REF!))</f>
        <v>0</v>
      </c>
    </row>
    <row r="235" spans="17:18" ht="12.75" customHeight="1">
      <c r="Q235" s="21">
        <f t="shared" si="35"/>
        <v>0</v>
      </c>
      <c r="R235" s="22">
        <f>IF(ISBLANK(P235),0,SUM(P235,-#REF!))</f>
        <v>0</v>
      </c>
    </row>
    <row r="236" spans="17:18" ht="12.75" customHeight="1">
      <c r="Q236" s="21">
        <f t="shared" si="35"/>
        <v>0</v>
      </c>
      <c r="R236" s="22">
        <f>IF(ISBLANK(P236),0,SUM(P236,-#REF!))</f>
        <v>0</v>
      </c>
    </row>
    <row r="237" spans="17:18" ht="12.75" customHeight="1">
      <c r="Q237" s="21">
        <f t="shared" si="35"/>
        <v>0</v>
      </c>
      <c r="R237" s="22">
        <f>IF(ISBLANK(P237),0,SUM(P237,-#REF!))</f>
        <v>0</v>
      </c>
    </row>
    <row r="238" spans="17:18" ht="12.75" customHeight="1">
      <c r="Q238" s="21">
        <f t="shared" si="35"/>
        <v>0</v>
      </c>
      <c r="R238" s="22">
        <f>IF(ISBLANK(P238),0,SUM(P238,-#REF!))</f>
        <v>0</v>
      </c>
    </row>
    <row r="239" spans="17:18" ht="12.75" customHeight="1">
      <c r="Q239" s="21">
        <f t="shared" si="35"/>
        <v>0</v>
      </c>
      <c r="R239" s="22">
        <f>IF(ISBLANK(P239),0,SUM(P239,-#REF!))</f>
        <v>0</v>
      </c>
    </row>
    <row r="240" spans="17:18" ht="12.75" customHeight="1">
      <c r="Q240" s="21">
        <f t="shared" si="35"/>
        <v>0</v>
      </c>
      <c r="R240" s="22">
        <f>IF(ISBLANK(P240),0,SUM(P240,-#REF!))</f>
        <v>0</v>
      </c>
    </row>
    <row r="241" spans="17:18" ht="12.75" customHeight="1">
      <c r="Q241" s="21">
        <f t="shared" si="35"/>
        <v>0</v>
      </c>
      <c r="R241" s="22">
        <f>IF(ISBLANK(P241),0,SUM(P241,-#REF!))</f>
        <v>0</v>
      </c>
    </row>
    <row r="242" spans="17:18" ht="12.75" customHeight="1">
      <c r="Q242" s="21">
        <f t="shared" si="35"/>
        <v>0</v>
      </c>
      <c r="R242" s="22">
        <f>IF(ISBLANK(P242),0,SUM(P242,-#REF!))</f>
        <v>0</v>
      </c>
    </row>
    <row r="243" spans="17:18" ht="12.75" customHeight="1">
      <c r="Q243" s="21">
        <f t="shared" si="35"/>
        <v>0</v>
      </c>
      <c r="R243" s="22">
        <f>IF(ISBLANK(P243),0,SUM(P243,-#REF!))</f>
        <v>0</v>
      </c>
    </row>
    <row r="244" spans="17:18" ht="12.75" customHeight="1">
      <c r="Q244" s="21">
        <f t="shared" si="35"/>
        <v>0</v>
      </c>
      <c r="R244" s="22">
        <f>IF(ISBLANK(P244),0,SUM(P244,-#REF!))</f>
        <v>0</v>
      </c>
    </row>
    <row r="245" spans="17:18" ht="12.75" customHeight="1">
      <c r="Q245" s="21">
        <f t="shared" si="35"/>
        <v>0</v>
      </c>
      <c r="R245" s="22">
        <f>IF(ISBLANK(P245),0,SUM(P245,-#REF!))</f>
        <v>0</v>
      </c>
    </row>
    <row r="246" spans="17:18" ht="12.75" customHeight="1">
      <c r="Q246" s="21">
        <f t="shared" si="35"/>
        <v>0</v>
      </c>
      <c r="R246" s="22">
        <f>IF(ISBLANK(P246),0,SUM(P246,-#REF!))</f>
        <v>0</v>
      </c>
    </row>
    <row r="247" spans="17:18" ht="12.75" customHeight="1">
      <c r="Q247" s="21">
        <f t="shared" si="35"/>
        <v>0</v>
      </c>
      <c r="R247" s="22">
        <f>IF(ISBLANK(P247),0,SUM(P247,-#REF!))</f>
        <v>0</v>
      </c>
    </row>
    <row r="248" spans="17:18" ht="12.75" customHeight="1">
      <c r="Q248" s="21">
        <f t="shared" si="35"/>
        <v>0</v>
      </c>
      <c r="R248" s="22">
        <f>IF(ISBLANK(P248),0,SUM(P248,-#REF!))</f>
        <v>0</v>
      </c>
    </row>
    <row r="249" spans="17:18" ht="12.75" customHeight="1">
      <c r="Q249" s="21">
        <f t="shared" si="35"/>
        <v>0</v>
      </c>
      <c r="R249" s="22">
        <f>IF(ISBLANK(P249),0,SUM(P249,-#REF!))</f>
        <v>0</v>
      </c>
    </row>
    <row r="250" spans="17:18" ht="12.75" customHeight="1">
      <c r="Q250" s="21">
        <f t="shared" si="35"/>
        <v>0</v>
      </c>
      <c r="R250" s="22">
        <f>IF(ISBLANK(P250),0,SUM(P250,-#REF!))</f>
        <v>0</v>
      </c>
    </row>
    <row r="251" spans="17:18" ht="12.75" customHeight="1">
      <c r="Q251" s="21">
        <f t="shared" si="35"/>
        <v>0</v>
      </c>
      <c r="R251" s="22">
        <f>IF(ISBLANK(P251),0,SUM(P251,-#REF!))</f>
        <v>0</v>
      </c>
    </row>
    <row r="252" spans="17:18" ht="12.75" customHeight="1">
      <c r="Q252" s="21">
        <f t="shared" si="35"/>
        <v>0</v>
      </c>
      <c r="R252" s="22">
        <f>IF(ISBLANK(P252),0,SUM(P252,-#REF!))</f>
        <v>0</v>
      </c>
    </row>
    <row r="253" spans="17:18" ht="12.75" customHeight="1">
      <c r="Q253" s="21">
        <f t="shared" si="35"/>
        <v>0</v>
      </c>
      <c r="R253" s="22">
        <f>IF(ISBLANK(P253),0,SUM(P253,-#REF!))</f>
        <v>0</v>
      </c>
    </row>
    <row r="254" spans="17:18" ht="12.75" customHeight="1">
      <c r="Q254" s="21">
        <f t="shared" si="35"/>
        <v>0</v>
      </c>
      <c r="R254" s="22">
        <f>IF(ISBLANK(P254),0,SUM(P254,-#REF!))</f>
        <v>0</v>
      </c>
    </row>
    <row r="255" spans="17:18" ht="12.75" customHeight="1">
      <c r="Q255" s="21">
        <f t="shared" si="35"/>
        <v>0</v>
      </c>
      <c r="R255" s="22">
        <f>IF(ISBLANK(P255),0,SUM(P255,-#REF!))</f>
        <v>0</v>
      </c>
    </row>
    <row r="256" spans="17:18" ht="12.75" customHeight="1">
      <c r="Q256" s="21">
        <f t="shared" si="35"/>
        <v>0</v>
      </c>
      <c r="R256" s="22">
        <f>IF(ISBLANK(P256),0,SUM(P256,-#REF!))</f>
        <v>0</v>
      </c>
    </row>
    <row r="257" spans="17:18" ht="12.75" customHeight="1">
      <c r="Q257" s="21">
        <f t="shared" si="35"/>
        <v>0</v>
      </c>
      <c r="R257" s="22">
        <f>IF(ISBLANK(P257),0,SUM(P257,-#REF!))</f>
        <v>0</v>
      </c>
    </row>
    <row r="258" spans="17:18" ht="12.75" customHeight="1">
      <c r="Q258" s="21">
        <f t="shared" si="35"/>
        <v>0</v>
      </c>
      <c r="R258" s="22">
        <f>IF(ISBLANK(P258),0,SUM(P258,-#REF!))</f>
        <v>0</v>
      </c>
    </row>
    <row r="259" spans="17:18" ht="12.75" customHeight="1">
      <c r="Q259" s="21">
        <f t="shared" si="35"/>
        <v>0</v>
      </c>
      <c r="R259" s="22">
        <f>IF(ISBLANK(P259),0,SUM(P259,-#REF!))</f>
        <v>0</v>
      </c>
    </row>
    <row r="260" spans="17:18" ht="12.75" customHeight="1">
      <c r="Q260" s="21">
        <f t="shared" si="35"/>
        <v>0</v>
      </c>
      <c r="R260" s="22">
        <f>IF(ISBLANK(P260),0,SUM(P260,-#REF!))</f>
        <v>0</v>
      </c>
    </row>
    <row r="261" spans="17:18" ht="12.75" customHeight="1">
      <c r="Q261" s="21">
        <f t="shared" si="35"/>
        <v>0</v>
      </c>
      <c r="R261" s="22">
        <f>IF(ISBLANK(P261),0,SUM(P261,-#REF!))</f>
        <v>0</v>
      </c>
    </row>
    <row r="262" spans="17:18" ht="12.75" customHeight="1">
      <c r="Q262" s="21">
        <f t="shared" si="35"/>
        <v>0</v>
      </c>
      <c r="R262" s="22">
        <f>IF(ISBLANK(P262),0,SUM(P262,-#REF!))</f>
        <v>0</v>
      </c>
    </row>
    <row r="263" spans="17:18" ht="12.75" customHeight="1">
      <c r="Q263" s="21">
        <f t="shared" si="35"/>
        <v>0</v>
      </c>
      <c r="R263" s="22">
        <f>IF(ISBLANK(P263),0,SUM(P263,-#REF!))</f>
        <v>0</v>
      </c>
    </row>
    <row r="264" spans="17:18" ht="12.75" customHeight="1">
      <c r="Q264" s="21">
        <f t="shared" si="35"/>
        <v>0</v>
      </c>
      <c r="R264" s="22">
        <f>IF(ISBLANK(P264),0,SUM(P264,-#REF!))</f>
        <v>0</v>
      </c>
    </row>
    <row r="265" spans="17:18" ht="12.75" customHeight="1">
      <c r="Q265" s="21">
        <f t="shared" si="35"/>
        <v>0</v>
      </c>
      <c r="R265" s="22">
        <f>IF(ISBLANK(P265),0,SUM(P265,-#REF!))</f>
        <v>0</v>
      </c>
    </row>
    <row r="266" spans="17:18" ht="12.75" customHeight="1">
      <c r="Q266" s="21">
        <f t="shared" si="35"/>
        <v>0</v>
      </c>
      <c r="R266" s="22">
        <f>IF(ISBLANK(P266),0,SUM(P266,-#REF!))</f>
        <v>0</v>
      </c>
    </row>
    <row r="267" spans="17:18" ht="12.75" customHeight="1">
      <c r="Q267" s="21">
        <f t="shared" si="35"/>
        <v>0</v>
      </c>
      <c r="R267" s="22">
        <f>IF(ISBLANK(P267),0,SUM(P267,-#REF!))</f>
        <v>0</v>
      </c>
    </row>
    <row r="268" spans="17:18" ht="12.75" customHeight="1">
      <c r="Q268" s="21">
        <f t="shared" si="35"/>
        <v>0</v>
      </c>
      <c r="R268" s="22">
        <f>IF(ISBLANK(P268),0,SUM(P268,-#REF!))</f>
        <v>0</v>
      </c>
    </row>
    <row r="269" spans="17:18" ht="12.75" customHeight="1">
      <c r="Q269" s="21">
        <f t="shared" si="35"/>
        <v>0</v>
      </c>
      <c r="R269" s="22">
        <f>IF(ISBLANK(P269),0,SUM(P269,-#REF!))</f>
        <v>0</v>
      </c>
    </row>
    <row r="270" spans="17:18" ht="12.75" customHeight="1">
      <c r="Q270" s="21">
        <f t="shared" ref="Q270:Q333" si="36">IF(ISBLANK(K272),0,SUM(K272,-I272))</f>
        <v>0</v>
      </c>
      <c r="R270" s="22">
        <f>IF(ISBLANK(P270),0,SUM(P270,-#REF!))</f>
        <v>0</v>
      </c>
    </row>
    <row r="271" spans="17:18" ht="12.75" customHeight="1">
      <c r="Q271" s="21">
        <f t="shared" si="36"/>
        <v>0</v>
      </c>
      <c r="R271" s="22">
        <f>IF(ISBLANK(P271),0,SUM(P271,-#REF!))</f>
        <v>0</v>
      </c>
    </row>
    <row r="272" spans="17:18" ht="12.75" customHeight="1">
      <c r="Q272" s="21">
        <f t="shared" si="36"/>
        <v>0</v>
      </c>
      <c r="R272" s="22">
        <f>IF(ISBLANK(P272),0,SUM(P272,-#REF!))</f>
        <v>0</v>
      </c>
    </row>
    <row r="273" spans="17:18" ht="12.75" customHeight="1">
      <c r="Q273" s="21">
        <f t="shared" si="36"/>
        <v>0</v>
      </c>
      <c r="R273" s="22">
        <f>IF(ISBLANK(P273),0,SUM(P273,-#REF!))</f>
        <v>0</v>
      </c>
    </row>
    <row r="274" spans="17:18" ht="12.75" customHeight="1">
      <c r="Q274" s="21">
        <f t="shared" si="36"/>
        <v>0</v>
      </c>
      <c r="R274" s="22">
        <f>IF(ISBLANK(P274),0,SUM(P274,-#REF!))</f>
        <v>0</v>
      </c>
    </row>
    <row r="275" spans="17:18" ht="12.75" customHeight="1">
      <c r="Q275" s="21">
        <f t="shared" si="36"/>
        <v>0</v>
      </c>
      <c r="R275" s="22">
        <f>IF(ISBLANK(P275),0,SUM(P275,-#REF!))</f>
        <v>0</v>
      </c>
    </row>
    <row r="276" spans="17:18" ht="12.75" customHeight="1">
      <c r="Q276" s="21">
        <f t="shared" si="36"/>
        <v>0</v>
      </c>
      <c r="R276" s="22">
        <f>IF(ISBLANK(P276),0,SUM(P276,-#REF!))</f>
        <v>0</v>
      </c>
    </row>
    <row r="277" spans="17:18" ht="12.75" customHeight="1">
      <c r="Q277" s="21">
        <f t="shared" si="36"/>
        <v>0</v>
      </c>
      <c r="R277" s="22">
        <f>IF(ISBLANK(P277),0,SUM(P277,-#REF!))</f>
        <v>0</v>
      </c>
    </row>
    <row r="278" spans="17:18" ht="12.75" customHeight="1">
      <c r="Q278" s="21">
        <f t="shared" si="36"/>
        <v>0</v>
      </c>
      <c r="R278" s="22">
        <f>IF(ISBLANK(P278),0,SUM(P278,-#REF!))</f>
        <v>0</v>
      </c>
    </row>
    <row r="279" spans="17:18" ht="12.75" customHeight="1">
      <c r="Q279" s="21">
        <f t="shared" si="36"/>
        <v>0</v>
      </c>
      <c r="R279" s="22">
        <f>IF(ISBLANK(P279),0,SUM(P279,-#REF!))</f>
        <v>0</v>
      </c>
    </row>
    <row r="280" spans="17:18" ht="12.75" customHeight="1">
      <c r="Q280" s="21">
        <f t="shared" si="36"/>
        <v>0</v>
      </c>
      <c r="R280" s="22">
        <f>IF(ISBLANK(P280),0,SUM(P280,-#REF!))</f>
        <v>0</v>
      </c>
    </row>
    <row r="281" spans="17:18" ht="12.75" customHeight="1">
      <c r="Q281" s="21">
        <f t="shared" si="36"/>
        <v>0</v>
      </c>
      <c r="R281" s="22">
        <f>IF(ISBLANK(P281),0,SUM(P281,-#REF!))</f>
        <v>0</v>
      </c>
    </row>
    <row r="282" spans="17:18" ht="12.75" customHeight="1">
      <c r="Q282" s="21">
        <f t="shared" si="36"/>
        <v>0</v>
      </c>
      <c r="R282" s="22">
        <f>IF(ISBLANK(P282),0,SUM(P282,-#REF!))</f>
        <v>0</v>
      </c>
    </row>
    <row r="283" spans="17:18" ht="12.75" customHeight="1">
      <c r="Q283" s="21">
        <f t="shared" si="36"/>
        <v>0</v>
      </c>
      <c r="R283" s="22">
        <f>IF(ISBLANK(P283),0,SUM(P283,-#REF!))</f>
        <v>0</v>
      </c>
    </row>
    <row r="284" spans="17:18" ht="12.75" customHeight="1">
      <c r="Q284" s="21">
        <f t="shared" si="36"/>
        <v>0</v>
      </c>
      <c r="R284" s="22">
        <f>IF(ISBLANK(P284),0,SUM(P284,-#REF!))</f>
        <v>0</v>
      </c>
    </row>
    <row r="285" spans="17:18" ht="12.75" customHeight="1">
      <c r="Q285" s="21">
        <f t="shared" si="36"/>
        <v>0</v>
      </c>
      <c r="R285" s="22">
        <f>IF(ISBLANK(P285),0,SUM(P285,-#REF!))</f>
        <v>0</v>
      </c>
    </row>
    <row r="286" spans="17:18" ht="12.75" customHeight="1">
      <c r="Q286" s="21">
        <f t="shared" si="36"/>
        <v>0</v>
      </c>
      <c r="R286" s="22">
        <f>IF(ISBLANK(P286),0,SUM(P286,-#REF!))</f>
        <v>0</v>
      </c>
    </row>
    <row r="287" spans="17:18" ht="12.75" customHeight="1">
      <c r="Q287" s="21">
        <f t="shared" si="36"/>
        <v>0</v>
      </c>
      <c r="R287" s="22">
        <f>IF(ISBLANK(P287),0,SUM(P287,-#REF!))</f>
        <v>0</v>
      </c>
    </row>
    <row r="288" spans="17:18" ht="12.75" customHeight="1">
      <c r="Q288" s="21">
        <f t="shared" si="36"/>
        <v>0</v>
      </c>
      <c r="R288" s="22">
        <f>IF(ISBLANK(P288),0,SUM(P288,-#REF!))</f>
        <v>0</v>
      </c>
    </row>
    <row r="289" spans="17:18" ht="12.75" customHeight="1">
      <c r="Q289" s="21">
        <f t="shared" si="36"/>
        <v>0</v>
      </c>
      <c r="R289" s="22">
        <f>IF(ISBLANK(P289),0,SUM(P289,-#REF!))</f>
        <v>0</v>
      </c>
    </row>
    <row r="290" spans="17:18" ht="12.75" customHeight="1">
      <c r="Q290" s="21">
        <f t="shared" si="36"/>
        <v>0</v>
      </c>
      <c r="R290" s="22">
        <f>IF(ISBLANK(P290),0,SUM(P290,-#REF!))</f>
        <v>0</v>
      </c>
    </row>
    <row r="291" spans="17:18" ht="12.75" customHeight="1">
      <c r="Q291" s="21">
        <f t="shared" si="36"/>
        <v>0</v>
      </c>
      <c r="R291" s="22">
        <f>IF(ISBLANK(P291),0,SUM(P291,-#REF!))</f>
        <v>0</v>
      </c>
    </row>
    <row r="292" spans="17:18" ht="12.75" customHeight="1">
      <c r="Q292" s="21">
        <f t="shared" si="36"/>
        <v>0</v>
      </c>
      <c r="R292" s="22">
        <f>IF(ISBLANK(P292),0,SUM(P292,-#REF!))</f>
        <v>0</v>
      </c>
    </row>
    <row r="293" spans="17:18" ht="12.75" customHeight="1">
      <c r="Q293" s="21">
        <f t="shared" si="36"/>
        <v>0</v>
      </c>
      <c r="R293" s="22">
        <f>IF(ISBLANK(P293),0,SUM(P293,-#REF!))</f>
        <v>0</v>
      </c>
    </row>
    <row r="294" spans="17:18" ht="12.75" customHeight="1">
      <c r="Q294" s="21">
        <f t="shared" si="36"/>
        <v>0</v>
      </c>
      <c r="R294" s="22">
        <f>IF(ISBLANK(P294),0,SUM(P294,-#REF!))</f>
        <v>0</v>
      </c>
    </row>
    <row r="295" spans="17:18" ht="12.75" customHeight="1">
      <c r="Q295" s="21">
        <f t="shared" si="36"/>
        <v>0</v>
      </c>
      <c r="R295" s="22">
        <f>IF(ISBLANK(P295),0,SUM(P295,-#REF!))</f>
        <v>0</v>
      </c>
    </row>
    <row r="296" spans="17:18" ht="12.75" customHeight="1">
      <c r="Q296" s="21">
        <f t="shared" si="36"/>
        <v>0</v>
      </c>
      <c r="R296" s="22">
        <f>IF(ISBLANK(P296),0,SUM(P296,-#REF!))</f>
        <v>0</v>
      </c>
    </row>
    <row r="297" spans="17:18" ht="12.75" customHeight="1">
      <c r="Q297" s="21">
        <f t="shared" si="36"/>
        <v>0</v>
      </c>
      <c r="R297" s="22">
        <f>IF(ISBLANK(P297),0,SUM(P297,-#REF!))</f>
        <v>0</v>
      </c>
    </row>
    <row r="298" spans="17:18" ht="12.75" customHeight="1">
      <c r="Q298" s="21">
        <f t="shared" si="36"/>
        <v>0</v>
      </c>
      <c r="R298" s="22">
        <f>IF(ISBLANK(P298),0,SUM(P298,-#REF!))</f>
        <v>0</v>
      </c>
    </row>
    <row r="299" spans="17:18" ht="12.75" customHeight="1">
      <c r="Q299" s="21">
        <f t="shared" si="36"/>
        <v>0</v>
      </c>
      <c r="R299" s="22">
        <f>IF(ISBLANK(P299),0,SUM(P299,-#REF!))</f>
        <v>0</v>
      </c>
    </row>
    <row r="300" spans="17:18" ht="12.75" customHeight="1">
      <c r="Q300" s="21">
        <f t="shared" si="36"/>
        <v>0</v>
      </c>
      <c r="R300" s="22">
        <f>IF(ISBLANK(P300),0,SUM(P300,-#REF!))</f>
        <v>0</v>
      </c>
    </row>
    <row r="301" spans="17:18" ht="12.75" customHeight="1">
      <c r="Q301" s="21">
        <f t="shared" si="36"/>
        <v>0</v>
      </c>
      <c r="R301" s="22">
        <f>IF(ISBLANK(P301),0,SUM(P301,-#REF!))</f>
        <v>0</v>
      </c>
    </row>
    <row r="302" spans="17:18" ht="12.75" customHeight="1">
      <c r="Q302" s="21">
        <f t="shared" si="36"/>
        <v>0</v>
      </c>
      <c r="R302" s="22">
        <f>IF(ISBLANK(P302),0,SUM(P302,-#REF!))</f>
        <v>0</v>
      </c>
    </row>
    <row r="303" spans="17:18" ht="12.75" customHeight="1">
      <c r="Q303" s="21">
        <f t="shared" si="36"/>
        <v>0</v>
      </c>
      <c r="R303" s="22">
        <f>IF(ISBLANK(P303),0,SUM(P303,-#REF!))</f>
        <v>0</v>
      </c>
    </row>
    <row r="304" spans="17:18" ht="12.75" customHeight="1">
      <c r="Q304" s="21">
        <f t="shared" si="36"/>
        <v>0</v>
      </c>
      <c r="R304" s="22">
        <f>IF(ISBLANK(P304),0,SUM(P304,-#REF!))</f>
        <v>0</v>
      </c>
    </row>
    <row r="305" spans="17:18" ht="12.75" customHeight="1">
      <c r="Q305" s="21">
        <f t="shared" si="36"/>
        <v>0</v>
      </c>
      <c r="R305" s="22">
        <f>IF(ISBLANK(P305),0,SUM(P305,-#REF!))</f>
        <v>0</v>
      </c>
    </row>
    <row r="306" spans="17:18" ht="12.75" customHeight="1">
      <c r="Q306" s="21">
        <f t="shared" si="36"/>
        <v>0</v>
      </c>
      <c r="R306" s="22">
        <f>IF(ISBLANK(P306),0,SUM(P306,-#REF!))</f>
        <v>0</v>
      </c>
    </row>
    <row r="307" spans="17:18" ht="12.75" customHeight="1">
      <c r="Q307" s="21">
        <f t="shared" si="36"/>
        <v>0</v>
      </c>
      <c r="R307" s="22">
        <f>IF(ISBLANK(P307),0,SUM(P307,-#REF!))</f>
        <v>0</v>
      </c>
    </row>
    <row r="308" spans="17:18" ht="12.75" customHeight="1">
      <c r="Q308" s="21">
        <f t="shared" si="36"/>
        <v>0</v>
      </c>
      <c r="R308" s="22">
        <f>IF(ISBLANK(P308),0,SUM(P308,-#REF!))</f>
        <v>0</v>
      </c>
    </row>
    <row r="309" spans="17:18" ht="12.75" customHeight="1">
      <c r="Q309" s="21">
        <f t="shared" si="36"/>
        <v>0</v>
      </c>
      <c r="R309" s="22">
        <f>IF(ISBLANK(P309),0,SUM(P309,-#REF!))</f>
        <v>0</v>
      </c>
    </row>
    <row r="310" spans="17:18" ht="12.75" customHeight="1">
      <c r="Q310" s="21">
        <f t="shared" si="36"/>
        <v>0</v>
      </c>
      <c r="R310" s="22">
        <f>IF(ISBLANK(P310),0,SUM(P310,-#REF!))</f>
        <v>0</v>
      </c>
    </row>
    <row r="311" spans="17:18" ht="12.75" customHeight="1">
      <c r="Q311" s="21">
        <f t="shared" si="36"/>
        <v>0</v>
      </c>
      <c r="R311" s="22">
        <f>IF(ISBLANK(P311),0,SUM(P311,-#REF!))</f>
        <v>0</v>
      </c>
    </row>
    <row r="312" spans="17:18" ht="12.75" customHeight="1">
      <c r="Q312" s="21">
        <f t="shared" si="36"/>
        <v>0</v>
      </c>
      <c r="R312" s="22">
        <f>IF(ISBLANK(P312),0,SUM(P312,-#REF!))</f>
        <v>0</v>
      </c>
    </row>
    <row r="313" spans="17:18" ht="12.75" customHeight="1">
      <c r="Q313" s="21">
        <f t="shared" si="36"/>
        <v>0</v>
      </c>
      <c r="R313" s="22">
        <f>IF(ISBLANK(P313),0,SUM(P313,-#REF!))</f>
        <v>0</v>
      </c>
    </row>
    <row r="314" spans="17:18" ht="12.75" customHeight="1">
      <c r="Q314" s="21">
        <f t="shared" si="36"/>
        <v>0</v>
      </c>
      <c r="R314" s="22">
        <f>IF(ISBLANK(P314),0,SUM(P314,-#REF!))</f>
        <v>0</v>
      </c>
    </row>
    <row r="315" spans="17:18" ht="12.75" customHeight="1">
      <c r="Q315" s="21">
        <f t="shared" si="36"/>
        <v>0</v>
      </c>
      <c r="R315" s="22">
        <f>IF(ISBLANK(P315),0,SUM(P315,-#REF!))</f>
        <v>0</v>
      </c>
    </row>
    <row r="316" spans="17:18" ht="12.75" customHeight="1">
      <c r="Q316" s="21">
        <f t="shared" si="36"/>
        <v>0</v>
      </c>
      <c r="R316" s="22">
        <f>IF(ISBLANK(P316),0,SUM(P316,-#REF!))</f>
        <v>0</v>
      </c>
    </row>
    <row r="317" spans="17:18" ht="12.75" customHeight="1">
      <c r="Q317" s="21">
        <f t="shared" si="36"/>
        <v>0</v>
      </c>
      <c r="R317" s="22">
        <f>IF(ISBLANK(P317),0,SUM(P317,-#REF!))</f>
        <v>0</v>
      </c>
    </row>
    <row r="318" spans="17:18" ht="12.75" customHeight="1">
      <c r="Q318" s="21">
        <f t="shared" si="36"/>
        <v>0</v>
      </c>
      <c r="R318" s="22">
        <f>IF(ISBLANK(P318),0,SUM(P318,-#REF!))</f>
        <v>0</v>
      </c>
    </row>
    <row r="319" spans="17:18" ht="12.75" customHeight="1">
      <c r="Q319" s="21">
        <f t="shared" si="36"/>
        <v>0</v>
      </c>
      <c r="R319" s="22">
        <f>IF(ISBLANK(P319),0,SUM(P319,-#REF!))</f>
        <v>0</v>
      </c>
    </row>
    <row r="320" spans="17:18" ht="12.75" customHeight="1">
      <c r="Q320" s="21">
        <f t="shared" si="36"/>
        <v>0</v>
      </c>
      <c r="R320" s="22">
        <f>IF(ISBLANK(P320),0,SUM(P320,-#REF!))</f>
        <v>0</v>
      </c>
    </row>
    <row r="321" spans="17:18" ht="12.75" customHeight="1">
      <c r="Q321" s="21">
        <f t="shared" si="36"/>
        <v>0</v>
      </c>
      <c r="R321" s="22">
        <f>IF(ISBLANK(P321),0,SUM(P321,-#REF!))</f>
        <v>0</v>
      </c>
    </row>
    <row r="322" spans="17:18" ht="12.75" customHeight="1">
      <c r="Q322" s="21">
        <f t="shared" si="36"/>
        <v>0</v>
      </c>
      <c r="R322" s="22">
        <f>IF(ISBLANK(P322),0,SUM(P322,-#REF!))</f>
        <v>0</v>
      </c>
    </row>
    <row r="323" spans="17:18" ht="12.75" customHeight="1">
      <c r="Q323" s="21">
        <f t="shared" si="36"/>
        <v>0</v>
      </c>
      <c r="R323" s="22">
        <f>IF(ISBLANK(P323),0,SUM(P323,-#REF!))</f>
        <v>0</v>
      </c>
    </row>
    <row r="324" spans="17:18" ht="12.75" customHeight="1">
      <c r="Q324" s="21">
        <f t="shared" si="36"/>
        <v>0</v>
      </c>
      <c r="R324" s="22">
        <f>IF(ISBLANK(P324),0,SUM(P324,-#REF!))</f>
        <v>0</v>
      </c>
    </row>
    <row r="325" spans="17:18" ht="12.75" customHeight="1">
      <c r="Q325" s="21">
        <f t="shared" si="36"/>
        <v>0</v>
      </c>
      <c r="R325" s="22">
        <f>IF(ISBLANK(P325),0,SUM(P325,-#REF!))</f>
        <v>0</v>
      </c>
    </row>
    <row r="326" spans="17:18" ht="12.75" customHeight="1">
      <c r="Q326" s="21">
        <f t="shared" si="36"/>
        <v>0</v>
      </c>
      <c r="R326" s="22">
        <f>IF(ISBLANK(P326),0,SUM(P326,-#REF!))</f>
        <v>0</v>
      </c>
    </row>
    <row r="327" spans="17:18" ht="12.75" customHeight="1">
      <c r="Q327" s="21">
        <f t="shared" si="36"/>
        <v>0</v>
      </c>
      <c r="R327" s="22">
        <f>IF(ISBLANK(P327),0,SUM(P327,-#REF!))</f>
        <v>0</v>
      </c>
    </row>
    <row r="328" spans="17:18" ht="12.75" customHeight="1">
      <c r="Q328" s="21">
        <f t="shared" si="36"/>
        <v>0</v>
      </c>
      <c r="R328" s="22">
        <f>IF(ISBLANK(P328),0,SUM(P328,-#REF!))</f>
        <v>0</v>
      </c>
    </row>
    <row r="329" spans="17:18" ht="12.75" customHeight="1">
      <c r="Q329" s="21">
        <f t="shared" si="36"/>
        <v>0</v>
      </c>
      <c r="R329" s="22">
        <f>IF(ISBLANK(P329),0,SUM(P329,-#REF!))</f>
        <v>0</v>
      </c>
    </row>
    <row r="330" spans="17:18" ht="12.75" customHeight="1">
      <c r="Q330" s="21">
        <f t="shared" si="36"/>
        <v>0</v>
      </c>
      <c r="R330" s="22">
        <f>IF(ISBLANK(P330),0,SUM(P330,-#REF!))</f>
        <v>0</v>
      </c>
    </row>
    <row r="331" spans="17:18" ht="12.75" customHeight="1">
      <c r="Q331" s="21">
        <f t="shared" si="36"/>
        <v>0</v>
      </c>
      <c r="R331" s="22">
        <f>IF(ISBLANK(P331),0,SUM(P331,-#REF!))</f>
        <v>0</v>
      </c>
    </row>
    <row r="332" spans="17:18" ht="12.75" customHeight="1">
      <c r="Q332" s="21">
        <f t="shared" si="36"/>
        <v>0</v>
      </c>
      <c r="R332" s="22">
        <f>IF(ISBLANK(P332),0,SUM(P332,-#REF!))</f>
        <v>0</v>
      </c>
    </row>
    <row r="333" spans="17:18" ht="12.75" customHeight="1">
      <c r="Q333" s="21">
        <f t="shared" si="36"/>
        <v>0</v>
      </c>
      <c r="R333" s="22">
        <f>IF(ISBLANK(P333),0,SUM(P333,-#REF!))</f>
        <v>0</v>
      </c>
    </row>
    <row r="334" spans="17:18" ht="12.75" customHeight="1">
      <c r="Q334" s="21">
        <f t="shared" ref="Q334:Q368" si="37">IF(ISBLANK(K336),0,SUM(K336,-I336))</f>
        <v>0</v>
      </c>
      <c r="R334" s="22">
        <f>IF(ISBLANK(P334),0,SUM(P334,-#REF!))</f>
        <v>0</v>
      </c>
    </row>
    <row r="335" spans="17:18" ht="12.75" customHeight="1">
      <c r="Q335" s="21">
        <f t="shared" si="37"/>
        <v>0</v>
      </c>
      <c r="R335" s="22">
        <f>IF(ISBLANK(P335),0,SUM(P335,-#REF!))</f>
        <v>0</v>
      </c>
    </row>
    <row r="336" spans="17:18" ht="12.75" customHeight="1">
      <c r="Q336" s="21">
        <f t="shared" si="37"/>
        <v>0</v>
      </c>
      <c r="R336" s="22">
        <f>IF(ISBLANK(P336),0,SUM(P336,-#REF!))</f>
        <v>0</v>
      </c>
    </row>
    <row r="337" spans="17:18" ht="12.75" customHeight="1">
      <c r="Q337" s="21">
        <f t="shared" si="37"/>
        <v>0</v>
      </c>
      <c r="R337" s="22">
        <f>IF(ISBLANK(P337),0,SUM(P337,-#REF!))</f>
        <v>0</v>
      </c>
    </row>
    <row r="338" spans="17:18" ht="12.75" customHeight="1">
      <c r="Q338" s="21">
        <f t="shared" si="37"/>
        <v>0</v>
      </c>
      <c r="R338" s="22">
        <f>IF(ISBLANK(P338),0,SUM(P338,-#REF!))</f>
        <v>0</v>
      </c>
    </row>
    <row r="339" spans="17:18" ht="12.75" customHeight="1">
      <c r="Q339" s="21">
        <f t="shared" si="37"/>
        <v>0</v>
      </c>
      <c r="R339" s="22">
        <f>IF(ISBLANK(P339),0,SUM(P339,-#REF!))</f>
        <v>0</v>
      </c>
    </row>
    <row r="340" spans="17:18" ht="12.75" customHeight="1">
      <c r="Q340" s="21">
        <f t="shared" si="37"/>
        <v>0</v>
      </c>
      <c r="R340" s="22">
        <f>IF(ISBLANK(P340),0,SUM(P340,-#REF!))</f>
        <v>0</v>
      </c>
    </row>
    <row r="341" spans="17:18" ht="12.75" customHeight="1">
      <c r="Q341" s="21">
        <f t="shared" si="37"/>
        <v>0</v>
      </c>
      <c r="R341" s="22">
        <f>IF(ISBLANK(P341),0,SUM(P341,-#REF!))</f>
        <v>0</v>
      </c>
    </row>
    <row r="342" spans="17:18" ht="12.75" customHeight="1">
      <c r="Q342" s="21">
        <f t="shared" si="37"/>
        <v>0</v>
      </c>
      <c r="R342" s="22">
        <f>IF(ISBLANK(P342),0,SUM(P342,-#REF!))</f>
        <v>0</v>
      </c>
    </row>
    <row r="343" spans="17:18" ht="12.75" customHeight="1">
      <c r="Q343" s="21">
        <f t="shared" si="37"/>
        <v>0</v>
      </c>
      <c r="R343" s="22">
        <f>IF(ISBLANK(P343),0,SUM(P343,-#REF!))</f>
        <v>0</v>
      </c>
    </row>
    <row r="344" spans="17:18" ht="12.75" customHeight="1">
      <c r="Q344" s="21">
        <f t="shared" si="37"/>
        <v>0</v>
      </c>
      <c r="R344" s="22">
        <f>IF(ISBLANK(P344),0,SUM(P344,-#REF!))</f>
        <v>0</v>
      </c>
    </row>
    <row r="345" spans="17:18" ht="12.75" customHeight="1">
      <c r="Q345" s="21">
        <f t="shared" si="37"/>
        <v>0</v>
      </c>
      <c r="R345" s="22">
        <f>IF(ISBLANK(P345),0,SUM(P345,-#REF!))</f>
        <v>0</v>
      </c>
    </row>
    <row r="346" spans="17:18" ht="12.75" customHeight="1">
      <c r="Q346" s="21">
        <f t="shared" si="37"/>
        <v>0</v>
      </c>
      <c r="R346" s="22">
        <f>IF(ISBLANK(P346),0,SUM(P346,-#REF!))</f>
        <v>0</v>
      </c>
    </row>
    <row r="347" spans="17:18" ht="12.75" customHeight="1">
      <c r="Q347" s="21">
        <f t="shared" si="37"/>
        <v>0</v>
      </c>
      <c r="R347" s="22">
        <f>IF(ISBLANK(P347),0,SUM(P347,-#REF!))</f>
        <v>0</v>
      </c>
    </row>
    <row r="348" spans="17:18" ht="12.75" customHeight="1">
      <c r="Q348" s="21">
        <f t="shared" si="37"/>
        <v>0</v>
      </c>
      <c r="R348" s="22">
        <f>IF(ISBLANK(P348),0,SUM(P348,-#REF!))</f>
        <v>0</v>
      </c>
    </row>
    <row r="349" spans="17:18" ht="12.75" customHeight="1">
      <c r="Q349" s="21">
        <f t="shared" si="37"/>
        <v>0</v>
      </c>
      <c r="R349" s="22">
        <f>IF(ISBLANK(P349),0,SUM(P349,-#REF!))</f>
        <v>0</v>
      </c>
    </row>
    <row r="350" spans="17:18" ht="12.75" customHeight="1">
      <c r="Q350" s="21">
        <f t="shared" si="37"/>
        <v>0</v>
      </c>
      <c r="R350" s="22">
        <f>IF(ISBLANK(P350),0,SUM(P350,-#REF!))</f>
        <v>0</v>
      </c>
    </row>
    <row r="351" spans="17:18" ht="12.75" customHeight="1">
      <c r="Q351" s="21">
        <f t="shared" si="37"/>
        <v>0</v>
      </c>
      <c r="R351" s="22">
        <f>IF(ISBLANK(P351),0,SUM(P351,-#REF!))</f>
        <v>0</v>
      </c>
    </row>
    <row r="352" spans="17:18" ht="12.75" customHeight="1">
      <c r="Q352" s="21">
        <f t="shared" si="37"/>
        <v>0</v>
      </c>
      <c r="R352" s="22">
        <f>IF(ISBLANK(P352),0,SUM(P352,-#REF!))</f>
        <v>0</v>
      </c>
    </row>
    <row r="353" spans="17:18" ht="12.75" customHeight="1">
      <c r="Q353" s="21">
        <f t="shared" si="37"/>
        <v>0</v>
      </c>
      <c r="R353" s="22">
        <f>IF(ISBLANK(P353),0,SUM(P353,-#REF!))</f>
        <v>0</v>
      </c>
    </row>
    <row r="354" spans="17:18" ht="12.75" customHeight="1">
      <c r="Q354" s="21">
        <f t="shared" si="37"/>
        <v>0</v>
      </c>
      <c r="R354" s="22">
        <f>IF(ISBLANK(P354),0,SUM(P354,-#REF!))</f>
        <v>0</v>
      </c>
    </row>
    <row r="355" spans="17:18" ht="12.75" customHeight="1">
      <c r="Q355" s="21">
        <f t="shared" si="37"/>
        <v>0</v>
      </c>
      <c r="R355" s="22">
        <f>IF(ISBLANK(P355),0,SUM(P355,-#REF!))</f>
        <v>0</v>
      </c>
    </row>
    <row r="356" spans="17:18" ht="12.75" customHeight="1">
      <c r="Q356" s="21">
        <f t="shared" si="37"/>
        <v>0</v>
      </c>
      <c r="R356" s="22">
        <f>IF(ISBLANK(P356),0,SUM(P356,-#REF!))</f>
        <v>0</v>
      </c>
    </row>
    <row r="357" spans="17:18" ht="12.75" customHeight="1">
      <c r="Q357" s="21">
        <f t="shared" si="37"/>
        <v>0</v>
      </c>
      <c r="R357" s="22">
        <f>IF(ISBLANK(P357),0,SUM(P357,-#REF!))</f>
        <v>0</v>
      </c>
    </row>
    <row r="358" spans="17:18" ht="12.75" customHeight="1">
      <c r="Q358" s="21">
        <f t="shared" si="37"/>
        <v>0</v>
      </c>
      <c r="R358" s="22">
        <f>IF(ISBLANK(P358),0,SUM(P358,-#REF!))</f>
        <v>0</v>
      </c>
    </row>
    <row r="359" spans="17:18" ht="12.75" customHeight="1">
      <c r="Q359" s="21">
        <f t="shared" si="37"/>
        <v>0</v>
      </c>
      <c r="R359" s="22">
        <f>IF(ISBLANK(P359),0,SUM(P359,-#REF!))</f>
        <v>0</v>
      </c>
    </row>
    <row r="360" spans="17:18" ht="12.75" customHeight="1">
      <c r="Q360" s="21">
        <f t="shared" si="37"/>
        <v>0</v>
      </c>
      <c r="R360" s="22">
        <f>IF(ISBLANK(P360),0,SUM(P360,-#REF!))</f>
        <v>0</v>
      </c>
    </row>
    <row r="361" spans="17:18" ht="12.75" customHeight="1">
      <c r="Q361" s="21">
        <f t="shared" si="37"/>
        <v>0</v>
      </c>
      <c r="R361" s="22">
        <f>IF(ISBLANK(P361),0,SUM(P361,-#REF!))</f>
        <v>0</v>
      </c>
    </row>
    <row r="362" spans="17:18" ht="12.75" customHeight="1">
      <c r="Q362" s="21">
        <f t="shared" si="37"/>
        <v>0</v>
      </c>
      <c r="R362" s="22">
        <f>IF(ISBLANK(P362),0,SUM(P362,-#REF!))</f>
        <v>0</v>
      </c>
    </row>
    <row r="363" spans="17:18" ht="12.75" customHeight="1">
      <c r="Q363" s="21">
        <f t="shared" si="37"/>
        <v>0</v>
      </c>
      <c r="R363" s="22">
        <f>IF(ISBLANK(P363),0,SUM(P363,-#REF!))</f>
        <v>0</v>
      </c>
    </row>
    <row r="364" spans="17:18" ht="12.75" customHeight="1">
      <c r="Q364" s="21">
        <f t="shared" si="37"/>
        <v>0</v>
      </c>
      <c r="R364" s="22">
        <f>IF(ISBLANK(P364),0,SUM(P364,-#REF!))</f>
        <v>0</v>
      </c>
    </row>
    <row r="365" spans="17:18" ht="12.75" customHeight="1">
      <c r="Q365" s="21">
        <f t="shared" si="37"/>
        <v>0</v>
      </c>
      <c r="R365" s="22">
        <f>IF(ISBLANK(P365),0,SUM(P365,-#REF!))</f>
        <v>0</v>
      </c>
    </row>
    <row r="366" spans="17:18" ht="12.75" customHeight="1">
      <c r="Q366" s="21">
        <f t="shared" si="37"/>
        <v>0</v>
      </c>
      <c r="R366" s="22">
        <f>IF(ISBLANK(P366),0,SUM(P366,-#REF!))</f>
        <v>0</v>
      </c>
    </row>
    <row r="367" spans="17:18" ht="12.75" customHeight="1">
      <c r="Q367" s="21">
        <f t="shared" si="37"/>
        <v>0</v>
      </c>
      <c r="R367" s="22">
        <f>IF(ISBLANK(P367),0,SUM(P367,-#REF!))</f>
        <v>0</v>
      </c>
    </row>
    <row r="368" spans="17:18" ht="12.75" customHeight="1">
      <c r="Q368" s="21">
        <f t="shared" si="37"/>
        <v>0</v>
      </c>
      <c r="R368" s="22">
        <f>IF(ISBLANK(P368),0,SUM(P368,-#REF!))</f>
        <v>0</v>
      </c>
    </row>
    <row r="369" spans="2:18" ht="12.75" customHeight="1">
      <c r="Q369" s="21" t="e">
        <f>IF(ISBLANK(#REF!),0,SUM(#REF!,-#REF!))</f>
        <v>#REF!</v>
      </c>
      <c r="R369" s="22">
        <f>IF(ISBLANK(P369),0,SUM(P369,-#REF!))</f>
        <v>0</v>
      </c>
    </row>
    <row r="370" spans="2:18" ht="12.75" customHeight="1">
      <c r="Q370" s="21" t="e">
        <f>IF(ISBLANK(#REF!),0,SUM(#REF!,-#REF!))</f>
        <v>#REF!</v>
      </c>
      <c r="R370" s="22">
        <f>IF(ISBLANK(P370),0,SUM(P370,-#REF!))</f>
        <v>0</v>
      </c>
    </row>
    <row r="371" spans="2:18" ht="12.75" customHeight="1">
      <c r="B371" s="708" t="s">
        <v>1171</v>
      </c>
      <c r="C371" s="709" t="s">
        <v>24</v>
      </c>
      <c r="D371" s="710">
        <v>42186</v>
      </c>
      <c r="E371" s="709">
        <v>2</v>
      </c>
      <c r="F371" s="709">
        <v>2</v>
      </c>
      <c r="G371" s="709" t="s">
        <v>500</v>
      </c>
      <c r="H371" s="709" t="s">
        <v>14</v>
      </c>
      <c r="I371" s="712">
        <v>42172</v>
      </c>
      <c r="J371" s="699" t="s">
        <v>1176</v>
      </c>
      <c r="K371" s="395"/>
      <c r="L371" s="394" t="str">
        <f>IF(ISBLANK(K371),"",NETWORKDAYS(I371,K371))</f>
        <v/>
      </c>
      <c r="M371" s="396"/>
      <c r="N371" s="302" t="s">
        <v>41</v>
      </c>
      <c r="O371" s="72" t="s">
        <v>35</v>
      </c>
      <c r="Q371" s="21">
        <f t="shared" ref="Q371:Q434" si="38">IF(ISBLANK(K376),0,SUM(K376,-I376))</f>
        <v>0</v>
      </c>
      <c r="R371" s="22">
        <f t="shared" ref="R371:R434" si="39">IF(ISBLANK(P371),0,SUM(P371,-I371))</f>
        <v>0</v>
      </c>
    </row>
    <row r="372" spans="2:18" ht="12.75" customHeight="1">
      <c r="B372" s="708" t="s">
        <v>1180</v>
      </c>
      <c r="C372" s="709" t="s">
        <v>24</v>
      </c>
      <c r="D372" s="710">
        <v>42198</v>
      </c>
      <c r="E372" s="709">
        <v>1</v>
      </c>
      <c r="F372" s="709">
        <v>1</v>
      </c>
      <c r="G372" s="709" t="s">
        <v>607</v>
      </c>
      <c r="H372" s="709" t="s">
        <v>14</v>
      </c>
      <c r="I372" s="712">
        <v>42173</v>
      </c>
      <c r="J372" s="699" t="s">
        <v>1181</v>
      </c>
      <c r="K372" s="395"/>
      <c r="L372" s="394" t="str">
        <f>IF(ISBLANK(K372),"",NETWORKDAYS(I372,K372))</f>
        <v/>
      </c>
      <c r="M372" s="396"/>
      <c r="N372" s="302" t="s">
        <v>41</v>
      </c>
      <c r="O372" s="72" t="s">
        <v>35</v>
      </c>
      <c r="Q372" s="21">
        <f t="shared" si="38"/>
        <v>0</v>
      </c>
      <c r="R372" s="22">
        <f t="shared" si="39"/>
        <v>0</v>
      </c>
    </row>
    <row r="373" spans="2:18" ht="12.75" customHeight="1">
      <c r="B373" s="708" t="s">
        <v>1177</v>
      </c>
      <c r="C373" s="709" t="s">
        <v>24</v>
      </c>
      <c r="D373" s="710">
        <v>42194</v>
      </c>
      <c r="E373" s="709">
        <v>1</v>
      </c>
      <c r="F373" s="709">
        <v>1</v>
      </c>
      <c r="G373" s="709" t="s">
        <v>1178</v>
      </c>
      <c r="H373" s="709" t="s">
        <v>14</v>
      </c>
      <c r="I373" s="712">
        <v>42173</v>
      </c>
      <c r="J373" s="699" t="s">
        <v>1179</v>
      </c>
      <c r="K373" s="72"/>
      <c r="L373" s="394" t="str">
        <f>IF(ISBLANK(K373),"",NETWORKDAYS(I373,K373))</f>
        <v/>
      </c>
      <c r="M373" s="72"/>
      <c r="N373" s="72" t="s">
        <v>41</v>
      </c>
      <c r="O373" s="72" t="s">
        <v>35</v>
      </c>
      <c r="Q373" s="21">
        <f t="shared" si="38"/>
        <v>0</v>
      </c>
      <c r="R373" s="22">
        <f t="shared" si="39"/>
        <v>0</v>
      </c>
    </row>
    <row r="374" spans="2:18" ht="12.75" customHeight="1">
      <c r="Q374" s="21">
        <f t="shared" si="38"/>
        <v>0</v>
      </c>
      <c r="R374" s="22">
        <f t="shared" si="39"/>
        <v>0</v>
      </c>
    </row>
    <row r="375" spans="2:18" ht="12.75" customHeight="1">
      <c r="Q375" s="21">
        <f t="shared" si="38"/>
        <v>0</v>
      </c>
      <c r="R375" s="22">
        <f t="shared" si="39"/>
        <v>0</v>
      </c>
    </row>
    <row r="376" spans="2:18" ht="12.75" customHeight="1">
      <c r="Q376" s="21">
        <f t="shared" si="38"/>
        <v>0</v>
      </c>
      <c r="R376" s="22">
        <f t="shared" si="39"/>
        <v>0</v>
      </c>
    </row>
    <row r="377" spans="2:18" ht="12.75" customHeight="1">
      <c r="Q377" s="21">
        <f t="shared" si="38"/>
        <v>0</v>
      </c>
      <c r="R377" s="22">
        <f t="shared" si="39"/>
        <v>0</v>
      </c>
    </row>
    <row r="378" spans="2:18" ht="12.75" customHeight="1">
      <c r="Q378" s="21">
        <f t="shared" si="38"/>
        <v>0</v>
      </c>
      <c r="R378" s="22">
        <f t="shared" si="39"/>
        <v>0</v>
      </c>
    </row>
    <row r="379" spans="2:18" ht="12.75" customHeight="1">
      <c r="Q379" s="21">
        <f t="shared" si="38"/>
        <v>0</v>
      </c>
      <c r="R379" s="22">
        <f t="shared" si="39"/>
        <v>0</v>
      </c>
    </row>
    <row r="380" spans="2:18" ht="12.75" customHeight="1">
      <c r="Q380" s="21">
        <f t="shared" si="38"/>
        <v>0</v>
      </c>
      <c r="R380" s="22">
        <f t="shared" si="39"/>
        <v>0</v>
      </c>
    </row>
    <row r="381" spans="2:18" ht="12.75" customHeight="1">
      <c r="Q381" s="21">
        <f t="shared" si="38"/>
        <v>0</v>
      </c>
      <c r="R381" s="22">
        <f t="shared" si="39"/>
        <v>0</v>
      </c>
    </row>
    <row r="382" spans="2:18" ht="12.75" customHeight="1">
      <c r="Q382" s="21">
        <f t="shared" si="38"/>
        <v>0</v>
      </c>
      <c r="R382" s="22">
        <f t="shared" si="39"/>
        <v>0</v>
      </c>
    </row>
    <row r="383" spans="2:18" ht="12.75" customHeight="1">
      <c r="Q383" s="21">
        <f t="shared" si="38"/>
        <v>0</v>
      </c>
      <c r="R383" s="22">
        <f t="shared" si="39"/>
        <v>0</v>
      </c>
    </row>
    <row r="384" spans="2:18" ht="12.75" customHeight="1">
      <c r="Q384" s="21">
        <f t="shared" si="38"/>
        <v>0</v>
      </c>
      <c r="R384" s="22">
        <f t="shared" si="39"/>
        <v>0</v>
      </c>
    </row>
    <row r="385" spans="17:18" ht="12.75" customHeight="1">
      <c r="Q385" s="21">
        <f t="shared" si="38"/>
        <v>0</v>
      </c>
      <c r="R385" s="22">
        <f t="shared" si="39"/>
        <v>0</v>
      </c>
    </row>
    <row r="386" spans="17:18" ht="12.75" customHeight="1">
      <c r="Q386" s="21">
        <f t="shared" si="38"/>
        <v>0</v>
      </c>
      <c r="R386" s="22">
        <f t="shared" si="39"/>
        <v>0</v>
      </c>
    </row>
    <row r="387" spans="17:18" ht="12.75" customHeight="1">
      <c r="Q387" s="21">
        <f t="shared" si="38"/>
        <v>0</v>
      </c>
      <c r="R387" s="22">
        <f t="shared" si="39"/>
        <v>0</v>
      </c>
    </row>
    <row r="388" spans="17:18" ht="12.75" customHeight="1">
      <c r="Q388" s="21">
        <f t="shared" si="38"/>
        <v>0</v>
      </c>
      <c r="R388" s="22">
        <f t="shared" si="39"/>
        <v>0</v>
      </c>
    </row>
    <row r="389" spans="17:18" ht="12.75" customHeight="1">
      <c r="Q389" s="21">
        <f t="shared" si="38"/>
        <v>0</v>
      </c>
      <c r="R389" s="22">
        <f t="shared" si="39"/>
        <v>0</v>
      </c>
    </row>
    <row r="390" spans="17:18" ht="12.75" customHeight="1">
      <c r="Q390" s="21">
        <f t="shared" si="38"/>
        <v>0</v>
      </c>
      <c r="R390" s="22">
        <f t="shared" si="39"/>
        <v>0</v>
      </c>
    </row>
    <row r="391" spans="17:18" ht="12.75" customHeight="1">
      <c r="Q391" s="21">
        <f t="shared" si="38"/>
        <v>0</v>
      </c>
      <c r="R391" s="22">
        <f t="shared" si="39"/>
        <v>0</v>
      </c>
    </row>
    <row r="392" spans="17:18" ht="12.75" customHeight="1">
      <c r="Q392" s="21">
        <f t="shared" si="38"/>
        <v>0</v>
      </c>
      <c r="R392" s="22">
        <f t="shared" si="39"/>
        <v>0</v>
      </c>
    </row>
    <row r="393" spans="17:18" ht="12.75" customHeight="1">
      <c r="Q393" s="21">
        <f t="shared" si="38"/>
        <v>0</v>
      </c>
      <c r="R393" s="22">
        <f t="shared" si="39"/>
        <v>0</v>
      </c>
    </row>
    <row r="394" spans="17:18" ht="12.75" customHeight="1">
      <c r="Q394" s="21">
        <f t="shared" si="38"/>
        <v>0</v>
      </c>
      <c r="R394" s="22">
        <f t="shared" si="39"/>
        <v>0</v>
      </c>
    </row>
    <row r="395" spans="17:18" ht="12.75" customHeight="1">
      <c r="Q395" s="21">
        <f t="shared" si="38"/>
        <v>0</v>
      </c>
      <c r="R395" s="22">
        <f t="shared" si="39"/>
        <v>0</v>
      </c>
    </row>
    <row r="396" spans="17:18" ht="12.75" customHeight="1">
      <c r="Q396" s="21">
        <f t="shared" si="38"/>
        <v>0</v>
      </c>
      <c r="R396" s="22">
        <f t="shared" si="39"/>
        <v>0</v>
      </c>
    </row>
    <row r="397" spans="17:18" ht="12.75" customHeight="1">
      <c r="Q397" s="21">
        <f t="shared" si="38"/>
        <v>0</v>
      </c>
      <c r="R397" s="22">
        <f t="shared" si="39"/>
        <v>0</v>
      </c>
    </row>
    <row r="398" spans="17:18" ht="12.75" customHeight="1">
      <c r="Q398" s="21">
        <f t="shared" si="38"/>
        <v>0</v>
      </c>
      <c r="R398" s="22">
        <f t="shared" si="39"/>
        <v>0</v>
      </c>
    </row>
    <row r="399" spans="17:18" ht="12.75" customHeight="1">
      <c r="Q399" s="21">
        <f t="shared" si="38"/>
        <v>0</v>
      </c>
      <c r="R399" s="22">
        <f t="shared" si="39"/>
        <v>0</v>
      </c>
    </row>
    <row r="400" spans="17:18" ht="12.75" customHeight="1">
      <c r="Q400" s="21">
        <f t="shared" si="38"/>
        <v>0</v>
      </c>
      <c r="R400" s="22">
        <f t="shared" si="39"/>
        <v>0</v>
      </c>
    </row>
    <row r="401" spans="17:18" ht="12.75" customHeight="1">
      <c r="Q401" s="21">
        <f t="shared" si="38"/>
        <v>0</v>
      </c>
      <c r="R401" s="22">
        <f t="shared" si="39"/>
        <v>0</v>
      </c>
    </row>
    <row r="402" spans="17:18" ht="12.75" customHeight="1">
      <c r="Q402" s="21">
        <f t="shared" si="38"/>
        <v>0</v>
      </c>
      <c r="R402" s="22">
        <f t="shared" si="39"/>
        <v>0</v>
      </c>
    </row>
    <row r="403" spans="17:18" ht="12.75" customHeight="1">
      <c r="Q403" s="21">
        <f t="shared" si="38"/>
        <v>0</v>
      </c>
      <c r="R403" s="22">
        <f t="shared" si="39"/>
        <v>0</v>
      </c>
    </row>
    <row r="404" spans="17:18" ht="12.75" customHeight="1">
      <c r="Q404" s="21">
        <f t="shared" si="38"/>
        <v>0</v>
      </c>
      <c r="R404" s="22">
        <f t="shared" si="39"/>
        <v>0</v>
      </c>
    </row>
    <row r="405" spans="17:18" ht="12.75" customHeight="1">
      <c r="Q405" s="21">
        <f t="shared" si="38"/>
        <v>0</v>
      </c>
      <c r="R405" s="22">
        <f t="shared" si="39"/>
        <v>0</v>
      </c>
    </row>
    <row r="406" spans="17:18" ht="12.75" customHeight="1">
      <c r="Q406" s="21">
        <f t="shared" si="38"/>
        <v>0</v>
      </c>
      <c r="R406" s="22">
        <f t="shared" si="39"/>
        <v>0</v>
      </c>
    </row>
    <row r="407" spans="17:18" ht="12.75" customHeight="1">
      <c r="Q407" s="21">
        <f t="shared" si="38"/>
        <v>0</v>
      </c>
      <c r="R407" s="22">
        <f t="shared" si="39"/>
        <v>0</v>
      </c>
    </row>
    <row r="408" spans="17:18" ht="12.75" customHeight="1">
      <c r="Q408" s="21">
        <f t="shared" si="38"/>
        <v>0</v>
      </c>
      <c r="R408" s="22">
        <f t="shared" si="39"/>
        <v>0</v>
      </c>
    </row>
    <row r="409" spans="17:18" ht="12.75" customHeight="1">
      <c r="Q409" s="21">
        <f t="shared" si="38"/>
        <v>0</v>
      </c>
      <c r="R409" s="22">
        <f t="shared" si="39"/>
        <v>0</v>
      </c>
    </row>
    <row r="410" spans="17:18" ht="12.75" customHeight="1">
      <c r="Q410" s="21">
        <f t="shared" si="38"/>
        <v>0</v>
      </c>
      <c r="R410" s="22">
        <f t="shared" si="39"/>
        <v>0</v>
      </c>
    </row>
    <row r="411" spans="17:18" ht="12.75" customHeight="1">
      <c r="Q411" s="21">
        <f t="shared" si="38"/>
        <v>0</v>
      </c>
      <c r="R411" s="22">
        <f t="shared" si="39"/>
        <v>0</v>
      </c>
    </row>
    <row r="412" spans="17:18" ht="12.75" customHeight="1">
      <c r="Q412" s="21">
        <f t="shared" si="38"/>
        <v>0</v>
      </c>
      <c r="R412" s="22">
        <f t="shared" si="39"/>
        <v>0</v>
      </c>
    </row>
    <row r="413" spans="17:18" ht="12.75" customHeight="1">
      <c r="Q413" s="21">
        <f t="shared" si="38"/>
        <v>0</v>
      </c>
      <c r="R413" s="22">
        <f t="shared" si="39"/>
        <v>0</v>
      </c>
    </row>
    <row r="414" spans="17:18" ht="12.75" customHeight="1">
      <c r="Q414" s="21">
        <f t="shared" si="38"/>
        <v>0</v>
      </c>
      <c r="R414" s="22">
        <f t="shared" si="39"/>
        <v>0</v>
      </c>
    </row>
    <row r="415" spans="17:18" ht="12.75" customHeight="1">
      <c r="Q415" s="21">
        <f t="shared" si="38"/>
        <v>0</v>
      </c>
      <c r="R415" s="22">
        <f t="shared" si="39"/>
        <v>0</v>
      </c>
    </row>
    <row r="416" spans="17:18" ht="12.75" customHeight="1">
      <c r="Q416" s="21">
        <f t="shared" si="38"/>
        <v>0</v>
      </c>
      <c r="R416" s="22">
        <f t="shared" si="39"/>
        <v>0</v>
      </c>
    </row>
    <row r="417" spans="17:18" ht="12.75" customHeight="1">
      <c r="Q417" s="21">
        <f t="shared" si="38"/>
        <v>0</v>
      </c>
      <c r="R417" s="22">
        <f t="shared" si="39"/>
        <v>0</v>
      </c>
    </row>
    <row r="418" spans="17:18" ht="12.75" customHeight="1">
      <c r="Q418" s="21">
        <f t="shared" si="38"/>
        <v>0</v>
      </c>
      <c r="R418" s="22">
        <f t="shared" si="39"/>
        <v>0</v>
      </c>
    </row>
    <row r="419" spans="17:18" ht="12.75" customHeight="1">
      <c r="Q419" s="21">
        <f t="shared" si="38"/>
        <v>0</v>
      </c>
      <c r="R419" s="22">
        <f t="shared" si="39"/>
        <v>0</v>
      </c>
    </row>
    <row r="420" spans="17:18" ht="12.75" customHeight="1">
      <c r="Q420" s="21">
        <f t="shared" si="38"/>
        <v>0</v>
      </c>
      <c r="R420" s="22">
        <f t="shared" si="39"/>
        <v>0</v>
      </c>
    </row>
    <row r="421" spans="17:18" ht="12.75" customHeight="1">
      <c r="Q421" s="21">
        <f t="shared" si="38"/>
        <v>0</v>
      </c>
      <c r="R421" s="22">
        <f t="shared" si="39"/>
        <v>0</v>
      </c>
    </row>
    <row r="422" spans="17:18" ht="12.75" customHeight="1">
      <c r="Q422" s="21">
        <f t="shared" si="38"/>
        <v>0</v>
      </c>
      <c r="R422" s="22">
        <f t="shared" si="39"/>
        <v>0</v>
      </c>
    </row>
    <row r="423" spans="17:18" ht="12.75" customHeight="1">
      <c r="Q423" s="21">
        <f t="shared" si="38"/>
        <v>0</v>
      </c>
      <c r="R423" s="22">
        <f t="shared" si="39"/>
        <v>0</v>
      </c>
    </row>
    <row r="424" spans="17:18" ht="12.75" customHeight="1">
      <c r="Q424" s="21">
        <f t="shared" si="38"/>
        <v>0</v>
      </c>
      <c r="R424" s="22">
        <f t="shared" si="39"/>
        <v>0</v>
      </c>
    </row>
    <row r="425" spans="17:18" ht="12.75" customHeight="1">
      <c r="Q425" s="21">
        <f t="shared" si="38"/>
        <v>0</v>
      </c>
      <c r="R425" s="22">
        <f t="shared" si="39"/>
        <v>0</v>
      </c>
    </row>
    <row r="426" spans="17:18" ht="12.75" customHeight="1">
      <c r="Q426" s="21">
        <f t="shared" si="38"/>
        <v>0</v>
      </c>
      <c r="R426" s="22">
        <f t="shared" si="39"/>
        <v>0</v>
      </c>
    </row>
    <row r="427" spans="17:18" ht="12.75" customHeight="1">
      <c r="Q427" s="21">
        <f t="shared" si="38"/>
        <v>0</v>
      </c>
      <c r="R427" s="22">
        <f t="shared" si="39"/>
        <v>0</v>
      </c>
    </row>
    <row r="428" spans="17:18" ht="12.75" customHeight="1">
      <c r="Q428" s="21">
        <f t="shared" si="38"/>
        <v>0</v>
      </c>
      <c r="R428" s="22">
        <f t="shared" si="39"/>
        <v>0</v>
      </c>
    </row>
    <row r="429" spans="17:18" ht="12.75" customHeight="1">
      <c r="Q429" s="21">
        <f t="shared" si="38"/>
        <v>0</v>
      </c>
      <c r="R429" s="22">
        <f t="shared" si="39"/>
        <v>0</v>
      </c>
    </row>
    <row r="430" spans="17:18" ht="12.75" customHeight="1">
      <c r="Q430" s="21">
        <f t="shared" si="38"/>
        <v>0</v>
      </c>
      <c r="R430" s="22">
        <f t="shared" si="39"/>
        <v>0</v>
      </c>
    </row>
    <row r="431" spans="17:18" ht="12.75" customHeight="1">
      <c r="Q431" s="21">
        <f t="shared" si="38"/>
        <v>0</v>
      </c>
      <c r="R431" s="22">
        <f t="shared" si="39"/>
        <v>0</v>
      </c>
    </row>
    <row r="432" spans="17:18" ht="12.75" customHeight="1">
      <c r="Q432" s="21">
        <f t="shared" si="38"/>
        <v>0</v>
      </c>
      <c r="R432" s="22">
        <f t="shared" si="39"/>
        <v>0</v>
      </c>
    </row>
    <row r="433" spans="17:18" ht="12.75" customHeight="1">
      <c r="Q433" s="21">
        <f t="shared" si="38"/>
        <v>0</v>
      </c>
      <c r="R433" s="22">
        <f t="shared" si="39"/>
        <v>0</v>
      </c>
    </row>
    <row r="434" spans="17:18" ht="12.75" customHeight="1">
      <c r="Q434" s="21">
        <f t="shared" si="38"/>
        <v>0</v>
      </c>
      <c r="R434" s="22">
        <f t="shared" si="39"/>
        <v>0</v>
      </c>
    </row>
    <row r="435" spans="17:18" ht="12.75" customHeight="1">
      <c r="Q435" s="21">
        <f t="shared" ref="Q435:Q498" si="40">IF(ISBLANK(K440),0,SUM(K440,-I440))</f>
        <v>0</v>
      </c>
      <c r="R435" s="22">
        <f t="shared" ref="R435:R498" si="41">IF(ISBLANK(P435),0,SUM(P435,-I435))</f>
        <v>0</v>
      </c>
    </row>
    <row r="436" spans="17:18" ht="12.75" customHeight="1">
      <c r="Q436" s="21">
        <f t="shared" si="40"/>
        <v>0</v>
      </c>
      <c r="R436" s="22">
        <f t="shared" si="41"/>
        <v>0</v>
      </c>
    </row>
    <row r="437" spans="17:18" ht="12.75" customHeight="1">
      <c r="Q437" s="21">
        <f t="shared" si="40"/>
        <v>0</v>
      </c>
      <c r="R437" s="22">
        <f t="shared" si="41"/>
        <v>0</v>
      </c>
    </row>
    <row r="438" spans="17:18" ht="12.75" customHeight="1">
      <c r="Q438" s="21">
        <f t="shared" si="40"/>
        <v>0</v>
      </c>
      <c r="R438" s="22">
        <f t="shared" si="41"/>
        <v>0</v>
      </c>
    </row>
    <row r="439" spans="17:18" ht="12.75" customHeight="1">
      <c r="Q439" s="21">
        <f t="shared" si="40"/>
        <v>0</v>
      </c>
      <c r="R439" s="22">
        <f t="shared" si="41"/>
        <v>0</v>
      </c>
    </row>
    <row r="440" spans="17:18" ht="12.75" customHeight="1">
      <c r="Q440" s="21">
        <f t="shared" si="40"/>
        <v>0</v>
      </c>
      <c r="R440" s="22">
        <f t="shared" si="41"/>
        <v>0</v>
      </c>
    </row>
    <row r="441" spans="17:18" ht="12.75" customHeight="1">
      <c r="Q441" s="21">
        <f t="shared" si="40"/>
        <v>0</v>
      </c>
      <c r="R441" s="22">
        <f t="shared" si="41"/>
        <v>0</v>
      </c>
    </row>
    <row r="442" spans="17:18" ht="12.75" customHeight="1">
      <c r="Q442" s="21">
        <f t="shared" si="40"/>
        <v>0</v>
      </c>
      <c r="R442" s="22">
        <f t="shared" si="41"/>
        <v>0</v>
      </c>
    </row>
    <row r="443" spans="17:18" ht="12.75" customHeight="1">
      <c r="Q443" s="21">
        <f t="shared" si="40"/>
        <v>0</v>
      </c>
      <c r="R443" s="22">
        <f t="shared" si="41"/>
        <v>0</v>
      </c>
    </row>
    <row r="444" spans="17:18" ht="12.75" customHeight="1">
      <c r="Q444" s="21">
        <f t="shared" si="40"/>
        <v>0</v>
      </c>
      <c r="R444" s="22">
        <f t="shared" si="41"/>
        <v>0</v>
      </c>
    </row>
    <row r="445" spans="17:18" ht="12.75" customHeight="1">
      <c r="Q445" s="21">
        <f t="shared" si="40"/>
        <v>0</v>
      </c>
      <c r="R445" s="22">
        <f t="shared" si="41"/>
        <v>0</v>
      </c>
    </row>
    <row r="446" spans="17:18" ht="12.75" customHeight="1">
      <c r="Q446" s="21">
        <f t="shared" si="40"/>
        <v>0</v>
      </c>
      <c r="R446" s="22">
        <f t="shared" si="41"/>
        <v>0</v>
      </c>
    </row>
    <row r="447" spans="17:18" ht="12.75" customHeight="1">
      <c r="Q447" s="21">
        <f t="shared" si="40"/>
        <v>0</v>
      </c>
      <c r="R447" s="22">
        <f t="shared" si="41"/>
        <v>0</v>
      </c>
    </row>
    <row r="448" spans="17:18" ht="12.75" customHeight="1">
      <c r="Q448" s="21">
        <f t="shared" si="40"/>
        <v>0</v>
      </c>
      <c r="R448" s="22">
        <f t="shared" si="41"/>
        <v>0</v>
      </c>
    </row>
    <row r="449" spans="17:18" ht="12.75" customHeight="1">
      <c r="Q449" s="21">
        <f t="shared" si="40"/>
        <v>0</v>
      </c>
      <c r="R449" s="22">
        <f t="shared" si="41"/>
        <v>0</v>
      </c>
    </row>
    <row r="450" spans="17:18" ht="12.75" customHeight="1">
      <c r="Q450" s="21">
        <f t="shared" si="40"/>
        <v>0</v>
      </c>
      <c r="R450" s="22">
        <f t="shared" si="41"/>
        <v>0</v>
      </c>
    </row>
    <row r="451" spans="17:18" ht="12.75" customHeight="1">
      <c r="Q451" s="21">
        <f t="shared" si="40"/>
        <v>0</v>
      </c>
      <c r="R451" s="22">
        <f t="shared" si="41"/>
        <v>0</v>
      </c>
    </row>
    <row r="452" spans="17:18" ht="12.75" customHeight="1">
      <c r="Q452" s="21">
        <f t="shared" si="40"/>
        <v>0</v>
      </c>
      <c r="R452" s="22">
        <f t="shared" si="41"/>
        <v>0</v>
      </c>
    </row>
    <row r="453" spans="17:18" ht="12.75" customHeight="1">
      <c r="Q453" s="21">
        <f t="shared" si="40"/>
        <v>0</v>
      </c>
      <c r="R453" s="22">
        <f t="shared" si="41"/>
        <v>0</v>
      </c>
    </row>
    <row r="454" spans="17:18" ht="12.75" customHeight="1">
      <c r="Q454" s="21">
        <f t="shared" si="40"/>
        <v>0</v>
      </c>
      <c r="R454" s="22">
        <f t="shared" si="41"/>
        <v>0</v>
      </c>
    </row>
    <row r="455" spans="17:18" ht="12.75" customHeight="1">
      <c r="Q455" s="21">
        <f t="shared" si="40"/>
        <v>0</v>
      </c>
      <c r="R455" s="22">
        <f t="shared" si="41"/>
        <v>0</v>
      </c>
    </row>
    <row r="456" spans="17:18" ht="12.75" customHeight="1">
      <c r="Q456" s="21">
        <f t="shared" si="40"/>
        <v>0</v>
      </c>
      <c r="R456" s="22">
        <f t="shared" si="41"/>
        <v>0</v>
      </c>
    </row>
    <row r="457" spans="17:18" ht="12.75" customHeight="1">
      <c r="Q457" s="21">
        <f t="shared" si="40"/>
        <v>0</v>
      </c>
      <c r="R457" s="22">
        <f t="shared" si="41"/>
        <v>0</v>
      </c>
    </row>
    <row r="458" spans="17:18" ht="12.75" customHeight="1">
      <c r="Q458" s="21">
        <f t="shared" si="40"/>
        <v>0</v>
      </c>
      <c r="R458" s="22">
        <f t="shared" si="41"/>
        <v>0</v>
      </c>
    </row>
    <row r="459" spans="17:18" ht="12.75" customHeight="1">
      <c r="Q459" s="21">
        <f t="shared" si="40"/>
        <v>0</v>
      </c>
      <c r="R459" s="22">
        <f t="shared" si="41"/>
        <v>0</v>
      </c>
    </row>
    <row r="460" spans="17:18" ht="12.75" customHeight="1">
      <c r="Q460" s="21">
        <f t="shared" si="40"/>
        <v>0</v>
      </c>
      <c r="R460" s="22">
        <f t="shared" si="41"/>
        <v>0</v>
      </c>
    </row>
    <row r="461" spans="17:18" ht="12.75" customHeight="1">
      <c r="Q461" s="21">
        <f t="shared" si="40"/>
        <v>0</v>
      </c>
      <c r="R461" s="22">
        <f t="shared" si="41"/>
        <v>0</v>
      </c>
    </row>
    <row r="462" spans="17:18" ht="12.75" customHeight="1">
      <c r="Q462" s="21">
        <f t="shared" si="40"/>
        <v>0</v>
      </c>
      <c r="R462" s="22">
        <f t="shared" si="41"/>
        <v>0</v>
      </c>
    </row>
    <row r="463" spans="17:18" ht="12.75" customHeight="1">
      <c r="Q463" s="21">
        <f t="shared" si="40"/>
        <v>0</v>
      </c>
      <c r="R463" s="22">
        <f t="shared" si="41"/>
        <v>0</v>
      </c>
    </row>
    <row r="464" spans="17:18" ht="12.75" customHeight="1">
      <c r="Q464" s="21">
        <f t="shared" si="40"/>
        <v>0</v>
      </c>
      <c r="R464" s="22">
        <f t="shared" si="41"/>
        <v>0</v>
      </c>
    </row>
    <row r="465" spans="17:18" ht="12.75" customHeight="1">
      <c r="Q465" s="21">
        <f t="shared" si="40"/>
        <v>0</v>
      </c>
      <c r="R465" s="22">
        <f t="shared" si="41"/>
        <v>0</v>
      </c>
    </row>
    <row r="466" spans="17:18" ht="12.75" customHeight="1">
      <c r="Q466" s="21">
        <f t="shared" si="40"/>
        <v>0</v>
      </c>
      <c r="R466" s="22">
        <f t="shared" si="41"/>
        <v>0</v>
      </c>
    </row>
    <row r="467" spans="17:18" ht="12.75" customHeight="1">
      <c r="Q467" s="21">
        <f t="shared" si="40"/>
        <v>0</v>
      </c>
      <c r="R467" s="22">
        <f t="shared" si="41"/>
        <v>0</v>
      </c>
    </row>
    <row r="468" spans="17:18" ht="12.75" customHeight="1">
      <c r="Q468" s="21">
        <f t="shared" si="40"/>
        <v>0</v>
      </c>
      <c r="R468" s="22">
        <f t="shared" si="41"/>
        <v>0</v>
      </c>
    </row>
    <row r="469" spans="17:18" ht="12.75" customHeight="1">
      <c r="Q469" s="21">
        <f t="shared" si="40"/>
        <v>0</v>
      </c>
      <c r="R469" s="22">
        <f t="shared" si="41"/>
        <v>0</v>
      </c>
    </row>
    <row r="470" spans="17:18" ht="12.75" customHeight="1">
      <c r="Q470" s="21">
        <f t="shared" si="40"/>
        <v>0</v>
      </c>
      <c r="R470" s="22">
        <f t="shared" si="41"/>
        <v>0</v>
      </c>
    </row>
    <row r="471" spans="17:18" ht="12.75" customHeight="1">
      <c r="Q471" s="21">
        <f t="shared" si="40"/>
        <v>0</v>
      </c>
      <c r="R471" s="22">
        <f t="shared" si="41"/>
        <v>0</v>
      </c>
    </row>
    <row r="472" spans="17:18" ht="12.75" customHeight="1">
      <c r="Q472" s="21">
        <f t="shared" si="40"/>
        <v>0</v>
      </c>
      <c r="R472" s="22">
        <f t="shared" si="41"/>
        <v>0</v>
      </c>
    </row>
    <row r="473" spans="17:18" ht="12.75" customHeight="1">
      <c r="Q473" s="21">
        <f t="shared" si="40"/>
        <v>0</v>
      </c>
      <c r="R473" s="22">
        <f t="shared" si="41"/>
        <v>0</v>
      </c>
    </row>
    <row r="474" spans="17:18" ht="12.75" customHeight="1">
      <c r="Q474" s="21">
        <f t="shared" si="40"/>
        <v>0</v>
      </c>
      <c r="R474" s="22">
        <f t="shared" si="41"/>
        <v>0</v>
      </c>
    </row>
    <row r="475" spans="17:18" ht="12.75" customHeight="1">
      <c r="Q475" s="21">
        <f t="shared" si="40"/>
        <v>0</v>
      </c>
      <c r="R475" s="22">
        <f t="shared" si="41"/>
        <v>0</v>
      </c>
    </row>
    <row r="476" spans="17:18" ht="12.75" customHeight="1">
      <c r="Q476" s="21">
        <f t="shared" si="40"/>
        <v>0</v>
      </c>
      <c r="R476" s="22">
        <f t="shared" si="41"/>
        <v>0</v>
      </c>
    </row>
    <row r="477" spans="17:18" ht="12.75" customHeight="1">
      <c r="Q477" s="21">
        <f t="shared" si="40"/>
        <v>0</v>
      </c>
      <c r="R477" s="22">
        <f t="shared" si="41"/>
        <v>0</v>
      </c>
    </row>
    <row r="478" spans="17:18" ht="12.75" customHeight="1">
      <c r="Q478" s="21">
        <f t="shared" si="40"/>
        <v>0</v>
      </c>
      <c r="R478" s="22">
        <f t="shared" si="41"/>
        <v>0</v>
      </c>
    </row>
    <row r="479" spans="17:18" ht="12.75" customHeight="1">
      <c r="Q479" s="21">
        <f t="shared" si="40"/>
        <v>0</v>
      </c>
      <c r="R479" s="22">
        <f t="shared" si="41"/>
        <v>0</v>
      </c>
    </row>
    <row r="480" spans="17:18" ht="12.75" customHeight="1">
      <c r="Q480" s="21">
        <f t="shared" si="40"/>
        <v>0</v>
      </c>
      <c r="R480" s="22">
        <f t="shared" si="41"/>
        <v>0</v>
      </c>
    </row>
    <row r="481" spans="17:18" ht="12.75" customHeight="1">
      <c r="Q481" s="21">
        <f t="shared" si="40"/>
        <v>0</v>
      </c>
      <c r="R481" s="22">
        <f t="shared" si="41"/>
        <v>0</v>
      </c>
    </row>
    <row r="482" spans="17:18" ht="12.75" customHeight="1">
      <c r="Q482" s="21">
        <f t="shared" si="40"/>
        <v>0</v>
      </c>
      <c r="R482" s="22">
        <f t="shared" si="41"/>
        <v>0</v>
      </c>
    </row>
    <row r="483" spans="17:18" ht="12.75" customHeight="1">
      <c r="Q483" s="21">
        <f t="shared" si="40"/>
        <v>0</v>
      </c>
      <c r="R483" s="22">
        <f t="shared" si="41"/>
        <v>0</v>
      </c>
    </row>
    <row r="484" spans="17:18" ht="12.75" customHeight="1">
      <c r="Q484" s="21">
        <f t="shared" si="40"/>
        <v>0</v>
      </c>
      <c r="R484" s="22">
        <f t="shared" si="41"/>
        <v>0</v>
      </c>
    </row>
    <row r="485" spans="17:18" ht="12.75" customHeight="1">
      <c r="Q485" s="21">
        <f t="shared" si="40"/>
        <v>0</v>
      </c>
      <c r="R485" s="22">
        <f t="shared" si="41"/>
        <v>0</v>
      </c>
    </row>
    <row r="486" spans="17:18" ht="12.75" customHeight="1">
      <c r="Q486" s="21">
        <f t="shared" si="40"/>
        <v>0</v>
      </c>
      <c r="R486" s="22">
        <f t="shared" si="41"/>
        <v>0</v>
      </c>
    </row>
    <row r="487" spans="17:18" ht="12.75" customHeight="1">
      <c r="Q487" s="21">
        <f t="shared" si="40"/>
        <v>0</v>
      </c>
      <c r="R487" s="22">
        <f t="shared" si="41"/>
        <v>0</v>
      </c>
    </row>
    <row r="488" spans="17:18" ht="12.75" customHeight="1">
      <c r="Q488" s="21">
        <f t="shared" si="40"/>
        <v>0</v>
      </c>
      <c r="R488" s="22">
        <f t="shared" si="41"/>
        <v>0</v>
      </c>
    </row>
    <row r="489" spans="17:18" ht="12.75" customHeight="1">
      <c r="Q489" s="21">
        <f t="shared" si="40"/>
        <v>0</v>
      </c>
      <c r="R489" s="22">
        <f t="shared" si="41"/>
        <v>0</v>
      </c>
    </row>
    <row r="490" spans="17:18" ht="12.75" customHeight="1">
      <c r="Q490" s="21">
        <f t="shared" si="40"/>
        <v>0</v>
      </c>
      <c r="R490" s="22">
        <f t="shared" si="41"/>
        <v>0</v>
      </c>
    </row>
    <row r="491" spans="17:18" ht="12.75" customHeight="1">
      <c r="Q491" s="21">
        <f t="shared" si="40"/>
        <v>0</v>
      </c>
      <c r="R491" s="22">
        <f t="shared" si="41"/>
        <v>0</v>
      </c>
    </row>
    <row r="492" spans="17:18" ht="12.75" customHeight="1">
      <c r="Q492" s="21">
        <f t="shared" si="40"/>
        <v>0</v>
      </c>
      <c r="R492" s="22">
        <f t="shared" si="41"/>
        <v>0</v>
      </c>
    </row>
    <row r="493" spans="17:18" ht="12.75" customHeight="1">
      <c r="Q493" s="21">
        <f t="shared" si="40"/>
        <v>0</v>
      </c>
      <c r="R493" s="22">
        <f t="shared" si="41"/>
        <v>0</v>
      </c>
    </row>
    <row r="494" spans="17:18" ht="12.75" customHeight="1">
      <c r="Q494" s="21">
        <f t="shared" si="40"/>
        <v>0</v>
      </c>
      <c r="R494" s="22">
        <f t="shared" si="41"/>
        <v>0</v>
      </c>
    </row>
    <row r="495" spans="17:18" ht="12.75" customHeight="1">
      <c r="Q495" s="21">
        <f t="shared" si="40"/>
        <v>0</v>
      </c>
      <c r="R495" s="22">
        <f t="shared" si="41"/>
        <v>0</v>
      </c>
    </row>
    <row r="496" spans="17:18" ht="12.75" customHeight="1">
      <c r="Q496" s="21">
        <f t="shared" si="40"/>
        <v>0</v>
      </c>
      <c r="R496" s="22">
        <f t="shared" si="41"/>
        <v>0</v>
      </c>
    </row>
    <row r="497" spans="17:18" ht="12.75" customHeight="1">
      <c r="Q497" s="21">
        <f t="shared" si="40"/>
        <v>0</v>
      </c>
      <c r="R497" s="22">
        <f t="shared" si="41"/>
        <v>0</v>
      </c>
    </row>
    <row r="498" spans="17:18" ht="12.75" customHeight="1">
      <c r="Q498" s="21">
        <f t="shared" si="40"/>
        <v>0</v>
      </c>
      <c r="R498" s="22">
        <f t="shared" si="41"/>
        <v>0</v>
      </c>
    </row>
    <row r="499" spans="17:18" ht="12.75" customHeight="1">
      <c r="Q499" s="21">
        <f>IF(ISBLANK(K504),0,SUM(K504,-I504))</f>
        <v>0</v>
      </c>
      <c r="R499" s="22">
        <f>IF(ISBLANK(P499),0,SUM(P499,-I499))</f>
        <v>0</v>
      </c>
    </row>
    <row r="500" spans="17:18" ht="12.75" customHeight="1">
      <c r="Q500" s="21">
        <f>IF(ISBLANK(K505),0,SUM(K505,-I505))</f>
        <v>0</v>
      </c>
      <c r="R500" s="22">
        <f>IF(ISBLANK(P500),0,SUM(P500,-I500))</f>
        <v>0</v>
      </c>
    </row>
  </sheetData>
  <autoFilter ref="A3:R373">
    <filterColumn colId="2"/>
    <filterColumn colId="6"/>
    <filterColumn colId="8"/>
    <filterColumn colId="9"/>
    <filterColumn colId="10"/>
    <filterColumn colId="12"/>
  </autoFilter>
  <sortState ref="B115:P181">
    <sortCondition ref="I4:I181"/>
    <sortCondition ref="B4:B181"/>
  </sortState>
  <mergeCells count="2">
    <mergeCell ref="G1:I1"/>
    <mergeCell ref="E1:F1"/>
  </mergeCells>
  <phoneticPr fontId="175" type="noConversion"/>
  <pageMargins left="0.21" right="0.19" top="0.19685039370078741" bottom="0.23622047244094491" header="0.17" footer="0.19685039370078741"/>
  <pageSetup paperSize="9" orientation="landscape" r:id="rId1"/>
  <headerFooter alignWithMargins="0"/>
  <ignoredErrors>
    <ignoredError sqref="R15 L33 Q115" formula="1"/>
  </ignoredError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R368"/>
  <sheetViews>
    <sheetView zoomScale="120" zoomScaleNormal="120" workbookViewId="0">
      <pane ySplit="2" topLeftCell="A84" activePane="bottomLeft" state="frozen"/>
      <selection pane="bottomLeft" activeCell="G3" sqref="G3:G94"/>
    </sheetView>
  </sheetViews>
  <sheetFormatPr baseColWidth="10" defaultColWidth="11.44140625" defaultRowHeight="13.8"/>
  <cols>
    <col min="1" max="1" width="1.88671875" style="3" customWidth="1"/>
    <col min="2" max="2" width="16.44140625" style="3" bestFit="1" customWidth="1"/>
    <col min="3" max="3" width="21.6640625" style="1" customWidth="1"/>
    <col min="4" max="4" width="11.5546875" style="3" customWidth="1"/>
    <col min="5" max="5" width="4.109375" style="1" customWidth="1"/>
    <col min="6" max="6" width="3.88671875" style="1" customWidth="1"/>
    <col min="7" max="7" width="32.6640625" style="1" customWidth="1"/>
    <col min="8" max="8" width="4.5546875" style="1" customWidth="1"/>
    <col min="9" max="9" width="11.5546875" style="3" customWidth="1"/>
    <col min="10" max="10" width="9.33203125" style="155" hidden="1" customWidth="1"/>
    <col min="11" max="11" width="11.88671875" style="1" customWidth="1"/>
    <col min="12" max="12" width="6.88671875" style="1" customWidth="1"/>
    <col min="13" max="13" width="6.6640625" style="12" customWidth="1"/>
    <col min="14" max="14" width="15.5546875" style="41" bestFit="1" customWidth="1"/>
    <col min="15" max="15" width="14.88671875" style="169" bestFit="1" customWidth="1"/>
    <col min="16" max="16" width="7" style="8" customWidth="1"/>
    <col min="17" max="17" width="16.33203125" style="1" bestFit="1" customWidth="1"/>
    <col min="18" max="18" width="21.6640625" style="1" bestFit="1" customWidth="1"/>
    <col min="19" max="16384" width="11.44140625" style="1"/>
  </cols>
  <sheetData>
    <row r="1" spans="2:18" ht="15" thickBot="1">
      <c r="B1" s="40" t="s">
        <v>20</v>
      </c>
      <c r="C1" s="55" t="s">
        <v>220</v>
      </c>
      <c r="D1" s="825" t="s">
        <v>21</v>
      </c>
      <c r="E1" s="826"/>
      <c r="F1" s="815" t="s">
        <v>58</v>
      </c>
      <c r="G1" s="823"/>
      <c r="H1" s="823"/>
      <c r="I1" s="824"/>
      <c r="J1" s="151"/>
      <c r="K1" s="77"/>
      <c r="L1" s="58">
        <f>SUBTOTAL(1,L3:L12041)</f>
        <v>11.333333333333334</v>
      </c>
      <c r="M1" s="78"/>
      <c r="N1" s="62">
        <f>SUBTOTAL(9,F3:F70)</f>
        <v>86</v>
      </c>
      <c r="O1" s="79"/>
      <c r="P1" s="80"/>
      <c r="Q1" s="37"/>
      <c r="R1" s="37"/>
    </row>
    <row r="2" spans="2:18" ht="15" thickBot="1">
      <c r="B2" s="42" t="s">
        <v>1</v>
      </c>
      <c r="C2" s="43" t="s">
        <v>2</v>
      </c>
      <c r="D2" s="42" t="s">
        <v>11</v>
      </c>
      <c r="E2" s="42" t="s">
        <v>3</v>
      </c>
      <c r="F2" s="42" t="s">
        <v>9</v>
      </c>
      <c r="G2" s="42" t="s">
        <v>4</v>
      </c>
      <c r="H2" s="42" t="s">
        <v>0</v>
      </c>
      <c r="I2" s="42" t="s">
        <v>10</v>
      </c>
      <c r="J2" s="152"/>
      <c r="K2" s="42" t="s">
        <v>44</v>
      </c>
      <c r="L2" s="42"/>
      <c r="M2" s="81"/>
      <c r="N2" s="63">
        <f>SUM(E3:E183)</f>
        <v>115</v>
      </c>
      <c r="O2" s="42"/>
      <c r="P2" s="82" t="s">
        <v>45</v>
      </c>
      <c r="Q2" s="38" t="s">
        <v>129</v>
      </c>
      <c r="R2" s="38" t="s">
        <v>130</v>
      </c>
    </row>
    <row r="3" spans="2:18">
      <c r="B3" s="94" t="s">
        <v>277</v>
      </c>
      <c r="C3" s="190" t="s">
        <v>56</v>
      </c>
      <c r="D3" s="191">
        <v>42034</v>
      </c>
      <c r="E3" s="190">
        <v>1</v>
      </c>
      <c r="F3" s="190">
        <v>1</v>
      </c>
      <c r="G3" s="190" t="s">
        <v>127</v>
      </c>
      <c r="H3" s="190" t="s">
        <v>55</v>
      </c>
      <c r="I3" s="105">
        <v>42011</v>
      </c>
      <c r="J3" s="95"/>
      <c r="K3" s="120">
        <v>42017</v>
      </c>
      <c r="L3" s="66">
        <f t="shared" ref="L3:L34" si="0">IF(ISBLANK(K3),"",NETWORKDAYS(I3,K3))</f>
        <v>5</v>
      </c>
      <c r="M3" s="202"/>
      <c r="N3" s="69" t="s">
        <v>123</v>
      </c>
      <c r="O3" s="69" t="s">
        <v>35</v>
      </c>
      <c r="P3" s="201">
        <v>42017</v>
      </c>
      <c r="Q3" s="21">
        <f t="shared" ref="Q3:Q18" si="1">IF(ISBLANK(K3),0,SUM(K3,-I3))</f>
        <v>6</v>
      </c>
      <c r="R3" s="22">
        <f>IF(ISBLANK(P3),0,SUM(I3,-P3))</f>
        <v>-6</v>
      </c>
    </row>
    <row r="4" spans="2:18">
      <c r="B4" s="94" t="s">
        <v>270</v>
      </c>
      <c r="C4" s="190" t="s">
        <v>56</v>
      </c>
      <c r="D4" s="191">
        <v>42034</v>
      </c>
      <c r="E4" s="190">
        <v>1</v>
      </c>
      <c r="F4" s="190">
        <v>1</v>
      </c>
      <c r="G4" s="190" t="s">
        <v>271</v>
      </c>
      <c r="H4" s="190" t="s">
        <v>55</v>
      </c>
      <c r="I4" s="105">
        <v>42011</v>
      </c>
      <c r="J4" s="117"/>
      <c r="K4" s="120">
        <v>42032</v>
      </c>
      <c r="L4" s="66">
        <f t="shared" si="0"/>
        <v>16</v>
      </c>
      <c r="M4" s="119"/>
      <c r="N4" s="69" t="s">
        <v>123</v>
      </c>
      <c r="O4" s="69" t="s">
        <v>34</v>
      </c>
      <c r="P4" s="201">
        <v>42030</v>
      </c>
      <c r="Q4" s="21">
        <f t="shared" si="1"/>
        <v>21</v>
      </c>
      <c r="R4" s="22">
        <f>IF(ISBLANK(P4),0,SUM(P4,-I4))</f>
        <v>19</v>
      </c>
    </row>
    <row r="5" spans="2:18">
      <c r="B5" s="115" t="s">
        <v>286</v>
      </c>
      <c r="C5" s="192" t="s">
        <v>56</v>
      </c>
      <c r="D5" s="193">
        <v>42041</v>
      </c>
      <c r="E5" s="192">
        <v>1</v>
      </c>
      <c r="F5" s="192">
        <v>1</v>
      </c>
      <c r="G5" s="192" t="s">
        <v>127</v>
      </c>
      <c r="H5" s="192" t="s">
        <v>55</v>
      </c>
      <c r="I5" s="144">
        <v>42017</v>
      </c>
      <c r="J5" s="118"/>
      <c r="K5" s="120">
        <v>42032</v>
      </c>
      <c r="L5" s="66">
        <f t="shared" si="0"/>
        <v>12</v>
      </c>
      <c r="M5" s="119"/>
      <c r="N5" s="69" t="s">
        <v>123</v>
      </c>
      <c r="O5" s="69" t="s">
        <v>34</v>
      </c>
      <c r="P5" s="201">
        <v>42025</v>
      </c>
      <c r="Q5" s="21">
        <f t="shared" si="1"/>
        <v>15</v>
      </c>
      <c r="R5" s="22">
        <f>IF(ISBLANK(P5),0,SUM(I5,-P5))</f>
        <v>-8</v>
      </c>
    </row>
    <row r="6" spans="2:18" ht="14.4">
      <c r="B6" s="96" t="s">
        <v>287</v>
      </c>
      <c r="C6" s="194" t="s">
        <v>65</v>
      </c>
      <c r="D6" s="195">
        <v>42033</v>
      </c>
      <c r="E6" s="194">
        <v>1</v>
      </c>
      <c r="F6" s="194">
        <v>1</v>
      </c>
      <c r="G6" s="194" t="s">
        <v>86</v>
      </c>
      <c r="H6" s="194" t="s">
        <v>66</v>
      </c>
      <c r="I6" s="107">
        <v>42018</v>
      </c>
      <c r="J6" s="99"/>
      <c r="K6" s="146">
        <v>42019</v>
      </c>
      <c r="L6" s="73">
        <f t="shared" si="0"/>
        <v>2</v>
      </c>
      <c r="M6" s="203"/>
      <c r="N6" s="76" t="s">
        <v>36</v>
      </c>
      <c r="O6" s="76"/>
      <c r="P6" s="7"/>
      <c r="Q6" s="21">
        <f t="shared" si="1"/>
        <v>1</v>
      </c>
      <c r="R6" s="22">
        <f>IF(ISBLANK(P6),0,SUM(P6,-I6))</f>
        <v>0</v>
      </c>
    </row>
    <row r="7" spans="2:18">
      <c r="B7" s="115" t="s">
        <v>293</v>
      </c>
      <c r="C7" s="192" t="s">
        <v>73</v>
      </c>
      <c r="D7" s="144">
        <v>42034</v>
      </c>
      <c r="E7" s="192">
        <v>1</v>
      </c>
      <c r="F7" s="192">
        <v>1</v>
      </c>
      <c r="G7" s="192" t="s">
        <v>5</v>
      </c>
      <c r="H7" s="192" t="s">
        <v>55</v>
      </c>
      <c r="I7" s="144">
        <v>42018</v>
      </c>
      <c r="J7" s="132"/>
      <c r="K7" s="120">
        <v>42044</v>
      </c>
      <c r="L7" s="66">
        <f t="shared" si="0"/>
        <v>19</v>
      </c>
      <c r="M7" s="69"/>
      <c r="N7" s="69" t="s">
        <v>123</v>
      </c>
      <c r="O7" s="69" t="s">
        <v>34</v>
      </c>
      <c r="P7" s="226">
        <v>42034</v>
      </c>
      <c r="Q7" s="21">
        <f t="shared" si="1"/>
        <v>26</v>
      </c>
      <c r="R7" s="22">
        <f t="shared" ref="R7:R25" si="2">IF(ISBLANK(P7),0,SUM(I7,-P7))</f>
        <v>-16</v>
      </c>
    </row>
    <row r="8" spans="2:18">
      <c r="B8" s="138" t="s">
        <v>314</v>
      </c>
      <c r="C8" s="196" t="s">
        <v>56</v>
      </c>
      <c r="D8" s="147">
        <v>42058</v>
      </c>
      <c r="E8" s="196">
        <v>1</v>
      </c>
      <c r="F8" s="196">
        <v>1</v>
      </c>
      <c r="G8" s="196" t="s">
        <v>87</v>
      </c>
      <c r="H8" s="196" t="s">
        <v>55</v>
      </c>
      <c r="I8" s="147">
        <v>42025</v>
      </c>
      <c r="J8" s="149">
        <v>2363.62</v>
      </c>
      <c r="K8" s="120">
        <v>42047</v>
      </c>
      <c r="L8" s="66">
        <f t="shared" si="0"/>
        <v>17</v>
      </c>
      <c r="M8" s="137"/>
      <c r="N8" s="68" t="s">
        <v>123</v>
      </c>
      <c r="O8" s="69" t="s">
        <v>34</v>
      </c>
      <c r="P8" s="226">
        <v>42045</v>
      </c>
      <c r="Q8" s="21">
        <f t="shared" si="1"/>
        <v>22</v>
      </c>
      <c r="R8" s="22">
        <f t="shared" si="2"/>
        <v>-20</v>
      </c>
    </row>
    <row r="9" spans="2:18">
      <c r="B9" s="122" t="s">
        <v>331</v>
      </c>
      <c r="C9" s="197" t="s">
        <v>76</v>
      </c>
      <c r="D9" s="133">
        <v>42051</v>
      </c>
      <c r="E9" s="197">
        <v>1</v>
      </c>
      <c r="F9" s="197">
        <v>1</v>
      </c>
      <c r="G9" s="197" t="s">
        <v>106</v>
      </c>
      <c r="H9" s="197" t="s">
        <v>66</v>
      </c>
      <c r="I9" s="133">
        <v>42030</v>
      </c>
      <c r="J9" s="153">
        <v>1301.17</v>
      </c>
      <c r="K9" s="146">
        <v>42047</v>
      </c>
      <c r="L9" s="73">
        <f t="shared" si="0"/>
        <v>14</v>
      </c>
      <c r="M9" s="125"/>
      <c r="N9" s="75" t="s">
        <v>36</v>
      </c>
      <c r="O9" s="76"/>
      <c r="P9" s="227"/>
      <c r="Q9" s="21">
        <f t="shared" si="1"/>
        <v>17</v>
      </c>
      <c r="R9" s="22">
        <f t="shared" si="2"/>
        <v>0</v>
      </c>
    </row>
    <row r="10" spans="2:18">
      <c r="B10" s="128" t="s">
        <v>332</v>
      </c>
      <c r="C10" s="198" t="s">
        <v>56</v>
      </c>
      <c r="D10" s="134">
        <v>42058</v>
      </c>
      <c r="E10" s="198">
        <v>1</v>
      </c>
      <c r="F10" s="198">
        <v>1</v>
      </c>
      <c r="G10" s="198" t="s">
        <v>128</v>
      </c>
      <c r="H10" s="198" t="s">
        <v>55</v>
      </c>
      <c r="I10" s="134">
        <v>42030</v>
      </c>
      <c r="J10" s="130"/>
      <c r="K10" s="120">
        <v>42045</v>
      </c>
      <c r="L10" s="66">
        <f t="shared" si="0"/>
        <v>12</v>
      </c>
      <c r="M10" s="137"/>
      <c r="N10" s="68" t="s">
        <v>123</v>
      </c>
      <c r="O10" s="69" t="s">
        <v>35</v>
      </c>
      <c r="P10" s="226">
        <v>42033</v>
      </c>
      <c r="Q10" s="21">
        <f t="shared" si="1"/>
        <v>15</v>
      </c>
      <c r="R10" s="22">
        <f t="shared" si="2"/>
        <v>-3</v>
      </c>
    </row>
    <row r="11" spans="2:18">
      <c r="B11" s="182" t="s">
        <v>349</v>
      </c>
      <c r="C11" s="229" t="s">
        <v>56</v>
      </c>
      <c r="D11" s="184">
        <v>42052</v>
      </c>
      <c r="E11" s="229">
        <v>1</v>
      </c>
      <c r="F11" s="229">
        <v>1</v>
      </c>
      <c r="G11" s="229" t="s">
        <v>5</v>
      </c>
      <c r="H11" s="229" t="s">
        <v>55</v>
      </c>
      <c r="I11" s="184">
        <v>42037</v>
      </c>
      <c r="J11" s="150">
        <v>1120.9000000000001</v>
      </c>
      <c r="K11" s="120">
        <v>42060</v>
      </c>
      <c r="L11" s="66">
        <f t="shared" si="0"/>
        <v>18</v>
      </c>
      <c r="M11" s="137"/>
      <c r="N11" s="68" t="s">
        <v>123</v>
      </c>
      <c r="O11" s="69" t="s">
        <v>34</v>
      </c>
      <c r="P11" s="51">
        <v>42059</v>
      </c>
      <c r="Q11" s="21">
        <f t="shared" si="1"/>
        <v>23</v>
      </c>
      <c r="R11" s="22">
        <f t="shared" si="2"/>
        <v>-22</v>
      </c>
    </row>
    <row r="12" spans="2:18">
      <c r="B12" s="143" t="s">
        <v>350</v>
      </c>
      <c r="C12" s="199" t="s">
        <v>65</v>
      </c>
      <c r="D12" s="145">
        <v>42050</v>
      </c>
      <c r="E12" s="199">
        <v>4</v>
      </c>
      <c r="F12" s="199">
        <v>4</v>
      </c>
      <c r="G12" s="199" t="s">
        <v>38</v>
      </c>
      <c r="H12" s="199" t="s">
        <v>66</v>
      </c>
      <c r="I12" s="145">
        <v>42038</v>
      </c>
      <c r="J12" s="154">
        <v>3580.01</v>
      </c>
      <c r="K12" s="146">
        <v>42046</v>
      </c>
      <c r="L12" s="73">
        <f t="shared" si="0"/>
        <v>7</v>
      </c>
      <c r="M12" s="125"/>
      <c r="N12" s="75" t="s">
        <v>36</v>
      </c>
      <c r="O12" s="76"/>
      <c r="P12" s="227"/>
      <c r="Q12" s="21">
        <f t="shared" si="1"/>
        <v>8</v>
      </c>
      <c r="R12" s="22">
        <f t="shared" si="2"/>
        <v>0</v>
      </c>
    </row>
    <row r="13" spans="2:18">
      <c r="B13" s="178" t="s">
        <v>369</v>
      </c>
      <c r="C13" s="211" t="s">
        <v>56</v>
      </c>
      <c r="D13" s="180">
        <v>42055</v>
      </c>
      <c r="E13" s="211">
        <v>1</v>
      </c>
      <c r="F13" s="211">
        <v>1</v>
      </c>
      <c r="G13" s="211" t="s">
        <v>370</v>
      </c>
      <c r="H13" s="211" t="s">
        <v>55</v>
      </c>
      <c r="I13" s="180">
        <v>42046</v>
      </c>
      <c r="J13" s="150">
        <v>1229.8800000000001</v>
      </c>
      <c r="K13" s="120">
        <v>42061</v>
      </c>
      <c r="L13" s="66">
        <f t="shared" si="0"/>
        <v>12</v>
      </c>
      <c r="M13" s="137"/>
      <c r="N13" s="68" t="s">
        <v>123</v>
      </c>
      <c r="O13" s="69" t="s">
        <v>35</v>
      </c>
      <c r="P13" s="51">
        <v>42060</v>
      </c>
      <c r="Q13" s="21">
        <f t="shared" si="1"/>
        <v>15</v>
      </c>
      <c r="R13" s="22">
        <f t="shared" si="2"/>
        <v>-14</v>
      </c>
    </row>
    <row r="14" spans="2:18">
      <c r="B14" s="212" t="s">
        <v>378</v>
      </c>
      <c r="C14" s="214" t="s">
        <v>56</v>
      </c>
      <c r="D14" s="213">
        <v>42064</v>
      </c>
      <c r="E14" s="214">
        <v>1</v>
      </c>
      <c r="F14" s="214">
        <v>1</v>
      </c>
      <c r="G14" s="214" t="s">
        <v>28</v>
      </c>
      <c r="H14" s="214" t="s">
        <v>55</v>
      </c>
      <c r="I14" s="213">
        <v>42046</v>
      </c>
      <c r="J14" s="684"/>
      <c r="K14" s="120">
        <v>42055</v>
      </c>
      <c r="L14" s="66">
        <f t="shared" si="0"/>
        <v>8</v>
      </c>
      <c r="M14" s="68"/>
      <c r="N14" s="69" t="s">
        <v>123</v>
      </c>
      <c r="O14" s="69" t="s">
        <v>33</v>
      </c>
      <c r="P14" s="51">
        <v>42054</v>
      </c>
      <c r="Q14" s="21">
        <f t="shared" si="1"/>
        <v>9</v>
      </c>
      <c r="R14" s="22">
        <f t="shared" si="2"/>
        <v>-8</v>
      </c>
    </row>
    <row r="15" spans="2:18">
      <c r="B15" s="164" t="s">
        <v>368</v>
      </c>
      <c r="C15" s="200" t="s">
        <v>65</v>
      </c>
      <c r="D15" s="166">
        <v>42055</v>
      </c>
      <c r="E15" s="200">
        <v>1</v>
      </c>
      <c r="F15" s="200">
        <v>1</v>
      </c>
      <c r="G15" s="200" t="s">
        <v>86</v>
      </c>
      <c r="H15" s="200" t="s">
        <v>66</v>
      </c>
      <c r="I15" s="166">
        <v>42047</v>
      </c>
      <c r="J15" s="163">
        <v>935.68</v>
      </c>
      <c r="K15" s="146">
        <v>42053</v>
      </c>
      <c r="L15" s="73">
        <f t="shared" si="0"/>
        <v>5</v>
      </c>
      <c r="M15" s="204"/>
      <c r="N15" s="75" t="s">
        <v>36</v>
      </c>
      <c r="O15" s="76"/>
      <c r="P15" s="227"/>
      <c r="Q15" s="21">
        <f t="shared" si="1"/>
        <v>6</v>
      </c>
      <c r="R15" s="22">
        <f t="shared" si="2"/>
        <v>0</v>
      </c>
    </row>
    <row r="16" spans="2:18">
      <c r="B16" s="178" t="s">
        <v>355</v>
      </c>
      <c r="C16" s="211" t="s">
        <v>56</v>
      </c>
      <c r="D16" s="180">
        <v>42063</v>
      </c>
      <c r="E16" s="211">
        <v>1</v>
      </c>
      <c r="F16" s="211">
        <v>1</v>
      </c>
      <c r="G16" s="211" t="s">
        <v>38</v>
      </c>
      <c r="H16" s="211" t="s">
        <v>55</v>
      </c>
      <c r="I16" s="180">
        <v>42047</v>
      </c>
      <c r="J16" s="150">
        <v>992.37</v>
      </c>
      <c r="K16" s="120">
        <v>42059</v>
      </c>
      <c r="L16" s="66">
        <f t="shared" si="0"/>
        <v>9</v>
      </c>
      <c r="M16" s="137"/>
      <c r="N16" s="68" t="s">
        <v>123</v>
      </c>
      <c r="O16" s="69" t="s">
        <v>33</v>
      </c>
      <c r="P16" s="51">
        <v>42054</v>
      </c>
      <c r="Q16" s="21">
        <f t="shared" si="1"/>
        <v>12</v>
      </c>
      <c r="R16" s="22">
        <f t="shared" si="2"/>
        <v>-7</v>
      </c>
    </row>
    <row r="17" spans="1:18">
      <c r="B17" s="164" t="s">
        <v>360</v>
      </c>
      <c r="C17" s="200" t="s">
        <v>65</v>
      </c>
      <c r="D17" s="166">
        <v>42063</v>
      </c>
      <c r="E17" s="200">
        <v>1</v>
      </c>
      <c r="F17" s="200">
        <v>1</v>
      </c>
      <c r="G17" s="200" t="s">
        <v>188</v>
      </c>
      <c r="H17" s="200" t="s">
        <v>66</v>
      </c>
      <c r="I17" s="166">
        <v>42048</v>
      </c>
      <c r="J17" s="168">
        <v>1197</v>
      </c>
      <c r="K17" s="146">
        <v>42053</v>
      </c>
      <c r="L17" s="73">
        <f t="shared" si="0"/>
        <v>4</v>
      </c>
      <c r="M17" s="204"/>
      <c r="N17" s="75" t="s">
        <v>36</v>
      </c>
      <c r="O17" s="76"/>
      <c r="P17" s="227"/>
      <c r="Q17" s="21">
        <f t="shared" si="1"/>
        <v>5</v>
      </c>
      <c r="R17" s="22">
        <f t="shared" si="2"/>
        <v>0</v>
      </c>
    </row>
    <row r="18" spans="1:18">
      <c r="B18" s="210" t="s">
        <v>389</v>
      </c>
      <c r="C18" s="208" t="s">
        <v>65</v>
      </c>
      <c r="D18" s="209">
        <v>42075</v>
      </c>
      <c r="E18" s="208">
        <v>1</v>
      </c>
      <c r="F18" s="208">
        <v>1</v>
      </c>
      <c r="G18" s="208" t="s">
        <v>98</v>
      </c>
      <c r="H18" s="208" t="s">
        <v>66</v>
      </c>
      <c r="I18" s="209">
        <v>42053</v>
      </c>
      <c r="J18" s="696">
        <v>983.88</v>
      </c>
      <c r="K18" s="146">
        <v>42060</v>
      </c>
      <c r="L18" s="73">
        <f t="shared" si="0"/>
        <v>6</v>
      </c>
      <c r="M18" s="76"/>
      <c r="N18" s="76" t="s">
        <v>36</v>
      </c>
      <c r="O18" s="76"/>
      <c r="P18" s="227"/>
      <c r="Q18" s="21">
        <f t="shared" si="1"/>
        <v>7</v>
      </c>
      <c r="R18" s="22">
        <f t="shared" si="2"/>
        <v>0</v>
      </c>
    </row>
    <row r="19" spans="1:18">
      <c r="B19" s="231" t="s">
        <v>395</v>
      </c>
      <c r="C19" s="232" t="s">
        <v>57</v>
      </c>
      <c r="D19" s="233">
        <v>42083</v>
      </c>
      <c r="E19" s="232">
        <v>1</v>
      </c>
      <c r="F19" s="232">
        <v>1</v>
      </c>
      <c r="G19" s="232" t="s">
        <v>396</v>
      </c>
      <c r="H19" s="232" t="s">
        <v>55</v>
      </c>
      <c r="I19" s="233">
        <v>42054</v>
      </c>
      <c r="J19" s="234">
        <v>1650.91</v>
      </c>
      <c r="K19" s="120">
        <v>42073</v>
      </c>
      <c r="L19" s="66">
        <f t="shared" si="0"/>
        <v>14</v>
      </c>
      <c r="M19" s="69"/>
      <c r="N19" s="69" t="s">
        <v>123</v>
      </c>
      <c r="O19" s="69" t="s">
        <v>34</v>
      </c>
      <c r="P19" s="51">
        <v>42072</v>
      </c>
      <c r="Q19" s="21">
        <f t="shared" ref="Q19:Q24" si="3">IF(ISBLANK(K19),0,SUM(K19,-I19))</f>
        <v>19</v>
      </c>
      <c r="R19" s="22">
        <f t="shared" si="2"/>
        <v>-18</v>
      </c>
    </row>
    <row r="20" spans="1:18">
      <c r="B20" s="231" t="s">
        <v>401</v>
      </c>
      <c r="C20" s="232" t="s">
        <v>56</v>
      </c>
      <c r="D20" s="233">
        <v>42073</v>
      </c>
      <c r="E20" s="232">
        <v>1</v>
      </c>
      <c r="F20" s="232">
        <v>1</v>
      </c>
      <c r="G20" s="232" t="s">
        <v>5</v>
      </c>
      <c r="H20" s="232" t="s">
        <v>55</v>
      </c>
      <c r="I20" s="233">
        <v>42059</v>
      </c>
      <c r="J20" s="221">
        <v>1256.47</v>
      </c>
      <c r="K20" s="120">
        <v>42080</v>
      </c>
      <c r="L20" s="66">
        <f t="shared" si="0"/>
        <v>16</v>
      </c>
      <c r="M20" s="137"/>
      <c r="N20" s="68" t="s">
        <v>123</v>
      </c>
      <c r="O20" s="69" t="s">
        <v>34</v>
      </c>
      <c r="P20" s="16">
        <v>42079</v>
      </c>
      <c r="Q20" s="21">
        <f t="shared" si="3"/>
        <v>21</v>
      </c>
      <c r="R20" s="22">
        <f t="shared" si="2"/>
        <v>-20</v>
      </c>
    </row>
    <row r="21" spans="1:18">
      <c r="B21" s="231" t="s">
        <v>409</v>
      </c>
      <c r="C21" s="232" t="s">
        <v>56</v>
      </c>
      <c r="D21" s="233">
        <v>42086</v>
      </c>
      <c r="E21" s="232">
        <v>3</v>
      </c>
      <c r="F21" s="232">
        <v>3</v>
      </c>
      <c r="G21" s="232" t="s">
        <v>410</v>
      </c>
      <c r="H21" s="232" t="s">
        <v>55</v>
      </c>
      <c r="I21" s="233">
        <v>42061</v>
      </c>
      <c r="J21" s="234">
        <v>4561.2</v>
      </c>
      <c r="K21" s="120">
        <v>42080</v>
      </c>
      <c r="L21" s="66">
        <f t="shared" si="0"/>
        <v>14</v>
      </c>
      <c r="M21" s="137"/>
      <c r="N21" s="68" t="s">
        <v>123</v>
      </c>
      <c r="O21" s="69" t="s">
        <v>34</v>
      </c>
      <c r="P21" s="16">
        <v>42079</v>
      </c>
      <c r="Q21" s="21">
        <f t="shared" si="3"/>
        <v>19</v>
      </c>
      <c r="R21" s="22">
        <f t="shared" si="2"/>
        <v>-18</v>
      </c>
    </row>
    <row r="22" spans="1:18">
      <c r="B22" s="231" t="s">
        <v>412</v>
      </c>
      <c r="C22" s="232" t="s">
        <v>56</v>
      </c>
      <c r="D22" s="233">
        <v>42073</v>
      </c>
      <c r="E22" s="232">
        <v>2</v>
      </c>
      <c r="F22" s="232">
        <v>2</v>
      </c>
      <c r="G22" s="232" t="s">
        <v>38</v>
      </c>
      <c r="H22" s="232" t="s">
        <v>55</v>
      </c>
      <c r="I22" s="233">
        <v>42061</v>
      </c>
      <c r="J22" s="221">
        <v>2117.3000000000002</v>
      </c>
      <c r="K22" s="120">
        <v>42074</v>
      </c>
      <c r="L22" s="66">
        <f t="shared" si="0"/>
        <v>10</v>
      </c>
      <c r="M22" s="137"/>
      <c r="N22" s="68" t="s">
        <v>123</v>
      </c>
      <c r="O22" s="69" t="s">
        <v>33</v>
      </c>
      <c r="P22" s="16">
        <v>42067</v>
      </c>
      <c r="Q22" s="21">
        <f t="shared" si="3"/>
        <v>13</v>
      </c>
      <c r="R22" s="22">
        <f t="shared" si="2"/>
        <v>-6</v>
      </c>
    </row>
    <row r="23" spans="1:18">
      <c r="B23" s="245" t="s">
        <v>413</v>
      </c>
      <c r="C23" s="246" t="s">
        <v>56</v>
      </c>
      <c r="D23" s="247">
        <v>42082</v>
      </c>
      <c r="E23" s="246">
        <v>1</v>
      </c>
      <c r="F23" s="246">
        <v>1</v>
      </c>
      <c r="G23" s="246" t="s">
        <v>127</v>
      </c>
      <c r="H23" s="246" t="s">
        <v>55</v>
      </c>
      <c r="I23" s="247">
        <v>42065</v>
      </c>
      <c r="J23" s="236">
        <v>1479.6</v>
      </c>
      <c r="K23" s="120">
        <v>42073</v>
      </c>
      <c r="L23" s="66">
        <f t="shared" si="0"/>
        <v>7</v>
      </c>
      <c r="M23" s="137"/>
      <c r="N23" s="68" t="s">
        <v>123</v>
      </c>
      <c r="O23" s="69" t="s">
        <v>35</v>
      </c>
      <c r="P23" s="16">
        <v>42069</v>
      </c>
      <c r="Q23" s="21">
        <f t="shared" si="3"/>
        <v>8</v>
      </c>
      <c r="R23" s="22">
        <f t="shared" si="2"/>
        <v>-4</v>
      </c>
    </row>
    <row r="24" spans="1:18">
      <c r="B24" s="245" t="s">
        <v>423</v>
      </c>
      <c r="C24" s="246" t="s">
        <v>56</v>
      </c>
      <c r="D24" s="247">
        <v>42086</v>
      </c>
      <c r="E24" s="246">
        <v>2</v>
      </c>
      <c r="F24" s="246">
        <v>2</v>
      </c>
      <c r="G24" s="246" t="s">
        <v>424</v>
      </c>
      <c r="H24" s="246" t="s">
        <v>55</v>
      </c>
      <c r="I24" s="247">
        <v>42065</v>
      </c>
      <c r="J24" s="236">
        <v>2797.2</v>
      </c>
      <c r="K24" s="120">
        <v>42073</v>
      </c>
      <c r="L24" s="66">
        <f t="shared" si="0"/>
        <v>7</v>
      </c>
      <c r="M24" s="137"/>
      <c r="N24" s="68" t="s">
        <v>123</v>
      </c>
      <c r="O24" s="69" t="s">
        <v>33</v>
      </c>
      <c r="P24" s="16">
        <v>42072</v>
      </c>
      <c r="Q24" s="21">
        <f t="shared" si="3"/>
        <v>8</v>
      </c>
      <c r="R24" s="22">
        <f t="shared" si="2"/>
        <v>-7</v>
      </c>
    </row>
    <row r="25" spans="1:18">
      <c r="B25" s="257" t="s">
        <v>427</v>
      </c>
      <c r="C25" s="258" t="s">
        <v>56</v>
      </c>
      <c r="D25" s="259">
        <v>42083</v>
      </c>
      <c r="E25" s="258">
        <v>1</v>
      </c>
      <c r="F25" s="258">
        <v>1</v>
      </c>
      <c r="G25" s="258" t="s">
        <v>428</v>
      </c>
      <c r="H25" s="258" t="s">
        <v>55</v>
      </c>
      <c r="I25" s="259">
        <v>42067</v>
      </c>
      <c r="J25" s="695">
        <v>1486.8</v>
      </c>
      <c r="K25" s="120">
        <v>42074</v>
      </c>
      <c r="L25" s="66">
        <f t="shared" si="0"/>
        <v>6</v>
      </c>
      <c r="M25" s="137"/>
      <c r="N25" s="68" t="s">
        <v>123</v>
      </c>
      <c r="O25" s="69" t="s">
        <v>35</v>
      </c>
      <c r="P25" s="16">
        <v>42073</v>
      </c>
      <c r="Q25" s="21">
        <f t="shared" ref="Q25:Q57" si="4">IF(ISBLANK(K25),0,SUM(K25,-I25))</f>
        <v>7</v>
      </c>
      <c r="R25" s="22">
        <f t="shared" si="2"/>
        <v>-6</v>
      </c>
    </row>
    <row r="26" spans="1:18">
      <c r="B26" s="257" t="s">
        <v>430</v>
      </c>
      <c r="C26" s="258" t="s">
        <v>56</v>
      </c>
      <c r="D26" s="259">
        <v>42092</v>
      </c>
      <c r="E26" s="258">
        <v>1</v>
      </c>
      <c r="F26" s="258">
        <v>1</v>
      </c>
      <c r="G26" s="258" t="s">
        <v>5</v>
      </c>
      <c r="H26" s="258" t="s">
        <v>55</v>
      </c>
      <c r="I26" s="259">
        <v>42069</v>
      </c>
      <c r="J26" s="254">
        <v>1218.67</v>
      </c>
      <c r="K26" s="301">
        <v>42094</v>
      </c>
      <c r="L26" s="66">
        <f t="shared" si="0"/>
        <v>18</v>
      </c>
      <c r="M26" s="137"/>
      <c r="N26" s="68" t="s">
        <v>123</v>
      </c>
      <c r="O26" s="69" t="s">
        <v>34</v>
      </c>
      <c r="P26" s="296">
        <v>42093</v>
      </c>
      <c r="Q26" s="21">
        <f t="shared" si="4"/>
        <v>25</v>
      </c>
      <c r="R26" s="22">
        <f t="shared" ref="R26:R57" si="5">IF(ISBLANK(P26),0,SUM(P26,-I26))</f>
        <v>24</v>
      </c>
    </row>
    <row r="27" spans="1:18">
      <c r="B27" s="257" t="s">
        <v>432</v>
      </c>
      <c r="C27" s="258" t="s">
        <v>56</v>
      </c>
      <c r="D27" s="259">
        <v>42093</v>
      </c>
      <c r="E27" s="258">
        <v>1</v>
      </c>
      <c r="F27" s="258">
        <v>1</v>
      </c>
      <c r="G27" s="258" t="s">
        <v>108</v>
      </c>
      <c r="H27" s="258" t="s">
        <v>55</v>
      </c>
      <c r="I27" s="259">
        <v>42069</v>
      </c>
      <c r="J27" s="254">
        <v>1407.72</v>
      </c>
      <c r="K27" s="120">
        <v>42081</v>
      </c>
      <c r="L27" s="66">
        <f t="shared" si="0"/>
        <v>9</v>
      </c>
      <c r="M27" s="137"/>
      <c r="N27" s="68" t="s">
        <v>123</v>
      </c>
      <c r="O27" s="69" t="s">
        <v>35</v>
      </c>
      <c r="P27" s="16">
        <v>42079</v>
      </c>
      <c r="Q27" s="21">
        <f t="shared" si="4"/>
        <v>12</v>
      </c>
      <c r="R27" s="22">
        <f t="shared" si="5"/>
        <v>10</v>
      </c>
    </row>
    <row r="28" spans="1:18">
      <c r="A28" s="3" t="s">
        <v>122</v>
      </c>
      <c r="B28" s="283" t="s">
        <v>440</v>
      </c>
      <c r="C28" s="284" t="s">
        <v>56</v>
      </c>
      <c r="D28" s="285">
        <v>42089</v>
      </c>
      <c r="E28" s="284">
        <v>1</v>
      </c>
      <c r="F28" s="284">
        <v>1</v>
      </c>
      <c r="G28" s="284" t="s">
        <v>5</v>
      </c>
      <c r="H28" s="284" t="s">
        <v>55</v>
      </c>
      <c r="I28" s="285">
        <v>42075</v>
      </c>
      <c r="J28" s="694">
        <v>982.8</v>
      </c>
      <c r="K28" s="120">
        <v>42083</v>
      </c>
      <c r="L28" s="66">
        <f t="shared" si="0"/>
        <v>7</v>
      </c>
      <c r="M28" s="137"/>
      <c r="N28" s="68" t="s">
        <v>123</v>
      </c>
      <c r="O28" s="69" t="s">
        <v>35</v>
      </c>
      <c r="P28" s="16">
        <v>42080</v>
      </c>
      <c r="Q28" s="21">
        <f t="shared" si="4"/>
        <v>8</v>
      </c>
      <c r="R28" s="22">
        <f t="shared" si="5"/>
        <v>5</v>
      </c>
    </row>
    <row r="29" spans="1:18">
      <c r="B29" s="283" t="s">
        <v>443</v>
      </c>
      <c r="C29" s="284" t="s">
        <v>56</v>
      </c>
      <c r="D29" s="285">
        <v>42107</v>
      </c>
      <c r="E29" s="284">
        <v>1</v>
      </c>
      <c r="F29" s="284">
        <v>1</v>
      </c>
      <c r="G29" s="284" t="s">
        <v>91</v>
      </c>
      <c r="H29" s="284" t="s">
        <v>55</v>
      </c>
      <c r="I29" s="285">
        <v>42075</v>
      </c>
      <c r="J29" s="271">
        <v>1500.12</v>
      </c>
      <c r="K29" s="301">
        <v>42094</v>
      </c>
      <c r="L29" s="66">
        <f t="shared" si="0"/>
        <v>14</v>
      </c>
      <c r="M29" s="137"/>
      <c r="N29" s="68" t="s">
        <v>123</v>
      </c>
      <c r="O29" s="69" t="s">
        <v>34</v>
      </c>
      <c r="P29" s="16">
        <v>42093</v>
      </c>
      <c r="Q29" s="21">
        <f t="shared" si="4"/>
        <v>19</v>
      </c>
      <c r="R29" s="22">
        <f t="shared" si="5"/>
        <v>18</v>
      </c>
    </row>
    <row r="30" spans="1:18">
      <c r="A30" s="3" t="s">
        <v>122</v>
      </c>
      <c r="B30" s="274" t="s">
        <v>452</v>
      </c>
      <c r="C30" s="275" t="s">
        <v>65</v>
      </c>
      <c r="D30" s="276">
        <v>42093</v>
      </c>
      <c r="E30" s="275">
        <v>1</v>
      </c>
      <c r="F30" s="275">
        <v>1</v>
      </c>
      <c r="G30" s="275" t="s">
        <v>453</v>
      </c>
      <c r="H30" s="275" t="s">
        <v>66</v>
      </c>
      <c r="I30" s="276">
        <v>42076</v>
      </c>
      <c r="J30" s="271">
        <v>1219.51</v>
      </c>
      <c r="K30" s="146">
        <v>42083</v>
      </c>
      <c r="L30" s="73">
        <f t="shared" si="0"/>
        <v>6</v>
      </c>
      <c r="M30" s="125"/>
      <c r="N30" s="75" t="s">
        <v>36</v>
      </c>
      <c r="O30" s="76"/>
      <c r="Q30" s="21">
        <f t="shared" si="4"/>
        <v>7</v>
      </c>
      <c r="R30" s="22">
        <f t="shared" si="5"/>
        <v>0</v>
      </c>
    </row>
    <row r="31" spans="1:18">
      <c r="B31" s="283" t="s">
        <v>478</v>
      </c>
      <c r="C31" s="284" t="s">
        <v>73</v>
      </c>
      <c r="D31" s="285">
        <v>42093</v>
      </c>
      <c r="E31" s="284">
        <v>1</v>
      </c>
      <c r="F31" s="284">
        <v>1</v>
      </c>
      <c r="G31" s="284" t="s">
        <v>28</v>
      </c>
      <c r="H31" s="284" t="s">
        <v>55</v>
      </c>
      <c r="I31" s="285">
        <v>42082</v>
      </c>
      <c r="J31" s="271">
        <v>1915.2</v>
      </c>
      <c r="K31" s="301">
        <v>42093</v>
      </c>
      <c r="L31" s="66">
        <f t="shared" si="0"/>
        <v>8</v>
      </c>
      <c r="M31" s="137"/>
      <c r="N31" s="68" t="s">
        <v>123</v>
      </c>
      <c r="O31" s="69" t="s">
        <v>33</v>
      </c>
      <c r="P31" s="16">
        <v>42090</v>
      </c>
      <c r="Q31" s="21">
        <f t="shared" si="4"/>
        <v>11</v>
      </c>
      <c r="R31" s="22">
        <f t="shared" si="5"/>
        <v>8</v>
      </c>
    </row>
    <row r="32" spans="1:18">
      <c r="B32" s="317" t="s">
        <v>484</v>
      </c>
      <c r="C32" s="318" t="s">
        <v>56</v>
      </c>
      <c r="D32" s="319">
        <v>42100</v>
      </c>
      <c r="E32" s="318">
        <v>1</v>
      </c>
      <c r="F32" s="318">
        <v>1</v>
      </c>
      <c r="G32" s="318" t="s">
        <v>485</v>
      </c>
      <c r="H32" s="318" t="s">
        <v>55</v>
      </c>
      <c r="I32" s="319">
        <v>42086</v>
      </c>
      <c r="J32" s="288">
        <v>1318.2</v>
      </c>
      <c r="K32" s="301">
        <v>42103</v>
      </c>
      <c r="L32" s="66">
        <f t="shared" si="0"/>
        <v>14</v>
      </c>
      <c r="M32" s="137"/>
      <c r="N32" s="68" t="s">
        <v>123</v>
      </c>
      <c r="O32" s="69" t="s">
        <v>35</v>
      </c>
      <c r="P32" s="16">
        <v>42102</v>
      </c>
      <c r="Q32" s="21">
        <f t="shared" si="4"/>
        <v>17</v>
      </c>
      <c r="R32" s="22">
        <f t="shared" si="5"/>
        <v>16</v>
      </c>
    </row>
    <row r="33" spans="1:18">
      <c r="B33" s="317" t="s">
        <v>484</v>
      </c>
      <c r="C33" s="318" t="s">
        <v>56</v>
      </c>
      <c r="D33" s="319">
        <v>42100</v>
      </c>
      <c r="E33" s="318">
        <v>2</v>
      </c>
      <c r="F33" s="318">
        <v>2</v>
      </c>
      <c r="G33" s="318" t="s">
        <v>485</v>
      </c>
      <c r="H33" s="318" t="s">
        <v>55</v>
      </c>
      <c r="I33" s="319">
        <v>42086</v>
      </c>
      <c r="J33" s="288">
        <v>3115.2</v>
      </c>
      <c r="K33" s="301">
        <v>42103</v>
      </c>
      <c r="L33" s="66">
        <f t="shared" si="0"/>
        <v>14</v>
      </c>
      <c r="M33" s="137"/>
      <c r="N33" s="68" t="s">
        <v>123</v>
      </c>
      <c r="O33" s="69" t="s">
        <v>35</v>
      </c>
      <c r="P33" s="16">
        <v>42102</v>
      </c>
      <c r="Q33" s="21">
        <f t="shared" si="4"/>
        <v>17</v>
      </c>
      <c r="R33" s="22">
        <f t="shared" si="5"/>
        <v>16</v>
      </c>
    </row>
    <row r="34" spans="1:18">
      <c r="B34" s="314" t="s">
        <v>492</v>
      </c>
      <c r="C34" s="315" t="s">
        <v>56</v>
      </c>
      <c r="D34" s="316">
        <v>42104</v>
      </c>
      <c r="E34" s="315">
        <v>1</v>
      </c>
      <c r="F34" s="315">
        <v>1</v>
      </c>
      <c r="G34" s="315" t="s">
        <v>5</v>
      </c>
      <c r="H34" s="315" t="s">
        <v>55</v>
      </c>
      <c r="I34" s="316">
        <v>42087</v>
      </c>
      <c r="J34" s="289">
        <v>1463.11</v>
      </c>
      <c r="K34" s="301">
        <v>42111</v>
      </c>
      <c r="L34" s="66">
        <f t="shared" si="0"/>
        <v>19</v>
      </c>
      <c r="M34" s="137"/>
      <c r="N34" s="68" t="s">
        <v>123</v>
      </c>
      <c r="O34" s="69" t="s">
        <v>34</v>
      </c>
      <c r="P34" s="16">
        <v>42109</v>
      </c>
      <c r="Q34" s="21">
        <f t="shared" si="4"/>
        <v>24</v>
      </c>
      <c r="R34" s="22">
        <f t="shared" si="5"/>
        <v>22</v>
      </c>
    </row>
    <row r="35" spans="1:18">
      <c r="B35" s="291" t="s">
        <v>511</v>
      </c>
      <c r="C35" s="294" t="s">
        <v>65</v>
      </c>
      <c r="D35" s="292">
        <v>42107</v>
      </c>
      <c r="E35" s="290">
        <v>1</v>
      </c>
      <c r="F35" s="290">
        <v>1</v>
      </c>
      <c r="G35" s="294" t="s">
        <v>512</v>
      </c>
      <c r="H35" s="294" t="s">
        <v>66</v>
      </c>
      <c r="I35" s="292">
        <v>42090</v>
      </c>
      <c r="J35" s="688"/>
      <c r="K35" s="303">
        <v>42094</v>
      </c>
      <c r="L35" s="73">
        <f t="shared" ref="L35:L66" si="6">IF(ISBLANK(K35),"",NETWORKDAYS(I35,K35))</f>
        <v>3</v>
      </c>
      <c r="M35" s="125"/>
      <c r="N35" s="75" t="s">
        <v>36</v>
      </c>
      <c r="O35" s="76"/>
      <c r="Q35" s="21">
        <f t="shared" si="4"/>
        <v>4</v>
      </c>
      <c r="R35" s="22">
        <f t="shared" si="5"/>
        <v>0</v>
      </c>
    </row>
    <row r="36" spans="1:18">
      <c r="B36" s="291" t="s">
        <v>515</v>
      </c>
      <c r="C36" s="294" t="s">
        <v>65</v>
      </c>
      <c r="D36" s="292">
        <v>42107</v>
      </c>
      <c r="E36" s="290">
        <v>1</v>
      </c>
      <c r="F36" s="290">
        <v>1</v>
      </c>
      <c r="G36" s="294" t="s">
        <v>516</v>
      </c>
      <c r="H36" s="294" t="s">
        <v>66</v>
      </c>
      <c r="I36" s="292">
        <v>42093</v>
      </c>
      <c r="K36" s="303">
        <v>42095</v>
      </c>
      <c r="L36" s="73">
        <f t="shared" si="6"/>
        <v>3</v>
      </c>
      <c r="M36" s="125"/>
      <c r="N36" s="75" t="s">
        <v>36</v>
      </c>
      <c r="O36" s="76"/>
      <c r="Q36" s="21">
        <f t="shared" si="4"/>
        <v>2</v>
      </c>
      <c r="R36" s="22">
        <f t="shared" si="5"/>
        <v>0</v>
      </c>
    </row>
    <row r="37" spans="1:18">
      <c r="B37" s="291" t="s">
        <v>546</v>
      </c>
      <c r="C37" s="294" t="s">
        <v>65</v>
      </c>
      <c r="D37" s="292">
        <v>42114</v>
      </c>
      <c r="E37" s="290">
        <v>1</v>
      </c>
      <c r="F37" s="290">
        <v>1</v>
      </c>
      <c r="G37" s="294" t="s">
        <v>547</v>
      </c>
      <c r="H37" s="294" t="s">
        <v>66</v>
      </c>
      <c r="I37" s="292">
        <v>42094</v>
      </c>
      <c r="K37" s="303">
        <v>42097</v>
      </c>
      <c r="L37" s="73">
        <f t="shared" si="6"/>
        <v>4</v>
      </c>
      <c r="M37" s="125"/>
      <c r="N37" s="75" t="s">
        <v>36</v>
      </c>
      <c r="O37" s="76"/>
      <c r="Q37" s="21">
        <f t="shared" si="4"/>
        <v>3</v>
      </c>
      <c r="R37" s="22">
        <f t="shared" si="5"/>
        <v>0</v>
      </c>
    </row>
    <row r="38" spans="1:18">
      <c r="B38" s="322" t="s">
        <v>793</v>
      </c>
      <c r="C38" s="382" t="s">
        <v>794</v>
      </c>
      <c r="D38" s="324">
        <v>42120</v>
      </c>
      <c r="E38" s="323">
        <v>1</v>
      </c>
      <c r="F38" s="323">
        <v>1</v>
      </c>
      <c r="G38" s="382" t="s">
        <v>795</v>
      </c>
      <c r="H38" s="382" t="s">
        <v>55</v>
      </c>
      <c r="I38" s="324">
        <v>42124</v>
      </c>
      <c r="J38" s="693" t="s">
        <v>792</v>
      </c>
      <c r="K38" s="301">
        <v>42142</v>
      </c>
      <c r="L38" s="66">
        <f t="shared" si="6"/>
        <v>13</v>
      </c>
      <c r="M38" s="137"/>
      <c r="N38" s="68" t="s">
        <v>123</v>
      </c>
      <c r="O38" s="69" t="s">
        <v>35</v>
      </c>
      <c r="P38" s="16">
        <v>42139</v>
      </c>
      <c r="Q38" s="21">
        <f t="shared" si="4"/>
        <v>18</v>
      </c>
      <c r="R38" s="22">
        <f t="shared" si="5"/>
        <v>15</v>
      </c>
    </row>
    <row r="39" spans="1:18">
      <c r="B39" s="322" t="s">
        <v>609</v>
      </c>
      <c r="C39" s="323" t="s">
        <v>73</v>
      </c>
      <c r="D39" s="324">
        <v>42121</v>
      </c>
      <c r="E39" s="323">
        <v>1</v>
      </c>
      <c r="F39" s="323">
        <v>1</v>
      </c>
      <c r="G39" s="323" t="s">
        <v>607</v>
      </c>
      <c r="H39" s="323" t="s">
        <v>55</v>
      </c>
      <c r="I39" s="324">
        <v>42103</v>
      </c>
      <c r="J39" s="308" t="s">
        <v>610</v>
      </c>
      <c r="K39" s="301">
        <v>42115</v>
      </c>
      <c r="L39" s="66">
        <f t="shared" si="6"/>
        <v>9</v>
      </c>
      <c r="M39" s="137"/>
      <c r="N39" s="68" t="s">
        <v>123</v>
      </c>
      <c r="O39" s="69" t="s">
        <v>35</v>
      </c>
      <c r="P39" s="16">
        <v>42111</v>
      </c>
      <c r="Q39" s="21">
        <f t="shared" si="4"/>
        <v>12</v>
      </c>
      <c r="R39" s="22">
        <f t="shared" si="5"/>
        <v>8</v>
      </c>
    </row>
    <row r="40" spans="1:18">
      <c r="B40" s="322" t="s">
        <v>623</v>
      </c>
      <c r="C40" s="323" t="s">
        <v>56</v>
      </c>
      <c r="D40" s="324">
        <v>42128</v>
      </c>
      <c r="E40" s="323">
        <v>1</v>
      </c>
      <c r="F40" s="323">
        <v>1</v>
      </c>
      <c r="G40" s="323" t="s">
        <v>28</v>
      </c>
      <c r="H40" s="323" t="s">
        <v>55</v>
      </c>
      <c r="I40" s="324">
        <v>42104</v>
      </c>
      <c r="J40" s="308" t="s">
        <v>624</v>
      </c>
      <c r="K40" s="120">
        <v>42115</v>
      </c>
      <c r="L40" s="66">
        <f t="shared" si="6"/>
        <v>8</v>
      </c>
      <c r="M40" s="137"/>
      <c r="N40" s="68" t="s">
        <v>123</v>
      </c>
      <c r="O40" s="69" t="s">
        <v>33</v>
      </c>
      <c r="P40" s="16">
        <v>42111</v>
      </c>
      <c r="Q40" s="21">
        <f t="shared" si="4"/>
        <v>11</v>
      </c>
      <c r="R40" s="22">
        <f t="shared" si="5"/>
        <v>7</v>
      </c>
    </row>
    <row r="41" spans="1:18">
      <c r="B41" s="322" t="s">
        <v>619</v>
      </c>
      <c r="C41" s="323" t="s">
        <v>73</v>
      </c>
      <c r="D41" s="324">
        <v>42124</v>
      </c>
      <c r="E41" s="323">
        <v>1</v>
      </c>
      <c r="F41" s="323">
        <v>1</v>
      </c>
      <c r="G41" s="323" t="s">
        <v>5</v>
      </c>
      <c r="H41" s="323" t="s">
        <v>14</v>
      </c>
      <c r="I41" s="324">
        <v>42104</v>
      </c>
      <c r="J41" s="692"/>
      <c r="K41" s="411">
        <v>42124</v>
      </c>
      <c r="L41" s="66">
        <f t="shared" si="6"/>
        <v>15</v>
      </c>
      <c r="M41" s="68"/>
      <c r="N41" s="69" t="s">
        <v>123</v>
      </c>
      <c r="O41" s="69" t="s">
        <v>34</v>
      </c>
      <c r="P41" s="16">
        <v>42123</v>
      </c>
      <c r="Q41" s="21">
        <f t="shared" si="4"/>
        <v>20</v>
      </c>
      <c r="R41" s="22">
        <f t="shared" si="5"/>
        <v>19</v>
      </c>
    </row>
    <row r="42" spans="1:18">
      <c r="B42" s="322" t="s">
        <v>636</v>
      </c>
      <c r="C42" s="323" t="s">
        <v>73</v>
      </c>
      <c r="D42" s="324">
        <v>42137</v>
      </c>
      <c r="E42" s="323">
        <v>1</v>
      </c>
      <c r="F42" s="323">
        <v>1</v>
      </c>
      <c r="G42" s="323" t="s">
        <v>637</v>
      </c>
      <c r="H42" s="323" t="s">
        <v>55</v>
      </c>
      <c r="I42" s="324">
        <v>42109</v>
      </c>
      <c r="J42" s="308" t="s">
        <v>638</v>
      </c>
      <c r="K42" s="120">
        <v>42122</v>
      </c>
      <c r="L42" s="66">
        <f t="shared" si="6"/>
        <v>10</v>
      </c>
      <c r="M42" s="137"/>
      <c r="N42" s="68" t="s">
        <v>123</v>
      </c>
      <c r="O42" s="69" t="s">
        <v>42</v>
      </c>
      <c r="P42" s="16">
        <v>42118</v>
      </c>
      <c r="Q42" s="21">
        <f t="shared" si="4"/>
        <v>13</v>
      </c>
      <c r="R42" s="22">
        <f t="shared" si="5"/>
        <v>9</v>
      </c>
    </row>
    <row r="43" spans="1:18">
      <c r="B43" s="353" t="s">
        <v>656</v>
      </c>
      <c r="C43" s="354" t="s">
        <v>56</v>
      </c>
      <c r="D43" s="355">
        <v>42129</v>
      </c>
      <c r="E43" s="354">
        <v>1</v>
      </c>
      <c r="F43" s="354">
        <v>1</v>
      </c>
      <c r="G43" s="354" t="s">
        <v>5</v>
      </c>
      <c r="H43" s="354" t="s">
        <v>55</v>
      </c>
      <c r="I43" s="355">
        <v>42110</v>
      </c>
      <c r="J43" s="346">
        <v>989.35</v>
      </c>
      <c r="K43" s="120">
        <v>42121</v>
      </c>
      <c r="L43" s="66">
        <f t="shared" si="6"/>
        <v>8</v>
      </c>
      <c r="M43" s="137"/>
      <c r="N43" s="68" t="s">
        <v>123</v>
      </c>
      <c r="O43" s="69" t="s">
        <v>33</v>
      </c>
      <c r="P43" s="16">
        <v>42118</v>
      </c>
      <c r="Q43" s="21">
        <f t="shared" si="4"/>
        <v>11</v>
      </c>
      <c r="R43" s="22">
        <f t="shared" si="5"/>
        <v>8</v>
      </c>
    </row>
    <row r="44" spans="1:18">
      <c r="B44" s="341" t="s">
        <v>685</v>
      </c>
      <c r="C44" s="354" t="s">
        <v>56</v>
      </c>
      <c r="D44" s="355">
        <v>42136</v>
      </c>
      <c r="E44" s="354">
        <v>1</v>
      </c>
      <c r="F44" s="354">
        <v>1</v>
      </c>
      <c r="G44" s="354" t="s">
        <v>684</v>
      </c>
      <c r="H44" s="354" t="s">
        <v>55</v>
      </c>
      <c r="I44" s="355">
        <v>42115</v>
      </c>
      <c r="J44" s="338" t="s">
        <v>698</v>
      </c>
      <c r="K44" s="120">
        <v>42142</v>
      </c>
      <c r="L44" s="66">
        <f t="shared" si="6"/>
        <v>20</v>
      </c>
      <c r="M44" s="366"/>
      <c r="N44" s="68" t="s">
        <v>123</v>
      </c>
      <c r="O44" s="69" t="s">
        <v>34</v>
      </c>
      <c r="P44" s="16">
        <v>42139</v>
      </c>
      <c r="Q44" s="21">
        <f t="shared" si="4"/>
        <v>27</v>
      </c>
      <c r="R44" s="22">
        <f t="shared" si="5"/>
        <v>24</v>
      </c>
    </row>
    <row r="45" spans="1:18">
      <c r="B45" s="353" t="s">
        <v>683</v>
      </c>
      <c r="C45" s="354" t="s">
        <v>56</v>
      </c>
      <c r="D45" s="355">
        <v>42136</v>
      </c>
      <c r="E45" s="354">
        <v>1</v>
      </c>
      <c r="F45" s="354">
        <v>1</v>
      </c>
      <c r="G45" s="354" t="s">
        <v>684</v>
      </c>
      <c r="H45" s="354" t="s">
        <v>55</v>
      </c>
      <c r="I45" s="355">
        <v>42114</v>
      </c>
      <c r="J45" s="346" t="s">
        <v>699</v>
      </c>
      <c r="K45" s="120">
        <v>42130</v>
      </c>
      <c r="L45" s="66">
        <f t="shared" si="6"/>
        <v>13</v>
      </c>
      <c r="M45" s="366"/>
      <c r="N45" s="68" t="s">
        <v>123</v>
      </c>
      <c r="O45" s="69" t="s">
        <v>35</v>
      </c>
      <c r="P45" s="16">
        <v>42130</v>
      </c>
      <c r="Q45" s="21">
        <f t="shared" si="4"/>
        <v>16</v>
      </c>
      <c r="R45" s="22">
        <f t="shared" si="5"/>
        <v>16</v>
      </c>
    </row>
    <row r="46" spans="1:18">
      <c r="A46" s="3" t="s">
        <v>122</v>
      </c>
      <c r="B46" s="353" t="s">
        <v>680</v>
      </c>
      <c r="C46" s="354" t="s">
        <v>56</v>
      </c>
      <c r="D46" s="355">
        <v>42129</v>
      </c>
      <c r="E46" s="354">
        <v>1</v>
      </c>
      <c r="F46" s="354">
        <v>1</v>
      </c>
      <c r="G46" s="354" t="s">
        <v>5</v>
      </c>
      <c r="H46" s="354" t="s">
        <v>55</v>
      </c>
      <c r="I46" s="355">
        <v>42115</v>
      </c>
      <c r="J46" s="346" t="s">
        <v>697</v>
      </c>
      <c r="K46" s="120">
        <v>42128</v>
      </c>
      <c r="L46" s="66">
        <f t="shared" si="6"/>
        <v>10</v>
      </c>
      <c r="M46" s="366"/>
      <c r="N46" s="68" t="s">
        <v>123</v>
      </c>
      <c r="O46" s="69" t="s">
        <v>35</v>
      </c>
      <c r="P46" s="16">
        <v>42124</v>
      </c>
      <c r="Q46" s="21">
        <f t="shared" si="4"/>
        <v>13</v>
      </c>
      <c r="R46" s="22">
        <f t="shared" si="5"/>
        <v>9</v>
      </c>
    </row>
    <row r="47" spans="1:18">
      <c r="B47" s="367" t="s">
        <v>706</v>
      </c>
      <c r="C47" s="368" t="s">
        <v>56</v>
      </c>
      <c r="D47" s="369">
        <v>42134</v>
      </c>
      <c r="E47" s="368">
        <v>1</v>
      </c>
      <c r="F47" s="368">
        <v>1</v>
      </c>
      <c r="G47" s="609" t="s">
        <v>5</v>
      </c>
      <c r="H47" s="368" t="s">
        <v>55</v>
      </c>
      <c r="I47" s="369">
        <v>42116</v>
      </c>
      <c r="J47" s="356" t="s">
        <v>733</v>
      </c>
      <c r="K47" s="120">
        <v>42157</v>
      </c>
      <c r="L47" s="66">
        <f t="shared" si="6"/>
        <v>30</v>
      </c>
      <c r="M47" s="531"/>
      <c r="N47" s="68" t="s">
        <v>123</v>
      </c>
      <c r="O47" s="69" t="s">
        <v>34</v>
      </c>
      <c r="P47" s="16">
        <v>42157</v>
      </c>
      <c r="Q47" s="21">
        <f t="shared" si="4"/>
        <v>41</v>
      </c>
      <c r="R47" s="22">
        <f t="shared" si="5"/>
        <v>41</v>
      </c>
    </row>
    <row r="48" spans="1:18">
      <c r="B48" s="367" t="s">
        <v>711</v>
      </c>
      <c r="C48" s="368" t="s">
        <v>56</v>
      </c>
      <c r="D48" s="369">
        <v>42145</v>
      </c>
      <c r="E48" s="368">
        <v>1</v>
      </c>
      <c r="F48" s="368">
        <v>1</v>
      </c>
      <c r="G48" s="368" t="s">
        <v>705</v>
      </c>
      <c r="H48" s="368" t="s">
        <v>55</v>
      </c>
      <c r="I48" s="369">
        <v>42117</v>
      </c>
      <c r="J48" s="356" t="s">
        <v>735</v>
      </c>
      <c r="K48" s="120">
        <v>42142</v>
      </c>
      <c r="L48" s="66">
        <f t="shared" si="6"/>
        <v>18</v>
      </c>
      <c r="M48" s="531"/>
      <c r="N48" s="68" t="s">
        <v>123</v>
      </c>
      <c r="O48" s="69" t="s">
        <v>34</v>
      </c>
      <c r="P48" s="16">
        <v>42139</v>
      </c>
      <c r="Q48" s="21">
        <f t="shared" si="4"/>
        <v>25</v>
      </c>
      <c r="R48" s="22">
        <f t="shared" si="5"/>
        <v>22</v>
      </c>
    </row>
    <row r="49" spans="2:18">
      <c r="B49" s="367" t="s">
        <v>707</v>
      </c>
      <c r="C49" s="368" t="s">
        <v>56</v>
      </c>
      <c r="D49" s="369">
        <v>42134</v>
      </c>
      <c r="E49" s="368">
        <v>1</v>
      </c>
      <c r="F49" s="368">
        <v>1</v>
      </c>
      <c r="G49" s="368" t="s">
        <v>5</v>
      </c>
      <c r="H49" s="368" t="s">
        <v>55</v>
      </c>
      <c r="I49" s="369">
        <v>42118</v>
      </c>
      <c r="J49" s="356" t="s">
        <v>734</v>
      </c>
      <c r="K49" s="120">
        <v>42135</v>
      </c>
      <c r="L49" s="66">
        <f t="shared" si="6"/>
        <v>12</v>
      </c>
      <c r="M49" s="531"/>
      <c r="N49" s="68" t="s">
        <v>123</v>
      </c>
      <c r="O49" s="69" t="s">
        <v>33</v>
      </c>
      <c r="P49" s="16">
        <v>42135</v>
      </c>
      <c r="Q49" s="21">
        <f t="shared" si="4"/>
        <v>17</v>
      </c>
      <c r="R49" s="22">
        <f t="shared" si="5"/>
        <v>17</v>
      </c>
    </row>
    <row r="50" spans="2:18">
      <c r="B50" s="364" t="s">
        <v>736</v>
      </c>
      <c r="C50" s="368" t="s">
        <v>56</v>
      </c>
      <c r="D50" s="369">
        <v>42134</v>
      </c>
      <c r="E50" s="368">
        <v>1</v>
      </c>
      <c r="F50" s="368">
        <v>1</v>
      </c>
      <c r="G50" s="368" t="s">
        <v>547</v>
      </c>
      <c r="H50" s="368" t="s">
        <v>55</v>
      </c>
      <c r="I50" s="369">
        <v>42118</v>
      </c>
      <c r="J50" s="691"/>
      <c r="K50" s="120">
        <v>42137</v>
      </c>
      <c r="L50" s="66">
        <f t="shared" si="6"/>
        <v>14</v>
      </c>
      <c r="M50" s="531"/>
      <c r="N50" s="68" t="s">
        <v>123</v>
      </c>
      <c r="O50" s="69" t="s">
        <v>35</v>
      </c>
      <c r="P50" s="16">
        <v>42136</v>
      </c>
      <c r="Q50" s="21">
        <f t="shared" si="4"/>
        <v>19</v>
      </c>
      <c r="R50" s="22">
        <f t="shared" si="5"/>
        <v>18</v>
      </c>
    </row>
    <row r="51" spans="2:18">
      <c r="B51" s="532" t="s">
        <v>764</v>
      </c>
      <c r="C51" s="533" t="s">
        <v>56</v>
      </c>
      <c r="D51" s="534">
        <v>42160</v>
      </c>
      <c r="E51" s="533">
        <v>1</v>
      </c>
      <c r="F51" s="533">
        <v>1</v>
      </c>
      <c r="G51" s="533" t="s">
        <v>765</v>
      </c>
      <c r="H51" s="533" t="s">
        <v>55</v>
      </c>
      <c r="I51" s="534">
        <v>42124</v>
      </c>
      <c r="J51" s="690" t="s">
        <v>791</v>
      </c>
      <c r="K51" s="120">
        <v>42145</v>
      </c>
      <c r="L51" s="66">
        <f t="shared" si="6"/>
        <v>16</v>
      </c>
      <c r="M51" s="531"/>
      <c r="N51" s="68" t="s">
        <v>123</v>
      </c>
      <c r="O51" s="69" t="s">
        <v>67</v>
      </c>
      <c r="P51" s="16">
        <v>42144</v>
      </c>
      <c r="Q51" s="21">
        <f t="shared" si="4"/>
        <v>21</v>
      </c>
      <c r="R51" s="22">
        <f t="shared" si="5"/>
        <v>20</v>
      </c>
    </row>
    <row r="52" spans="2:18">
      <c r="B52" s="532" t="s">
        <v>764</v>
      </c>
      <c r="C52" s="533" t="s">
        <v>56</v>
      </c>
      <c r="D52" s="534">
        <v>42160</v>
      </c>
      <c r="E52" s="533">
        <v>1</v>
      </c>
      <c r="F52" s="533">
        <v>1</v>
      </c>
      <c r="G52" s="533" t="s">
        <v>765</v>
      </c>
      <c r="H52" s="533" t="s">
        <v>55</v>
      </c>
      <c r="I52" s="534">
        <v>42124</v>
      </c>
      <c r="J52" s="371" t="s">
        <v>791</v>
      </c>
      <c r="K52" s="120">
        <v>42145</v>
      </c>
      <c r="L52" s="66">
        <f t="shared" si="6"/>
        <v>16</v>
      </c>
      <c r="M52" s="531"/>
      <c r="N52" s="68" t="s">
        <v>123</v>
      </c>
      <c r="O52" s="69" t="s">
        <v>67</v>
      </c>
      <c r="P52" s="16">
        <v>42144</v>
      </c>
      <c r="Q52" s="21">
        <f t="shared" si="4"/>
        <v>21</v>
      </c>
      <c r="R52" s="22">
        <f t="shared" si="5"/>
        <v>20</v>
      </c>
    </row>
    <row r="53" spans="2:18">
      <c r="B53" s="532" t="s">
        <v>762</v>
      </c>
      <c r="C53" s="533" t="s">
        <v>56</v>
      </c>
      <c r="D53" s="534">
        <v>42139</v>
      </c>
      <c r="E53" s="533">
        <v>1</v>
      </c>
      <c r="F53" s="533">
        <v>1</v>
      </c>
      <c r="G53" s="533" t="s">
        <v>5</v>
      </c>
      <c r="H53" s="533" t="s">
        <v>55</v>
      </c>
      <c r="I53" s="534">
        <v>42124</v>
      </c>
      <c r="J53" s="371" t="s">
        <v>789</v>
      </c>
      <c r="K53" s="120">
        <v>42143</v>
      </c>
      <c r="L53" s="66">
        <f t="shared" si="6"/>
        <v>14</v>
      </c>
      <c r="M53" s="531"/>
      <c r="N53" s="68" t="s">
        <v>123</v>
      </c>
      <c r="O53" s="69" t="s">
        <v>33</v>
      </c>
      <c r="P53" s="16">
        <v>42139</v>
      </c>
      <c r="Q53" s="21">
        <f t="shared" si="4"/>
        <v>19</v>
      </c>
      <c r="R53" s="22">
        <f t="shared" si="5"/>
        <v>15</v>
      </c>
    </row>
    <row r="54" spans="2:18">
      <c r="B54" s="532" t="s">
        <v>763</v>
      </c>
      <c r="C54" s="533" t="s">
        <v>56</v>
      </c>
      <c r="D54" s="534">
        <v>42144</v>
      </c>
      <c r="E54" s="533">
        <v>1</v>
      </c>
      <c r="F54" s="533">
        <v>1</v>
      </c>
      <c r="G54" s="533" t="s">
        <v>5</v>
      </c>
      <c r="H54" s="533" t="s">
        <v>55</v>
      </c>
      <c r="I54" s="534">
        <v>42124</v>
      </c>
      <c r="J54" s="371" t="s">
        <v>790</v>
      </c>
      <c r="K54" s="120">
        <v>42152</v>
      </c>
      <c r="L54" s="66">
        <f t="shared" si="6"/>
        <v>21</v>
      </c>
      <c r="M54" s="531"/>
      <c r="N54" s="68" t="s">
        <v>123</v>
      </c>
      <c r="O54" s="69" t="s">
        <v>34</v>
      </c>
      <c r="P54" s="16">
        <v>42151</v>
      </c>
      <c r="Q54" s="21">
        <f t="shared" si="4"/>
        <v>28</v>
      </c>
      <c r="R54" s="22">
        <f t="shared" si="5"/>
        <v>27</v>
      </c>
    </row>
    <row r="55" spans="2:18">
      <c r="B55" s="400" t="s">
        <v>787</v>
      </c>
      <c r="C55" s="401" t="s">
        <v>65</v>
      </c>
      <c r="D55" s="402">
        <v>42156</v>
      </c>
      <c r="E55" s="401">
        <v>2</v>
      </c>
      <c r="F55" s="401">
        <v>2</v>
      </c>
      <c r="G55" s="401" t="s">
        <v>86</v>
      </c>
      <c r="H55" s="401" t="s">
        <v>66</v>
      </c>
      <c r="I55" s="402">
        <v>42128</v>
      </c>
      <c r="J55" s="371" t="s">
        <v>788</v>
      </c>
      <c r="K55" s="146">
        <v>42137</v>
      </c>
      <c r="L55" s="73">
        <f t="shared" si="6"/>
        <v>8</v>
      </c>
      <c r="M55" s="410"/>
      <c r="N55" s="75" t="s">
        <v>36</v>
      </c>
      <c r="O55" s="76"/>
      <c r="Q55" s="21">
        <f t="shared" si="4"/>
        <v>9</v>
      </c>
      <c r="R55" s="22">
        <f t="shared" si="5"/>
        <v>0</v>
      </c>
    </row>
    <row r="56" spans="2:18">
      <c r="B56" s="532" t="s">
        <v>802</v>
      </c>
      <c r="C56" s="533" t="s">
        <v>73</v>
      </c>
      <c r="D56" s="534">
        <v>42156</v>
      </c>
      <c r="E56" s="533">
        <v>4</v>
      </c>
      <c r="F56" s="533">
        <v>4</v>
      </c>
      <c r="G56" s="533" t="s">
        <v>803</v>
      </c>
      <c r="H56" s="533" t="s">
        <v>55</v>
      </c>
      <c r="I56" s="534">
        <v>42128</v>
      </c>
      <c r="J56" s="371" t="s">
        <v>804</v>
      </c>
      <c r="K56" s="120">
        <v>42156</v>
      </c>
      <c r="L56" s="66">
        <f t="shared" si="6"/>
        <v>21</v>
      </c>
      <c r="M56" s="531"/>
      <c r="N56" s="68" t="s">
        <v>123</v>
      </c>
      <c r="O56" s="69" t="s">
        <v>42</v>
      </c>
      <c r="P56" s="16">
        <v>42144</v>
      </c>
      <c r="Q56" s="21">
        <f t="shared" si="4"/>
        <v>28</v>
      </c>
      <c r="R56" s="22">
        <f t="shared" si="5"/>
        <v>16</v>
      </c>
    </row>
    <row r="57" spans="2:18">
      <c r="B57" s="400" t="s">
        <v>814</v>
      </c>
      <c r="C57" s="401" t="s">
        <v>76</v>
      </c>
      <c r="D57" s="402">
        <v>42129</v>
      </c>
      <c r="E57" s="401">
        <v>1</v>
      </c>
      <c r="F57" s="401">
        <v>1</v>
      </c>
      <c r="G57" s="401" t="s">
        <v>815</v>
      </c>
      <c r="H57" s="401" t="s">
        <v>66</v>
      </c>
      <c r="I57" s="402">
        <v>42129</v>
      </c>
      <c r="J57" s="371" t="s">
        <v>816</v>
      </c>
      <c r="K57" s="146">
        <v>42135</v>
      </c>
      <c r="L57" s="73">
        <f t="shared" si="6"/>
        <v>5</v>
      </c>
      <c r="M57" s="410"/>
      <c r="N57" s="75" t="s">
        <v>36</v>
      </c>
      <c r="O57" s="76"/>
      <c r="Q57" s="21">
        <f t="shared" si="4"/>
        <v>6</v>
      </c>
      <c r="R57" s="22">
        <f t="shared" si="5"/>
        <v>0</v>
      </c>
    </row>
    <row r="58" spans="2:18">
      <c r="B58" s="532" t="s">
        <v>820</v>
      </c>
      <c r="C58" s="533" t="s">
        <v>56</v>
      </c>
      <c r="D58" s="534">
        <v>42144</v>
      </c>
      <c r="E58" s="533">
        <v>1</v>
      </c>
      <c r="F58" s="533">
        <v>1</v>
      </c>
      <c r="G58" s="533" t="s">
        <v>821</v>
      </c>
      <c r="H58" s="533" t="s">
        <v>55</v>
      </c>
      <c r="I58" s="534">
        <v>42129</v>
      </c>
      <c r="J58" s="371">
        <v>685.14</v>
      </c>
      <c r="K58" s="120">
        <v>42144</v>
      </c>
      <c r="L58" s="66">
        <f t="shared" si="6"/>
        <v>12</v>
      </c>
      <c r="M58" s="531"/>
      <c r="N58" s="68" t="s">
        <v>123</v>
      </c>
      <c r="O58" s="69" t="s">
        <v>35</v>
      </c>
      <c r="P58" s="16">
        <v>42143</v>
      </c>
      <c r="Q58" s="21">
        <f t="shared" ref="Q58:Q92" si="7">IF(ISBLANK(K58),0,SUM(K58,-I58))</f>
        <v>15</v>
      </c>
      <c r="R58" s="22">
        <f t="shared" ref="R58:R92" si="8">IF(ISBLANK(P58),0,SUM(P58,-I58))</f>
        <v>14</v>
      </c>
    </row>
    <row r="59" spans="2:18">
      <c r="B59" s="400" t="s">
        <v>822</v>
      </c>
      <c r="C59" s="401" t="s">
        <v>65</v>
      </c>
      <c r="D59" s="402">
        <v>42156</v>
      </c>
      <c r="E59" s="401">
        <v>1</v>
      </c>
      <c r="F59" s="401">
        <v>1</v>
      </c>
      <c r="G59" s="401" t="s">
        <v>547</v>
      </c>
      <c r="H59" s="401" t="s">
        <v>66</v>
      </c>
      <c r="I59" s="402">
        <v>42130</v>
      </c>
      <c r="J59" s="371" t="s">
        <v>823</v>
      </c>
      <c r="K59" s="146">
        <v>42137</v>
      </c>
      <c r="L59" s="73">
        <f t="shared" si="6"/>
        <v>6</v>
      </c>
      <c r="M59" s="410"/>
      <c r="N59" s="75" t="s">
        <v>36</v>
      </c>
      <c r="O59" s="76"/>
      <c r="Q59" s="21">
        <f t="shared" si="7"/>
        <v>7</v>
      </c>
      <c r="R59" s="22">
        <f t="shared" si="8"/>
        <v>0</v>
      </c>
    </row>
    <row r="60" spans="2:18">
      <c r="B60" s="532" t="s">
        <v>828</v>
      </c>
      <c r="C60" s="533" t="s">
        <v>56</v>
      </c>
      <c r="D60" s="534">
        <v>42146</v>
      </c>
      <c r="E60" s="533">
        <v>1</v>
      </c>
      <c r="F60" s="533">
        <v>1</v>
      </c>
      <c r="G60" s="533" t="s">
        <v>829</v>
      </c>
      <c r="H60" s="533" t="s">
        <v>55</v>
      </c>
      <c r="I60" s="534">
        <v>42130</v>
      </c>
      <c r="J60" s="371">
        <v>590.14</v>
      </c>
      <c r="K60" s="120">
        <v>42143</v>
      </c>
      <c r="L60" s="66">
        <f t="shared" si="6"/>
        <v>10</v>
      </c>
      <c r="M60" s="531"/>
      <c r="N60" s="68" t="s">
        <v>123</v>
      </c>
      <c r="O60" s="69" t="s">
        <v>35</v>
      </c>
      <c r="P60" s="16">
        <v>42142</v>
      </c>
      <c r="Q60" s="21">
        <f>IF(ISBLANK(K60),0,SUM(K60,-I60))</f>
        <v>13</v>
      </c>
      <c r="R60" s="22">
        <f>IF(ISBLANK(P60),0,SUM(P60,-I60))</f>
        <v>12</v>
      </c>
    </row>
    <row r="61" spans="2:18">
      <c r="B61" s="400" t="s">
        <v>833</v>
      </c>
      <c r="C61" s="536" t="s">
        <v>65</v>
      </c>
      <c r="D61" s="402">
        <v>42156</v>
      </c>
      <c r="E61" s="401">
        <v>2</v>
      </c>
      <c r="F61" s="401">
        <v>2</v>
      </c>
      <c r="G61" s="536" t="s">
        <v>121</v>
      </c>
      <c r="H61" s="536" t="s">
        <v>66</v>
      </c>
      <c r="I61" s="402">
        <v>42130</v>
      </c>
      <c r="J61" s="688"/>
      <c r="K61" s="146">
        <v>42135</v>
      </c>
      <c r="L61" s="73">
        <f t="shared" si="6"/>
        <v>4</v>
      </c>
      <c r="M61" s="410"/>
      <c r="N61" s="75" t="s">
        <v>36</v>
      </c>
      <c r="O61" s="76"/>
      <c r="Q61" s="21">
        <f>IF(ISBLANK(K61),0,SUM(K61,-I61))</f>
        <v>5</v>
      </c>
      <c r="R61" s="22">
        <f>IF(ISBLANK(P61),0,SUM(P61,-I61))</f>
        <v>0</v>
      </c>
    </row>
    <row r="62" spans="2:18">
      <c r="B62" s="568" t="s">
        <v>844</v>
      </c>
      <c r="C62" s="577" t="s">
        <v>56</v>
      </c>
      <c r="D62" s="578">
        <v>42163</v>
      </c>
      <c r="E62" s="577">
        <v>1</v>
      </c>
      <c r="F62" s="577">
        <v>1</v>
      </c>
      <c r="G62" s="577" t="s">
        <v>839</v>
      </c>
      <c r="H62" s="577" t="s">
        <v>66</v>
      </c>
      <c r="I62" s="578">
        <v>42131</v>
      </c>
      <c r="J62" s="689" t="s">
        <v>860</v>
      </c>
      <c r="K62" s="120">
        <v>42163</v>
      </c>
      <c r="L62" s="66">
        <f t="shared" si="6"/>
        <v>23</v>
      </c>
      <c r="M62" s="137"/>
      <c r="N62" s="68" t="s">
        <v>123</v>
      </c>
      <c r="O62" s="69" t="s">
        <v>34</v>
      </c>
      <c r="P62" s="16">
        <v>42163</v>
      </c>
      <c r="Q62" s="21">
        <f>IF(ISBLANK(K62),0,SUM(K62,-I62))</f>
        <v>32</v>
      </c>
      <c r="R62" s="22">
        <f>IF(ISBLANK(P62),0,SUM(P62,-I62))</f>
        <v>32</v>
      </c>
    </row>
    <row r="63" spans="2:18">
      <c r="B63" s="576" t="s">
        <v>843</v>
      </c>
      <c r="C63" s="577" t="s">
        <v>56</v>
      </c>
      <c r="D63" s="578">
        <v>42163</v>
      </c>
      <c r="E63" s="577">
        <v>1</v>
      </c>
      <c r="F63" s="577">
        <v>1</v>
      </c>
      <c r="G63" s="577" t="s">
        <v>107</v>
      </c>
      <c r="H63" s="577" t="s">
        <v>55</v>
      </c>
      <c r="I63" s="578">
        <v>42135</v>
      </c>
      <c r="J63" s="563" t="s">
        <v>862</v>
      </c>
      <c r="K63" s="120">
        <v>42145</v>
      </c>
      <c r="L63" s="66">
        <f t="shared" si="6"/>
        <v>9</v>
      </c>
      <c r="M63" s="531"/>
      <c r="N63" s="68" t="s">
        <v>123</v>
      </c>
      <c r="O63" s="69" t="s">
        <v>35</v>
      </c>
      <c r="P63" s="16">
        <v>42145</v>
      </c>
      <c r="Q63" s="21">
        <f t="shared" si="7"/>
        <v>10</v>
      </c>
      <c r="R63" s="22">
        <f t="shared" si="8"/>
        <v>10</v>
      </c>
    </row>
    <row r="64" spans="2:18">
      <c r="B64" s="576" t="s">
        <v>863</v>
      </c>
      <c r="C64" s="577" t="s">
        <v>56</v>
      </c>
      <c r="D64" s="578">
        <v>42167</v>
      </c>
      <c r="E64" s="577">
        <v>1</v>
      </c>
      <c r="F64" s="577">
        <v>1</v>
      </c>
      <c r="G64" s="577" t="s">
        <v>637</v>
      </c>
      <c r="H64" s="577" t="s">
        <v>55</v>
      </c>
      <c r="I64" s="578">
        <v>42135</v>
      </c>
      <c r="J64" s="563" t="s">
        <v>864</v>
      </c>
      <c r="K64" s="120">
        <v>42153</v>
      </c>
      <c r="L64" s="66">
        <f t="shared" si="6"/>
        <v>15</v>
      </c>
      <c r="M64" s="531"/>
      <c r="N64" s="68" t="s">
        <v>123</v>
      </c>
      <c r="O64" s="69" t="s">
        <v>67</v>
      </c>
      <c r="P64" s="16">
        <v>42153</v>
      </c>
      <c r="Q64" s="21">
        <f t="shared" si="7"/>
        <v>18</v>
      </c>
      <c r="R64" s="22">
        <f t="shared" si="8"/>
        <v>18</v>
      </c>
    </row>
    <row r="65" spans="2:18">
      <c r="B65" s="576" t="s">
        <v>842</v>
      </c>
      <c r="C65" s="577" t="s">
        <v>56</v>
      </c>
      <c r="D65" s="578">
        <v>42163</v>
      </c>
      <c r="E65" s="577">
        <v>1</v>
      </c>
      <c r="F65" s="577">
        <v>1</v>
      </c>
      <c r="G65" s="577" t="s">
        <v>370</v>
      </c>
      <c r="H65" s="577" t="s">
        <v>55</v>
      </c>
      <c r="I65" s="578">
        <v>42135</v>
      </c>
      <c r="J65" s="563" t="s">
        <v>861</v>
      </c>
      <c r="K65" s="120">
        <v>42145</v>
      </c>
      <c r="L65" s="66">
        <f t="shared" si="6"/>
        <v>9</v>
      </c>
      <c r="M65" s="531"/>
      <c r="N65" s="68" t="s">
        <v>123</v>
      </c>
      <c r="O65" s="69" t="s">
        <v>35</v>
      </c>
      <c r="P65" s="16">
        <v>42145</v>
      </c>
      <c r="Q65" s="21">
        <f t="shared" si="7"/>
        <v>10</v>
      </c>
      <c r="R65" s="22">
        <f t="shared" si="8"/>
        <v>10</v>
      </c>
    </row>
    <row r="66" spans="2:18">
      <c r="B66" s="587" t="s">
        <v>873</v>
      </c>
      <c r="C66" s="588" t="s">
        <v>56</v>
      </c>
      <c r="D66" s="589">
        <v>42163</v>
      </c>
      <c r="E66" s="588">
        <v>1</v>
      </c>
      <c r="F66" s="588">
        <v>1</v>
      </c>
      <c r="G66" s="588" t="s">
        <v>75</v>
      </c>
      <c r="H66" s="588" t="s">
        <v>55</v>
      </c>
      <c r="I66" s="589">
        <v>42136</v>
      </c>
      <c r="J66" s="571" t="s">
        <v>891</v>
      </c>
      <c r="K66" s="120">
        <v>42151</v>
      </c>
      <c r="L66" s="66">
        <f t="shared" si="6"/>
        <v>12</v>
      </c>
      <c r="M66" s="531"/>
      <c r="N66" s="68" t="s">
        <v>123</v>
      </c>
      <c r="O66" s="69" t="s">
        <v>35</v>
      </c>
      <c r="P66" s="16">
        <v>42150</v>
      </c>
      <c r="Q66" s="21">
        <f t="shared" si="7"/>
        <v>15</v>
      </c>
      <c r="R66" s="22">
        <f t="shared" si="8"/>
        <v>14</v>
      </c>
    </row>
    <row r="67" spans="2:18">
      <c r="B67" s="587" t="s">
        <v>872</v>
      </c>
      <c r="C67" s="588" t="s">
        <v>73</v>
      </c>
      <c r="D67" s="589">
        <v>42163</v>
      </c>
      <c r="E67" s="588">
        <v>6</v>
      </c>
      <c r="F67" s="588">
        <v>6</v>
      </c>
      <c r="G67" s="588" t="s">
        <v>705</v>
      </c>
      <c r="H67" s="588" t="s">
        <v>55</v>
      </c>
      <c r="I67" s="589">
        <v>42136</v>
      </c>
      <c r="J67" s="571" t="s">
        <v>892</v>
      </c>
      <c r="K67" s="120">
        <v>42167</v>
      </c>
      <c r="L67" s="66">
        <f t="shared" ref="L67:L94" si="9">IF(ISBLANK(K67),"",NETWORKDAYS(I67,K67))</f>
        <v>24</v>
      </c>
      <c r="M67" s="137"/>
      <c r="N67" s="68" t="s">
        <v>123</v>
      </c>
      <c r="O67" s="69" t="s">
        <v>35</v>
      </c>
      <c r="P67" s="16">
        <v>42167</v>
      </c>
      <c r="Q67" s="21">
        <f t="shared" si="7"/>
        <v>31</v>
      </c>
      <c r="R67" s="22">
        <f t="shared" si="8"/>
        <v>31</v>
      </c>
    </row>
    <row r="68" spans="2:18">
      <c r="B68" s="587" t="s">
        <v>893</v>
      </c>
      <c r="C68" s="608" t="s">
        <v>56</v>
      </c>
      <c r="D68" s="589">
        <v>42156</v>
      </c>
      <c r="E68" s="588">
        <v>1</v>
      </c>
      <c r="F68" s="588">
        <v>1</v>
      </c>
      <c r="G68" s="608" t="s">
        <v>5</v>
      </c>
      <c r="H68" s="588" t="s">
        <v>55</v>
      </c>
      <c r="I68" s="589">
        <v>42139</v>
      </c>
      <c r="J68" s="688"/>
      <c r="K68" s="120">
        <v>42163</v>
      </c>
      <c r="L68" s="66">
        <f t="shared" si="9"/>
        <v>17</v>
      </c>
      <c r="M68" s="137"/>
      <c r="N68" s="68" t="s">
        <v>123</v>
      </c>
      <c r="O68" s="69" t="s">
        <v>34</v>
      </c>
      <c r="P68" s="16">
        <v>42163</v>
      </c>
      <c r="Q68" s="21">
        <f t="shared" si="7"/>
        <v>24</v>
      </c>
      <c r="R68" s="22">
        <f t="shared" si="8"/>
        <v>24</v>
      </c>
    </row>
    <row r="69" spans="2:18">
      <c r="B69" s="593" t="s">
        <v>902</v>
      </c>
      <c r="C69" s="594" t="s">
        <v>73</v>
      </c>
      <c r="D69" s="595">
        <v>42170</v>
      </c>
      <c r="E69" s="594">
        <v>1</v>
      </c>
      <c r="F69" s="594">
        <v>1</v>
      </c>
      <c r="G69" s="594" t="s">
        <v>442</v>
      </c>
      <c r="H69" s="594" t="s">
        <v>55</v>
      </c>
      <c r="I69" s="595">
        <v>42142</v>
      </c>
      <c r="J69" s="687" t="s">
        <v>918</v>
      </c>
      <c r="K69" s="120">
        <v>42152</v>
      </c>
      <c r="L69" s="66">
        <f t="shared" si="9"/>
        <v>9</v>
      </c>
      <c r="M69" s="531"/>
      <c r="N69" s="68" t="s">
        <v>123</v>
      </c>
      <c r="O69" s="69" t="s">
        <v>35</v>
      </c>
      <c r="P69" s="16">
        <v>42150</v>
      </c>
      <c r="Q69" s="21">
        <f t="shared" si="7"/>
        <v>10</v>
      </c>
      <c r="R69" s="22">
        <f t="shared" si="8"/>
        <v>8</v>
      </c>
    </row>
    <row r="70" spans="2:18">
      <c r="B70" s="584" t="s">
        <v>917</v>
      </c>
      <c r="C70" s="582" t="s">
        <v>65</v>
      </c>
      <c r="D70" s="585">
        <v>42170</v>
      </c>
      <c r="E70" s="582">
        <v>1</v>
      </c>
      <c r="F70" s="582">
        <v>1</v>
      </c>
      <c r="G70" s="582" t="s">
        <v>547</v>
      </c>
      <c r="H70" s="582" t="s">
        <v>55</v>
      </c>
      <c r="I70" s="585">
        <v>42142</v>
      </c>
      <c r="J70" s="581">
        <v>999.54</v>
      </c>
      <c r="K70" s="146">
        <v>42145</v>
      </c>
      <c r="L70" s="73">
        <f t="shared" si="9"/>
        <v>4</v>
      </c>
      <c r="M70" s="410"/>
      <c r="N70" s="75" t="s">
        <v>36</v>
      </c>
      <c r="O70" s="76"/>
      <c r="Q70" s="21">
        <f t="shared" si="7"/>
        <v>3</v>
      </c>
      <c r="R70" s="22">
        <f t="shared" si="8"/>
        <v>0</v>
      </c>
    </row>
    <row r="71" spans="2:18">
      <c r="B71" s="592" t="s">
        <v>937</v>
      </c>
      <c r="C71" s="594" t="s">
        <v>56</v>
      </c>
      <c r="D71" s="595">
        <v>42173</v>
      </c>
      <c r="E71" s="594">
        <v>1</v>
      </c>
      <c r="F71" s="594">
        <v>1</v>
      </c>
      <c r="G71" s="594" t="s">
        <v>705</v>
      </c>
      <c r="H71" s="594" t="s">
        <v>55</v>
      </c>
      <c r="I71" s="595">
        <v>42145</v>
      </c>
      <c r="J71" s="581" t="s">
        <v>970</v>
      </c>
      <c r="K71" s="120">
        <v>42153</v>
      </c>
      <c r="L71" s="66">
        <f t="shared" si="9"/>
        <v>7</v>
      </c>
      <c r="M71" s="531"/>
      <c r="N71" s="68" t="s">
        <v>41</v>
      </c>
      <c r="O71" s="69" t="s">
        <v>35</v>
      </c>
      <c r="P71" s="16">
        <v>42153</v>
      </c>
      <c r="Q71" s="21">
        <f t="shared" si="7"/>
        <v>8</v>
      </c>
      <c r="R71" s="22">
        <f t="shared" si="8"/>
        <v>8</v>
      </c>
    </row>
    <row r="72" spans="2:18">
      <c r="B72" s="629" t="s">
        <v>983</v>
      </c>
      <c r="C72" s="630" t="s">
        <v>56</v>
      </c>
      <c r="D72" s="631">
        <v>42177</v>
      </c>
      <c r="E72" s="630">
        <v>2</v>
      </c>
      <c r="F72" s="630">
        <v>2</v>
      </c>
      <c r="G72" s="630" t="s">
        <v>91</v>
      </c>
      <c r="H72" s="630" t="s">
        <v>55</v>
      </c>
      <c r="I72" s="631">
        <v>42150</v>
      </c>
      <c r="J72" s="597" t="s">
        <v>986</v>
      </c>
      <c r="K72" s="120">
        <v>42171</v>
      </c>
      <c r="L72" s="66">
        <f t="shared" si="9"/>
        <v>16</v>
      </c>
      <c r="M72" s="137"/>
      <c r="N72" s="68" t="s">
        <v>123</v>
      </c>
      <c r="O72" s="69" t="s">
        <v>34</v>
      </c>
      <c r="P72" s="16">
        <v>42171</v>
      </c>
      <c r="Q72" s="21">
        <f t="shared" si="7"/>
        <v>21</v>
      </c>
      <c r="R72" s="22">
        <f t="shared" si="8"/>
        <v>21</v>
      </c>
    </row>
    <row r="73" spans="2:18">
      <c r="B73" s="633" t="s">
        <v>991</v>
      </c>
      <c r="C73" s="634" t="s">
        <v>56</v>
      </c>
      <c r="D73" s="635">
        <v>42177</v>
      </c>
      <c r="E73" s="634">
        <v>1</v>
      </c>
      <c r="F73" s="634">
        <v>1</v>
      </c>
      <c r="G73" s="634" t="s">
        <v>992</v>
      </c>
      <c r="H73" s="634" t="s">
        <v>55</v>
      </c>
      <c r="I73" s="635">
        <v>42150</v>
      </c>
      <c r="J73" s="600" t="s">
        <v>1010</v>
      </c>
      <c r="K73" s="120">
        <v>42164</v>
      </c>
      <c r="L73" s="66">
        <f t="shared" si="9"/>
        <v>11</v>
      </c>
      <c r="M73" s="137"/>
      <c r="N73" s="68" t="s">
        <v>123</v>
      </c>
      <c r="O73" s="69" t="s">
        <v>35</v>
      </c>
      <c r="P73" s="16">
        <v>42164</v>
      </c>
      <c r="Q73" s="21">
        <f t="shared" si="7"/>
        <v>14</v>
      </c>
      <c r="R73" s="22">
        <f t="shared" si="8"/>
        <v>14</v>
      </c>
    </row>
    <row r="74" spans="2:18">
      <c r="B74" s="633" t="s">
        <v>1008</v>
      </c>
      <c r="C74" s="634" t="s">
        <v>56</v>
      </c>
      <c r="D74" s="635">
        <v>42175</v>
      </c>
      <c r="E74" s="634">
        <v>1</v>
      </c>
      <c r="F74" s="634">
        <v>1</v>
      </c>
      <c r="G74" s="634" t="s">
        <v>795</v>
      </c>
      <c r="H74" s="634" t="s">
        <v>55</v>
      </c>
      <c r="I74" s="635">
        <v>42152</v>
      </c>
      <c r="J74" s="600" t="s">
        <v>1009</v>
      </c>
      <c r="K74" s="120">
        <v>42171</v>
      </c>
      <c r="L74" s="66">
        <f t="shared" si="9"/>
        <v>14</v>
      </c>
      <c r="M74" s="137"/>
      <c r="N74" s="68" t="s">
        <v>123</v>
      </c>
      <c r="O74" s="69" t="s">
        <v>34</v>
      </c>
      <c r="P74" s="16">
        <v>42171</v>
      </c>
      <c r="Q74" s="21">
        <f t="shared" si="7"/>
        <v>19</v>
      </c>
      <c r="R74" s="22">
        <f t="shared" si="8"/>
        <v>19</v>
      </c>
    </row>
    <row r="75" spans="2:18">
      <c r="B75" s="616" t="s">
        <v>1016</v>
      </c>
      <c r="C75" s="611" t="s">
        <v>56</v>
      </c>
      <c r="D75" s="612">
        <v>42157</v>
      </c>
      <c r="E75" s="611">
        <v>1</v>
      </c>
      <c r="F75" s="611">
        <v>1</v>
      </c>
      <c r="G75" s="611" t="s">
        <v>765</v>
      </c>
      <c r="H75" s="611" t="s">
        <v>899</v>
      </c>
      <c r="I75" s="612">
        <v>42157</v>
      </c>
      <c r="J75" s="686">
        <v>900</v>
      </c>
      <c r="K75" s="72"/>
      <c r="L75" s="70" t="str">
        <f t="shared" si="9"/>
        <v/>
      </c>
      <c r="M75" s="625"/>
      <c r="N75" s="71" t="s">
        <v>41</v>
      </c>
      <c r="O75" s="72" t="s">
        <v>67</v>
      </c>
      <c r="Q75" s="21">
        <f t="shared" si="7"/>
        <v>0</v>
      </c>
      <c r="R75" s="22">
        <f t="shared" si="8"/>
        <v>0</v>
      </c>
    </row>
    <row r="76" spans="2:18">
      <c r="B76" s="623" t="s">
        <v>1021</v>
      </c>
      <c r="C76" s="618" t="s">
        <v>65</v>
      </c>
      <c r="D76" s="619">
        <v>42185</v>
      </c>
      <c r="E76" s="618">
        <v>1</v>
      </c>
      <c r="F76" s="618">
        <v>1</v>
      </c>
      <c r="G76" s="618" t="s">
        <v>1022</v>
      </c>
      <c r="H76" s="618" t="s">
        <v>66</v>
      </c>
      <c r="I76" s="619">
        <v>42157</v>
      </c>
      <c r="J76" s="610">
        <v>859.68</v>
      </c>
      <c r="K76" s="146">
        <v>42159</v>
      </c>
      <c r="L76" s="73">
        <f t="shared" si="9"/>
        <v>3</v>
      </c>
      <c r="M76" s="125"/>
      <c r="N76" s="75" t="s">
        <v>36</v>
      </c>
      <c r="O76" s="76"/>
      <c r="Q76" s="21">
        <f t="shared" si="7"/>
        <v>2</v>
      </c>
      <c r="R76" s="22">
        <f t="shared" si="8"/>
        <v>0</v>
      </c>
    </row>
    <row r="77" spans="2:18">
      <c r="B77" s="637" t="s">
        <v>1041</v>
      </c>
      <c r="C77" s="638" t="s">
        <v>73</v>
      </c>
      <c r="D77" s="639">
        <v>42171</v>
      </c>
      <c r="E77" s="638">
        <v>1</v>
      </c>
      <c r="F77" s="638">
        <v>1</v>
      </c>
      <c r="G77" s="638" t="s">
        <v>1042</v>
      </c>
      <c r="H77" s="638" t="s">
        <v>55</v>
      </c>
      <c r="I77" s="639">
        <v>42157</v>
      </c>
      <c r="J77" s="610">
        <v>896.36</v>
      </c>
      <c r="K77" s="120">
        <v>42171</v>
      </c>
      <c r="L77" s="66">
        <f t="shared" si="9"/>
        <v>11</v>
      </c>
      <c r="M77" s="137"/>
      <c r="N77" s="68" t="s">
        <v>123</v>
      </c>
      <c r="O77" s="69" t="s">
        <v>35</v>
      </c>
      <c r="P77" s="16">
        <v>42170</v>
      </c>
      <c r="Q77" s="21">
        <f t="shared" si="7"/>
        <v>14</v>
      </c>
      <c r="R77" s="22">
        <f t="shared" si="8"/>
        <v>13</v>
      </c>
    </row>
    <row r="78" spans="2:18">
      <c r="B78" s="616" t="s">
        <v>1048</v>
      </c>
      <c r="C78" s="611" t="s">
        <v>76</v>
      </c>
      <c r="D78" s="612">
        <v>42185</v>
      </c>
      <c r="E78" s="611">
        <v>2</v>
      </c>
      <c r="F78" s="611">
        <v>2</v>
      </c>
      <c r="G78" s="611" t="s">
        <v>1049</v>
      </c>
      <c r="H78" s="611" t="s">
        <v>66</v>
      </c>
      <c r="I78" s="612">
        <v>42158</v>
      </c>
      <c r="J78" s="643" t="s">
        <v>1067</v>
      </c>
      <c r="K78" s="72"/>
      <c r="L78" s="70" t="str">
        <f t="shared" si="9"/>
        <v/>
      </c>
      <c r="M78" s="617"/>
      <c r="N78" s="71" t="s">
        <v>41</v>
      </c>
      <c r="O78" s="72" t="s">
        <v>34</v>
      </c>
      <c r="Q78" s="21">
        <f t="shared" si="7"/>
        <v>0</v>
      </c>
      <c r="R78" s="22">
        <f t="shared" si="8"/>
        <v>0</v>
      </c>
    </row>
    <row r="79" spans="2:18">
      <c r="B79" s="623" t="s">
        <v>1050</v>
      </c>
      <c r="C79" s="618" t="s">
        <v>76</v>
      </c>
      <c r="D79" s="619">
        <v>42185</v>
      </c>
      <c r="E79" s="618">
        <v>2</v>
      </c>
      <c r="F79" s="618">
        <v>2</v>
      </c>
      <c r="G79" s="618" t="s">
        <v>1049</v>
      </c>
      <c r="H79" s="618" t="s">
        <v>66</v>
      </c>
      <c r="I79" s="619">
        <v>42159</v>
      </c>
      <c r="J79" s="643" t="s">
        <v>1066</v>
      </c>
      <c r="K79" s="146">
        <v>42164</v>
      </c>
      <c r="L79" s="73">
        <f t="shared" si="9"/>
        <v>4</v>
      </c>
      <c r="M79" s="624"/>
      <c r="N79" s="75" t="s">
        <v>36</v>
      </c>
      <c r="O79" s="76"/>
      <c r="Q79" s="21">
        <f t="shared" si="7"/>
        <v>5</v>
      </c>
      <c r="R79" s="22">
        <f t="shared" si="8"/>
        <v>0</v>
      </c>
    </row>
    <row r="80" spans="2:18">
      <c r="B80" s="615" t="s">
        <v>1078</v>
      </c>
      <c r="C80" s="611" t="s">
        <v>65</v>
      </c>
      <c r="D80" s="612">
        <v>42184</v>
      </c>
      <c r="E80" s="611">
        <v>1</v>
      </c>
      <c r="F80" s="611">
        <v>1</v>
      </c>
      <c r="G80" s="611" t="s">
        <v>87</v>
      </c>
      <c r="H80" s="611" t="s">
        <v>66</v>
      </c>
      <c r="I80" s="612">
        <v>42160</v>
      </c>
      <c r="J80" s="643" t="s">
        <v>1088</v>
      </c>
      <c r="K80" s="72"/>
      <c r="L80" s="70" t="str">
        <f t="shared" si="9"/>
        <v/>
      </c>
      <c r="M80" s="617"/>
      <c r="N80" s="71" t="s">
        <v>41</v>
      </c>
      <c r="O80" s="72" t="s">
        <v>34</v>
      </c>
      <c r="Q80" s="21">
        <f t="shared" si="7"/>
        <v>0</v>
      </c>
      <c r="R80" s="22">
        <f t="shared" si="8"/>
        <v>0</v>
      </c>
    </row>
    <row r="81" spans="2:18">
      <c r="B81" s="616" t="s">
        <v>1076</v>
      </c>
      <c r="C81" s="611" t="s">
        <v>73</v>
      </c>
      <c r="D81" s="612">
        <v>42175</v>
      </c>
      <c r="E81" s="611">
        <v>2</v>
      </c>
      <c r="F81" s="611">
        <v>2</v>
      </c>
      <c r="G81" s="611" t="s">
        <v>1077</v>
      </c>
      <c r="H81" s="611" t="s">
        <v>55</v>
      </c>
      <c r="I81" s="612">
        <v>42160</v>
      </c>
      <c r="J81" s="643" t="s">
        <v>1089</v>
      </c>
      <c r="K81" s="72"/>
      <c r="L81" s="70" t="str">
        <f t="shared" si="9"/>
        <v/>
      </c>
      <c r="M81" s="617"/>
      <c r="N81" s="71" t="s">
        <v>41</v>
      </c>
      <c r="O81" s="72" t="s">
        <v>35</v>
      </c>
      <c r="Q81" s="21">
        <f t="shared" si="7"/>
        <v>0</v>
      </c>
      <c r="R81" s="22">
        <f t="shared" si="8"/>
        <v>0</v>
      </c>
    </row>
    <row r="82" spans="2:18">
      <c r="B82" s="616" t="s">
        <v>1104</v>
      </c>
      <c r="C82" s="611" t="s">
        <v>56</v>
      </c>
      <c r="D82" s="612">
        <v>42185</v>
      </c>
      <c r="E82" s="611">
        <v>2</v>
      </c>
      <c r="F82" s="611">
        <v>2</v>
      </c>
      <c r="G82" s="611" t="s">
        <v>554</v>
      </c>
      <c r="H82" s="611" t="s">
        <v>55</v>
      </c>
      <c r="I82" s="612">
        <v>42164</v>
      </c>
      <c r="J82" s="643">
        <v>709.44</v>
      </c>
      <c r="K82" s="72"/>
      <c r="L82" s="70" t="str">
        <f t="shared" si="9"/>
        <v/>
      </c>
      <c r="M82" s="617"/>
      <c r="N82" s="71" t="s">
        <v>41</v>
      </c>
      <c r="O82" s="72" t="s">
        <v>34</v>
      </c>
      <c r="Q82" s="21">
        <f t="shared" si="7"/>
        <v>0</v>
      </c>
      <c r="R82" s="22">
        <f t="shared" si="8"/>
        <v>0</v>
      </c>
    </row>
    <row r="83" spans="2:18">
      <c r="B83" s="654" t="s">
        <v>1142</v>
      </c>
      <c r="C83" s="655" t="s">
        <v>65</v>
      </c>
      <c r="D83" s="656">
        <v>42186</v>
      </c>
      <c r="E83" s="655">
        <v>1</v>
      </c>
      <c r="F83" s="655">
        <v>1</v>
      </c>
      <c r="G83" s="655" t="s">
        <v>86</v>
      </c>
      <c r="H83" s="655" t="s">
        <v>66</v>
      </c>
      <c r="I83" s="656">
        <v>42166</v>
      </c>
      <c r="J83" s="647">
        <v>920.45</v>
      </c>
      <c r="K83" s="146">
        <v>42171</v>
      </c>
      <c r="L83" s="73">
        <f t="shared" si="9"/>
        <v>4</v>
      </c>
      <c r="M83" s="624"/>
      <c r="N83" s="75" t="s">
        <v>36</v>
      </c>
      <c r="O83" s="76"/>
      <c r="Q83" s="21">
        <f t="shared" si="7"/>
        <v>5</v>
      </c>
      <c r="R83" s="22">
        <f t="shared" si="8"/>
        <v>0</v>
      </c>
    </row>
    <row r="84" spans="2:18">
      <c r="B84" s="654" t="s">
        <v>1124</v>
      </c>
      <c r="C84" s="655" t="s">
        <v>65</v>
      </c>
      <c r="D84" s="656">
        <v>42187</v>
      </c>
      <c r="E84" s="655">
        <v>1</v>
      </c>
      <c r="F84" s="655">
        <v>1</v>
      </c>
      <c r="G84" s="655" t="s">
        <v>1125</v>
      </c>
      <c r="H84" s="655" t="s">
        <v>66</v>
      </c>
      <c r="I84" s="656">
        <v>42167</v>
      </c>
      <c r="J84" s="647">
        <v>661.01</v>
      </c>
      <c r="K84" s="76"/>
      <c r="L84" s="73" t="str">
        <f t="shared" si="9"/>
        <v/>
      </c>
      <c r="M84" s="624"/>
      <c r="N84" s="75" t="s">
        <v>36</v>
      </c>
      <c r="O84" s="76"/>
      <c r="Q84" s="21">
        <f t="shared" si="7"/>
        <v>0</v>
      </c>
      <c r="R84" s="22">
        <f t="shared" si="8"/>
        <v>0</v>
      </c>
    </row>
    <row r="85" spans="2:18">
      <c r="B85" s="650" t="s">
        <v>1153</v>
      </c>
      <c r="C85" s="649" t="s">
        <v>56</v>
      </c>
      <c r="D85" s="651">
        <v>42191</v>
      </c>
      <c r="E85" s="649">
        <v>1</v>
      </c>
      <c r="F85" s="649">
        <v>1</v>
      </c>
      <c r="G85" s="649" t="s">
        <v>1154</v>
      </c>
      <c r="H85" s="649" t="s">
        <v>55</v>
      </c>
      <c r="I85" s="651">
        <v>42170</v>
      </c>
      <c r="J85" s="647" t="s">
        <v>1160</v>
      </c>
      <c r="K85" s="697"/>
      <c r="L85" s="70" t="str">
        <f t="shared" si="9"/>
        <v/>
      </c>
      <c r="M85" s="617"/>
      <c r="N85" s="71" t="s">
        <v>41</v>
      </c>
      <c r="O85" s="72" t="s">
        <v>34</v>
      </c>
      <c r="Q85" s="21">
        <f t="shared" si="7"/>
        <v>0</v>
      </c>
      <c r="R85" s="22">
        <f t="shared" si="8"/>
        <v>0</v>
      </c>
    </row>
    <row r="86" spans="2:18">
      <c r="B86" s="678" t="s">
        <v>1146</v>
      </c>
      <c r="C86" s="679" t="s">
        <v>65</v>
      </c>
      <c r="D86" s="680">
        <v>42191</v>
      </c>
      <c r="E86" s="679">
        <v>1</v>
      </c>
      <c r="F86" s="679">
        <v>1</v>
      </c>
      <c r="G86" s="679" t="s">
        <v>1022</v>
      </c>
      <c r="H86" s="679" t="s">
        <v>66</v>
      </c>
      <c r="I86" s="680">
        <v>42170</v>
      </c>
      <c r="J86" s="670"/>
      <c r="K86" s="680">
        <v>42171</v>
      </c>
      <c r="L86" s="681">
        <f t="shared" si="9"/>
        <v>2</v>
      </c>
      <c r="M86" s="682"/>
      <c r="N86" s="683" t="s">
        <v>36</v>
      </c>
      <c r="O86" s="678"/>
      <c r="Q86" s="21">
        <f t="shared" si="7"/>
        <v>1</v>
      </c>
      <c r="R86" s="22">
        <f t="shared" si="8"/>
        <v>0</v>
      </c>
    </row>
    <row r="87" spans="2:18">
      <c r="B87" s="650" t="s">
        <v>1150</v>
      </c>
      <c r="C87" s="649" t="s">
        <v>56</v>
      </c>
      <c r="D87" s="651">
        <v>42192</v>
      </c>
      <c r="E87" s="649">
        <v>1</v>
      </c>
      <c r="F87" s="649">
        <v>1</v>
      </c>
      <c r="G87" s="649" t="s">
        <v>1151</v>
      </c>
      <c r="H87" s="649" t="s">
        <v>55</v>
      </c>
      <c r="I87" s="651">
        <v>42171</v>
      </c>
      <c r="J87" s="677" t="s">
        <v>1161</v>
      </c>
      <c r="K87" s="697"/>
      <c r="L87" s="70" t="str">
        <f t="shared" si="9"/>
        <v/>
      </c>
      <c r="M87" s="617"/>
      <c r="N87" s="71" t="s">
        <v>41</v>
      </c>
      <c r="O87" s="72" t="s">
        <v>35</v>
      </c>
      <c r="Q87" s="21">
        <f t="shared" si="7"/>
        <v>0</v>
      </c>
      <c r="R87" s="22">
        <f t="shared" si="8"/>
        <v>0</v>
      </c>
    </row>
    <row r="88" spans="2:18">
      <c r="B88" s="650" t="s">
        <v>1149</v>
      </c>
      <c r="C88" s="649" t="s">
        <v>56</v>
      </c>
      <c r="D88" s="651">
        <v>42187</v>
      </c>
      <c r="E88" s="649">
        <v>1</v>
      </c>
      <c r="F88" s="649">
        <v>1</v>
      </c>
      <c r="G88" s="649" t="s">
        <v>5</v>
      </c>
      <c r="H88" s="649" t="s">
        <v>55</v>
      </c>
      <c r="I88" s="651">
        <v>42171</v>
      </c>
      <c r="J88" s="677" t="s">
        <v>1159</v>
      </c>
      <c r="K88" s="697"/>
      <c r="L88" s="70" t="str">
        <f t="shared" si="9"/>
        <v/>
      </c>
      <c r="M88" s="617"/>
      <c r="N88" s="71" t="s">
        <v>41</v>
      </c>
      <c r="O88" s="72" t="s">
        <v>34</v>
      </c>
      <c r="Q88" s="21">
        <f t="shared" si="7"/>
        <v>0</v>
      </c>
      <c r="R88" s="22">
        <f t="shared" si="8"/>
        <v>0</v>
      </c>
    </row>
    <row r="89" spans="2:18">
      <c r="B89" s="650" t="s">
        <v>1156</v>
      </c>
      <c r="C89" s="649" t="s">
        <v>56</v>
      </c>
      <c r="D89" s="651">
        <v>42193</v>
      </c>
      <c r="E89" s="649">
        <v>1</v>
      </c>
      <c r="F89" s="649">
        <v>1</v>
      </c>
      <c r="G89" s="649" t="s">
        <v>1143</v>
      </c>
      <c r="H89" s="649" t="s">
        <v>55</v>
      </c>
      <c r="I89" s="651">
        <v>42172</v>
      </c>
      <c r="J89" s="677" t="s">
        <v>1162</v>
      </c>
      <c r="K89" s="697"/>
      <c r="L89" s="70" t="str">
        <f t="shared" si="9"/>
        <v/>
      </c>
      <c r="M89" s="617"/>
      <c r="N89" s="71" t="s">
        <v>41</v>
      </c>
      <c r="O89" s="72" t="s">
        <v>35</v>
      </c>
      <c r="Q89" s="21">
        <f t="shared" si="7"/>
        <v>0</v>
      </c>
      <c r="R89" s="22">
        <f t="shared" si="8"/>
        <v>0</v>
      </c>
    </row>
    <row r="90" spans="2:18">
      <c r="B90" s="650" t="s">
        <v>1152</v>
      </c>
      <c r="C90" s="649" t="s">
        <v>73</v>
      </c>
      <c r="D90" s="651">
        <v>42193</v>
      </c>
      <c r="E90" s="649">
        <v>1</v>
      </c>
      <c r="F90" s="649">
        <v>1</v>
      </c>
      <c r="G90" s="649" t="s">
        <v>1114</v>
      </c>
      <c r="H90" s="649" t="s">
        <v>55</v>
      </c>
      <c r="I90" s="651">
        <v>42172</v>
      </c>
      <c r="J90" s="677" t="s">
        <v>1163</v>
      </c>
      <c r="K90" s="697"/>
      <c r="L90" s="70" t="str">
        <f t="shared" si="9"/>
        <v/>
      </c>
      <c r="M90" s="617"/>
      <c r="N90" s="71" t="s">
        <v>41</v>
      </c>
      <c r="O90" s="72" t="s">
        <v>35</v>
      </c>
      <c r="Q90" s="21">
        <f t="shared" si="7"/>
        <v>0</v>
      </c>
      <c r="R90" s="22">
        <f t="shared" si="8"/>
        <v>0</v>
      </c>
    </row>
    <row r="91" spans="2:18">
      <c r="B91" s="94" t="s">
        <v>301</v>
      </c>
      <c r="C91" s="192" t="s">
        <v>73</v>
      </c>
      <c r="D91" s="191">
        <v>42009</v>
      </c>
      <c r="E91" s="190">
        <v>1</v>
      </c>
      <c r="F91" s="190">
        <v>1</v>
      </c>
      <c r="G91" s="190" t="s">
        <v>300</v>
      </c>
      <c r="H91" s="190" t="s">
        <v>55</v>
      </c>
      <c r="I91" s="105">
        <v>42009</v>
      </c>
      <c r="J91" s="685"/>
      <c r="K91" s="120">
        <v>42032</v>
      </c>
      <c r="L91" s="66">
        <f t="shared" si="9"/>
        <v>18</v>
      </c>
      <c r="M91" s="119"/>
      <c r="N91" s="69" t="s">
        <v>123</v>
      </c>
      <c r="O91" s="69" t="s">
        <v>42</v>
      </c>
      <c r="P91" s="201">
        <v>42018</v>
      </c>
      <c r="Q91" s="21">
        <f t="shared" si="7"/>
        <v>23</v>
      </c>
      <c r="R91" s="22">
        <f t="shared" si="8"/>
        <v>9</v>
      </c>
    </row>
    <row r="92" spans="2:18">
      <c r="B92" s="650" t="s">
        <v>1167</v>
      </c>
      <c r="C92" s="698" t="s">
        <v>56</v>
      </c>
      <c r="D92" s="651">
        <v>42190</v>
      </c>
      <c r="E92" s="649">
        <v>1</v>
      </c>
      <c r="F92" s="649">
        <v>1</v>
      </c>
      <c r="G92" s="698" t="s">
        <v>1168</v>
      </c>
      <c r="H92" s="649" t="s">
        <v>55</v>
      </c>
      <c r="I92" s="651">
        <v>42172</v>
      </c>
      <c r="K92" s="697"/>
      <c r="L92" s="70" t="str">
        <f t="shared" si="9"/>
        <v/>
      </c>
      <c r="M92" s="617"/>
      <c r="N92" s="71" t="s">
        <v>41</v>
      </c>
      <c r="O92" s="72" t="s">
        <v>35</v>
      </c>
      <c r="Q92" s="21">
        <f t="shared" si="7"/>
        <v>0</v>
      </c>
      <c r="R92" s="22">
        <f t="shared" si="8"/>
        <v>0</v>
      </c>
    </row>
    <row r="93" spans="2:18">
      <c r="B93" s="704" t="s">
        <v>1173</v>
      </c>
      <c r="C93" s="705" t="s">
        <v>65</v>
      </c>
      <c r="D93" s="706">
        <v>42195</v>
      </c>
      <c r="E93" s="705">
        <v>1</v>
      </c>
      <c r="F93" s="705">
        <v>1</v>
      </c>
      <c r="G93" s="705" t="s">
        <v>453</v>
      </c>
      <c r="H93" s="705" t="s">
        <v>66</v>
      </c>
      <c r="I93" s="706">
        <v>42174</v>
      </c>
      <c r="J93" s="699" t="s">
        <v>1186</v>
      </c>
      <c r="K93" s="707"/>
      <c r="L93" s="73" t="str">
        <f t="shared" si="9"/>
        <v/>
      </c>
      <c r="M93" s="624"/>
      <c r="N93" s="75" t="s">
        <v>36</v>
      </c>
      <c r="O93" s="76"/>
      <c r="Q93" s="21">
        <f t="shared" ref="Q93:Q155" si="10">IF(ISBLANK(K93),0,SUM(K93,-I93))</f>
        <v>0</v>
      </c>
      <c r="R93" s="22">
        <f t="shared" ref="R93:R155" si="11">IF(ISBLANK(P93),0,SUM(P93,-I93))</f>
        <v>0</v>
      </c>
    </row>
    <row r="94" spans="2:18">
      <c r="B94" s="708" t="s">
        <v>1172</v>
      </c>
      <c r="C94" s="709" t="s">
        <v>56</v>
      </c>
      <c r="D94" s="710">
        <v>42195</v>
      </c>
      <c r="E94" s="709">
        <v>1</v>
      </c>
      <c r="F94" s="709">
        <v>1</v>
      </c>
      <c r="G94" s="709" t="s">
        <v>87</v>
      </c>
      <c r="H94" s="709" t="s">
        <v>55</v>
      </c>
      <c r="I94" s="710">
        <v>42174</v>
      </c>
      <c r="J94" s="699" t="s">
        <v>1187</v>
      </c>
      <c r="K94" s="697"/>
      <c r="L94" s="70" t="str">
        <f t="shared" si="9"/>
        <v/>
      </c>
      <c r="M94" s="617"/>
      <c r="N94" s="71" t="s">
        <v>41</v>
      </c>
      <c r="O94" s="72" t="s">
        <v>35</v>
      </c>
      <c r="Q94" s="21">
        <f t="shared" si="10"/>
        <v>0</v>
      </c>
      <c r="R94" s="22">
        <f t="shared" si="11"/>
        <v>0</v>
      </c>
    </row>
    <row r="95" spans="2:18">
      <c r="Q95" s="21">
        <f t="shared" si="10"/>
        <v>0</v>
      </c>
      <c r="R95" s="22">
        <f t="shared" si="11"/>
        <v>0</v>
      </c>
    </row>
    <row r="96" spans="2:18">
      <c r="Q96" s="21">
        <f t="shared" si="10"/>
        <v>0</v>
      </c>
      <c r="R96" s="22">
        <f t="shared" si="11"/>
        <v>0</v>
      </c>
    </row>
    <row r="97" spans="17:18">
      <c r="Q97" s="21">
        <f t="shared" si="10"/>
        <v>0</v>
      </c>
      <c r="R97" s="22">
        <f t="shared" si="11"/>
        <v>0</v>
      </c>
    </row>
    <row r="98" spans="17:18">
      <c r="Q98" s="21">
        <f t="shared" si="10"/>
        <v>0</v>
      </c>
      <c r="R98" s="22">
        <f t="shared" si="11"/>
        <v>0</v>
      </c>
    </row>
    <row r="99" spans="17:18">
      <c r="Q99" s="21">
        <f t="shared" si="10"/>
        <v>0</v>
      </c>
      <c r="R99" s="22">
        <f t="shared" si="11"/>
        <v>0</v>
      </c>
    </row>
    <row r="100" spans="17:18">
      <c r="Q100" s="21">
        <f t="shared" si="10"/>
        <v>0</v>
      </c>
      <c r="R100" s="22">
        <f t="shared" si="11"/>
        <v>0</v>
      </c>
    </row>
    <row r="101" spans="17:18">
      <c r="Q101" s="21">
        <f t="shared" si="10"/>
        <v>0</v>
      </c>
      <c r="R101" s="22">
        <f t="shared" si="11"/>
        <v>0</v>
      </c>
    </row>
    <row r="102" spans="17:18">
      <c r="Q102" s="21">
        <f t="shared" si="10"/>
        <v>0</v>
      </c>
      <c r="R102" s="22">
        <f t="shared" si="11"/>
        <v>0</v>
      </c>
    </row>
    <row r="103" spans="17:18">
      <c r="Q103" s="21">
        <f t="shared" si="10"/>
        <v>0</v>
      </c>
      <c r="R103" s="22">
        <f t="shared" si="11"/>
        <v>0</v>
      </c>
    </row>
    <row r="104" spans="17:18">
      <c r="Q104" s="21">
        <f t="shared" si="10"/>
        <v>0</v>
      </c>
      <c r="R104" s="22">
        <f t="shared" si="11"/>
        <v>0</v>
      </c>
    </row>
    <row r="105" spans="17:18">
      <c r="Q105" s="21">
        <f t="shared" si="10"/>
        <v>0</v>
      </c>
      <c r="R105" s="22">
        <f t="shared" si="11"/>
        <v>0</v>
      </c>
    </row>
    <row r="106" spans="17:18">
      <c r="Q106" s="21">
        <f t="shared" si="10"/>
        <v>0</v>
      </c>
      <c r="R106" s="22">
        <f t="shared" si="11"/>
        <v>0</v>
      </c>
    </row>
    <row r="107" spans="17:18">
      <c r="Q107" s="21">
        <f t="shared" si="10"/>
        <v>0</v>
      </c>
      <c r="R107" s="22">
        <f t="shared" si="11"/>
        <v>0</v>
      </c>
    </row>
    <row r="108" spans="17:18">
      <c r="Q108" s="21">
        <f t="shared" si="10"/>
        <v>0</v>
      </c>
      <c r="R108" s="22">
        <f t="shared" si="11"/>
        <v>0</v>
      </c>
    </row>
    <row r="109" spans="17:18">
      <c r="Q109" s="21">
        <f t="shared" si="10"/>
        <v>0</v>
      </c>
      <c r="R109" s="22">
        <f t="shared" si="11"/>
        <v>0</v>
      </c>
    </row>
    <row r="110" spans="17:18">
      <c r="Q110" s="21">
        <f t="shared" si="10"/>
        <v>0</v>
      </c>
      <c r="R110" s="22">
        <f t="shared" si="11"/>
        <v>0</v>
      </c>
    </row>
    <row r="111" spans="17:18">
      <c r="Q111" s="21">
        <f t="shared" si="10"/>
        <v>0</v>
      </c>
      <c r="R111" s="22">
        <f t="shared" si="11"/>
        <v>0</v>
      </c>
    </row>
    <row r="112" spans="17:18">
      <c r="Q112" s="21">
        <f t="shared" si="10"/>
        <v>0</v>
      </c>
      <c r="R112" s="22">
        <f t="shared" si="11"/>
        <v>0</v>
      </c>
    </row>
    <row r="113" spans="17:18">
      <c r="Q113" s="21">
        <f t="shared" si="10"/>
        <v>0</v>
      </c>
      <c r="R113" s="22">
        <f t="shared" si="11"/>
        <v>0</v>
      </c>
    </row>
    <row r="114" spans="17:18">
      <c r="Q114" s="21">
        <f t="shared" si="10"/>
        <v>0</v>
      </c>
      <c r="R114" s="22">
        <f t="shared" si="11"/>
        <v>0</v>
      </c>
    </row>
    <row r="115" spans="17:18">
      <c r="Q115" s="21">
        <f t="shared" si="10"/>
        <v>0</v>
      </c>
      <c r="R115" s="22">
        <f t="shared" si="11"/>
        <v>0</v>
      </c>
    </row>
    <row r="116" spans="17:18">
      <c r="Q116" s="21">
        <f t="shared" si="10"/>
        <v>0</v>
      </c>
      <c r="R116" s="22">
        <f t="shared" si="11"/>
        <v>0</v>
      </c>
    </row>
    <row r="117" spans="17:18">
      <c r="Q117" s="21">
        <f t="shared" si="10"/>
        <v>0</v>
      </c>
      <c r="R117" s="22">
        <f t="shared" si="11"/>
        <v>0</v>
      </c>
    </row>
    <row r="118" spans="17:18">
      <c r="Q118" s="21">
        <f t="shared" si="10"/>
        <v>0</v>
      </c>
      <c r="R118" s="22">
        <f t="shared" si="11"/>
        <v>0</v>
      </c>
    </row>
    <row r="119" spans="17:18">
      <c r="Q119" s="21">
        <f t="shared" si="10"/>
        <v>0</v>
      </c>
      <c r="R119" s="22">
        <f t="shared" si="11"/>
        <v>0</v>
      </c>
    </row>
    <row r="120" spans="17:18">
      <c r="Q120" s="21">
        <f t="shared" si="10"/>
        <v>0</v>
      </c>
      <c r="R120" s="22">
        <f t="shared" si="11"/>
        <v>0</v>
      </c>
    </row>
    <row r="121" spans="17:18">
      <c r="Q121" s="21">
        <f t="shared" si="10"/>
        <v>0</v>
      </c>
      <c r="R121" s="22">
        <f t="shared" si="11"/>
        <v>0</v>
      </c>
    </row>
    <row r="122" spans="17:18">
      <c r="Q122" s="21">
        <f t="shared" si="10"/>
        <v>0</v>
      </c>
      <c r="R122" s="22">
        <f t="shared" si="11"/>
        <v>0</v>
      </c>
    </row>
    <row r="123" spans="17:18">
      <c r="Q123" s="21">
        <f t="shared" si="10"/>
        <v>0</v>
      </c>
      <c r="R123" s="22">
        <f t="shared" si="11"/>
        <v>0</v>
      </c>
    </row>
    <row r="124" spans="17:18">
      <c r="Q124" s="21">
        <f t="shared" si="10"/>
        <v>0</v>
      </c>
      <c r="R124" s="22">
        <f t="shared" si="11"/>
        <v>0</v>
      </c>
    </row>
    <row r="125" spans="17:18">
      <c r="Q125" s="21">
        <f t="shared" si="10"/>
        <v>0</v>
      </c>
      <c r="R125" s="22">
        <f t="shared" si="11"/>
        <v>0</v>
      </c>
    </row>
    <row r="126" spans="17:18">
      <c r="Q126" s="21">
        <f t="shared" si="10"/>
        <v>0</v>
      </c>
      <c r="R126" s="22">
        <f t="shared" si="11"/>
        <v>0</v>
      </c>
    </row>
    <row r="127" spans="17:18">
      <c r="Q127" s="21">
        <f t="shared" si="10"/>
        <v>0</v>
      </c>
      <c r="R127" s="22">
        <f t="shared" si="11"/>
        <v>0</v>
      </c>
    </row>
    <row r="128" spans="17:18">
      <c r="Q128" s="21">
        <f t="shared" si="10"/>
        <v>0</v>
      </c>
      <c r="R128" s="22">
        <f t="shared" si="11"/>
        <v>0</v>
      </c>
    </row>
    <row r="129" spans="17:18">
      <c r="Q129" s="21">
        <f t="shared" si="10"/>
        <v>0</v>
      </c>
      <c r="R129" s="22">
        <f t="shared" si="11"/>
        <v>0</v>
      </c>
    </row>
    <row r="130" spans="17:18">
      <c r="Q130" s="21">
        <f t="shared" si="10"/>
        <v>0</v>
      </c>
      <c r="R130" s="22">
        <f t="shared" si="11"/>
        <v>0</v>
      </c>
    </row>
    <row r="131" spans="17:18">
      <c r="Q131" s="21">
        <f t="shared" si="10"/>
        <v>0</v>
      </c>
      <c r="R131" s="22">
        <f t="shared" si="11"/>
        <v>0</v>
      </c>
    </row>
    <row r="132" spans="17:18">
      <c r="Q132" s="21">
        <f t="shared" si="10"/>
        <v>0</v>
      </c>
      <c r="R132" s="22">
        <f t="shared" si="11"/>
        <v>0</v>
      </c>
    </row>
    <row r="133" spans="17:18">
      <c r="Q133" s="21">
        <f t="shared" si="10"/>
        <v>0</v>
      </c>
      <c r="R133" s="22">
        <f t="shared" si="11"/>
        <v>0</v>
      </c>
    </row>
    <row r="134" spans="17:18">
      <c r="Q134" s="21">
        <f t="shared" si="10"/>
        <v>0</v>
      </c>
      <c r="R134" s="22">
        <f t="shared" si="11"/>
        <v>0</v>
      </c>
    </row>
    <row r="135" spans="17:18">
      <c r="Q135" s="21">
        <f t="shared" si="10"/>
        <v>0</v>
      </c>
      <c r="R135" s="22">
        <f t="shared" si="11"/>
        <v>0</v>
      </c>
    </row>
    <row r="136" spans="17:18">
      <c r="Q136" s="21">
        <f t="shared" si="10"/>
        <v>0</v>
      </c>
      <c r="R136" s="22">
        <f t="shared" si="11"/>
        <v>0</v>
      </c>
    </row>
    <row r="137" spans="17:18">
      <c r="Q137" s="21">
        <f t="shared" si="10"/>
        <v>0</v>
      </c>
      <c r="R137" s="22">
        <f t="shared" si="11"/>
        <v>0</v>
      </c>
    </row>
    <row r="138" spans="17:18">
      <c r="Q138" s="21">
        <f t="shared" si="10"/>
        <v>0</v>
      </c>
      <c r="R138" s="22">
        <f t="shared" si="11"/>
        <v>0</v>
      </c>
    </row>
    <row r="139" spans="17:18">
      <c r="Q139" s="21">
        <f t="shared" si="10"/>
        <v>0</v>
      </c>
      <c r="R139" s="22">
        <f t="shared" si="11"/>
        <v>0</v>
      </c>
    </row>
    <row r="140" spans="17:18">
      <c r="Q140" s="21">
        <f t="shared" si="10"/>
        <v>0</v>
      </c>
      <c r="R140" s="22">
        <f t="shared" si="11"/>
        <v>0</v>
      </c>
    </row>
    <row r="141" spans="17:18">
      <c r="Q141" s="21">
        <f t="shared" si="10"/>
        <v>0</v>
      </c>
      <c r="R141" s="22">
        <f t="shared" si="11"/>
        <v>0</v>
      </c>
    </row>
    <row r="142" spans="17:18">
      <c r="Q142" s="21">
        <f t="shared" si="10"/>
        <v>0</v>
      </c>
      <c r="R142" s="22">
        <f t="shared" si="11"/>
        <v>0</v>
      </c>
    </row>
    <row r="143" spans="17:18">
      <c r="Q143" s="21">
        <f t="shared" si="10"/>
        <v>0</v>
      </c>
      <c r="R143" s="22">
        <f t="shared" si="11"/>
        <v>0</v>
      </c>
    </row>
    <row r="144" spans="17:18">
      <c r="Q144" s="21">
        <f t="shared" si="10"/>
        <v>0</v>
      </c>
      <c r="R144" s="22">
        <f t="shared" si="11"/>
        <v>0</v>
      </c>
    </row>
    <row r="145" spans="17:18">
      <c r="Q145" s="21">
        <f t="shared" si="10"/>
        <v>0</v>
      </c>
      <c r="R145" s="22">
        <f t="shared" si="11"/>
        <v>0</v>
      </c>
    </row>
    <row r="146" spans="17:18">
      <c r="Q146" s="21">
        <f t="shared" si="10"/>
        <v>0</v>
      </c>
      <c r="R146" s="22">
        <f t="shared" si="11"/>
        <v>0</v>
      </c>
    </row>
    <row r="147" spans="17:18">
      <c r="Q147" s="21">
        <f t="shared" si="10"/>
        <v>0</v>
      </c>
      <c r="R147" s="22">
        <f t="shared" si="11"/>
        <v>0</v>
      </c>
    </row>
    <row r="148" spans="17:18">
      <c r="Q148" s="21">
        <f t="shared" si="10"/>
        <v>0</v>
      </c>
      <c r="R148" s="22">
        <f t="shared" si="11"/>
        <v>0</v>
      </c>
    </row>
    <row r="149" spans="17:18">
      <c r="Q149" s="21">
        <f t="shared" si="10"/>
        <v>0</v>
      </c>
      <c r="R149" s="22">
        <f t="shared" si="11"/>
        <v>0</v>
      </c>
    </row>
    <row r="150" spans="17:18">
      <c r="Q150" s="21">
        <f t="shared" si="10"/>
        <v>0</v>
      </c>
      <c r="R150" s="22">
        <f t="shared" si="11"/>
        <v>0</v>
      </c>
    </row>
    <row r="151" spans="17:18">
      <c r="Q151" s="21">
        <f t="shared" si="10"/>
        <v>0</v>
      </c>
      <c r="R151" s="22">
        <f t="shared" si="11"/>
        <v>0</v>
      </c>
    </row>
    <row r="152" spans="17:18">
      <c r="Q152" s="21">
        <f t="shared" si="10"/>
        <v>0</v>
      </c>
      <c r="R152" s="22">
        <f t="shared" si="11"/>
        <v>0</v>
      </c>
    </row>
    <row r="153" spans="17:18">
      <c r="Q153" s="21">
        <f t="shared" si="10"/>
        <v>0</v>
      </c>
      <c r="R153" s="22">
        <f t="shared" si="11"/>
        <v>0</v>
      </c>
    </row>
    <row r="154" spans="17:18">
      <c r="Q154" s="21">
        <f t="shared" si="10"/>
        <v>0</v>
      </c>
      <c r="R154" s="22">
        <f t="shared" si="11"/>
        <v>0</v>
      </c>
    </row>
    <row r="155" spans="17:18">
      <c r="Q155" s="21">
        <f t="shared" si="10"/>
        <v>0</v>
      </c>
      <c r="R155" s="22">
        <f t="shared" si="11"/>
        <v>0</v>
      </c>
    </row>
    <row r="156" spans="17:18">
      <c r="Q156" s="21">
        <f t="shared" ref="Q156:Q210" si="12">IF(ISBLANK(K156),0,SUM(K156,-I156))</f>
        <v>0</v>
      </c>
      <c r="R156" s="22">
        <f t="shared" ref="R156:R210" si="13">IF(ISBLANK(P156),0,SUM(P156,-I156))</f>
        <v>0</v>
      </c>
    </row>
    <row r="157" spans="17:18">
      <c r="Q157" s="21">
        <f t="shared" si="12"/>
        <v>0</v>
      </c>
      <c r="R157" s="22">
        <f t="shared" si="13"/>
        <v>0</v>
      </c>
    </row>
    <row r="158" spans="17:18">
      <c r="Q158" s="21">
        <f t="shared" si="12"/>
        <v>0</v>
      </c>
      <c r="R158" s="22">
        <f t="shared" si="13"/>
        <v>0</v>
      </c>
    </row>
    <row r="159" spans="17:18">
      <c r="Q159" s="21">
        <f t="shared" si="12"/>
        <v>0</v>
      </c>
      <c r="R159" s="22">
        <f t="shared" si="13"/>
        <v>0</v>
      </c>
    </row>
    <row r="160" spans="17:18">
      <c r="Q160" s="21">
        <f t="shared" si="12"/>
        <v>0</v>
      </c>
      <c r="R160" s="22">
        <f t="shared" si="13"/>
        <v>0</v>
      </c>
    </row>
    <row r="161" spans="17:18">
      <c r="Q161" s="21">
        <f t="shared" si="12"/>
        <v>0</v>
      </c>
      <c r="R161" s="22">
        <f t="shared" si="13"/>
        <v>0</v>
      </c>
    </row>
    <row r="162" spans="17:18">
      <c r="Q162" s="21">
        <f t="shared" si="12"/>
        <v>0</v>
      </c>
      <c r="R162" s="22">
        <f t="shared" si="13"/>
        <v>0</v>
      </c>
    </row>
    <row r="163" spans="17:18">
      <c r="Q163" s="21">
        <f t="shared" si="12"/>
        <v>0</v>
      </c>
      <c r="R163" s="22">
        <f t="shared" si="13"/>
        <v>0</v>
      </c>
    </row>
    <row r="164" spans="17:18">
      <c r="Q164" s="21">
        <f t="shared" si="12"/>
        <v>0</v>
      </c>
      <c r="R164" s="22">
        <f t="shared" si="13"/>
        <v>0</v>
      </c>
    </row>
    <row r="165" spans="17:18">
      <c r="Q165" s="21">
        <f t="shared" si="12"/>
        <v>0</v>
      </c>
      <c r="R165" s="22">
        <f t="shared" si="13"/>
        <v>0</v>
      </c>
    </row>
    <row r="166" spans="17:18">
      <c r="Q166" s="21">
        <f t="shared" si="12"/>
        <v>0</v>
      </c>
      <c r="R166" s="22">
        <f t="shared" si="13"/>
        <v>0</v>
      </c>
    </row>
    <row r="167" spans="17:18">
      <c r="Q167" s="21">
        <f t="shared" si="12"/>
        <v>0</v>
      </c>
      <c r="R167" s="22">
        <f t="shared" si="13"/>
        <v>0</v>
      </c>
    </row>
    <row r="168" spans="17:18">
      <c r="Q168" s="21">
        <f t="shared" si="12"/>
        <v>0</v>
      </c>
      <c r="R168" s="22">
        <f t="shared" si="13"/>
        <v>0</v>
      </c>
    </row>
    <row r="169" spans="17:18">
      <c r="Q169" s="21">
        <f t="shared" si="12"/>
        <v>0</v>
      </c>
      <c r="R169" s="22">
        <f t="shared" si="13"/>
        <v>0</v>
      </c>
    </row>
    <row r="170" spans="17:18">
      <c r="Q170" s="21">
        <f t="shared" si="12"/>
        <v>0</v>
      </c>
      <c r="R170" s="22">
        <f t="shared" si="13"/>
        <v>0</v>
      </c>
    </row>
    <row r="171" spans="17:18">
      <c r="Q171" s="21">
        <f t="shared" si="12"/>
        <v>0</v>
      </c>
      <c r="R171" s="22">
        <f t="shared" si="13"/>
        <v>0</v>
      </c>
    </row>
    <row r="172" spans="17:18">
      <c r="Q172" s="21">
        <f t="shared" si="12"/>
        <v>0</v>
      </c>
      <c r="R172" s="22">
        <f t="shared" si="13"/>
        <v>0</v>
      </c>
    </row>
    <row r="173" spans="17:18">
      <c r="Q173" s="21">
        <f t="shared" si="12"/>
        <v>0</v>
      </c>
      <c r="R173" s="22">
        <f t="shared" si="13"/>
        <v>0</v>
      </c>
    </row>
    <row r="174" spans="17:18">
      <c r="Q174" s="21">
        <f t="shared" si="12"/>
        <v>0</v>
      </c>
      <c r="R174" s="22">
        <f t="shared" si="13"/>
        <v>0</v>
      </c>
    </row>
    <row r="175" spans="17:18">
      <c r="Q175" s="21">
        <f t="shared" si="12"/>
        <v>0</v>
      </c>
      <c r="R175" s="22">
        <f t="shared" si="13"/>
        <v>0</v>
      </c>
    </row>
    <row r="176" spans="17:18">
      <c r="Q176" s="21">
        <f t="shared" si="12"/>
        <v>0</v>
      </c>
      <c r="R176" s="22">
        <f t="shared" si="13"/>
        <v>0</v>
      </c>
    </row>
    <row r="177" spans="17:18">
      <c r="Q177" s="21">
        <f t="shared" si="12"/>
        <v>0</v>
      </c>
      <c r="R177" s="22">
        <f t="shared" si="13"/>
        <v>0</v>
      </c>
    </row>
    <row r="178" spans="17:18">
      <c r="Q178" s="21">
        <f t="shared" si="12"/>
        <v>0</v>
      </c>
      <c r="R178" s="22">
        <f t="shared" si="13"/>
        <v>0</v>
      </c>
    </row>
    <row r="179" spans="17:18">
      <c r="Q179" s="21">
        <f t="shared" si="12"/>
        <v>0</v>
      </c>
      <c r="R179" s="22">
        <f t="shared" si="13"/>
        <v>0</v>
      </c>
    </row>
    <row r="180" spans="17:18">
      <c r="Q180" s="21">
        <f t="shared" si="12"/>
        <v>0</v>
      </c>
      <c r="R180" s="22">
        <f t="shared" si="13"/>
        <v>0</v>
      </c>
    </row>
    <row r="181" spans="17:18">
      <c r="Q181" s="21">
        <f t="shared" si="12"/>
        <v>0</v>
      </c>
      <c r="R181" s="22">
        <f t="shared" si="13"/>
        <v>0</v>
      </c>
    </row>
    <row r="182" spans="17:18">
      <c r="Q182" s="21">
        <f t="shared" si="12"/>
        <v>0</v>
      </c>
      <c r="R182" s="22">
        <f t="shared" si="13"/>
        <v>0</v>
      </c>
    </row>
    <row r="183" spans="17:18">
      <c r="Q183" s="21">
        <f t="shared" si="12"/>
        <v>0</v>
      </c>
      <c r="R183" s="22">
        <f t="shared" si="13"/>
        <v>0</v>
      </c>
    </row>
    <row r="184" spans="17:18">
      <c r="Q184" s="21">
        <f t="shared" si="12"/>
        <v>0</v>
      </c>
      <c r="R184" s="22">
        <f t="shared" si="13"/>
        <v>0</v>
      </c>
    </row>
    <row r="185" spans="17:18">
      <c r="Q185" s="21">
        <f t="shared" si="12"/>
        <v>0</v>
      </c>
      <c r="R185" s="22">
        <f t="shared" si="13"/>
        <v>0</v>
      </c>
    </row>
    <row r="186" spans="17:18">
      <c r="Q186" s="21">
        <f t="shared" si="12"/>
        <v>0</v>
      </c>
      <c r="R186" s="22">
        <f t="shared" si="13"/>
        <v>0</v>
      </c>
    </row>
    <row r="187" spans="17:18">
      <c r="Q187" s="21">
        <f t="shared" si="12"/>
        <v>0</v>
      </c>
      <c r="R187" s="22">
        <f t="shared" si="13"/>
        <v>0</v>
      </c>
    </row>
    <row r="188" spans="17:18">
      <c r="Q188" s="21">
        <f t="shared" si="12"/>
        <v>0</v>
      </c>
      <c r="R188" s="22">
        <f t="shared" si="13"/>
        <v>0</v>
      </c>
    </row>
    <row r="189" spans="17:18">
      <c r="Q189" s="21">
        <f t="shared" si="12"/>
        <v>0</v>
      </c>
      <c r="R189" s="22">
        <f t="shared" si="13"/>
        <v>0</v>
      </c>
    </row>
    <row r="190" spans="17:18">
      <c r="Q190" s="21">
        <f t="shared" si="12"/>
        <v>0</v>
      </c>
      <c r="R190" s="22">
        <f t="shared" si="13"/>
        <v>0</v>
      </c>
    </row>
    <row r="191" spans="17:18">
      <c r="Q191" s="21">
        <f t="shared" si="12"/>
        <v>0</v>
      </c>
      <c r="R191" s="22">
        <f t="shared" si="13"/>
        <v>0</v>
      </c>
    </row>
    <row r="192" spans="17:18">
      <c r="Q192" s="21">
        <f t="shared" si="12"/>
        <v>0</v>
      </c>
      <c r="R192" s="22">
        <f t="shared" si="13"/>
        <v>0</v>
      </c>
    </row>
    <row r="193" spans="17:18">
      <c r="Q193" s="21">
        <f t="shared" si="12"/>
        <v>0</v>
      </c>
      <c r="R193" s="22">
        <f t="shared" si="13"/>
        <v>0</v>
      </c>
    </row>
    <row r="194" spans="17:18">
      <c r="Q194" s="21">
        <f t="shared" si="12"/>
        <v>0</v>
      </c>
      <c r="R194" s="22">
        <f t="shared" si="13"/>
        <v>0</v>
      </c>
    </row>
    <row r="195" spans="17:18">
      <c r="Q195" s="21">
        <f t="shared" si="12"/>
        <v>0</v>
      </c>
      <c r="R195" s="22">
        <f t="shared" si="13"/>
        <v>0</v>
      </c>
    </row>
    <row r="196" spans="17:18">
      <c r="Q196" s="21">
        <f t="shared" si="12"/>
        <v>0</v>
      </c>
      <c r="R196" s="22">
        <f t="shared" si="13"/>
        <v>0</v>
      </c>
    </row>
    <row r="197" spans="17:18">
      <c r="Q197" s="21">
        <f t="shared" si="12"/>
        <v>0</v>
      </c>
      <c r="R197" s="22">
        <f t="shared" si="13"/>
        <v>0</v>
      </c>
    </row>
    <row r="198" spans="17:18">
      <c r="Q198" s="21">
        <f t="shared" si="12"/>
        <v>0</v>
      </c>
      <c r="R198" s="22">
        <f t="shared" si="13"/>
        <v>0</v>
      </c>
    </row>
    <row r="199" spans="17:18">
      <c r="Q199" s="21">
        <f t="shared" si="12"/>
        <v>0</v>
      </c>
      <c r="R199" s="22">
        <f t="shared" si="13"/>
        <v>0</v>
      </c>
    </row>
    <row r="200" spans="17:18">
      <c r="Q200" s="21">
        <f t="shared" si="12"/>
        <v>0</v>
      </c>
      <c r="R200" s="22">
        <f t="shared" si="13"/>
        <v>0</v>
      </c>
    </row>
    <row r="201" spans="17:18">
      <c r="Q201" s="21">
        <f t="shared" si="12"/>
        <v>0</v>
      </c>
      <c r="R201" s="22">
        <f t="shared" si="13"/>
        <v>0</v>
      </c>
    </row>
    <row r="202" spans="17:18">
      <c r="Q202" s="21">
        <f t="shared" si="12"/>
        <v>0</v>
      </c>
      <c r="R202" s="22">
        <f t="shared" si="13"/>
        <v>0</v>
      </c>
    </row>
    <row r="203" spans="17:18">
      <c r="Q203" s="21">
        <f t="shared" si="12"/>
        <v>0</v>
      </c>
      <c r="R203" s="22">
        <f t="shared" si="13"/>
        <v>0</v>
      </c>
    </row>
    <row r="204" spans="17:18">
      <c r="Q204" s="21">
        <f t="shared" si="12"/>
        <v>0</v>
      </c>
      <c r="R204" s="22">
        <f t="shared" si="13"/>
        <v>0</v>
      </c>
    </row>
    <row r="205" spans="17:18">
      <c r="Q205" s="21">
        <f t="shared" si="12"/>
        <v>0</v>
      </c>
      <c r="R205" s="22">
        <f t="shared" si="13"/>
        <v>0</v>
      </c>
    </row>
    <row r="206" spans="17:18">
      <c r="Q206" s="21">
        <f t="shared" si="12"/>
        <v>0</v>
      </c>
      <c r="R206" s="22">
        <f t="shared" si="13"/>
        <v>0</v>
      </c>
    </row>
    <row r="207" spans="17:18">
      <c r="Q207" s="21">
        <f t="shared" si="12"/>
        <v>0</v>
      </c>
      <c r="R207" s="22">
        <f t="shared" si="13"/>
        <v>0</v>
      </c>
    </row>
    <row r="208" spans="17:18">
      <c r="Q208" s="21">
        <f t="shared" si="12"/>
        <v>0</v>
      </c>
      <c r="R208" s="22">
        <f t="shared" si="13"/>
        <v>0</v>
      </c>
    </row>
    <row r="209" spans="17:18">
      <c r="Q209" s="21">
        <f t="shared" si="12"/>
        <v>0</v>
      </c>
      <c r="R209" s="22">
        <f t="shared" si="13"/>
        <v>0</v>
      </c>
    </row>
    <row r="210" spans="17:18">
      <c r="Q210" s="21">
        <f t="shared" si="12"/>
        <v>0</v>
      </c>
      <c r="R210" s="22">
        <f t="shared" si="13"/>
        <v>0</v>
      </c>
    </row>
    <row r="211" spans="17:18">
      <c r="Q211" s="8"/>
      <c r="R211" s="8"/>
    </row>
    <row r="212" spans="17:18">
      <c r="Q212" s="8"/>
      <c r="R212" s="8"/>
    </row>
    <row r="213" spans="17:18">
      <c r="Q213" s="8"/>
      <c r="R213" s="8"/>
    </row>
    <row r="214" spans="17:18">
      <c r="Q214" s="8"/>
      <c r="R214" s="8"/>
    </row>
    <row r="215" spans="17:18">
      <c r="Q215" s="8"/>
      <c r="R215" s="8"/>
    </row>
    <row r="216" spans="17:18">
      <c r="Q216" s="8"/>
      <c r="R216" s="8"/>
    </row>
    <row r="217" spans="17:18">
      <c r="Q217" s="8"/>
      <c r="R217" s="8"/>
    </row>
    <row r="218" spans="17:18">
      <c r="Q218" s="8"/>
      <c r="R218" s="8"/>
    </row>
    <row r="219" spans="17:18">
      <c r="Q219" s="8"/>
      <c r="R219" s="8"/>
    </row>
    <row r="220" spans="17:18">
      <c r="Q220" s="8"/>
      <c r="R220" s="8"/>
    </row>
    <row r="221" spans="17:18">
      <c r="Q221" s="8"/>
      <c r="R221" s="8"/>
    </row>
    <row r="222" spans="17:18">
      <c r="Q222" s="8"/>
      <c r="R222" s="8"/>
    </row>
    <row r="223" spans="17:18">
      <c r="Q223" s="8"/>
      <c r="R223" s="8"/>
    </row>
    <row r="224" spans="17:18">
      <c r="Q224" s="8"/>
      <c r="R224" s="8"/>
    </row>
    <row r="225" spans="17:18">
      <c r="Q225" s="8"/>
      <c r="R225" s="8"/>
    </row>
    <row r="226" spans="17:18">
      <c r="Q226" s="8"/>
      <c r="R226" s="8"/>
    </row>
    <row r="227" spans="17:18">
      <c r="Q227" s="8"/>
      <c r="R227" s="8"/>
    </row>
    <row r="228" spans="17:18">
      <c r="Q228" s="8"/>
      <c r="R228" s="8"/>
    </row>
    <row r="229" spans="17:18">
      <c r="Q229" s="8"/>
      <c r="R229" s="8"/>
    </row>
    <row r="230" spans="17:18">
      <c r="Q230" s="8"/>
      <c r="R230" s="8"/>
    </row>
    <row r="231" spans="17:18">
      <c r="Q231" s="8"/>
      <c r="R231" s="8"/>
    </row>
    <row r="232" spans="17:18">
      <c r="Q232" s="8"/>
      <c r="R232" s="8"/>
    </row>
    <row r="233" spans="17:18">
      <c r="Q233" s="8"/>
      <c r="R233" s="8"/>
    </row>
    <row r="234" spans="17:18">
      <c r="Q234" s="8"/>
      <c r="R234" s="8"/>
    </row>
    <row r="235" spans="17:18">
      <c r="Q235" s="8"/>
      <c r="R235" s="8"/>
    </row>
    <row r="236" spans="17:18">
      <c r="Q236" s="8"/>
      <c r="R236" s="8"/>
    </row>
    <row r="237" spans="17:18">
      <c r="Q237" s="8"/>
      <c r="R237" s="8"/>
    </row>
    <row r="238" spans="17:18">
      <c r="Q238" s="8"/>
      <c r="R238" s="8"/>
    </row>
    <row r="239" spans="17:18">
      <c r="Q239" s="8"/>
      <c r="R239" s="8"/>
    </row>
    <row r="240" spans="17:18">
      <c r="Q240" s="8"/>
      <c r="R240" s="8"/>
    </row>
    <row r="241" spans="17:18">
      <c r="Q241" s="8"/>
      <c r="R241" s="8"/>
    </row>
    <row r="242" spans="17:18">
      <c r="Q242" s="8"/>
      <c r="R242" s="8"/>
    </row>
    <row r="243" spans="17:18">
      <c r="Q243" s="8"/>
      <c r="R243" s="8"/>
    </row>
    <row r="244" spans="17:18">
      <c r="Q244" s="8"/>
      <c r="R244" s="8"/>
    </row>
    <row r="245" spans="17:18">
      <c r="Q245" s="8"/>
      <c r="R245" s="8"/>
    </row>
    <row r="246" spans="17:18">
      <c r="Q246" s="8"/>
      <c r="R246" s="8"/>
    </row>
    <row r="247" spans="17:18">
      <c r="Q247" s="8"/>
      <c r="R247" s="8"/>
    </row>
    <row r="248" spans="17:18">
      <c r="Q248" s="8"/>
      <c r="R248" s="8"/>
    </row>
    <row r="249" spans="17:18">
      <c r="Q249" s="8"/>
      <c r="R249" s="8"/>
    </row>
    <row r="250" spans="17:18">
      <c r="Q250" s="8"/>
      <c r="R250" s="8"/>
    </row>
    <row r="251" spans="17:18">
      <c r="Q251" s="8"/>
      <c r="R251" s="8"/>
    </row>
    <row r="252" spans="17:18">
      <c r="Q252" s="8"/>
      <c r="R252" s="8"/>
    </row>
    <row r="253" spans="17:18">
      <c r="Q253" s="8"/>
      <c r="R253" s="8"/>
    </row>
    <row r="254" spans="17:18">
      <c r="Q254" s="8"/>
      <c r="R254" s="8"/>
    </row>
    <row r="255" spans="17:18">
      <c r="Q255" s="8"/>
      <c r="R255" s="8"/>
    </row>
    <row r="256" spans="17:18">
      <c r="Q256" s="8"/>
      <c r="R256" s="8"/>
    </row>
    <row r="257" spans="17:18">
      <c r="Q257" s="8"/>
      <c r="R257" s="8"/>
    </row>
    <row r="258" spans="17:18">
      <c r="Q258" s="8"/>
      <c r="R258" s="8"/>
    </row>
    <row r="259" spans="17:18">
      <c r="Q259" s="8"/>
      <c r="R259" s="8"/>
    </row>
    <row r="260" spans="17:18">
      <c r="Q260" s="8"/>
      <c r="R260" s="8"/>
    </row>
    <row r="261" spans="17:18">
      <c r="Q261" s="8"/>
      <c r="R261" s="8"/>
    </row>
    <row r="262" spans="17:18">
      <c r="Q262" s="8"/>
      <c r="R262" s="8"/>
    </row>
    <row r="263" spans="17:18">
      <c r="Q263" s="8"/>
      <c r="R263" s="8"/>
    </row>
    <row r="264" spans="17:18">
      <c r="Q264" s="8"/>
      <c r="R264" s="8"/>
    </row>
    <row r="265" spans="17:18">
      <c r="Q265" s="8"/>
      <c r="R265" s="8"/>
    </row>
    <row r="266" spans="17:18">
      <c r="Q266" s="8"/>
      <c r="R266" s="8"/>
    </row>
    <row r="267" spans="17:18">
      <c r="Q267" s="8"/>
      <c r="R267" s="8"/>
    </row>
    <row r="268" spans="17:18">
      <c r="Q268" s="8"/>
      <c r="R268" s="8"/>
    </row>
    <row r="269" spans="17:18">
      <c r="Q269" s="8"/>
      <c r="R269" s="8"/>
    </row>
    <row r="270" spans="17:18">
      <c r="Q270" s="8"/>
      <c r="R270" s="8"/>
    </row>
    <row r="271" spans="17:18">
      <c r="Q271" s="8"/>
      <c r="R271" s="8"/>
    </row>
    <row r="272" spans="17:18">
      <c r="Q272" s="8"/>
      <c r="R272" s="8"/>
    </row>
    <row r="273" spans="17:18">
      <c r="Q273" s="8"/>
      <c r="R273" s="8"/>
    </row>
    <row r="274" spans="17:18">
      <c r="Q274" s="8"/>
      <c r="R274" s="8"/>
    </row>
    <row r="275" spans="17:18">
      <c r="Q275" s="8"/>
      <c r="R275" s="8"/>
    </row>
    <row r="276" spans="17:18">
      <c r="Q276" s="8"/>
      <c r="R276" s="8"/>
    </row>
    <row r="277" spans="17:18">
      <c r="Q277" s="8"/>
      <c r="R277" s="8"/>
    </row>
    <row r="278" spans="17:18">
      <c r="Q278" s="8"/>
      <c r="R278" s="8"/>
    </row>
    <row r="279" spans="17:18">
      <c r="Q279" s="8"/>
      <c r="R279" s="8"/>
    </row>
    <row r="280" spans="17:18">
      <c r="Q280" s="8"/>
      <c r="R280" s="8"/>
    </row>
    <row r="281" spans="17:18">
      <c r="Q281" s="8"/>
      <c r="R281" s="8"/>
    </row>
    <row r="282" spans="17:18">
      <c r="Q282" s="8"/>
      <c r="R282" s="8"/>
    </row>
    <row r="283" spans="17:18">
      <c r="Q283" s="8"/>
      <c r="R283" s="8"/>
    </row>
    <row r="284" spans="17:18">
      <c r="Q284" s="8"/>
      <c r="R284" s="8"/>
    </row>
    <row r="285" spans="17:18">
      <c r="Q285" s="8"/>
      <c r="R285" s="8"/>
    </row>
    <row r="286" spans="17:18">
      <c r="Q286" s="8"/>
      <c r="R286" s="8"/>
    </row>
    <row r="287" spans="17:18">
      <c r="Q287" s="8"/>
      <c r="R287" s="8"/>
    </row>
    <row r="288" spans="17:18">
      <c r="Q288" s="8"/>
      <c r="R288" s="8"/>
    </row>
    <row r="289" spans="17:18">
      <c r="Q289" s="8"/>
      <c r="R289" s="8"/>
    </row>
    <row r="290" spans="17:18">
      <c r="Q290" s="8"/>
      <c r="R290" s="8"/>
    </row>
    <row r="291" spans="17:18">
      <c r="Q291" s="8"/>
      <c r="R291" s="8"/>
    </row>
    <row r="292" spans="17:18">
      <c r="Q292" s="8"/>
      <c r="R292" s="8"/>
    </row>
    <row r="293" spans="17:18">
      <c r="Q293" s="8"/>
      <c r="R293" s="8"/>
    </row>
    <row r="294" spans="17:18">
      <c r="Q294" s="8"/>
      <c r="R294" s="8"/>
    </row>
    <row r="295" spans="17:18">
      <c r="Q295" s="8"/>
      <c r="R295" s="8"/>
    </row>
    <row r="296" spans="17:18">
      <c r="Q296" s="8"/>
      <c r="R296" s="8"/>
    </row>
    <row r="297" spans="17:18">
      <c r="Q297" s="8"/>
      <c r="R297" s="8"/>
    </row>
    <row r="298" spans="17:18">
      <c r="Q298" s="8"/>
      <c r="R298" s="8"/>
    </row>
    <row r="299" spans="17:18">
      <c r="Q299" s="8"/>
      <c r="R299" s="8"/>
    </row>
    <row r="300" spans="17:18">
      <c r="Q300" s="8"/>
      <c r="R300" s="8"/>
    </row>
    <row r="301" spans="17:18">
      <c r="Q301" s="8"/>
      <c r="R301" s="8"/>
    </row>
    <row r="302" spans="17:18">
      <c r="Q302" s="8"/>
      <c r="R302" s="8"/>
    </row>
    <row r="303" spans="17:18">
      <c r="Q303" s="8"/>
      <c r="R303" s="8"/>
    </row>
    <row r="304" spans="17:18">
      <c r="Q304" s="8"/>
      <c r="R304" s="8"/>
    </row>
    <row r="305" spans="17:18">
      <c r="Q305" s="8"/>
      <c r="R305" s="8"/>
    </row>
    <row r="306" spans="17:18">
      <c r="Q306" s="8"/>
      <c r="R306" s="8"/>
    </row>
    <row r="307" spans="17:18">
      <c r="Q307" s="8"/>
      <c r="R307" s="8"/>
    </row>
    <row r="308" spans="17:18">
      <c r="Q308" s="8"/>
      <c r="R308" s="8"/>
    </row>
    <row r="309" spans="17:18">
      <c r="Q309" s="8"/>
      <c r="R309" s="8"/>
    </row>
    <row r="310" spans="17:18">
      <c r="Q310" s="8"/>
      <c r="R310" s="8"/>
    </row>
    <row r="311" spans="17:18">
      <c r="Q311" s="8"/>
      <c r="R311" s="8"/>
    </row>
    <row r="312" spans="17:18">
      <c r="Q312" s="8"/>
      <c r="R312" s="8"/>
    </row>
    <row r="313" spans="17:18">
      <c r="Q313" s="8"/>
      <c r="R313" s="8"/>
    </row>
    <row r="314" spans="17:18">
      <c r="Q314" s="8"/>
      <c r="R314" s="8"/>
    </row>
    <row r="315" spans="17:18">
      <c r="Q315" s="8"/>
      <c r="R315" s="8"/>
    </row>
    <row r="316" spans="17:18">
      <c r="Q316" s="8"/>
      <c r="R316" s="8"/>
    </row>
    <row r="317" spans="17:18">
      <c r="Q317" s="8"/>
      <c r="R317" s="8"/>
    </row>
    <row r="318" spans="17:18">
      <c r="Q318" s="8"/>
      <c r="R318" s="8"/>
    </row>
    <row r="319" spans="17:18">
      <c r="Q319" s="8"/>
      <c r="R319" s="8"/>
    </row>
    <row r="320" spans="17:18">
      <c r="Q320" s="8"/>
      <c r="R320" s="8"/>
    </row>
    <row r="321" spans="17:18">
      <c r="Q321" s="8"/>
      <c r="R321" s="8"/>
    </row>
    <row r="322" spans="17:18">
      <c r="Q322" s="8"/>
      <c r="R322" s="8"/>
    </row>
    <row r="323" spans="17:18">
      <c r="Q323" s="8"/>
      <c r="R323" s="8"/>
    </row>
    <row r="324" spans="17:18">
      <c r="Q324" s="8"/>
      <c r="R324" s="8"/>
    </row>
    <row r="325" spans="17:18">
      <c r="Q325" s="8"/>
      <c r="R325" s="8"/>
    </row>
    <row r="326" spans="17:18">
      <c r="Q326" s="8"/>
      <c r="R326" s="8"/>
    </row>
    <row r="327" spans="17:18">
      <c r="Q327" s="8"/>
      <c r="R327" s="8"/>
    </row>
    <row r="328" spans="17:18">
      <c r="Q328" s="8"/>
      <c r="R328" s="8"/>
    </row>
    <row r="329" spans="17:18">
      <c r="Q329" s="8"/>
      <c r="R329" s="8"/>
    </row>
    <row r="330" spans="17:18">
      <c r="Q330" s="8"/>
      <c r="R330" s="8"/>
    </row>
    <row r="331" spans="17:18">
      <c r="Q331" s="8"/>
      <c r="R331" s="8"/>
    </row>
    <row r="332" spans="17:18">
      <c r="Q332" s="8"/>
      <c r="R332" s="8"/>
    </row>
    <row r="333" spans="17:18">
      <c r="Q333" s="8"/>
      <c r="R333" s="8"/>
    </row>
    <row r="334" spans="17:18">
      <c r="Q334" s="8"/>
      <c r="R334" s="8"/>
    </row>
    <row r="335" spans="17:18">
      <c r="Q335" s="8"/>
      <c r="R335" s="8"/>
    </row>
    <row r="336" spans="17:18">
      <c r="Q336" s="8"/>
      <c r="R336" s="8"/>
    </row>
    <row r="337" spans="17:18">
      <c r="Q337" s="8"/>
      <c r="R337" s="8"/>
    </row>
    <row r="338" spans="17:18">
      <c r="Q338" s="8"/>
      <c r="R338" s="8"/>
    </row>
    <row r="339" spans="17:18">
      <c r="Q339" s="8"/>
      <c r="R339" s="8"/>
    </row>
    <row r="340" spans="17:18">
      <c r="Q340" s="8"/>
      <c r="R340" s="8"/>
    </row>
    <row r="341" spans="17:18">
      <c r="Q341" s="8"/>
      <c r="R341" s="8"/>
    </row>
    <row r="342" spans="17:18">
      <c r="Q342" s="8"/>
      <c r="R342" s="8"/>
    </row>
    <row r="343" spans="17:18">
      <c r="Q343" s="8"/>
      <c r="R343" s="8"/>
    </row>
    <row r="344" spans="17:18">
      <c r="Q344" s="8"/>
      <c r="R344" s="8"/>
    </row>
    <row r="345" spans="17:18">
      <c r="Q345" s="8"/>
      <c r="R345" s="8"/>
    </row>
    <row r="346" spans="17:18">
      <c r="Q346" s="8"/>
      <c r="R346" s="8"/>
    </row>
    <row r="347" spans="17:18">
      <c r="Q347" s="8"/>
      <c r="R347" s="8"/>
    </row>
    <row r="348" spans="17:18">
      <c r="Q348" s="8"/>
      <c r="R348" s="8"/>
    </row>
    <row r="349" spans="17:18">
      <c r="Q349" s="8"/>
      <c r="R349" s="8"/>
    </row>
    <row r="350" spans="17:18">
      <c r="Q350" s="8"/>
      <c r="R350" s="8"/>
    </row>
    <row r="351" spans="17:18">
      <c r="Q351" s="8"/>
      <c r="R351" s="8"/>
    </row>
    <row r="352" spans="17:18">
      <c r="Q352" s="8"/>
      <c r="R352" s="8"/>
    </row>
    <row r="353" spans="17:18">
      <c r="Q353" s="8"/>
      <c r="R353" s="8"/>
    </row>
    <row r="354" spans="17:18">
      <c r="Q354" s="8"/>
      <c r="R354" s="8"/>
    </row>
    <row r="355" spans="17:18">
      <c r="Q355" s="8"/>
      <c r="R355" s="8"/>
    </row>
    <row r="356" spans="17:18">
      <c r="Q356" s="8"/>
      <c r="R356" s="8"/>
    </row>
    <row r="357" spans="17:18">
      <c r="Q357" s="8"/>
      <c r="R357" s="8"/>
    </row>
    <row r="358" spans="17:18">
      <c r="Q358" s="8"/>
      <c r="R358" s="8"/>
    </row>
    <row r="359" spans="17:18">
      <c r="Q359" s="8"/>
      <c r="R359" s="8"/>
    </row>
    <row r="360" spans="17:18">
      <c r="Q360" s="8"/>
      <c r="R360" s="8"/>
    </row>
    <row r="361" spans="17:18">
      <c r="Q361" s="8"/>
      <c r="R361" s="8"/>
    </row>
    <row r="362" spans="17:18">
      <c r="Q362" s="8"/>
      <c r="R362" s="8"/>
    </row>
    <row r="363" spans="17:18">
      <c r="Q363" s="8"/>
      <c r="R363" s="8"/>
    </row>
    <row r="364" spans="17:18">
      <c r="Q364" s="8"/>
      <c r="R364" s="8"/>
    </row>
    <row r="365" spans="17:18">
      <c r="Q365" s="8"/>
      <c r="R365" s="8"/>
    </row>
    <row r="366" spans="17:18">
      <c r="Q366" s="8"/>
      <c r="R366" s="8"/>
    </row>
    <row r="367" spans="17:18">
      <c r="Q367" s="8"/>
      <c r="R367" s="8"/>
    </row>
    <row r="368" spans="17:18">
      <c r="Q368" s="8"/>
      <c r="R368" s="8"/>
    </row>
  </sheetData>
  <autoFilter ref="B2:P94">
    <filterColumn colId="7"/>
    <filterColumn colId="8"/>
    <filterColumn colId="9"/>
    <filterColumn colId="10"/>
  </autoFilter>
  <sortState ref="A3:P93">
    <sortCondition ref="B3:B93"/>
    <sortCondition ref="I3:I93"/>
  </sortState>
  <mergeCells count="2">
    <mergeCell ref="F1:I1"/>
    <mergeCell ref="D1:E1"/>
  </mergeCells>
  <phoneticPr fontId="175" type="noConversion"/>
  <pageMargins left="0.2" right="0.19" top="0.19" bottom="0.984251969" header="0.17" footer="0.4921259845"/>
  <pageSetup paperSize="9" orientation="landscape" r:id="rId1"/>
  <headerFooter alignWithMargins="0"/>
  <ignoredErrors>
    <ignoredError sqref="R4:R5" formula="1"/>
  </ignoredError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Q572"/>
  <sheetViews>
    <sheetView zoomScale="130" zoomScaleNormal="130" workbookViewId="0">
      <pane ySplit="2" topLeftCell="A80" activePane="bottomLeft" state="frozen"/>
      <selection pane="bottomLeft" activeCell="G3" sqref="G3:G88"/>
    </sheetView>
  </sheetViews>
  <sheetFormatPr baseColWidth="10" defaultRowHeight="13.2"/>
  <cols>
    <col min="1" max="1" width="2" style="3" customWidth="1"/>
    <col min="2" max="2" width="14.33203125" style="6" customWidth="1"/>
    <col min="3" max="3" width="21.109375" customWidth="1"/>
    <col min="4" max="4" width="11.5546875" style="6" customWidth="1"/>
    <col min="5" max="5" width="4.109375" customWidth="1"/>
    <col min="6" max="6" width="4.44140625" customWidth="1"/>
    <col min="7" max="7" width="31.33203125" customWidth="1"/>
    <col min="8" max="8" width="5.5546875" customWidth="1"/>
    <col min="9" max="9" width="11.6640625" customWidth="1"/>
    <col min="10" max="10" width="9.33203125" style="159" hidden="1" customWidth="1"/>
    <col min="11" max="11" width="12.44140625" style="13" customWidth="1"/>
    <col min="12" max="12" width="6.109375" style="13" customWidth="1"/>
    <col min="13" max="13" width="13.88671875" style="10" customWidth="1"/>
    <col min="14" max="14" width="14.44140625" style="6" customWidth="1"/>
    <col min="15" max="15" width="6.6640625" style="46" customWidth="1"/>
    <col min="16" max="16" width="15.44140625" style="45" bestFit="1" customWidth="1"/>
    <col min="17" max="17" width="20.5546875" style="45" bestFit="1" customWidth="1"/>
  </cols>
  <sheetData>
    <row r="1" spans="1:17" ht="15" thickBot="1">
      <c r="A1" s="44"/>
      <c r="B1" s="40" t="s">
        <v>20</v>
      </c>
      <c r="C1" s="83" t="s">
        <v>18</v>
      </c>
      <c r="D1" s="827" t="s">
        <v>19</v>
      </c>
      <c r="E1" s="828"/>
      <c r="F1" s="815" t="s">
        <v>13</v>
      </c>
      <c r="G1" s="823"/>
      <c r="H1" s="823"/>
      <c r="I1" s="823"/>
      <c r="J1" s="829"/>
      <c r="K1" s="823"/>
      <c r="L1" s="824"/>
      <c r="M1" s="62">
        <f>SUBTOTAL(9,F3:F285)</f>
        <v>201</v>
      </c>
      <c r="N1" s="79">
        <v>7</v>
      </c>
      <c r="O1" s="84">
        <v>19</v>
      </c>
    </row>
    <row r="2" spans="1:17" ht="15" thickBot="1">
      <c r="A2" s="44"/>
      <c r="B2" s="42" t="s">
        <v>1</v>
      </c>
      <c r="C2" s="43" t="s">
        <v>2</v>
      </c>
      <c r="D2" s="42" t="s">
        <v>11</v>
      </c>
      <c r="E2" s="42" t="s">
        <v>3</v>
      </c>
      <c r="F2" s="42" t="s">
        <v>9</v>
      </c>
      <c r="G2" s="42" t="s">
        <v>4</v>
      </c>
      <c r="H2" s="42" t="s">
        <v>0</v>
      </c>
      <c r="I2" s="42" t="s">
        <v>10</v>
      </c>
      <c r="J2" s="152"/>
      <c r="K2" s="85" t="s">
        <v>44</v>
      </c>
      <c r="L2" s="85">
        <f>SUBTOTAL(9,F3:F4647)</f>
        <v>201</v>
      </c>
      <c r="M2" s="63">
        <f>SUM(E3:E407)</f>
        <v>585</v>
      </c>
      <c r="N2" s="42"/>
      <c r="O2" s="86" t="s">
        <v>45</v>
      </c>
      <c r="P2" s="47" t="s">
        <v>129</v>
      </c>
      <c r="Q2" s="47" t="s">
        <v>130</v>
      </c>
    </row>
    <row r="3" spans="1:17" ht="13.8">
      <c r="B3" s="91" t="s">
        <v>276</v>
      </c>
      <c r="C3" s="89" t="s">
        <v>71</v>
      </c>
      <c r="D3" s="90">
        <v>42034</v>
      </c>
      <c r="E3" s="89">
        <v>2</v>
      </c>
      <c r="F3" s="89">
        <v>2</v>
      </c>
      <c r="G3" s="89" t="s">
        <v>116</v>
      </c>
      <c r="H3" s="89" t="s">
        <v>66</v>
      </c>
      <c r="I3" s="90">
        <v>42013</v>
      </c>
      <c r="J3" s="90"/>
      <c r="K3" s="102">
        <v>42031</v>
      </c>
      <c r="L3" s="73">
        <f t="shared" ref="L3:L14" si="0">IF(ISBLANK(K3),"",NETWORKDAYS(I3,K3))</f>
        <v>13</v>
      </c>
      <c r="M3" s="92" t="s">
        <v>36</v>
      </c>
      <c r="N3" s="93"/>
      <c r="P3" s="49">
        <f t="shared" ref="P3:P48" si="1">IF(ISBLANK(K3),0,SUM(K3,-I3))</f>
        <v>18</v>
      </c>
      <c r="Q3" s="50">
        <f t="shared" ref="Q3:Q48" si="2">IF(ISBLANK(O3),0,SUM(O3,-I3))</f>
        <v>0</v>
      </c>
    </row>
    <row r="4" spans="1:17" ht="13.8">
      <c r="B4" s="91" t="s">
        <v>276</v>
      </c>
      <c r="C4" s="89" t="s">
        <v>71</v>
      </c>
      <c r="D4" s="90">
        <v>42034</v>
      </c>
      <c r="E4" s="89">
        <v>1</v>
      </c>
      <c r="F4" s="89">
        <v>1</v>
      </c>
      <c r="G4" s="89" t="s">
        <v>116</v>
      </c>
      <c r="H4" s="89" t="s">
        <v>66</v>
      </c>
      <c r="I4" s="90">
        <v>42013</v>
      </c>
      <c r="J4" s="90"/>
      <c r="K4" s="102">
        <v>42031</v>
      </c>
      <c r="L4" s="73">
        <f t="shared" si="0"/>
        <v>13</v>
      </c>
      <c r="M4" s="92" t="s">
        <v>36</v>
      </c>
      <c r="N4" s="93"/>
      <c r="P4" s="49">
        <f t="shared" si="1"/>
        <v>18</v>
      </c>
      <c r="Q4" s="50">
        <f t="shared" si="2"/>
        <v>0</v>
      </c>
    </row>
    <row r="5" spans="1:17" ht="13.8">
      <c r="B5" s="115" t="s">
        <v>294</v>
      </c>
      <c r="C5" s="131" t="s">
        <v>51</v>
      </c>
      <c r="D5" s="144">
        <v>42034</v>
      </c>
      <c r="E5" s="131">
        <v>1</v>
      </c>
      <c r="F5" s="131">
        <v>1</v>
      </c>
      <c r="G5" s="131" t="s">
        <v>38</v>
      </c>
      <c r="H5" s="131" t="s">
        <v>23</v>
      </c>
      <c r="I5" s="132">
        <v>42019</v>
      </c>
      <c r="J5" s="132"/>
      <c r="K5" s="88">
        <v>42044</v>
      </c>
      <c r="L5" s="66">
        <f t="shared" si="0"/>
        <v>18</v>
      </c>
      <c r="M5" s="68" t="s">
        <v>123</v>
      </c>
      <c r="N5" s="69" t="s">
        <v>33</v>
      </c>
      <c r="O5" s="46">
        <v>42026</v>
      </c>
      <c r="P5" s="49">
        <f t="shared" si="1"/>
        <v>25</v>
      </c>
      <c r="Q5" s="50">
        <f t="shared" si="2"/>
        <v>7</v>
      </c>
    </row>
    <row r="6" spans="1:17" ht="13.8">
      <c r="B6" s="115" t="s">
        <v>295</v>
      </c>
      <c r="C6" s="131" t="s">
        <v>51</v>
      </c>
      <c r="D6" s="144">
        <v>42055</v>
      </c>
      <c r="E6" s="131">
        <v>1</v>
      </c>
      <c r="F6" s="131">
        <v>1</v>
      </c>
      <c r="G6" s="131" t="s">
        <v>88</v>
      </c>
      <c r="H6" s="131" t="s">
        <v>23</v>
      </c>
      <c r="I6" s="132">
        <v>42019</v>
      </c>
      <c r="J6" s="132"/>
      <c r="K6" s="88">
        <v>42044</v>
      </c>
      <c r="L6" s="66">
        <f t="shared" si="0"/>
        <v>18</v>
      </c>
      <c r="M6" s="68" t="s">
        <v>123</v>
      </c>
      <c r="N6" s="69" t="s">
        <v>33</v>
      </c>
      <c r="O6" s="46">
        <v>42026</v>
      </c>
      <c r="P6" s="49">
        <f t="shared" si="1"/>
        <v>25</v>
      </c>
      <c r="Q6" s="50">
        <f t="shared" si="2"/>
        <v>7</v>
      </c>
    </row>
    <row r="7" spans="1:17" ht="13.8">
      <c r="B7" s="96" t="s">
        <v>302</v>
      </c>
      <c r="C7" s="100" t="s">
        <v>63</v>
      </c>
      <c r="D7" s="98">
        <v>42044</v>
      </c>
      <c r="E7" s="97">
        <v>2</v>
      </c>
      <c r="F7" s="97">
        <v>2</v>
      </c>
      <c r="G7" s="100" t="s">
        <v>110</v>
      </c>
      <c r="H7" s="100" t="s">
        <v>30</v>
      </c>
      <c r="I7" s="98">
        <v>42020</v>
      </c>
      <c r="J7" s="98"/>
      <c r="K7" s="102">
        <v>42024</v>
      </c>
      <c r="L7" s="73">
        <f>IF(ISBLANK(K7),"",NETWORKDAYS(I7,K7))</f>
        <v>3</v>
      </c>
      <c r="M7" s="92" t="s">
        <v>36</v>
      </c>
      <c r="N7" s="101"/>
      <c r="P7" s="49">
        <f t="shared" si="1"/>
        <v>4</v>
      </c>
      <c r="Q7" s="50">
        <f t="shared" si="2"/>
        <v>0</v>
      </c>
    </row>
    <row r="8" spans="1:17" ht="13.8">
      <c r="B8" s="103" t="s">
        <v>303</v>
      </c>
      <c r="C8" s="126" t="s">
        <v>63</v>
      </c>
      <c r="D8" s="127">
        <v>42034</v>
      </c>
      <c r="E8" s="126">
        <v>1</v>
      </c>
      <c r="F8" s="126">
        <v>1</v>
      </c>
      <c r="G8" s="126" t="s">
        <v>111</v>
      </c>
      <c r="H8" s="126" t="s">
        <v>30</v>
      </c>
      <c r="I8" s="127">
        <v>42023</v>
      </c>
      <c r="J8" s="127"/>
      <c r="K8" s="87">
        <v>42037</v>
      </c>
      <c r="L8" s="73">
        <f t="shared" si="0"/>
        <v>11</v>
      </c>
      <c r="M8" s="75" t="s">
        <v>36</v>
      </c>
      <c r="N8" s="76"/>
      <c r="P8" s="49">
        <f t="shared" si="1"/>
        <v>14</v>
      </c>
      <c r="Q8" s="50">
        <f t="shared" si="2"/>
        <v>0</v>
      </c>
    </row>
    <row r="9" spans="1:17" ht="13.8">
      <c r="B9" s="103" t="s">
        <v>306</v>
      </c>
      <c r="C9" s="126" t="s">
        <v>29</v>
      </c>
      <c r="D9" s="108">
        <v>42054</v>
      </c>
      <c r="E9" s="126">
        <v>28</v>
      </c>
      <c r="F9" s="126">
        <v>28</v>
      </c>
      <c r="G9" s="126" t="s">
        <v>34</v>
      </c>
      <c r="H9" s="126" t="s">
        <v>30</v>
      </c>
      <c r="I9" s="127">
        <v>42024</v>
      </c>
      <c r="J9" s="162">
        <v>3284.23</v>
      </c>
      <c r="K9" s="87">
        <v>42066</v>
      </c>
      <c r="L9" s="73">
        <f t="shared" si="0"/>
        <v>31</v>
      </c>
      <c r="M9" s="75" t="s">
        <v>265</v>
      </c>
      <c r="N9" s="76"/>
      <c r="P9" s="49">
        <f t="shared" si="1"/>
        <v>42</v>
      </c>
      <c r="Q9" s="50">
        <f t="shared" si="2"/>
        <v>0</v>
      </c>
    </row>
    <row r="10" spans="1:17" ht="13.8">
      <c r="B10" s="103" t="s">
        <v>306</v>
      </c>
      <c r="C10" s="126" t="s">
        <v>307</v>
      </c>
      <c r="D10" s="108">
        <v>42054</v>
      </c>
      <c r="E10" s="126">
        <v>14</v>
      </c>
      <c r="F10" s="126"/>
      <c r="G10" s="126" t="s">
        <v>34</v>
      </c>
      <c r="H10" s="126" t="s">
        <v>30</v>
      </c>
      <c r="I10" s="127">
        <v>42024</v>
      </c>
      <c r="J10" s="162"/>
      <c r="K10" s="87">
        <v>42066</v>
      </c>
      <c r="L10" s="73">
        <f t="shared" si="0"/>
        <v>31</v>
      </c>
      <c r="M10" s="75"/>
      <c r="N10" s="76"/>
      <c r="P10" s="49">
        <f t="shared" si="1"/>
        <v>42</v>
      </c>
      <c r="Q10" s="50">
        <f t="shared" si="2"/>
        <v>0</v>
      </c>
    </row>
    <row r="11" spans="1:17" ht="13.8">
      <c r="B11" s="103" t="s">
        <v>306</v>
      </c>
      <c r="C11" s="126" t="s">
        <v>308</v>
      </c>
      <c r="D11" s="108">
        <v>42054</v>
      </c>
      <c r="E11" s="126">
        <v>56</v>
      </c>
      <c r="F11" s="126"/>
      <c r="G11" s="126" t="s">
        <v>34</v>
      </c>
      <c r="H11" s="126" t="s">
        <v>30</v>
      </c>
      <c r="I11" s="127">
        <v>42024</v>
      </c>
      <c r="J11" s="162"/>
      <c r="K11" s="87">
        <v>42066</v>
      </c>
      <c r="L11" s="73">
        <f t="shared" si="0"/>
        <v>31</v>
      </c>
      <c r="M11" s="75"/>
      <c r="N11" s="76"/>
      <c r="P11" s="49">
        <f t="shared" si="1"/>
        <v>42</v>
      </c>
      <c r="Q11" s="50">
        <f t="shared" si="2"/>
        <v>0</v>
      </c>
    </row>
    <row r="12" spans="1:17" ht="13.8">
      <c r="B12" s="103" t="s">
        <v>306</v>
      </c>
      <c r="C12" s="126" t="s">
        <v>309</v>
      </c>
      <c r="D12" s="108">
        <v>42054</v>
      </c>
      <c r="E12" s="126">
        <v>14</v>
      </c>
      <c r="F12" s="126"/>
      <c r="G12" s="126" t="s">
        <v>34</v>
      </c>
      <c r="H12" s="126" t="s">
        <v>30</v>
      </c>
      <c r="I12" s="127">
        <v>42024</v>
      </c>
      <c r="J12" s="162"/>
      <c r="K12" s="87">
        <v>42066</v>
      </c>
      <c r="L12" s="73">
        <f t="shared" si="0"/>
        <v>31</v>
      </c>
      <c r="M12" s="75"/>
      <c r="N12" s="76"/>
      <c r="P12" s="49">
        <f t="shared" si="1"/>
        <v>42</v>
      </c>
      <c r="Q12" s="50">
        <f t="shared" si="2"/>
        <v>0</v>
      </c>
    </row>
    <row r="13" spans="1:17" ht="13.8">
      <c r="B13" s="103" t="s">
        <v>306</v>
      </c>
      <c r="C13" s="126" t="s">
        <v>31</v>
      </c>
      <c r="D13" s="108">
        <v>42054</v>
      </c>
      <c r="E13" s="126">
        <v>28</v>
      </c>
      <c r="F13" s="126"/>
      <c r="G13" s="126" t="s">
        <v>34</v>
      </c>
      <c r="H13" s="126" t="s">
        <v>30</v>
      </c>
      <c r="I13" s="127">
        <v>42024</v>
      </c>
      <c r="J13" s="162"/>
      <c r="K13" s="87">
        <v>42066</v>
      </c>
      <c r="L13" s="73">
        <f t="shared" si="0"/>
        <v>31</v>
      </c>
      <c r="M13" s="75"/>
      <c r="N13" s="76"/>
      <c r="P13" s="49">
        <f t="shared" si="1"/>
        <v>42</v>
      </c>
      <c r="Q13" s="50">
        <f t="shared" si="2"/>
        <v>0</v>
      </c>
    </row>
    <row r="14" spans="1:17" ht="13.8">
      <c r="B14" s="141" t="s">
        <v>344</v>
      </c>
      <c r="C14" s="126" t="s">
        <v>345</v>
      </c>
      <c r="D14" s="108">
        <v>42072</v>
      </c>
      <c r="E14" s="126">
        <v>1</v>
      </c>
      <c r="F14" s="126">
        <v>1</v>
      </c>
      <c r="G14" s="126" t="s">
        <v>192</v>
      </c>
      <c r="H14" s="126" t="s">
        <v>251</v>
      </c>
      <c r="I14" s="127">
        <v>42024</v>
      </c>
      <c r="J14" s="127"/>
      <c r="K14" s="87">
        <v>42045</v>
      </c>
      <c r="L14" s="73">
        <f t="shared" si="0"/>
        <v>16</v>
      </c>
      <c r="M14" s="75" t="s">
        <v>266</v>
      </c>
      <c r="N14" s="76"/>
      <c r="P14" s="49">
        <f t="shared" si="1"/>
        <v>21</v>
      </c>
      <c r="Q14" s="50">
        <f t="shared" si="2"/>
        <v>0</v>
      </c>
    </row>
    <row r="15" spans="1:17" ht="13.8">
      <c r="B15" s="128" t="s">
        <v>322</v>
      </c>
      <c r="C15" s="129" t="s">
        <v>51</v>
      </c>
      <c r="D15" s="134">
        <v>42051</v>
      </c>
      <c r="E15" s="129">
        <v>2</v>
      </c>
      <c r="F15" s="129">
        <v>2</v>
      </c>
      <c r="G15" s="129" t="s">
        <v>248</v>
      </c>
      <c r="H15" s="129" t="s">
        <v>23</v>
      </c>
      <c r="I15" s="130">
        <v>42026</v>
      </c>
      <c r="J15" s="161">
        <v>1363.82</v>
      </c>
      <c r="K15" s="88">
        <v>42053</v>
      </c>
      <c r="L15" s="66">
        <f t="shared" ref="L15:L27" si="3">IF(ISBLANK(K15),"",NETWORKDAYS(I15,K15))</f>
        <v>20</v>
      </c>
      <c r="M15" s="68" t="s">
        <v>123</v>
      </c>
      <c r="N15" s="69" t="s">
        <v>34</v>
      </c>
      <c r="O15" s="46">
        <v>42034</v>
      </c>
      <c r="P15" s="49">
        <f t="shared" si="1"/>
        <v>27</v>
      </c>
      <c r="Q15" s="50">
        <f t="shared" si="2"/>
        <v>8</v>
      </c>
    </row>
    <row r="16" spans="1:17" ht="13.8">
      <c r="B16" s="122" t="s">
        <v>323</v>
      </c>
      <c r="C16" s="123" t="s">
        <v>71</v>
      </c>
      <c r="D16" s="133">
        <v>42058</v>
      </c>
      <c r="E16" s="123">
        <v>1</v>
      </c>
      <c r="F16" s="123">
        <v>1</v>
      </c>
      <c r="G16" s="123" t="s">
        <v>114</v>
      </c>
      <c r="H16" s="123" t="s">
        <v>30</v>
      </c>
      <c r="I16" s="124">
        <v>42026</v>
      </c>
      <c r="J16" s="124"/>
      <c r="K16" s="87">
        <v>42044</v>
      </c>
      <c r="L16" s="73">
        <f t="shared" si="3"/>
        <v>13</v>
      </c>
      <c r="M16" s="75" t="s">
        <v>36</v>
      </c>
      <c r="N16" s="76"/>
      <c r="P16" s="49">
        <f t="shared" si="1"/>
        <v>18</v>
      </c>
      <c r="Q16" s="50">
        <f t="shared" si="2"/>
        <v>0</v>
      </c>
    </row>
    <row r="17" spans="1:17" ht="13.8">
      <c r="B17" s="122" t="s">
        <v>323</v>
      </c>
      <c r="C17" s="123" t="s">
        <v>71</v>
      </c>
      <c r="D17" s="133">
        <v>42058</v>
      </c>
      <c r="E17" s="123">
        <v>3</v>
      </c>
      <c r="F17" s="123">
        <v>3</v>
      </c>
      <c r="G17" s="123" t="s">
        <v>114</v>
      </c>
      <c r="H17" s="123" t="s">
        <v>30</v>
      </c>
      <c r="I17" s="124">
        <v>42026</v>
      </c>
      <c r="J17" s="124"/>
      <c r="K17" s="87">
        <v>42044</v>
      </c>
      <c r="L17" s="73">
        <f t="shared" si="3"/>
        <v>13</v>
      </c>
      <c r="M17" s="75" t="s">
        <v>36</v>
      </c>
      <c r="N17" s="76"/>
      <c r="P17" s="49">
        <f t="shared" si="1"/>
        <v>18</v>
      </c>
      <c r="Q17" s="50">
        <f t="shared" si="2"/>
        <v>0</v>
      </c>
    </row>
    <row r="18" spans="1:17" ht="13.8">
      <c r="B18" s="122" t="s">
        <v>323</v>
      </c>
      <c r="C18" s="123" t="s">
        <v>32</v>
      </c>
      <c r="D18" s="133">
        <v>42058</v>
      </c>
      <c r="E18" s="123">
        <v>1</v>
      </c>
      <c r="F18" s="123">
        <v>1</v>
      </c>
      <c r="G18" s="123" t="s">
        <v>114</v>
      </c>
      <c r="H18" s="123" t="s">
        <v>30</v>
      </c>
      <c r="I18" s="124">
        <v>42026</v>
      </c>
      <c r="J18" s="124"/>
      <c r="K18" s="87">
        <v>42044</v>
      </c>
      <c r="L18" s="73">
        <f t="shared" si="3"/>
        <v>13</v>
      </c>
      <c r="M18" s="75" t="s">
        <v>36</v>
      </c>
      <c r="N18" s="76"/>
      <c r="P18" s="49">
        <f t="shared" si="1"/>
        <v>18</v>
      </c>
      <c r="Q18" s="50">
        <f t="shared" si="2"/>
        <v>0</v>
      </c>
    </row>
    <row r="19" spans="1:17" ht="13.8">
      <c r="B19" s="128" t="s">
        <v>328</v>
      </c>
      <c r="C19" s="129" t="s">
        <v>60</v>
      </c>
      <c r="D19" s="134">
        <v>42058</v>
      </c>
      <c r="E19" s="129">
        <v>1</v>
      </c>
      <c r="F19" s="129">
        <v>1</v>
      </c>
      <c r="G19" s="129" t="s">
        <v>329</v>
      </c>
      <c r="H19" s="129" t="s">
        <v>23</v>
      </c>
      <c r="I19" s="130">
        <v>42027</v>
      </c>
      <c r="J19" s="130"/>
      <c r="K19" s="88">
        <v>42044</v>
      </c>
      <c r="L19" s="66">
        <f t="shared" si="3"/>
        <v>12</v>
      </c>
      <c r="M19" s="68" t="s">
        <v>123</v>
      </c>
      <c r="N19" s="69" t="s">
        <v>35</v>
      </c>
      <c r="O19" s="46">
        <v>42032</v>
      </c>
      <c r="P19" s="49">
        <f t="shared" si="1"/>
        <v>17</v>
      </c>
      <c r="Q19" s="50">
        <f t="shared" si="2"/>
        <v>5</v>
      </c>
    </row>
    <row r="20" spans="1:17" ht="13.8">
      <c r="B20" s="170" t="s">
        <v>333</v>
      </c>
      <c r="C20" s="171" t="s">
        <v>32</v>
      </c>
      <c r="D20" s="172">
        <v>42058</v>
      </c>
      <c r="E20" s="171">
        <v>1</v>
      </c>
      <c r="F20" s="171">
        <v>1</v>
      </c>
      <c r="G20" s="171" t="s">
        <v>77</v>
      </c>
      <c r="H20" s="171" t="s">
        <v>30</v>
      </c>
      <c r="I20" s="173">
        <v>42030</v>
      </c>
      <c r="J20" s="163">
        <v>1369.8</v>
      </c>
      <c r="K20" s="235">
        <v>42065</v>
      </c>
      <c r="L20" s="174">
        <f t="shared" si="3"/>
        <v>26</v>
      </c>
      <c r="M20" s="175" t="s">
        <v>36</v>
      </c>
      <c r="N20" s="176"/>
      <c r="P20" s="49">
        <f t="shared" si="1"/>
        <v>35</v>
      </c>
      <c r="Q20" s="50">
        <f t="shared" si="2"/>
        <v>0</v>
      </c>
    </row>
    <row r="21" spans="1:17" ht="13.8">
      <c r="B21" s="164" t="s">
        <v>359</v>
      </c>
      <c r="C21" s="165" t="s">
        <v>49</v>
      </c>
      <c r="D21" s="166">
        <v>42060</v>
      </c>
      <c r="E21" s="165">
        <v>1</v>
      </c>
      <c r="F21" s="165">
        <v>1</v>
      </c>
      <c r="G21" s="165" t="s">
        <v>125</v>
      </c>
      <c r="H21" s="165" t="s">
        <v>30</v>
      </c>
      <c r="I21" s="167">
        <v>42041</v>
      </c>
      <c r="J21" s="168">
        <v>250.8</v>
      </c>
      <c r="K21" s="87">
        <v>42062</v>
      </c>
      <c r="L21" s="174">
        <f t="shared" si="3"/>
        <v>16</v>
      </c>
      <c r="M21" s="75" t="s">
        <v>36</v>
      </c>
      <c r="N21" s="76"/>
      <c r="P21" s="49">
        <f t="shared" si="1"/>
        <v>21</v>
      </c>
      <c r="Q21" s="50">
        <f t="shared" si="2"/>
        <v>0</v>
      </c>
    </row>
    <row r="22" spans="1:17" ht="13.8">
      <c r="B22" s="164" t="s">
        <v>354</v>
      </c>
      <c r="C22" s="165" t="s">
        <v>29</v>
      </c>
      <c r="D22" s="166">
        <v>42060</v>
      </c>
      <c r="E22" s="165">
        <v>1</v>
      </c>
      <c r="F22" s="165">
        <v>1</v>
      </c>
      <c r="G22" s="165" t="s">
        <v>124</v>
      </c>
      <c r="H22" s="165" t="s">
        <v>30</v>
      </c>
      <c r="I22" s="167">
        <v>42045</v>
      </c>
      <c r="J22" s="168">
        <v>403.75</v>
      </c>
      <c r="K22" s="87">
        <v>42079</v>
      </c>
      <c r="L22" s="174">
        <f t="shared" si="3"/>
        <v>25</v>
      </c>
      <c r="M22" s="75" t="s">
        <v>36</v>
      </c>
      <c r="N22" s="76"/>
      <c r="P22" s="49">
        <f t="shared" si="1"/>
        <v>34</v>
      </c>
      <c r="Q22" s="50">
        <f t="shared" si="2"/>
        <v>0</v>
      </c>
    </row>
    <row r="23" spans="1:17" ht="13.8">
      <c r="B23" s="178" t="s">
        <v>358</v>
      </c>
      <c r="C23" s="179" t="s">
        <v>92</v>
      </c>
      <c r="D23" s="180">
        <v>42069</v>
      </c>
      <c r="E23" s="179">
        <v>1</v>
      </c>
      <c r="F23" s="179">
        <v>1</v>
      </c>
      <c r="G23" s="179" t="s">
        <v>357</v>
      </c>
      <c r="H23" s="179" t="s">
        <v>23</v>
      </c>
      <c r="I23" s="181">
        <v>42046</v>
      </c>
      <c r="J23" s="150">
        <v>346.34</v>
      </c>
      <c r="K23" s="88">
        <v>42079</v>
      </c>
      <c r="L23" s="228">
        <f t="shared" si="3"/>
        <v>24</v>
      </c>
      <c r="M23" s="68" t="s">
        <v>123</v>
      </c>
      <c r="N23" s="69" t="s">
        <v>33</v>
      </c>
      <c r="O23" s="46">
        <v>42048</v>
      </c>
      <c r="P23" s="49">
        <f t="shared" si="1"/>
        <v>33</v>
      </c>
      <c r="Q23" s="50">
        <f t="shared" si="2"/>
        <v>2</v>
      </c>
    </row>
    <row r="24" spans="1:17" ht="13.8">
      <c r="B24" s="178" t="s">
        <v>356</v>
      </c>
      <c r="C24" s="179" t="s">
        <v>92</v>
      </c>
      <c r="D24" s="180">
        <v>42069</v>
      </c>
      <c r="E24" s="179">
        <v>1</v>
      </c>
      <c r="F24" s="179">
        <v>1</v>
      </c>
      <c r="G24" s="179" t="s">
        <v>357</v>
      </c>
      <c r="H24" s="179" t="s">
        <v>23</v>
      </c>
      <c r="I24" s="181">
        <v>42046</v>
      </c>
      <c r="J24" s="150">
        <v>346.34</v>
      </c>
      <c r="K24" s="88">
        <v>42079</v>
      </c>
      <c r="L24" s="228">
        <f t="shared" si="3"/>
        <v>24</v>
      </c>
      <c r="M24" s="68" t="s">
        <v>123</v>
      </c>
      <c r="N24" s="69" t="s">
        <v>33</v>
      </c>
      <c r="O24" s="46">
        <v>42048</v>
      </c>
      <c r="P24" s="49">
        <f t="shared" si="1"/>
        <v>33</v>
      </c>
      <c r="Q24" s="50">
        <f t="shared" si="2"/>
        <v>2</v>
      </c>
    </row>
    <row r="25" spans="1:17" ht="13.8">
      <c r="A25" s="3" t="s">
        <v>122</v>
      </c>
      <c r="B25" s="215" t="s">
        <v>386</v>
      </c>
      <c r="C25" s="217" t="s">
        <v>60</v>
      </c>
      <c r="D25" s="216">
        <v>42072</v>
      </c>
      <c r="E25" s="217">
        <v>1</v>
      </c>
      <c r="F25" s="217">
        <v>1</v>
      </c>
      <c r="G25" s="217" t="s">
        <v>88</v>
      </c>
      <c r="H25" s="217" t="s">
        <v>30</v>
      </c>
      <c r="I25" s="218">
        <v>42052</v>
      </c>
      <c r="J25" s="207">
        <v>224.1</v>
      </c>
      <c r="K25" s="88">
        <v>42079</v>
      </c>
      <c r="L25" s="228">
        <f t="shared" si="3"/>
        <v>20</v>
      </c>
      <c r="M25" s="68" t="s">
        <v>123</v>
      </c>
      <c r="N25" s="69" t="s">
        <v>33</v>
      </c>
      <c r="O25" s="46">
        <v>42054</v>
      </c>
      <c r="P25" s="49">
        <f t="shared" si="1"/>
        <v>27</v>
      </c>
      <c r="Q25" s="50">
        <f t="shared" si="2"/>
        <v>2</v>
      </c>
    </row>
    <row r="26" spans="1:17" ht="13.8">
      <c r="B26" s="224" t="s">
        <v>397</v>
      </c>
      <c r="C26" s="222" t="s">
        <v>29</v>
      </c>
      <c r="D26" s="225">
        <v>42072</v>
      </c>
      <c r="E26" s="222">
        <v>8</v>
      </c>
      <c r="F26" s="222">
        <v>8</v>
      </c>
      <c r="G26" s="222" t="s">
        <v>34</v>
      </c>
      <c r="H26" s="222" t="s">
        <v>30</v>
      </c>
      <c r="I26" s="223">
        <v>42054</v>
      </c>
      <c r="J26" s="221">
        <v>857.28</v>
      </c>
      <c r="K26" s="230">
        <v>42080</v>
      </c>
      <c r="L26" s="73">
        <f t="shared" si="3"/>
        <v>19</v>
      </c>
      <c r="M26" s="225" t="s">
        <v>265</v>
      </c>
      <c r="N26" s="225"/>
      <c r="P26" s="49">
        <f t="shared" si="1"/>
        <v>26</v>
      </c>
      <c r="Q26" s="50">
        <f t="shared" si="2"/>
        <v>0</v>
      </c>
    </row>
    <row r="27" spans="1:17" ht="13.8">
      <c r="B27" s="287" t="s">
        <v>402</v>
      </c>
      <c r="C27" s="250" t="s">
        <v>51</v>
      </c>
      <c r="D27" s="233">
        <v>42093</v>
      </c>
      <c r="E27" s="250">
        <v>1</v>
      </c>
      <c r="F27" s="250">
        <v>1</v>
      </c>
      <c r="G27" s="250" t="s">
        <v>196</v>
      </c>
      <c r="H27" s="250" t="s">
        <v>251</v>
      </c>
      <c r="I27" s="251">
        <v>42060</v>
      </c>
      <c r="J27" s="234">
        <v>547.20000000000005</v>
      </c>
      <c r="K27" s="88">
        <v>42094</v>
      </c>
      <c r="L27" s="66">
        <f t="shared" si="3"/>
        <v>25</v>
      </c>
      <c r="M27" s="68" t="s">
        <v>123</v>
      </c>
      <c r="N27" s="69" t="s">
        <v>35</v>
      </c>
      <c r="O27" s="46">
        <v>42069</v>
      </c>
      <c r="P27" s="49">
        <f t="shared" si="1"/>
        <v>34</v>
      </c>
      <c r="Q27" s="50">
        <f t="shared" si="2"/>
        <v>9</v>
      </c>
    </row>
    <row r="28" spans="1:17" ht="13.8">
      <c r="A28" s="3" t="s">
        <v>122</v>
      </c>
      <c r="B28" s="245" t="s">
        <v>415</v>
      </c>
      <c r="C28" s="246" t="s">
        <v>92</v>
      </c>
      <c r="D28" s="247">
        <v>42083</v>
      </c>
      <c r="E28" s="246">
        <v>2</v>
      </c>
      <c r="F28" s="246">
        <v>2</v>
      </c>
      <c r="G28" s="246" t="s">
        <v>106</v>
      </c>
      <c r="H28" s="246" t="s">
        <v>23</v>
      </c>
      <c r="I28" s="248">
        <v>42065</v>
      </c>
      <c r="J28" s="236">
        <v>627.74</v>
      </c>
      <c r="K28" s="88">
        <v>42080</v>
      </c>
      <c r="L28" s="66">
        <f>IF(ISBLANK(K28),"",NETWORKDAYS(I28,K28))</f>
        <v>12</v>
      </c>
      <c r="M28" s="68" t="s">
        <v>123</v>
      </c>
      <c r="N28" s="69" t="s">
        <v>33</v>
      </c>
      <c r="O28" s="46">
        <v>42067</v>
      </c>
      <c r="P28" s="49">
        <f t="shared" si="1"/>
        <v>15</v>
      </c>
      <c r="Q28" s="50">
        <f t="shared" si="2"/>
        <v>2</v>
      </c>
    </row>
    <row r="29" spans="1:17" ht="13.8">
      <c r="A29" s="3" t="s">
        <v>122</v>
      </c>
      <c r="B29" s="245" t="s">
        <v>416</v>
      </c>
      <c r="C29" s="246" t="s">
        <v>51</v>
      </c>
      <c r="D29" s="247">
        <v>42093</v>
      </c>
      <c r="E29" s="246">
        <v>1</v>
      </c>
      <c r="F29" s="246">
        <v>1</v>
      </c>
      <c r="G29" s="246" t="s">
        <v>188</v>
      </c>
      <c r="H29" s="246" t="s">
        <v>23</v>
      </c>
      <c r="I29" s="248">
        <v>42067</v>
      </c>
      <c r="J29" s="236">
        <v>880.2</v>
      </c>
      <c r="K29" s="88">
        <v>42086</v>
      </c>
      <c r="L29" s="66">
        <f>IF(ISBLANK(K29),"",NETWORKDAYS(I29,K29))</f>
        <v>14</v>
      </c>
      <c r="M29" s="68" t="s">
        <v>123</v>
      </c>
      <c r="N29" s="69" t="s">
        <v>35</v>
      </c>
      <c r="O29" s="46">
        <v>42075</v>
      </c>
      <c r="P29" s="49">
        <f t="shared" si="1"/>
        <v>19</v>
      </c>
      <c r="Q29" s="50">
        <f t="shared" si="2"/>
        <v>8</v>
      </c>
    </row>
    <row r="30" spans="1:17" ht="13.8">
      <c r="A30" s="3" t="s">
        <v>122</v>
      </c>
      <c r="B30" s="244" t="s">
        <v>414</v>
      </c>
      <c r="C30" s="252" t="s">
        <v>112</v>
      </c>
      <c r="D30" s="243">
        <v>42093</v>
      </c>
      <c r="E30" s="252">
        <v>3</v>
      </c>
      <c r="F30" s="252">
        <v>3</v>
      </c>
      <c r="G30" s="252" t="s">
        <v>268</v>
      </c>
      <c r="H30" s="252" t="s">
        <v>30</v>
      </c>
      <c r="I30" s="253">
        <v>42066</v>
      </c>
      <c r="J30" s="236">
        <v>765.9</v>
      </c>
      <c r="K30" s="87">
        <v>42093</v>
      </c>
      <c r="L30" s="73">
        <f t="shared" ref="L30:L36" si="4">IF(ISBLANK(K30),"",NETWORKDAYS(I30,K30))</f>
        <v>20</v>
      </c>
      <c r="M30" s="75" t="s">
        <v>36</v>
      </c>
      <c r="N30" s="76"/>
      <c r="P30" s="49">
        <f t="shared" si="1"/>
        <v>27</v>
      </c>
      <c r="Q30" s="50">
        <f t="shared" si="2"/>
        <v>0</v>
      </c>
    </row>
    <row r="31" spans="1:17" ht="13.8">
      <c r="B31" s="255" t="s">
        <v>431</v>
      </c>
      <c r="C31" s="260" t="s">
        <v>345</v>
      </c>
      <c r="D31" s="256">
        <v>42093</v>
      </c>
      <c r="E31" s="260">
        <v>1</v>
      </c>
      <c r="F31" s="260">
        <v>1</v>
      </c>
      <c r="G31" s="260" t="s">
        <v>89</v>
      </c>
      <c r="H31" s="260" t="s">
        <v>30</v>
      </c>
      <c r="I31" s="261">
        <v>42069</v>
      </c>
      <c r="J31" s="254">
        <v>339.6</v>
      </c>
      <c r="K31" s="87">
        <v>42083</v>
      </c>
      <c r="L31" s="73">
        <f t="shared" si="4"/>
        <v>11</v>
      </c>
      <c r="M31" s="75" t="s">
        <v>36</v>
      </c>
      <c r="N31" s="76"/>
      <c r="P31" s="49">
        <f t="shared" si="1"/>
        <v>14</v>
      </c>
      <c r="Q31" s="50">
        <f t="shared" si="2"/>
        <v>0</v>
      </c>
    </row>
    <row r="32" spans="1:17" ht="13.8">
      <c r="B32" s="263" t="s">
        <v>436</v>
      </c>
      <c r="C32" s="264" t="s">
        <v>63</v>
      </c>
      <c r="D32" s="265">
        <v>42079</v>
      </c>
      <c r="E32" s="264">
        <v>1</v>
      </c>
      <c r="F32" s="264">
        <v>1</v>
      </c>
      <c r="G32" s="264" t="s">
        <v>133</v>
      </c>
      <c r="H32" s="264" t="s">
        <v>30</v>
      </c>
      <c r="I32" s="266">
        <v>42072</v>
      </c>
      <c r="J32" s="262">
        <v>443.87</v>
      </c>
      <c r="K32" s="87">
        <v>42079</v>
      </c>
      <c r="L32" s="73">
        <f t="shared" si="4"/>
        <v>6</v>
      </c>
      <c r="M32" s="75" t="s">
        <v>36</v>
      </c>
      <c r="N32" s="76"/>
      <c r="P32" s="49">
        <f t="shared" si="1"/>
        <v>7</v>
      </c>
      <c r="Q32" s="50">
        <f t="shared" si="2"/>
        <v>0</v>
      </c>
    </row>
    <row r="33" spans="1:17" ht="13.8">
      <c r="B33" s="263" t="s">
        <v>436</v>
      </c>
      <c r="C33" s="264" t="s">
        <v>63</v>
      </c>
      <c r="D33" s="265">
        <v>42079</v>
      </c>
      <c r="E33" s="264">
        <v>1</v>
      </c>
      <c r="F33" s="264">
        <v>1</v>
      </c>
      <c r="G33" s="264" t="s">
        <v>133</v>
      </c>
      <c r="H33" s="264" t="s">
        <v>30</v>
      </c>
      <c r="I33" s="266">
        <v>42072</v>
      </c>
      <c r="J33" s="262">
        <v>336.71</v>
      </c>
      <c r="K33" s="87">
        <v>42079</v>
      </c>
      <c r="L33" s="73">
        <f t="shared" si="4"/>
        <v>6</v>
      </c>
      <c r="M33" s="75" t="s">
        <v>36</v>
      </c>
      <c r="N33" s="76"/>
      <c r="P33" s="49">
        <f t="shared" si="1"/>
        <v>7</v>
      </c>
      <c r="Q33" s="50">
        <f t="shared" si="2"/>
        <v>0</v>
      </c>
    </row>
    <row r="34" spans="1:17" ht="13.8">
      <c r="B34" s="263" t="s">
        <v>436</v>
      </c>
      <c r="C34" s="264" t="s">
        <v>63</v>
      </c>
      <c r="D34" s="265">
        <v>42079</v>
      </c>
      <c r="E34" s="264">
        <v>1</v>
      </c>
      <c r="F34" s="264">
        <v>1</v>
      </c>
      <c r="G34" s="264" t="s">
        <v>133</v>
      </c>
      <c r="H34" s="264" t="s">
        <v>30</v>
      </c>
      <c r="I34" s="266">
        <v>42072</v>
      </c>
      <c r="J34" s="262">
        <v>379.57</v>
      </c>
      <c r="K34" s="87">
        <v>42079</v>
      </c>
      <c r="L34" s="73">
        <f t="shared" si="4"/>
        <v>6</v>
      </c>
      <c r="M34" s="75" t="s">
        <v>36</v>
      </c>
      <c r="N34" s="76"/>
      <c r="P34" s="49">
        <f t="shared" si="1"/>
        <v>7</v>
      </c>
      <c r="Q34" s="50">
        <f t="shared" si="2"/>
        <v>0</v>
      </c>
    </row>
    <row r="35" spans="1:17" ht="13.8">
      <c r="B35" s="267" t="s">
        <v>435</v>
      </c>
      <c r="C35" s="264" t="s">
        <v>345</v>
      </c>
      <c r="D35" s="265">
        <v>42114</v>
      </c>
      <c r="E35" s="264">
        <v>1</v>
      </c>
      <c r="F35" s="264">
        <v>1</v>
      </c>
      <c r="G35" s="264" t="s">
        <v>124</v>
      </c>
      <c r="H35" s="264" t="s">
        <v>251</v>
      </c>
      <c r="I35" s="266">
        <v>42072</v>
      </c>
      <c r="K35" s="87">
        <v>42093</v>
      </c>
      <c r="L35" s="73">
        <f t="shared" si="4"/>
        <v>16</v>
      </c>
      <c r="M35" s="75" t="s">
        <v>36</v>
      </c>
      <c r="N35" s="76"/>
      <c r="P35" s="49">
        <f t="shared" si="1"/>
        <v>21</v>
      </c>
      <c r="Q35" s="50">
        <f t="shared" si="2"/>
        <v>0</v>
      </c>
    </row>
    <row r="36" spans="1:17" ht="13.8">
      <c r="B36" s="278" t="s">
        <v>439</v>
      </c>
      <c r="C36" s="279" t="s">
        <v>46</v>
      </c>
      <c r="D36" s="280">
        <v>42107</v>
      </c>
      <c r="E36" s="279">
        <v>6</v>
      </c>
      <c r="F36" s="279">
        <v>6</v>
      </c>
      <c r="G36" s="279" t="s">
        <v>82</v>
      </c>
      <c r="H36" s="279" t="s">
        <v>23</v>
      </c>
      <c r="I36" s="281">
        <v>42074</v>
      </c>
      <c r="K36" s="88">
        <v>42101</v>
      </c>
      <c r="L36" s="66">
        <f t="shared" si="4"/>
        <v>20</v>
      </c>
      <c r="M36" s="68" t="s">
        <v>123</v>
      </c>
      <c r="N36" s="69" t="s">
        <v>35</v>
      </c>
      <c r="O36" s="46">
        <v>42081</v>
      </c>
      <c r="P36" s="49">
        <f t="shared" si="1"/>
        <v>27</v>
      </c>
      <c r="Q36" s="50">
        <f t="shared" si="2"/>
        <v>7</v>
      </c>
    </row>
    <row r="37" spans="1:17" ht="13.8">
      <c r="B37" s="283" t="s">
        <v>473</v>
      </c>
      <c r="C37" s="284" t="s">
        <v>46</v>
      </c>
      <c r="D37" s="285">
        <v>42094</v>
      </c>
      <c r="E37" s="284">
        <v>2</v>
      </c>
      <c r="F37" s="284">
        <v>2</v>
      </c>
      <c r="G37" s="284" t="s">
        <v>5</v>
      </c>
      <c r="H37" s="284" t="s">
        <v>23</v>
      </c>
      <c r="I37" s="286">
        <v>42081</v>
      </c>
      <c r="J37" s="271">
        <v>1121.9100000000001</v>
      </c>
      <c r="K37" s="88">
        <v>42109</v>
      </c>
      <c r="L37" s="66">
        <f>IF(ISBLANK(K37),"",NETWORKDAYS(I37,K37))</f>
        <v>21</v>
      </c>
      <c r="M37" s="68" t="s">
        <v>123</v>
      </c>
      <c r="N37" s="69" t="s">
        <v>33</v>
      </c>
      <c r="O37" s="46">
        <v>42083</v>
      </c>
      <c r="P37" s="49">
        <f t="shared" si="1"/>
        <v>28</v>
      </c>
      <c r="Q37" s="50">
        <f t="shared" si="2"/>
        <v>2</v>
      </c>
    </row>
    <row r="38" spans="1:17" ht="13.8">
      <c r="B38" s="283" t="s">
        <v>473</v>
      </c>
      <c r="C38" s="284" t="s">
        <v>40</v>
      </c>
      <c r="D38" s="285">
        <v>42094</v>
      </c>
      <c r="E38" s="284">
        <v>1</v>
      </c>
      <c r="F38" s="284">
        <v>1</v>
      </c>
      <c r="G38" s="284" t="s">
        <v>5</v>
      </c>
      <c r="H38" s="284" t="s">
        <v>23</v>
      </c>
      <c r="I38" s="286">
        <v>42081</v>
      </c>
      <c r="J38" s="271">
        <v>140.11000000000001</v>
      </c>
      <c r="K38" s="88">
        <v>42109</v>
      </c>
      <c r="L38" s="66">
        <f>IF(ISBLANK(K38),"",NETWORKDAYS(I38,K38))</f>
        <v>21</v>
      </c>
      <c r="M38" s="68" t="s">
        <v>123</v>
      </c>
      <c r="N38" s="69" t="s">
        <v>33</v>
      </c>
      <c r="O38" s="46">
        <v>42083</v>
      </c>
      <c r="P38" s="49">
        <f t="shared" si="1"/>
        <v>28</v>
      </c>
      <c r="Q38" s="50">
        <f t="shared" si="2"/>
        <v>2</v>
      </c>
    </row>
    <row r="39" spans="1:17" ht="13.8">
      <c r="B39" s="274" t="s">
        <v>474</v>
      </c>
      <c r="C39" s="275" t="s">
        <v>63</v>
      </c>
      <c r="D39" s="276">
        <v>42114</v>
      </c>
      <c r="E39" s="275">
        <v>8</v>
      </c>
      <c r="F39" s="275">
        <v>8</v>
      </c>
      <c r="G39" s="275" t="s">
        <v>475</v>
      </c>
      <c r="H39" s="275" t="s">
        <v>30</v>
      </c>
      <c r="I39" s="282">
        <v>42082</v>
      </c>
      <c r="J39" s="148">
        <v>2546.21</v>
      </c>
      <c r="K39" s="87">
        <v>42102</v>
      </c>
      <c r="L39" s="73">
        <f>IF(ISBLANK(K39),"",NETWORKDAYS(I39,K39))</f>
        <v>15</v>
      </c>
      <c r="M39" s="75" t="s">
        <v>36</v>
      </c>
      <c r="N39" s="76"/>
      <c r="P39" s="49">
        <f t="shared" si="1"/>
        <v>20</v>
      </c>
      <c r="Q39" s="50">
        <f t="shared" si="2"/>
        <v>0</v>
      </c>
    </row>
    <row r="40" spans="1:17" ht="13.8">
      <c r="B40" s="291" t="s">
        <v>495</v>
      </c>
      <c r="C40" s="290" t="s">
        <v>49</v>
      </c>
      <c r="D40" s="292">
        <v>42100</v>
      </c>
      <c r="E40" s="290">
        <v>1</v>
      </c>
      <c r="F40" s="290">
        <v>1</v>
      </c>
      <c r="G40" s="290" t="s">
        <v>496</v>
      </c>
      <c r="H40" s="290" t="s">
        <v>30</v>
      </c>
      <c r="I40" s="293">
        <v>42088</v>
      </c>
      <c r="J40" s="289">
        <v>390.24</v>
      </c>
      <c r="K40" s="87">
        <v>42095</v>
      </c>
      <c r="L40" s="73">
        <f t="shared" ref="L40:L46" si="5">IF(ISBLANK(K40),"",NETWORKDAYS(I40,K40))</f>
        <v>6</v>
      </c>
      <c r="M40" s="75" t="s">
        <v>36</v>
      </c>
      <c r="N40" s="76"/>
      <c r="P40" s="49">
        <f t="shared" si="1"/>
        <v>7</v>
      </c>
      <c r="Q40" s="50">
        <f t="shared" si="2"/>
        <v>0</v>
      </c>
    </row>
    <row r="41" spans="1:17" ht="13.8">
      <c r="A41" s="3" t="s">
        <v>122</v>
      </c>
      <c r="B41" s="291" t="s">
        <v>493</v>
      </c>
      <c r="C41" s="290" t="s">
        <v>63</v>
      </c>
      <c r="D41" s="292">
        <v>42100</v>
      </c>
      <c r="E41" s="290">
        <v>1</v>
      </c>
      <c r="F41" s="290">
        <v>1</v>
      </c>
      <c r="G41" s="290" t="s">
        <v>494</v>
      </c>
      <c r="H41" s="290" t="s">
        <v>30</v>
      </c>
      <c r="I41" s="293">
        <v>42088</v>
      </c>
      <c r="J41" s="289">
        <v>286.2</v>
      </c>
      <c r="K41" s="87">
        <v>42102</v>
      </c>
      <c r="L41" s="73">
        <f t="shared" si="5"/>
        <v>11</v>
      </c>
      <c r="M41" s="75" t="s">
        <v>36</v>
      </c>
      <c r="N41" s="76"/>
      <c r="P41" s="49">
        <f t="shared" si="1"/>
        <v>14</v>
      </c>
      <c r="Q41" s="50">
        <f t="shared" si="2"/>
        <v>0</v>
      </c>
    </row>
    <row r="42" spans="1:17" ht="13.8">
      <c r="B42" s="297" t="s">
        <v>517</v>
      </c>
      <c r="C42" s="298" t="s">
        <v>32</v>
      </c>
      <c r="D42" s="299">
        <v>42107</v>
      </c>
      <c r="E42" s="298">
        <v>1</v>
      </c>
      <c r="F42" s="298">
        <v>1</v>
      </c>
      <c r="G42" s="298" t="s">
        <v>82</v>
      </c>
      <c r="H42" s="298" t="s">
        <v>30</v>
      </c>
      <c r="I42" s="300">
        <v>42089</v>
      </c>
      <c r="J42" s="295">
        <v>345.24</v>
      </c>
      <c r="K42" s="87">
        <v>42108</v>
      </c>
      <c r="L42" s="73">
        <f t="shared" si="5"/>
        <v>14</v>
      </c>
      <c r="M42" s="75" t="s">
        <v>36</v>
      </c>
      <c r="N42" s="76"/>
      <c r="P42" s="49">
        <f t="shared" si="1"/>
        <v>19</v>
      </c>
      <c r="Q42" s="50">
        <f t="shared" si="2"/>
        <v>0</v>
      </c>
    </row>
    <row r="43" spans="1:17" ht="13.8">
      <c r="A43" s="3" t="s">
        <v>122</v>
      </c>
      <c r="B43" s="297" t="s">
        <v>544</v>
      </c>
      <c r="C43" s="298" t="s">
        <v>49</v>
      </c>
      <c r="D43" s="299">
        <v>42104</v>
      </c>
      <c r="E43" s="298">
        <v>1</v>
      </c>
      <c r="F43" s="298">
        <v>1</v>
      </c>
      <c r="G43" s="298" t="s">
        <v>545</v>
      </c>
      <c r="H43" s="298" t="s">
        <v>30</v>
      </c>
      <c r="I43" s="300">
        <v>42090</v>
      </c>
      <c r="K43" s="87">
        <v>42103</v>
      </c>
      <c r="L43" s="73">
        <f t="shared" si="5"/>
        <v>10</v>
      </c>
      <c r="M43" s="75" t="s">
        <v>36</v>
      </c>
      <c r="N43" s="76"/>
      <c r="P43" s="49">
        <f t="shared" si="1"/>
        <v>13</v>
      </c>
      <c r="Q43" s="50">
        <f t="shared" si="2"/>
        <v>0</v>
      </c>
    </row>
    <row r="44" spans="1:17" ht="13.8">
      <c r="B44" s="313" t="s">
        <v>563</v>
      </c>
      <c r="C44" s="310" t="s">
        <v>112</v>
      </c>
      <c r="D44" s="311">
        <v>42114</v>
      </c>
      <c r="E44" s="310">
        <v>1</v>
      </c>
      <c r="F44" s="310">
        <v>1</v>
      </c>
      <c r="G44" s="310" t="s">
        <v>133</v>
      </c>
      <c r="H44" s="310" t="s">
        <v>30</v>
      </c>
      <c r="I44" s="312">
        <v>42096</v>
      </c>
      <c r="J44" s="307">
        <v>223.34</v>
      </c>
      <c r="K44" s="87">
        <v>42104</v>
      </c>
      <c r="L44" s="73">
        <f t="shared" si="5"/>
        <v>7</v>
      </c>
      <c r="M44" s="75" t="s">
        <v>36</v>
      </c>
      <c r="N44" s="76"/>
      <c r="P44" s="49">
        <f t="shared" si="1"/>
        <v>8</v>
      </c>
      <c r="Q44" s="50">
        <f t="shared" si="2"/>
        <v>0</v>
      </c>
    </row>
    <row r="45" spans="1:17" ht="13.8">
      <c r="B45" s="313" t="s">
        <v>564</v>
      </c>
      <c r="C45" s="310" t="s">
        <v>63</v>
      </c>
      <c r="D45" s="311">
        <v>42114</v>
      </c>
      <c r="E45" s="310">
        <v>1</v>
      </c>
      <c r="F45" s="310">
        <v>1</v>
      </c>
      <c r="G45" s="310" t="s">
        <v>109</v>
      </c>
      <c r="H45" s="310" t="s">
        <v>30</v>
      </c>
      <c r="I45" s="312">
        <v>42096</v>
      </c>
      <c r="J45" s="307">
        <v>599.4</v>
      </c>
      <c r="K45" s="87">
        <v>42104</v>
      </c>
      <c r="L45" s="73">
        <f t="shared" si="5"/>
        <v>7</v>
      </c>
      <c r="M45" s="75" t="s">
        <v>36</v>
      </c>
      <c r="N45" s="76"/>
      <c r="P45" s="49">
        <f t="shared" si="1"/>
        <v>8</v>
      </c>
      <c r="Q45" s="50">
        <f t="shared" si="2"/>
        <v>0</v>
      </c>
    </row>
    <row r="46" spans="1:17" ht="13.8">
      <c r="B46" s="329" t="s">
        <v>618</v>
      </c>
      <c r="C46" s="329" t="s">
        <v>51</v>
      </c>
      <c r="D46" s="330">
        <v>42108</v>
      </c>
      <c r="E46" s="329">
        <v>1</v>
      </c>
      <c r="F46" s="329">
        <v>1</v>
      </c>
      <c r="G46" s="329" t="s">
        <v>248</v>
      </c>
      <c r="H46" s="329" t="s">
        <v>23</v>
      </c>
      <c r="I46" s="330">
        <v>42108</v>
      </c>
      <c r="J46" s="328">
        <v>0</v>
      </c>
      <c r="K46" s="331">
        <v>42108</v>
      </c>
      <c r="L46" s="332">
        <f t="shared" si="5"/>
        <v>1</v>
      </c>
      <c r="M46" s="333" t="s">
        <v>62</v>
      </c>
      <c r="N46" s="334"/>
      <c r="P46" s="49">
        <f t="shared" si="1"/>
        <v>0</v>
      </c>
      <c r="Q46" s="50">
        <f t="shared" si="2"/>
        <v>0</v>
      </c>
    </row>
    <row r="47" spans="1:17" ht="13.8">
      <c r="B47" s="283" t="s">
        <v>640</v>
      </c>
      <c r="C47" s="528" t="s">
        <v>46</v>
      </c>
      <c r="D47" s="285">
        <v>42135</v>
      </c>
      <c r="E47" s="284">
        <v>1</v>
      </c>
      <c r="F47" s="284">
        <v>1</v>
      </c>
      <c r="G47" s="528" t="s">
        <v>641</v>
      </c>
      <c r="H47" s="284" t="s">
        <v>23</v>
      </c>
      <c r="I47" s="286">
        <v>42109</v>
      </c>
      <c r="K47" s="88">
        <v>42131</v>
      </c>
      <c r="L47" s="66">
        <f>IF(ISBLANK(K47),"",NETWORKDAYS(I47,K47))</f>
        <v>17</v>
      </c>
      <c r="M47" s="68" t="s">
        <v>123</v>
      </c>
      <c r="N47" s="69" t="s">
        <v>34</v>
      </c>
      <c r="O47" s="46">
        <v>42123</v>
      </c>
      <c r="P47" s="49">
        <f t="shared" si="1"/>
        <v>22</v>
      </c>
      <c r="Q47" s="50">
        <f t="shared" si="2"/>
        <v>14</v>
      </c>
    </row>
    <row r="48" spans="1:17" ht="13.8">
      <c r="B48" s="274" t="s">
        <v>642</v>
      </c>
      <c r="C48" s="337" t="s">
        <v>49</v>
      </c>
      <c r="D48" s="276">
        <v>42135</v>
      </c>
      <c r="E48" s="275">
        <v>1</v>
      </c>
      <c r="F48" s="275">
        <v>1</v>
      </c>
      <c r="G48" s="337" t="s">
        <v>110</v>
      </c>
      <c r="H48" s="337" t="s">
        <v>30</v>
      </c>
      <c r="I48" s="282">
        <v>42109</v>
      </c>
      <c r="K48" s="87">
        <v>42117</v>
      </c>
      <c r="L48" s="73">
        <f>IF(ISBLANK(K48),"",NETWORKDAYS(I48,K48))</f>
        <v>7</v>
      </c>
      <c r="M48" s="75" t="s">
        <v>36</v>
      </c>
      <c r="N48" s="76"/>
      <c r="P48" s="49">
        <f t="shared" si="1"/>
        <v>8</v>
      </c>
      <c r="Q48" s="50">
        <f t="shared" si="2"/>
        <v>0</v>
      </c>
    </row>
    <row r="49" spans="2:17" ht="13.8">
      <c r="B49" s="353" t="s">
        <v>668</v>
      </c>
      <c r="C49" s="354" t="s">
        <v>51</v>
      </c>
      <c r="D49" s="355">
        <v>42142</v>
      </c>
      <c r="E49" s="354">
        <v>1</v>
      </c>
      <c r="F49" s="354">
        <v>1</v>
      </c>
      <c r="G49" s="354" t="s">
        <v>88</v>
      </c>
      <c r="H49" s="354" t="s">
        <v>23</v>
      </c>
      <c r="I49" s="365">
        <v>42111</v>
      </c>
      <c r="J49" s="338">
        <v>702.52</v>
      </c>
      <c r="K49" s="88">
        <v>42129</v>
      </c>
      <c r="L49" s="66">
        <f>IF(ISBLANK(K49),"",NETWORKDAYS(I49,K49))</f>
        <v>13</v>
      </c>
      <c r="M49" s="68" t="s">
        <v>123</v>
      </c>
      <c r="N49" s="69" t="s">
        <v>35</v>
      </c>
      <c r="O49" s="46">
        <v>42122</v>
      </c>
      <c r="P49" s="49">
        <f t="shared" ref="P49:P65" si="6">IF(ISBLANK(K49),0,SUM(K49,-I49))</f>
        <v>18</v>
      </c>
      <c r="Q49" s="50">
        <f t="shared" ref="Q49:Q65" si="7">IF(ISBLANK(O49),0,SUM(O49,-I49))</f>
        <v>11</v>
      </c>
    </row>
    <row r="50" spans="2:17" ht="13.8">
      <c r="B50" s="341" t="s">
        <v>669</v>
      </c>
      <c r="C50" s="339" t="s">
        <v>71</v>
      </c>
      <c r="D50" s="342">
        <v>42142</v>
      </c>
      <c r="E50" s="339">
        <v>1</v>
      </c>
      <c r="F50" s="339">
        <v>1</v>
      </c>
      <c r="G50" s="339" t="s">
        <v>124</v>
      </c>
      <c r="H50" s="339" t="s">
        <v>251</v>
      </c>
      <c r="I50" s="340">
        <v>42111</v>
      </c>
      <c r="K50" s="87">
        <v>42129</v>
      </c>
      <c r="L50" s="73">
        <f>IF(ISBLANK(K50),"",NETWORKDAYS(I50,K50))</f>
        <v>13</v>
      </c>
      <c r="M50" s="75" t="s">
        <v>36</v>
      </c>
      <c r="N50" s="76"/>
      <c r="P50" s="49">
        <f t="shared" si="6"/>
        <v>18</v>
      </c>
      <c r="Q50" s="50">
        <f t="shared" si="7"/>
        <v>0</v>
      </c>
    </row>
    <row r="51" spans="2:17" ht="13.8">
      <c r="B51" s="345" t="s">
        <v>682</v>
      </c>
      <c r="C51" s="339" t="s">
        <v>71</v>
      </c>
      <c r="D51" s="342">
        <v>42142</v>
      </c>
      <c r="E51" s="339">
        <v>3</v>
      </c>
      <c r="F51" s="339">
        <v>3</v>
      </c>
      <c r="G51" s="339" t="s">
        <v>133</v>
      </c>
      <c r="H51" s="339" t="s">
        <v>30</v>
      </c>
      <c r="I51" s="340">
        <v>42116</v>
      </c>
      <c r="J51" s="346">
        <v>544.82000000000005</v>
      </c>
      <c r="K51" s="87">
        <v>42129</v>
      </c>
      <c r="L51" s="73">
        <f>IF(ISBLANK(K51),"",NETWORKDAYS(I51,K51))</f>
        <v>10</v>
      </c>
      <c r="M51" s="75" t="s">
        <v>36</v>
      </c>
      <c r="N51" s="76"/>
      <c r="P51" s="49">
        <f t="shared" si="6"/>
        <v>13</v>
      </c>
      <c r="Q51" s="50">
        <f t="shared" si="7"/>
        <v>0</v>
      </c>
    </row>
    <row r="52" spans="2:17" ht="13.8">
      <c r="B52" s="367" t="s">
        <v>719</v>
      </c>
      <c r="C52" s="368" t="s">
        <v>51</v>
      </c>
      <c r="D52" s="369">
        <v>42144</v>
      </c>
      <c r="E52" s="368">
        <v>2</v>
      </c>
      <c r="F52" s="368">
        <v>2</v>
      </c>
      <c r="G52" s="368" t="s">
        <v>720</v>
      </c>
      <c r="H52" s="368" t="s">
        <v>23</v>
      </c>
      <c r="I52" s="370">
        <v>42117</v>
      </c>
      <c r="J52" s="356">
        <v>976.8</v>
      </c>
      <c r="K52" s="88">
        <v>42144</v>
      </c>
      <c r="L52" s="66">
        <f t="shared" ref="L52:L64" si="8">IF(ISBLANK(K52),"",NETWORKDAYS(I52,K52))</f>
        <v>20</v>
      </c>
      <c r="M52" s="68" t="s">
        <v>123</v>
      </c>
      <c r="N52" s="69" t="s">
        <v>35</v>
      </c>
      <c r="O52" s="46">
        <v>42124</v>
      </c>
      <c r="P52" s="49">
        <f t="shared" si="6"/>
        <v>27</v>
      </c>
      <c r="Q52" s="50">
        <f t="shared" si="7"/>
        <v>7</v>
      </c>
    </row>
    <row r="53" spans="2:17" ht="13.8">
      <c r="B53" s="367" t="s">
        <v>716</v>
      </c>
      <c r="C53" s="368" t="s">
        <v>717</v>
      </c>
      <c r="D53" s="369">
        <v>42146</v>
      </c>
      <c r="E53" s="368">
        <v>1</v>
      </c>
      <c r="F53" s="368">
        <v>1</v>
      </c>
      <c r="G53" s="368" t="s">
        <v>718</v>
      </c>
      <c r="H53" s="368" t="s">
        <v>23</v>
      </c>
      <c r="I53" s="370">
        <v>42118</v>
      </c>
      <c r="J53" s="356">
        <v>510.6</v>
      </c>
      <c r="K53" s="88">
        <v>42136</v>
      </c>
      <c r="L53" s="66">
        <f t="shared" si="8"/>
        <v>13</v>
      </c>
      <c r="M53" s="68" t="s">
        <v>123</v>
      </c>
      <c r="N53" s="69" t="s">
        <v>35</v>
      </c>
      <c r="O53" s="46">
        <v>42131</v>
      </c>
      <c r="P53" s="49">
        <f t="shared" si="6"/>
        <v>18</v>
      </c>
      <c r="Q53" s="50">
        <f t="shared" si="7"/>
        <v>13</v>
      </c>
    </row>
    <row r="54" spans="2:17" ht="13.8">
      <c r="B54" s="358" t="s">
        <v>741</v>
      </c>
      <c r="C54" s="359" t="s">
        <v>29</v>
      </c>
      <c r="D54" s="360">
        <v>42150</v>
      </c>
      <c r="E54" s="359">
        <v>24</v>
      </c>
      <c r="F54" s="359">
        <v>24</v>
      </c>
      <c r="G54" s="359" t="s">
        <v>34</v>
      </c>
      <c r="H54" s="359" t="s">
        <v>30</v>
      </c>
      <c r="I54" s="361">
        <v>42122</v>
      </c>
      <c r="J54" s="357" t="s">
        <v>742</v>
      </c>
      <c r="K54" s="87">
        <v>42136</v>
      </c>
      <c r="L54" s="73">
        <f t="shared" si="8"/>
        <v>11</v>
      </c>
      <c r="M54" s="75" t="s">
        <v>36</v>
      </c>
      <c r="N54" s="76"/>
      <c r="P54" s="49">
        <f t="shared" si="6"/>
        <v>14</v>
      </c>
      <c r="Q54" s="50">
        <f t="shared" si="7"/>
        <v>0</v>
      </c>
    </row>
    <row r="55" spans="2:17" ht="13.8">
      <c r="B55" s="358" t="s">
        <v>741</v>
      </c>
      <c r="C55" s="359" t="s">
        <v>307</v>
      </c>
      <c r="D55" s="360">
        <v>42150</v>
      </c>
      <c r="E55" s="359">
        <v>12</v>
      </c>
      <c r="F55" s="359"/>
      <c r="G55" s="359" t="s">
        <v>34</v>
      </c>
      <c r="H55" s="359" t="s">
        <v>30</v>
      </c>
      <c r="I55" s="361">
        <v>42122</v>
      </c>
      <c r="J55" s="357">
        <v>35.86</v>
      </c>
      <c r="K55" s="87">
        <v>42136</v>
      </c>
      <c r="L55" s="73">
        <f t="shared" si="8"/>
        <v>11</v>
      </c>
      <c r="M55" s="75"/>
      <c r="N55" s="76"/>
      <c r="P55" s="49">
        <f t="shared" si="6"/>
        <v>14</v>
      </c>
      <c r="Q55" s="50">
        <f t="shared" si="7"/>
        <v>0</v>
      </c>
    </row>
    <row r="56" spans="2:17" ht="13.8">
      <c r="B56" s="358" t="s">
        <v>741</v>
      </c>
      <c r="C56" s="359" t="s">
        <v>308</v>
      </c>
      <c r="D56" s="360">
        <v>42150</v>
      </c>
      <c r="E56" s="359">
        <v>48</v>
      </c>
      <c r="F56" s="359"/>
      <c r="G56" s="359" t="s">
        <v>34</v>
      </c>
      <c r="H56" s="359" t="s">
        <v>30</v>
      </c>
      <c r="I56" s="361">
        <v>42122</v>
      </c>
      <c r="J56" s="357">
        <v>125.57</v>
      </c>
      <c r="K56" s="87">
        <v>42139</v>
      </c>
      <c r="L56" s="73">
        <f t="shared" si="8"/>
        <v>14</v>
      </c>
      <c r="M56" s="75"/>
      <c r="N56" s="76"/>
      <c r="P56" s="49">
        <f t="shared" si="6"/>
        <v>17</v>
      </c>
      <c r="Q56" s="50">
        <f t="shared" si="7"/>
        <v>0</v>
      </c>
    </row>
    <row r="57" spans="2:17" ht="13.8">
      <c r="B57" s="358" t="s">
        <v>741</v>
      </c>
      <c r="C57" s="359" t="s">
        <v>309</v>
      </c>
      <c r="D57" s="360">
        <v>42150</v>
      </c>
      <c r="E57" s="359">
        <v>12</v>
      </c>
      <c r="F57" s="359"/>
      <c r="G57" s="359" t="s">
        <v>34</v>
      </c>
      <c r="H57" s="359" t="s">
        <v>30</v>
      </c>
      <c r="I57" s="361">
        <v>42122</v>
      </c>
      <c r="J57" s="357">
        <v>23.33</v>
      </c>
      <c r="K57" s="87">
        <v>42136</v>
      </c>
      <c r="L57" s="73">
        <f t="shared" si="8"/>
        <v>11</v>
      </c>
      <c r="M57" s="75"/>
      <c r="N57" s="76"/>
      <c r="P57" s="49">
        <f t="shared" si="6"/>
        <v>14</v>
      </c>
      <c r="Q57" s="50">
        <f t="shared" si="7"/>
        <v>0</v>
      </c>
    </row>
    <row r="58" spans="2:17" ht="13.8">
      <c r="B58" s="358" t="s">
        <v>741</v>
      </c>
      <c r="C58" s="359" t="s">
        <v>31</v>
      </c>
      <c r="D58" s="360">
        <v>42150</v>
      </c>
      <c r="E58" s="359">
        <v>24</v>
      </c>
      <c r="F58" s="359"/>
      <c r="G58" s="359" t="s">
        <v>34</v>
      </c>
      <c r="H58" s="359" t="s">
        <v>30</v>
      </c>
      <c r="I58" s="361">
        <v>42122</v>
      </c>
      <c r="J58" s="357">
        <v>58.46</v>
      </c>
      <c r="K58" s="87">
        <v>42136</v>
      </c>
      <c r="L58" s="73">
        <f t="shared" si="8"/>
        <v>11</v>
      </c>
      <c r="M58" s="75"/>
      <c r="N58" s="76"/>
      <c r="P58" s="49">
        <f t="shared" si="6"/>
        <v>14</v>
      </c>
      <c r="Q58" s="50">
        <f t="shared" si="7"/>
        <v>0</v>
      </c>
    </row>
    <row r="59" spans="2:17" ht="13.8">
      <c r="B59" s="400" t="s">
        <v>766</v>
      </c>
      <c r="C59" s="401" t="s">
        <v>63</v>
      </c>
      <c r="D59" s="402">
        <v>42142</v>
      </c>
      <c r="E59" s="401">
        <v>1</v>
      </c>
      <c r="F59" s="401">
        <v>1</v>
      </c>
      <c r="G59" s="401" t="s">
        <v>572</v>
      </c>
      <c r="H59" s="401" t="s">
        <v>30</v>
      </c>
      <c r="I59" s="403">
        <v>42123</v>
      </c>
      <c r="J59" s="371">
        <v>424.8</v>
      </c>
      <c r="K59" s="87">
        <v>42136</v>
      </c>
      <c r="L59" s="73">
        <f t="shared" si="8"/>
        <v>10</v>
      </c>
      <c r="M59" s="75" t="s">
        <v>36</v>
      </c>
      <c r="N59" s="76"/>
      <c r="P59" s="49">
        <f t="shared" si="6"/>
        <v>13</v>
      </c>
      <c r="Q59" s="50">
        <f t="shared" si="7"/>
        <v>0</v>
      </c>
    </row>
    <row r="60" spans="2:17" ht="13.8">
      <c r="B60" s="532" t="s">
        <v>767</v>
      </c>
      <c r="C60" s="533" t="s">
        <v>51</v>
      </c>
      <c r="D60" s="534">
        <v>42153</v>
      </c>
      <c r="E60" s="533">
        <v>5</v>
      </c>
      <c r="F60" s="533">
        <v>5</v>
      </c>
      <c r="G60" s="533" t="s">
        <v>768</v>
      </c>
      <c r="H60" s="533" t="s">
        <v>23</v>
      </c>
      <c r="I60" s="535">
        <v>42124</v>
      </c>
      <c r="J60" s="371" t="s">
        <v>769</v>
      </c>
      <c r="K60" s="88">
        <v>42145</v>
      </c>
      <c r="L60" s="66">
        <f t="shared" si="8"/>
        <v>16</v>
      </c>
      <c r="M60" s="68" t="s">
        <v>123</v>
      </c>
      <c r="N60" s="69" t="s">
        <v>34</v>
      </c>
      <c r="O60" s="46">
        <v>42142</v>
      </c>
      <c r="P60" s="49">
        <f t="shared" si="6"/>
        <v>21</v>
      </c>
      <c r="Q60" s="50">
        <f t="shared" si="7"/>
        <v>18</v>
      </c>
    </row>
    <row r="61" spans="2:17" ht="13.8">
      <c r="B61" s="532" t="s">
        <v>796</v>
      </c>
      <c r="C61" s="533" t="s">
        <v>51</v>
      </c>
      <c r="D61" s="534">
        <v>42156</v>
      </c>
      <c r="E61" s="533">
        <v>2</v>
      </c>
      <c r="F61" s="533">
        <v>2</v>
      </c>
      <c r="G61" s="533" t="s">
        <v>797</v>
      </c>
      <c r="H61" s="533" t="s">
        <v>23</v>
      </c>
      <c r="I61" s="535">
        <v>42128</v>
      </c>
      <c r="J61" s="371">
        <v>853.2</v>
      </c>
      <c r="K61" s="88">
        <v>42165</v>
      </c>
      <c r="L61" s="66">
        <f t="shared" si="8"/>
        <v>28</v>
      </c>
      <c r="M61" s="68" t="s">
        <v>123</v>
      </c>
      <c r="N61" s="69" t="s">
        <v>33</v>
      </c>
      <c r="O61" s="46">
        <v>42135</v>
      </c>
      <c r="P61" s="49">
        <f t="shared" si="6"/>
        <v>37</v>
      </c>
      <c r="Q61" s="50">
        <f t="shared" si="7"/>
        <v>7</v>
      </c>
    </row>
    <row r="62" spans="2:17" ht="13.8">
      <c r="B62" s="400" t="s">
        <v>798</v>
      </c>
      <c r="C62" s="401" t="s">
        <v>71</v>
      </c>
      <c r="D62" s="402">
        <v>42156</v>
      </c>
      <c r="E62" s="401">
        <v>2</v>
      </c>
      <c r="F62" s="401">
        <v>2</v>
      </c>
      <c r="G62" s="401" t="s">
        <v>771</v>
      </c>
      <c r="H62" s="401" t="s">
        <v>30</v>
      </c>
      <c r="I62" s="403">
        <v>42128</v>
      </c>
      <c r="J62" s="371">
        <v>196.56</v>
      </c>
      <c r="K62" s="87">
        <v>42136</v>
      </c>
      <c r="L62" s="73">
        <f t="shared" si="8"/>
        <v>7</v>
      </c>
      <c r="M62" s="75" t="s">
        <v>36</v>
      </c>
      <c r="N62" s="76"/>
      <c r="P62" s="49">
        <f t="shared" si="6"/>
        <v>8</v>
      </c>
      <c r="Q62" s="50">
        <f t="shared" si="7"/>
        <v>0</v>
      </c>
    </row>
    <row r="63" spans="2:17" ht="13.8">
      <c r="B63" s="400" t="s">
        <v>810</v>
      </c>
      <c r="C63" s="401" t="s">
        <v>60</v>
      </c>
      <c r="D63" s="402">
        <v>42129</v>
      </c>
      <c r="E63" s="401">
        <v>1</v>
      </c>
      <c r="F63" s="401">
        <v>1</v>
      </c>
      <c r="G63" s="401" t="s">
        <v>722</v>
      </c>
      <c r="H63" s="401" t="s">
        <v>30</v>
      </c>
      <c r="I63" s="403">
        <v>42129</v>
      </c>
      <c r="J63" s="371">
        <v>187.2</v>
      </c>
      <c r="K63" s="87">
        <v>42136</v>
      </c>
      <c r="L63" s="73">
        <f t="shared" si="8"/>
        <v>6</v>
      </c>
      <c r="M63" s="75" t="s">
        <v>36</v>
      </c>
      <c r="N63" s="76"/>
      <c r="P63" s="49">
        <f t="shared" si="6"/>
        <v>7</v>
      </c>
      <c r="Q63" s="50">
        <f t="shared" si="7"/>
        <v>0</v>
      </c>
    </row>
    <row r="64" spans="2:17" ht="13.8">
      <c r="B64" s="532" t="s">
        <v>825</v>
      </c>
      <c r="C64" s="533" t="s">
        <v>51</v>
      </c>
      <c r="D64" s="534">
        <v>42149</v>
      </c>
      <c r="E64" s="533">
        <v>1</v>
      </c>
      <c r="F64" s="533">
        <v>1</v>
      </c>
      <c r="G64" s="533" t="s">
        <v>38</v>
      </c>
      <c r="H64" s="533" t="s">
        <v>23</v>
      </c>
      <c r="I64" s="535">
        <v>42130</v>
      </c>
      <c r="J64" s="371">
        <v>622.94000000000005</v>
      </c>
      <c r="K64" s="88">
        <v>42164</v>
      </c>
      <c r="L64" s="66">
        <f t="shared" si="8"/>
        <v>25</v>
      </c>
      <c r="M64" s="68" t="s">
        <v>123</v>
      </c>
      <c r="N64" s="69" t="s">
        <v>35</v>
      </c>
      <c r="O64" s="46">
        <v>42143</v>
      </c>
      <c r="P64" s="49">
        <f t="shared" si="6"/>
        <v>34</v>
      </c>
      <c r="Q64" s="50">
        <f t="shared" si="7"/>
        <v>13</v>
      </c>
    </row>
    <row r="65" spans="2:17" ht="13.8">
      <c r="B65" s="564" t="s">
        <v>840</v>
      </c>
      <c r="C65" s="565" t="s">
        <v>63</v>
      </c>
      <c r="D65" s="566">
        <v>42131</v>
      </c>
      <c r="E65" s="565">
        <v>2</v>
      </c>
      <c r="F65" s="565">
        <v>2</v>
      </c>
      <c r="G65" s="565" t="s">
        <v>133</v>
      </c>
      <c r="H65" s="565" t="s">
        <v>561</v>
      </c>
      <c r="I65" s="567">
        <v>42131</v>
      </c>
      <c r="J65" s="563">
        <v>379.57</v>
      </c>
      <c r="K65" s="87">
        <v>42142</v>
      </c>
      <c r="L65" s="73">
        <f t="shared" ref="L65:L72" si="9">IF(ISBLANK(K65),"",NETWORKDAYS(I65,K65))</f>
        <v>8</v>
      </c>
      <c r="M65" s="75" t="s">
        <v>36</v>
      </c>
      <c r="N65" s="76"/>
      <c r="P65" s="49">
        <f t="shared" si="6"/>
        <v>11</v>
      </c>
      <c r="Q65" s="50">
        <f t="shared" si="7"/>
        <v>0</v>
      </c>
    </row>
    <row r="66" spans="2:17" ht="13.8">
      <c r="B66" s="576" t="s">
        <v>841</v>
      </c>
      <c r="C66" s="577" t="s">
        <v>51</v>
      </c>
      <c r="D66" s="578">
        <v>42163</v>
      </c>
      <c r="E66" s="577">
        <v>1</v>
      </c>
      <c r="F66" s="577">
        <v>1</v>
      </c>
      <c r="G66" s="577" t="s">
        <v>88</v>
      </c>
      <c r="H66" s="577" t="s">
        <v>23</v>
      </c>
      <c r="I66" s="579">
        <v>42131</v>
      </c>
      <c r="J66" s="563">
        <v>734.4</v>
      </c>
      <c r="K66" s="88">
        <v>42160</v>
      </c>
      <c r="L66" s="66">
        <f t="shared" si="9"/>
        <v>22</v>
      </c>
      <c r="M66" s="68" t="s">
        <v>123</v>
      </c>
      <c r="N66" s="69" t="s">
        <v>35</v>
      </c>
      <c r="O66" s="46">
        <v>42146</v>
      </c>
      <c r="P66" s="49">
        <f t="shared" ref="P66:P81" si="10">IF(ISBLANK(K66),0,SUM(K66,-I66))</f>
        <v>29</v>
      </c>
      <c r="Q66" s="50">
        <f t="shared" ref="Q66:Q81" si="11">IF(ISBLANK(O66),0,SUM(O66,-I66))</f>
        <v>15</v>
      </c>
    </row>
    <row r="67" spans="2:17" ht="13.8">
      <c r="B67" s="593" t="s">
        <v>901</v>
      </c>
      <c r="C67" s="594" t="s">
        <v>46</v>
      </c>
      <c r="D67" s="595">
        <v>42170</v>
      </c>
      <c r="E67" s="594">
        <v>1</v>
      </c>
      <c r="F67" s="594">
        <v>1</v>
      </c>
      <c r="G67" s="594" t="s">
        <v>641</v>
      </c>
      <c r="H67" s="594" t="s">
        <v>23</v>
      </c>
      <c r="I67" s="596">
        <v>42142</v>
      </c>
      <c r="J67" s="581">
        <v>608.1</v>
      </c>
      <c r="K67" s="88">
        <v>42163</v>
      </c>
      <c r="L67" s="66">
        <f t="shared" si="9"/>
        <v>16</v>
      </c>
      <c r="M67" s="68" t="s">
        <v>123</v>
      </c>
      <c r="N67" s="69" t="s">
        <v>35</v>
      </c>
      <c r="O67" s="46">
        <v>42150</v>
      </c>
      <c r="P67" s="49">
        <f t="shared" si="10"/>
        <v>21</v>
      </c>
      <c r="Q67" s="50">
        <f t="shared" si="11"/>
        <v>8</v>
      </c>
    </row>
    <row r="68" spans="2:17" ht="13.8">
      <c r="B68" s="593" t="s">
        <v>900</v>
      </c>
      <c r="C68" s="594" t="s">
        <v>51</v>
      </c>
      <c r="D68" s="595">
        <v>42170</v>
      </c>
      <c r="E68" s="594">
        <v>1</v>
      </c>
      <c r="F68" s="594">
        <v>1</v>
      </c>
      <c r="G68" s="594" t="s">
        <v>641</v>
      </c>
      <c r="H68" s="594" t="s">
        <v>30</v>
      </c>
      <c r="I68" s="596">
        <v>42142</v>
      </c>
      <c r="J68" s="581">
        <v>427.68</v>
      </c>
      <c r="K68" s="88">
        <v>42159</v>
      </c>
      <c r="L68" s="66">
        <f t="shared" si="9"/>
        <v>14</v>
      </c>
      <c r="M68" s="68" t="s">
        <v>123</v>
      </c>
      <c r="N68" s="69" t="s">
        <v>35</v>
      </c>
      <c r="O68" s="46">
        <v>42152</v>
      </c>
      <c r="P68" s="49">
        <f t="shared" si="10"/>
        <v>17</v>
      </c>
      <c r="Q68" s="50">
        <f t="shared" si="11"/>
        <v>10</v>
      </c>
    </row>
    <row r="69" spans="2:17" ht="13.8">
      <c r="B69" s="584" t="s">
        <v>898</v>
      </c>
      <c r="C69" s="582" t="s">
        <v>49</v>
      </c>
      <c r="D69" s="585">
        <v>42139</v>
      </c>
      <c r="E69" s="582">
        <v>1</v>
      </c>
      <c r="F69" s="582">
        <v>1</v>
      </c>
      <c r="G69" s="582" t="s">
        <v>110</v>
      </c>
      <c r="H69" s="582" t="s">
        <v>899</v>
      </c>
      <c r="I69" s="583">
        <v>42139</v>
      </c>
      <c r="J69" s="581">
        <v>340.14</v>
      </c>
      <c r="K69" s="87">
        <v>42144</v>
      </c>
      <c r="L69" s="73">
        <f t="shared" si="9"/>
        <v>4</v>
      </c>
      <c r="M69" s="75" t="s">
        <v>36</v>
      </c>
      <c r="N69" s="76"/>
      <c r="P69" s="49">
        <f t="shared" si="10"/>
        <v>5</v>
      </c>
      <c r="Q69" s="50">
        <f t="shared" si="11"/>
        <v>0</v>
      </c>
    </row>
    <row r="70" spans="2:17" ht="13.8">
      <c r="B70" s="593" t="s">
        <v>935</v>
      </c>
      <c r="C70" s="594" t="s">
        <v>51</v>
      </c>
      <c r="D70" s="595">
        <v>42173</v>
      </c>
      <c r="E70" s="594">
        <v>1</v>
      </c>
      <c r="F70" s="594">
        <v>1</v>
      </c>
      <c r="G70" s="594" t="s">
        <v>188</v>
      </c>
      <c r="H70" s="594" t="s">
        <v>23</v>
      </c>
      <c r="I70" s="596">
        <v>42145</v>
      </c>
      <c r="J70" s="581">
        <v>456.6</v>
      </c>
      <c r="K70" s="88">
        <v>42163</v>
      </c>
      <c r="L70" s="66">
        <f t="shared" si="9"/>
        <v>13</v>
      </c>
      <c r="M70" s="68" t="s">
        <v>123</v>
      </c>
      <c r="N70" s="69" t="s">
        <v>35</v>
      </c>
      <c r="O70" s="46">
        <v>42157</v>
      </c>
      <c r="P70" s="49">
        <f t="shared" si="10"/>
        <v>18</v>
      </c>
      <c r="Q70" s="50">
        <f t="shared" si="11"/>
        <v>12</v>
      </c>
    </row>
    <row r="71" spans="2:17" ht="13.8">
      <c r="B71" s="584" t="s">
        <v>933</v>
      </c>
      <c r="C71" s="582" t="s">
        <v>71</v>
      </c>
      <c r="D71" s="585">
        <v>42173</v>
      </c>
      <c r="E71" s="582">
        <v>2</v>
      </c>
      <c r="F71" s="582">
        <v>2</v>
      </c>
      <c r="G71" s="582" t="s">
        <v>615</v>
      </c>
      <c r="H71" s="582" t="s">
        <v>30</v>
      </c>
      <c r="I71" s="583">
        <v>42145</v>
      </c>
      <c r="J71" s="581">
        <v>251.54</v>
      </c>
      <c r="K71" s="87">
        <v>42158</v>
      </c>
      <c r="L71" s="73">
        <f t="shared" si="9"/>
        <v>10</v>
      </c>
      <c r="M71" s="75" t="s">
        <v>36</v>
      </c>
      <c r="N71" s="76"/>
      <c r="P71" s="49">
        <f t="shared" si="10"/>
        <v>13</v>
      </c>
      <c r="Q71" s="50">
        <f t="shared" si="11"/>
        <v>0</v>
      </c>
    </row>
    <row r="72" spans="2:17" ht="13.8">
      <c r="B72" s="584" t="s">
        <v>934</v>
      </c>
      <c r="C72" s="582" t="s">
        <v>71</v>
      </c>
      <c r="D72" s="585">
        <v>42174</v>
      </c>
      <c r="E72" s="582">
        <v>1</v>
      </c>
      <c r="F72" s="582">
        <v>1</v>
      </c>
      <c r="G72" s="582" t="s">
        <v>127</v>
      </c>
      <c r="H72" s="582" t="s">
        <v>30</v>
      </c>
      <c r="I72" s="583">
        <v>42146</v>
      </c>
      <c r="J72" s="581">
        <v>270.60000000000002</v>
      </c>
      <c r="K72" s="87">
        <v>42157</v>
      </c>
      <c r="L72" s="73">
        <f t="shared" si="9"/>
        <v>8</v>
      </c>
      <c r="M72" s="75" t="s">
        <v>36</v>
      </c>
      <c r="N72" s="76"/>
      <c r="P72" s="49">
        <f t="shared" si="10"/>
        <v>11</v>
      </c>
      <c r="Q72" s="50">
        <f t="shared" si="11"/>
        <v>0</v>
      </c>
    </row>
    <row r="73" spans="2:17" ht="13.8">
      <c r="B73" s="637" t="s">
        <v>1047</v>
      </c>
      <c r="C73" s="638" t="s">
        <v>717</v>
      </c>
      <c r="D73" s="639">
        <v>42185</v>
      </c>
      <c r="E73" s="638">
        <v>1</v>
      </c>
      <c r="F73" s="638">
        <v>1</v>
      </c>
      <c r="G73" s="638" t="s">
        <v>1020</v>
      </c>
      <c r="H73" s="638" t="s">
        <v>23</v>
      </c>
      <c r="I73" s="640">
        <v>42159</v>
      </c>
      <c r="J73" s="626">
        <v>455.16</v>
      </c>
      <c r="K73" s="88">
        <v>42173</v>
      </c>
      <c r="L73" s="66">
        <f t="shared" ref="L73:L86" si="12">IF(ISBLANK(K73),"",NETWORKDAYS(I73,K73))</f>
        <v>11</v>
      </c>
      <c r="M73" s="68" t="s">
        <v>123</v>
      </c>
      <c r="N73" s="69" t="s">
        <v>35</v>
      </c>
      <c r="O73" s="46">
        <v>42171</v>
      </c>
      <c r="P73" s="49">
        <f t="shared" si="10"/>
        <v>14</v>
      </c>
      <c r="Q73" s="50">
        <f t="shared" si="11"/>
        <v>12</v>
      </c>
    </row>
    <row r="74" spans="2:17" ht="13.8">
      <c r="B74" s="623" t="s">
        <v>1091</v>
      </c>
      <c r="C74" s="618" t="s">
        <v>63</v>
      </c>
      <c r="D74" s="619">
        <v>42177</v>
      </c>
      <c r="E74" s="618">
        <v>1</v>
      </c>
      <c r="F74" s="618">
        <v>1</v>
      </c>
      <c r="G74" s="618" t="s">
        <v>572</v>
      </c>
      <c r="H74" s="618" t="s">
        <v>30</v>
      </c>
      <c r="I74" s="620">
        <v>42164</v>
      </c>
      <c r="J74" s="643">
        <v>394.2</v>
      </c>
      <c r="K74" s="102">
        <v>42166</v>
      </c>
      <c r="L74" s="73">
        <f t="shared" si="12"/>
        <v>3</v>
      </c>
      <c r="M74" s="92" t="s">
        <v>36</v>
      </c>
      <c r="N74" s="93"/>
      <c r="P74" s="49">
        <f t="shared" si="10"/>
        <v>2</v>
      </c>
      <c r="Q74" s="50">
        <f t="shared" si="11"/>
        <v>0</v>
      </c>
    </row>
    <row r="75" spans="2:17" ht="13.8">
      <c r="B75" s="654" t="s">
        <v>1121</v>
      </c>
      <c r="C75" s="655" t="s">
        <v>32</v>
      </c>
      <c r="D75" s="656">
        <v>42186</v>
      </c>
      <c r="E75" s="655">
        <v>1</v>
      </c>
      <c r="F75" s="655">
        <v>1</v>
      </c>
      <c r="G75" s="655" t="s">
        <v>124</v>
      </c>
      <c r="H75" s="655" t="s">
        <v>30</v>
      </c>
      <c r="I75" s="657">
        <v>42165</v>
      </c>
      <c r="J75" s="669">
        <v>301.86</v>
      </c>
      <c r="K75" s="87">
        <v>42173</v>
      </c>
      <c r="L75" s="73">
        <f t="shared" si="12"/>
        <v>7</v>
      </c>
      <c r="M75" s="75" t="s">
        <v>36</v>
      </c>
      <c r="N75" s="76"/>
      <c r="P75" s="49">
        <f t="shared" si="10"/>
        <v>8</v>
      </c>
      <c r="Q75" s="50">
        <f t="shared" si="11"/>
        <v>0</v>
      </c>
    </row>
    <row r="76" spans="2:17" ht="13.8">
      <c r="B76" s="654" t="s">
        <v>1107</v>
      </c>
      <c r="C76" s="655" t="s">
        <v>29</v>
      </c>
      <c r="D76" s="656">
        <v>42191</v>
      </c>
      <c r="E76" s="655">
        <v>24</v>
      </c>
      <c r="F76" s="655">
        <v>24</v>
      </c>
      <c r="G76" s="655" t="s">
        <v>34</v>
      </c>
      <c r="H76" s="655" t="s">
        <v>30</v>
      </c>
      <c r="I76" s="657">
        <v>42170</v>
      </c>
      <c r="J76" s="669" t="s">
        <v>1108</v>
      </c>
      <c r="K76" s="74"/>
      <c r="L76" s="73" t="str">
        <f t="shared" si="12"/>
        <v/>
      </c>
      <c r="M76" s="75" t="s">
        <v>265</v>
      </c>
      <c r="N76" s="76"/>
      <c r="P76" s="49">
        <f t="shared" si="10"/>
        <v>0</v>
      </c>
      <c r="Q76" s="50">
        <f t="shared" si="11"/>
        <v>0</v>
      </c>
    </row>
    <row r="77" spans="2:17" ht="13.8">
      <c r="B77" s="654" t="s">
        <v>1107</v>
      </c>
      <c r="C77" s="655" t="s">
        <v>307</v>
      </c>
      <c r="D77" s="656">
        <v>42191</v>
      </c>
      <c r="E77" s="655">
        <v>12</v>
      </c>
      <c r="F77" s="655"/>
      <c r="G77" s="655" t="s">
        <v>34</v>
      </c>
      <c r="H77" s="655" t="s">
        <v>30</v>
      </c>
      <c r="I77" s="657">
        <v>42170</v>
      </c>
      <c r="J77" s="669">
        <v>34.71</v>
      </c>
      <c r="K77" s="74"/>
      <c r="L77" s="73" t="str">
        <f t="shared" si="12"/>
        <v/>
      </c>
      <c r="M77" s="75"/>
      <c r="N77" s="76"/>
      <c r="P77" s="49">
        <f t="shared" si="10"/>
        <v>0</v>
      </c>
      <c r="Q77" s="50">
        <f t="shared" si="11"/>
        <v>0</v>
      </c>
    </row>
    <row r="78" spans="2:17" ht="13.8">
      <c r="B78" s="654" t="s">
        <v>1107</v>
      </c>
      <c r="C78" s="655" t="s">
        <v>308</v>
      </c>
      <c r="D78" s="656">
        <v>42191</v>
      </c>
      <c r="E78" s="655">
        <v>48</v>
      </c>
      <c r="F78" s="655"/>
      <c r="G78" s="655" t="s">
        <v>34</v>
      </c>
      <c r="H78" s="655" t="s">
        <v>30</v>
      </c>
      <c r="I78" s="657">
        <v>42170</v>
      </c>
      <c r="J78" s="669">
        <v>121.53</v>
      </c>
      <c r="K78" s="74"/>
      <c r="L78" s="73" t="str">
        <f t="shared" si="12"/>
        <v/>
      </c>
      <c r="M78" s="75"/>
      <c r="N78" s="76"/>
      <c r="P78" s="49">
        <f t="shared" si="10"/>
        <v>0</v>
      </c>
      <c r="Q78" s="50">
        <f t="shared" si="11"/>
        <v>0</v>
      </c>
    </row>
    <row r="79" spans="2:17" ht="13.8">
      <c r="B79" s="654" t="s">
        <v>1107</v>
      </c>
      <c r="C79" s="655" t="s">
        <v>309</v>
      </c>
      <c r="D79" s="656">
        <v>42191</v>
      </c>
      <c r="E79" s="655">
        <v>12</v>
      </c>
      <c r="F79" s="655"/>
      <c r="G79" s="655" t="s">
        <v>34</v>
      </c>
      <c r="H79" s="655" t="s">
        <v>30</v>
      </c>
      <c r="I79" s="657">
        <v>42170</v>
      </c>
      <c r="J79" s="669">
        <v>22.61</v>
      </c>
      <c r="K79" s="74"/>
      <c r="L79" s="73" t="str">
        <f t="shared" si="12"/>
        <v/>
      </c>
      <c r="M79" s="75"/>
      <c r="N79" s="76"/>
      <c r="P79" s="49">
        <f t="shared" si="10"/>
        <v>0</v>
      </c>
      <c r="Q79" s="50">
        <f t="shared" si="11"/>
        <v>0</v>
      </c>
    </row>
    <row r="80" spans="2:17" ht="13.8">
      <c r="B80" s="654" t="s">
        <v>1107</v>
      </c>
      <c r="C80" s="655" t="s">
        <v>31</v>
      </c>
      <c r="D80" s="656">
        <v>42191</v>
      </c>
      <c r="E80" s="655">
        <v>24</v>
      </c>
      <c r="F80" s="655"/>
      <c r="G80" s="655" t="s">
        <v>34</v>
      </c>
      <c r="H80" s="655" t="s">
        <v>30</v>
      </c>
      <c r="I80" s="657">
        <v>42170</v>
      </c>
      <c r="J80" s="669">
        <v>56.45</v>
      </c>
      <c r="K80" s="74"/>
      <c r="L80" s="73" t="str">
        <f t="shared" si="12"/>
        <v/>
      </c>
      <c r="M80" s="75"/>
      <c r="N80" s="76"/>
      <c r="P80" s="49">
        <f t="shared" si="10"/>
        <v>0</v>
      </c>
      <c r="Q80" s="50">
        <f t="shared" si="11"/>
        <v>0</v>
      </c>
    </row>
    <row r="81" spans="2:17" ht="13.8">
      <c r="B81" s="654" t="s">
        <v>1105</v>
      </c>
      <c r="C81" s="655" t="s">
        <v>29</v>
      </c>
      <c r="D81" s="656">
        <v>42191</v>
      </c>
      <c r="E81" s="655">
        <v>20</v>
      </c>
      <c r="F81" s="655">
        <v>20</v>
      </c>
      <c r="G81" s="655" t="s">
        <v>34</v>
      </c>
      <c r="H81" s="655" t="s">
        <v>30</v>
      </c>
      <c r="I81" s="657">
        <v>42170</v>
      </c>
      <c r="J81" s="669" t="s">
        <v>1106</v>
      </c>
      <c r="K81" s="74"/>
      <c r="L81" s="73" t="str">
        <f t="shared" si="12"/>
        <v/>
      </c>
      <c r="M81" s="75" t="s">
        <v>265</v>
      </c>
      <c r="N81" s="76"/>
      <c r="P81" s="49">
        <f t="shared" si="10"/>
        <v>0</v>
      </c>
      <c r="Q81" s="50">
        <f t="shared" si="11"/>
        <v>0</v>
      </c>
    </row>
    <row r="82" spans="2:17" ht="13.8">
      <c r="B82" s="654" t="s">
        <v>1105</v>
      </c>
      <c r="C82" s="655" t="s">
        <v>307</v>
      </c>
      <c r="D82" s="656">
        <v>42191</v>
      </c>
      <c r="E82" s="655">
        <v>10</v>
      </c>
      <c r="F82" s="655"/>
      <c r="G82" s="655" t="s">
        <v>34</v>
      </c>
      <c r="H82" s="655" t="s">
        <v>30</v>
      </c>
      <c r="I82" s="657">
        <v>42170</v>
      </c>
      <c r="J82" s="669">
        <v>29.88</v>
      </c>
      <c r="K82" s="74"/>
      <c r="L82" s="73" t="str">
        <f t="shared" si="12"/>
        <v/>
      </c>
      <c r="M82" s="75"/>
      <c r="N82" s="76"/>
      <c r="P82" s="49">
        <f t="shared" ref="P82:P103" si="13">IF(ISBLANK(K82),0,SUM(K82,-I82))</f>
        <v>0</v>
      </c>
      <c r="Q82" s="50">
        <f t="shared" ref="Q82:Q103" si="14">IF(ISBLANK(O82),0,SUM(O82,-I82))</f>
        <v>0</v>
      </c>
    </row>
    <row r="83" spans="2:17" ht="13.8">
      <c r="B83" s="654" t="s">
        <v>1105</v>
      </c>
      <c r="C83" s="655" t="s">
        <v>308</v>
      </c>
      <c r="D83" s="656">
        <v>42191</v>
      </c>
      <c r="E83" s="655">
        <v>40</v>
      </c>
      <c r="F83" s="655"/>
      <c r="G83" s="655" t="s">
        <v>34</v>
      </c>
      <c r="H83" s="655" t="s">
        <v>30</v>
      </c>
      <c r="I83" s="657">
        <v>42170</v>
      </c>
      <c r="J83" s="669">
        <v>104.64</v>
      </c>
      <c r="K83" s="74"/>
      <c r="L83" s="73" t="str">
        <f t="shared" si="12"/>
        <v/>
      </c>
      <c r="M83" s="75"/>
      <c r="N83" s="76"/>
      <c r="P83" s="49">
        <f t="shared" si="13"/>
        <v>0</v>
      </c>
      <c r="Q83" s="50">
        <f t="shared" si="14"/>
        <v>0</v>
      </c>
    </row>
    <row r="84" spans="2:17" ht="13.8">
      <c r="B84" s="654" t="s">
        <v>1105</v>
      </c>
      <c r="C84" s="655" t="s">
        <v>309</v>
      </c>
      <c r="D84" s="656">
        <v>42191</v>
      </c>
      <c r="E84" s="655">
        <v>10</v>
      </c>
      <c r="F84" s="655"/>
      <c r="G84" s="655" t="s">
        <v>34</v>
      </c>
      <c r="H84" s="655" t="s">
        <v>30</v>
      </c>
      <c r="I84" s="657">
        <v>42170</v>
      </c>
      <c r="J84" s="669">
        <v>19.440000000000001</v>
      </c>
      <c r="K84" s="74"/>
      <c r="L84" s="73" t="str">
        <f t="shared" si="12"/>
        <v/>
      </c>
      <c r="M84" s="75"/>
      <c r="N84" s="76"/>
      <c r="P84" s="49">
        <f t="shared" si="13"/>
        <v>0</v>
      </c>
      <c r="Q84" s="50">
        <f t="shared" si="14"/>
        <v>0</v>
      </c>
    </row>
    <row r="85" spans="2:17" ht="13.8">
      <c r="B85" s="654" t="s">
        <v>1105</v>
      </c>
      <c r="C85" s="655" t="s">
        <v>31</v>
      </c>
      <c r="D85" s="656">
        <v>42191</v>
      </c>
      <c r="E85" s="655">
        <v>20</v>
      </c>
      <c r="F85" s="655"/>
      <c r="G85" s="655" t="s">
        <v>34</v>
      </c>
      <c r="H85" s="655" t="s">
        <v>30</v>
      </c>
      <c r="I85" s="657">
        <v>42170</v>
      </c>
      <c r="J85" s="669">
        <v>48.72</v>
      </c>
      <c r="K85" s="74"/>
      <c r="L85" s="73" t="str">
        <f t="shared" si="12"/>
        <v/>
      </c>
      <c r="M85" s="75"/>
      <c r="N85" s="76"/>
      <c r="P85" s="49">
        <f t="shared" si="13"/>
        <v>0</v>
      </c>
      <c r="Q85" s="50">
        <f t="shared" si="14"/>
        <v>0</v>
      </c>
    </row>
    <row r="86" spans="2:17" ht="13.8">
      <c r="B86" s="654" t="s">
        <v>1164</v>
      </c>
      <c r="C86" s="655" t="s">
        <v>63</v>
      </c>
      <c r="D86" s="656">
        <v>42172</v>
      </c>
      <c r="E86" s="655">
        <v>1</v>
      </c>
      <c r="F86" s="655">
        <v>1</v>
      </c>
      <c r="G86" s="655" t="s">
        <v>572</v>
      </c>
      <c r="H86" s="655" t="s">
        <v>899</v>
      </c>
      <c r="I86" s="657">
        <v>42172</v>
      </c>
      <c r="K86" s="87">
        <v>42173</v>
      </c>
      <c r="L86" s="73">
        <f t="shared" si="12"/>
        <v>2</v>
      </c>
      <c r="M86" s="75" t="s">
        <v>36</v>
      </c>
      <c r="N86" s="76"/>
      <c r="P86" s="49">
        <f t="shared" si="13"/>
        <v>1</v>
      </c>
      <c r="Q86" s="50">
        <f t="shared" si="14"/>
        <v>0</v>
      </c>
    </row>
    <row r="87" spans="2:17" ht="13.8">
      <c r="B87" s="650" t="s">
        <v>1165</v>
      </c>
      <c r="C87" s="649" t="s">
        <v>51</v>
      </c>
      <c r="D87" s="651">
        <v>42194</v>
      </c>
      <c r="E87" s="649">
        <v>1</v>
      </c>
      <c r="F87" s="649">
        <v>1</v>
      </c>
      <c r="G87" s="649" t="s">
        <v>1166</v>
      </c>
      <c r="H87" s="649" t="s">
        <v>23</v>
      </c>
      <c r="I87" s="652">
        <v>42172</v>
      </c>
      <c r="K87" s="671"/>
      <c r="L87" s="70" t="str">
        <f>IF(ISBLANK(K87),"",NETWORKDAYS(I87,K87))</f>
        <v/>
      </c>
      <c r="M87" s="71" t="s">
        <v>41</v>
      </c>
      <c r="N87" s="72" t="s">
        <v>35</v>
      </c>
      <c r="P87" s="49">
        <f t="shared" si="13"/>
        <v>0</v>
      </c>
      <c r="Q87" s="50">
        <f t="shared" si="14"/>
        <v>0</v>
      </c>
    </row>
    <row r="88" spans="2:17" ht="13.8">
      <c r="B88" s="708" t="s">
        <v>1170</v>
      </c>
      <c r="C88" s="713" t="s">
        <v>51</v>
      </c>
      <c r="D88" s="710">
        <v>42195</v>
      </c>
      <c r="E88" s="713">
        <v>1</v>
      </c>
      <c r="F88" s="713">
        <v>1</v>
      </c>
      <c r="G88" s="713" t="s">
        <v>75</v>
      </c>
      <c r="H88" s="713" t="s">
        <v>23</v>
      </c>
      <c r="I88" s="714">
        <v>42174</v>
      </c>
      <c r="J88" s="699">
        <v>595.02</v>
      </c>
      <c r="K88" s="614"/>
      <c r="L88" s="70" t="str">
        <f>IF(ISBLANK(K88),"",NETWORKDAYS(I88,K88))</f>
        <v/>
      </c>
      <c r="M88" s="71" t="s">
        <v>41</v>
      </c>
      <c r="N88" s="72" t="s">
        <v>35</v>
      </c>
      <c r="P88" s="49">
        <f t="shared" si="13"/>
        <v>0</v>
      </c>
      <c r="Q88" s="50">
        <f t="shared" si="14"/>
        <v>0</v>
      </c>
    </row>
    <row r="89" spans="2:17">
      <c r="P89" s="49">
        <f t="shared" si="13"/>
        <v>0</v>
      </c>
      <c r="Q89" s="50">
        <f t="shared" si="14"/>
        <v>0</v>
      </c>
    </row>
    <row r="90" spans="2:17">
      <c r="P90" s="49">
        <f t="shared" si="13"/>
        <v>0</v>
      </c>
      <c r="Q90" s="50">
        <f t="shared" si="14"/>
        <v>0</v>
      </c>
    </row>
    <row r="91" spans="2:17">
      <c r="P91" s="49">
        <f t="shared" si="13"/>
        <v>0</v>
      </c>
      <c r="Q91" s="50">
        <f t="shared" si="14"/>
        <v>0</v>
      </c>
    </row>
    <row r="92" spans="2:17">
      <c r="P92" s="49">
        <f t="shared" si="13"/>
        <v>0</v>
      </c>
      <c r="Q92" s="50">
        <f t="shared" si="14"/>
        <v>0</v>
      </c>
    </row>
    <row r="93" spans="2:17">
      <c r="P93" s="49">
        <f t="shared" si="13"/>
        <v>0</v>
      </c>
      <c r="Q93" s="50">
        <f t="shared" si="14"/>
        <v>0</v>
      </c>
    </row>
    <row r="94" spans="2:17">
      <c r="P94" s="49">
        <f t="shared" si="13"/>
        <v>0</v>
      </c>
      <c r="Q94" s="50">
        <f t="shared" si="14"/>
        <v>0</v>
      </c>
    </row>
    <row r="95" spans="2:17">
      <c r="P95" s="49">
        <f t="shared" si="13"/>
        <v>0</v>
      </c>
      <c r="Q95" s="50">
        <f t="shared" si="14"/>
        <v>0</v>
      </c>
    </row>
    <row r="96" spans="2:17">
      <c r="P96" s="49">
        <f t="shared" si="13"/>
        <v>0</v>
      </c>
      <c r="Q96" s="50">
        <f t="shared" si="14"/>
        <v>0</v>
      </c>
    </row>
    <row r="97" spans="16:17">
      <c r="P97" s="49">
        <f t="shared" si="13"/>
        <v>0</v>
      </c>
      <c r="Q97" s="50">
        <f t="shared" si="14"/>
        <v>0</v>
      </c>
    </row>
    <row r="98" spans="16:17">
      <c r="P98" s="49">
        <f t="shared" si="13"/>
        <v>0</v>
      </c>
      <c r="Q98" s="50">
        <f t="shared" si="14"/>
        <v>0</v>
      </c>
    </row>
    <row r="99" spans="16:17">
      <c r="P99" s="49">
        <f t="shared" si="13"/>
        <v>0</v>
      </c>
      <c r="Q99" s="50">
        <f t="shared" si="14"/>
        <v>0</v>
      </c>
    </row>
    <row r="100" spans="16:17">
      <c r="P100" s="49">
        <f t="shared" si="13"/>
        <v>0</v>
      </c>
      <c r="Q100" s="50">
        <f t="shared" si="14"/>
        <v>0</v>
      </c>
    </row>
    <row r="101" spans="16:17">
      <c r="P101" s="49">
        <f t="shared" si="13"/>
        <v>0</v>
      </c>
      <c r="Q101" s="50">
        <f t="shared" si="14"/>
        <v>0</v>
      </c>
    </row>
    <row r="102" spans="16:17">
      <c r="P102" s="49">
        <f t="shared" si="13"/>
        <v>0</v>
      </c>
      <c r="Q102" s="50">
        <f t="shared" si="14"/>
        <v>0</v>
      </c>
    </row>
    <row r="103" spans="16:17">
      <c r="P103" s="49">
        <f t="shared" si="13"/>
        <v>0</v>
      </c>
      <c r="Q103" s="50">
        <f t="shared" si="14"/>
        <v>0</v>
      </c>
    </row>
    <row r="104" spans="16:17">
      <c r="P104" s="48"/>
      <c r="Q104" s="48"/>
    </row>
    <row r="105" spans="16:17">
      <c r="P105" s="48"/>
      <c r="Q105" s="48"/>
    </row>
    <row r="106" spans="16:17">
      <c r="P106" s="48"/>
      <c r="Q106" s="48"/>
    </row>
    <row r="107" spans="16:17">
      <c r="P107" s="48"/>
      <c r="Q107" s="48"/>
    </row>
    <row r="108" spans="16:17">
      <c r="P108" s="48"/>
      <c r="Q108" s="48"/>
    </row>
    <row r="109" spans="16:17">
      <c r="P109" s="48"/>
      <c r="Q109" s="48"/>
    </row>
    <row r="110" spans="16:17">
      <c r="P110" s="48"/>
      <c r="Q110" s="48"/>
    </row>
    <row r="111" spans="16:17">
      <c r="P111" s="48"/>
      <c r="Q111" s="48"/>
    </row>
    <row r="112" spans="16:17">
      <c r="P112" s="48"/>
      <c r="Q112" s="48"/>
    </row>
    <row r="113" spans="16:17">
      <c r="P113" s="48"/>
      <c r="Q113" s="48"/>
    </row>
    <row r="114" spans="16:17">
      <c r="P114" s="48"/>
      <c r="Q114" s="48"/>
    </row>
    <row r="115" spans="16:17">
      <c r="P115" s="48"/>
      <c r="Q115" s="48"/>
    </row>
    <row r="116" spans="16:17">
      <c r="P116" s="48"/>
      <c r="Q116" s="48"/>
    </row>
    <row r="117" spans="16:17">
      <c r="P117" s="48"/>
      <c r="Q117" s="48"/>
    </row>
    <row r="118" spans="16:17">
      <c r="P118" s="48"/>
      <c r="Q118" s="48"/>
    </row>
    <row r="119" spans="16:17">
      <c r="P119" s="48"/>
      <c r="Q119" s="48"/>
    </row>
    <row r="120" spans="16:17">
      <c r="P120" s="48"/>
      <c r="Q120" s="48"/>
    </row>
    <row r="121" spans="16:17">
      <c r="P121" s="48"/>
      <c r="Q121" s="48"/>
    </row>
    <row r="122" spans="16:17">
      <c r="P122" s="48"/>
      <c r="Q122" s="48"/>
    </row>
    <row r="123" spans="16:17">
      <c r="P123" s="48"/>
      <c r="Q123" s="48"/>
    </row>
    <row r="124" spans="16:17">
      <c r="P124" s="48"/>
      <c r="Q124" s="48"/>
    </row>
    <row r="125" spans="16:17">
      <c r="P125" s="48"/>
      <c r="Q125" s="48"/>
    </row>
    <row r="126" spans="16:17">
      <c r="P126" s="48"/>
      <c r="Q126" s="48"/>
    </row>
    <row r="127" spans="16:17">
      <c r="P127" s="48"/>
      <c r="Q127" s="48"/>
    </row>
    <row r="128" spans="16:17">
      <c r="P128" s="48"/>
      <c r="Q128" s="48"/>
    </row>
    <row r="129" spans="16:17">
      <c r="P129" s="48"/>
      <c r="Q129" s="48"/>
    </row>
    <row r="130" spans="16:17">
      <c r="P130" s="48"/>
      <c r="Q130" s="48"/>
    </row>
    <row r="131" spans="16:17">
      <c r="P131" s="48"/>
      <c r="Q131" s="48"/>
    </row>
    <row r="132" spans="16:17">
      <c r="P132" s="48"/>
      <c r="Q132" s="48"/>
    </row>
    <row r="133" spans="16:17">
      <c r="P133" s="48"/>
      <c r="Q133" s="48"/>
    </row>
    <row r="134" spans="16:17">
      <c r="P134" s="48"/>
      <c r="Q134" s="48"/>
    </row>
    <row r="135" spans="16:17">
      <c r="P135" s="48"/>
      <c r="Q135" s="48"/>
    </row>
    <row r="136" spans="16:17">
      <c r="P136" s="48"/>
      <c r="Q136" s="48"/>
    </row>
    <row r="137" spans="16:17">
      <c r="P137" s="48"/>
      <c r="Q137" s="48"/>
    </row>
    <row r="138" spans="16:17">
      <c r="P138" s="48"/>
      <c r="Q138" s="48"/>
    </row>
    <row r="139" spans="16:17">
      <c r="P139" s="48"/>
      <c r="Q139" s="48"/>
    </row>
    <row r="140" spans="16:17">
      <c r="P140" s="48"/>
      <c r="Q140" s="48"/>
    </row>
    <row r="141" spans="16:17">
      <c r="P141" s="48"/>
      <c r="Q141" s="48"/>
    </row>
    <row r="142" spans="16:17">
      <c r="P142" s="48"/>
      <c r="Q142" s="48"/>
    </row>
    <row r="143" spans="16:17">
      <c r="P143" s="48"/>
      <c r="Q143" s="48"/>
    </row>
    <row r="144" spans="16:17">
      <c r="P144" s="48"/>
      <c r="Q144" s="48"/>
    </row>
    <row r="145" spans="16:17">
      <c r="P145" s="48"/>
      <c r="Q145" s="48"/>
    </row>
    <row r="146" spans="16:17">
      <c r="P146" s="48"/>
      <c r="Q146" s="48"/>
    </row>
    <row r="147" spans="16:17">
      <c r="P147" s="48"/>
      <c r="Q147" s="48"/>
    </row>
    <row r="148" spans="16:17">
      <c r="P148" s="48"/>
      <c r="Q148" s="48"/>
    </row>
    <row r="149" spans="16:17">
      <c r="P149" s="48"/>
      <c r="Q149" s="48"/>
    </row>
    <row r="150" spans="16:17">
      <c r="P150" s="48"/>
      <c r="Q150" s="48"/>
    </row>
    <row r="151" spans="16:17">
      <c r="P151" s="48"/>
      <c r="Q151" s="48"/>
    </row>
    <row r="152" spans="16:17">
      <c r="P152" s="48"/>
      <c r="Q152" s="48"/>
    </row>
    <row r="153" spans="16:17">
      <c r="P153" s="48"/>
      <c r="Q153" s="48"/>
    </row>
    <row r="154" spans="16:17">
      <c r="P154" s="48"/>
      <c r="Q154" s="48"/>
    </row>
    <row r="155" spans="16:17">
      <c r="P155" s="48"/>
      <c r="Q155" s="48"/>
    </row>
    <row r="156" spans="16:17">
      <c r="P156" s="48"/>
      <c r="Q156" s="48"/>
    </row>
    <row r="157" spans="16:17">
      <c r="P157" s="48"/>
      <c r="Q157" s="48"/>
    </row>
    <row r="158" spans="16:17">
      <c r="P158" s="48"/>
      <c r="Q158" s="48"/>
    </row>
    <row r="159" spans="16:17">
      <c r="P159" s="48"/>
      <c r="Q159" s="48"/>
    </row>
    <row r="160" spans="16:17">
      <c r="P160" s="48"/>
      <c r="Q160" s="48"/>
    </row>
    <row r="161" spans="16:17">
      <c r="P161" s="48"/>
      <c r="Q161" s="48"/>
    </row>
    <row r="162" spans="16:17">
      <c r="P162" s="48"/>
      <c r="Q162" s="48"/>
    </row>
    <row r="163" spans="16:17">
      <c r="P163" s="48"/>
      <c r="Q163" s="48"/>
    </row>
    <row r="164" spans="16:17">
      <c r="P164" s="48"/>
      <c r="Q164" s="48"/>
    </row>
    <row r="165" spans="16:17">
      <c r="P165" s="48"/>
      <c r="Q165" s="48"/>
    </row>
    <row r="166" spans="16:17">
      <c r="P166" s="48"/>
      <c r="Q166" s="48"/>
    </row>
    <row r="167" spans="16:17">
      <c r="P167" s="48"/>
      <c r="Q167" s="48"/>
    </row>
    <row r="168" spans="16:17">
      <c r="P168" s="48"/>
      <c r="Q168" s="48"/>
    </row>
    <row r="169" spans="16:17">
      <c r="P169" s="48"/>
      <c r="Q169" s="48"/>
    </row>
    <row r="170" spans="16:17">
      <c r="P170" s="48"/>
      <c r="Q170" s="48"/>
    </row>
    <row r="171" spans="16:17">
      <c r="P171" s="48"/>
      <c r="Q171" s="48"/>
    </row>
    <row r="172" spans="16:17">
      <c r="P172" s="48"/>
      <c r="Q172" s="48"/>
    </row>
    <row r="173" spans="16:17">
      <c r="P173" s="48"/>
      <c r="Q173" s="48"/>
    </row>
    <row r="174" spans="16:17">
      <c r="P174" s="48"/>
      <c r="Q174" s="48"/>
    </row>
    <row r="175" spans="16:17">
      <c r="P175" s="48"/>
      <c r="Q175" s="48"/>
    </row>
    <row r="176" spans="16:17">
      <c r="P176" s="48"/>
      <c r="Q176" s="48"/>
    </row>
    <row r="177" spans="16:17">
      <c r="P177" s="48"/>
      <c r="Q177" s="48"/>
    </row>
    <row r="178" spans="16:17">
      <c r="P178" s="48"/>
      <c r="Q178" s="48"/>
    </row>
    <row r="179" spans="16:17">
      <c r="P179" s="48"/>
      <c r="Q179" s="48"/>
    </row>
    <row r="180" spans="16:17">
      <c r="P180" s="48"/>
      <c r="Q180" s="48"/>
    </row>
    <row r="181" spans="16:17">
      <c r="P181" s="48"/>
      <c r="Q181" s="48"/>
    </row>
    <row r="182" spans="16:17">
      <c r="P182" s="48"/>
      <c r="Q182" s="48"/>
    </row>
    <row r="183" spans="16:17">
      <c r="P183" s="48"/>
      <c r="Q183" s="48"/>
    </row>
    <row r="184" spans="16:17">
      <c r="P184" s="48"/>
      <c r="Q184" s="48"/>
    </row>
    <row r="185" spans="16:17">
      <c r="P185" s="48"/>
      <c r="Q185" s="48"/>
    </row>
    <row r="186" spans="16:17">
      <c r="P186" s="48"/>
      <c r="Q186" s="48"/>
    </row>
    <row r="187" spans="16:17">
      <c r="P187" s="48"/>
      <c r="Q187" s="48"/>
    </row>
    <row r="188" spans="16:17">
      <c r="P188" s="48"/>
      <c r="Q188" s="48"/>
    </row>
    <row r="189" spans="16:17">
      <c r="P189" s="48"/>
      <c r="Q189" s="48"/>
    </row>
    <row r="190" spans="16:17">
      <c r="P190" s="48"/>
      <c r="Q190" s="48"/>
    </row>
    <row r="191" spans="16:17">
      <c r="P191" s="48"/>
      <c r="Q191" s="48"/>
    </row>
    <row r="192" spans="16:17">
      <c r="P192" s="48"/>
      <c r="Q192" s="48"/>
    </row>
    <row r="193" spans="16:17">
      <c r="P193" s="48"/>
      <c r="Q193" s="48"/>
    </row>
    <row r="194" spans="16:17">
      <c r="P194" s="48"/>
      <c r="Q194" s="48"/>
    </row>
    <row r="195" spans="16:17">
      <c r="P195" s="48"/>
      <c r="Q195" s="48"/>
    </row>
    <row r="196" spans="16:17">
      <c r="P196" s="48"/>
      <c r="Q196" s="48"/>
    </row>
    <row r="197" spans="16:17">
      <c r="P197" s="48"/>
      <c r="Q197" s="48"/>
    </row>
    <row r="198" spans="16:17">
      <c r="P198" s="48"/>
      <c r="Q198" s="48"/>
    </row>
    <row r="199" spans="16:17">
      <c r="P199" s="48"/>
      <c r="Q199" s="48"/>
    </row>
    <row r="200" spans="16:17">
      <c r="P200" s="48"/>
      <c r="Q200" s="48"/>
    </row>
    <row r="201" spans="16:17">
      <c r="P201" s="48"/>
      <c r="Q201" s="48"/>
    </row>
    <row r="202" spans="16:17">
      <c r="P202" s="48"/>
      <c r="Q202" s="48"/>
    </row>
    <row r="203" spans="16:17">
      <c r="P203" s="48"/>
      <c r="Q203" s="48"/>
    </row>
    <row r="204" spans="16:17">
      <c r="P204" s="48"/>
      <c r="Q204" s="48"/>
    </row>
    <row r="205" spans="16:17">
      <c r="P205" s="48"/>
      <c r="Q205" s="48"/>
    </row>
    <row r="206" spans="16:17">
      <c r="P206" s="48"/>
      <c r="Q206" s="48"/>
    </row>
    <row r="207" spans="16:17">
      <c r="P207" s="48"/>
      <c r="Q207" s="48"/>
    </row>
    <row r="208" spans="16:17">
      <c r="P208" s="48"/>
      <c r="Q208" s="48"/>
    </row>
    <row r="209" spans="16:17">
      <c r="P209" s="48"/>
      <c r="Q209" s="48"/>
    </row>
    <row r="210" spans="16:17">
      <c r="P210" s="48"/>
      <c r="Q210" s="48"/>
    </row>
    <row r="211" spans="16:17">
      <c r="P211" s="48"/>
      <c r="Q211" s="48"/>
    </row>
    <row r="212" spans="16:17">
      <c r="P212" s="48"/>
      <c r="Q212" s="48"/>
    </row>
    <row r="213" spans="16:17">
      <c r="P213" s="48"/>
      <c r="Q213" s="48"/>
    </row>
    <row r="214" spans="16:17">
      <c r="P214" s="48"/>
      <c r="Q214" s="48"/>
    </row>
    <row r="215" spans="16:17">
      <c r="P215" s="48"/>
      <c r="Q215" s="48"/>
    </row>
    <row r="216" spans="16:17">
      <c r="P216" s="48"/>
      <c r="Q216" s="48"/>
    </row>
    <row r="217" spans="16:17">
      <c r="P217" s="48"/>
      <c r="Q217" s="48"/>
    </row>
    <row r="218" spans="16:17">
      <c r="P218" s="48"/>
      <c r="Q218" s="48"/>
    </row>
    <row r="219" spans="16:17">
      <c r="P219" s="48"/>
      <c r="Q219" s="48"/>
    </row>
    <row r="220" spans="16:17">
      <c r="P220" s="48"/>
      <c r="Q220" s="48"/>
    </row>
    <row r="221" spans="16:17">
      <c r="P221" s="48"/>
      <c r="Q221" s="48"/>
    </row>
    <row r="222" spans="16:17">
      <c r="P222" s="48"/>
      <c r="Q222" s="48"/>
    </row>
    <row r="223" spans="16:17">
      <c r="P223" s="48"/>
      <c r="Q223" s="48"/>
    </row>
    <row r="224" spans="16:17">
      <c r="P224" s="48"/>
      <c r="Q224" s="48"/>
    </row>
    <row r="225" spans="16:17">
      <c r="P225" s="48"/>
      <c r="Q225" s="48"/>
    </row>
    <row r="226" spans="16:17">
      <c r="P226" s="48"/>
      <c r="Q226" s="48"/>
    </row>
    <row r="227" spans="16:17">
      <c r="P227" s="48"/>
      <c r="Q227" s="48"/>
    </row>
    <row r="228" spans="16:17">
      <c r="P228" s="48"/>
      <c r="Q228" s="48"/>
    </row>
    <row r="229" spans="16:17">
      <c r="P229" s="48"/>
      <c r="Q229" s="48"/>
    </row>
    <row r="230" spans="16:17">
      <c r="P230" s="48"/>
      <c r="Q230" s="48"/>
    </row>
    <row r="231" spans="16:17">
      <c r="P231" s="48"/>
      <c r="Q231" s="48"/>
    </row>
    <row r="232" spans="16:17">
      <c r="P232" s="48"/>
      <c r="Q232" s="48"/>
    </row>
    <row r="233" spans="16:17">
      <c r="P233" s="48"/>
      <c r="Q233" s="48"/>
    </row>
    <row r="234" spans="16:17">
      <c r="P234" s="48"/>
      <c r="Q234" s="48"/>
    </row>
    <row r="235" spans="16:17">
      <c r="P235" s="48"/>
      <c r="Q235" s="48"/>
    </row>
    <row r="236" spans="16:17">
      <c r="P236" s="48"/>
      <c r="Q236" s="48"/>
    </row>
    <row r="237" spans="16:17">
      <c r="P237" s="48"/>
      <c r="Q237" s="48"/>
    </row>
    <row r="238" spans="16:17">
      <c r="P238" s="48"/>
      <c r="Q238" s="48"/>
    </row>
    <row r="239" spans="16:17">
      <c r="P239" s="48"/>
      <c r="Q239" s="48"/>
    </row>
    <row r="240" spans="16:17">
      <c r="P240" s="48"/>
      <c r="Q240" s="48"/>
    </row>
    <row r="241" spans="16:17">
      <c r="P241" s="48"/>
      <c r="Q241" s="48"/>
    </row>
    <row r="242" spans="16:17">
      <c r="P242" s="48"/>
      <c r="Q242" s="48"/>
    </row>
    <row r="243" spans="16:17">
      <c r="P243" s="48"/>
      <c r="Q243" s="48"/>
    </row>
    <row r="244" spans="16:17">
      <c r="P244" s="48"/>
      <c r="Q244" s="48"/>
    </row>
    <row r="245" spans="16:17">
      <c r="P245" s="48"/>
      <c r="Q245" s="48"/>
    </row>
    <row r="246" spans="16:17">
      <c r="P246" s="48"/>
      <c r="Q246" s="48"/>
    </row>
    <row r="247" spans="16:17">
      <c r="P247" s="48"/>
      <c r="Q247" s="48"/>
    </row>
    <row r="248" spans="16:17">
      <c r="P248" s="48"/>
      <c r="Q248" s="48"/>
    </row>
    <row r="249" spans="16:17">
      <c r="P249" s="48"/>
      <c r="Q249" s="48"/>
    </row>
    <row r="250" spans="16:17">
      <c r="P250" s="48"/>
      <c r="Q250" s="48"/>
    </row>
    <row r="251" spans="16:17">
      <c r="P251" s="48"/>
      <c r="Q251" s="48"/>
    </row>
    <row r="252" spans="16:17">
      <c r="P252" s="48"/>
      <c r="Q252" s="48"/>
    </row>
    <row r="253" spans="16:17">
      <c r="P253" s="48"/>
      <c r="Q253" s="48"/>
    </row>
    <row r="254" spans="16:17">
      <c r="P254" s="48"/>
      <c r="Q254" s="48"/>
    </row>
    <row r="255" spans="16:17">
      <c r="P255" s="48"/>
      <c r="Q255" s="48"/>
    </row>
    <row r="256" spans="16:17">
      <c r="P256" s="48"/>
      <c r="Q256" s="48"/>
    </row>
    <row r="257" spans="16:17">
      <c r="P257" s="48"/>
      <c r="Q257" s="48"/>
    </row>
    <row r="258" spans="16:17">
      <c r="P258" s="48"/>
      <c r="Q258" s="48"/>
    </row>
    <row r="259" spans="16:17">
      <c r="P259" s="48"/>
      <c r="Q259" s="48"/>
    </row>
    <row r="260" spans="16:17">
      <c r="P260" s="48"/>
      <c r="Q260" s="48"/>
    </row>
    <row r="261" spans="16:17">
      <c r="P261" s="48"/>
      <c r="Q261" s="48"/>
    </row>
    <row r="262" spans="16:17">
      <c r="P262" s="48"/>
      <c r="Q262" s="48"/>
    </row>
    <row r="263" spans="16:17">
      <c r="P263" s="48"/>
      <c r="Q263" s="48"/>
    </row>
    <row r="264" spans="16:17">
      <c r="P264" s="48"/>
      <c r="Q264" s="48"/>
    </row>
    <row r="265" spans="16:17">
      <c r="P265" s="48"/>
      <c r="Q265" s="48"/>
    </row>
    <row r="266" spans="16:17">
      <c r="P266" s="48"/>
      <c r="Q266" s="48"/>
    </row>
    <row r="267" spans="16:17">
      <c r="P267" s="48"/>
      <c r="Q267" s="48"/>
    </row>
    <row r="268" spans="16:17">
      <c r="P268" s="48"/>
      <c r="Q268" s="48"/>
    </row>
    <row r="269" spans="16:17">
      <c r="P269" s="48"/>
      <c r="Q269" s="48"/>
    </row>
    <row r="270" spans="16:17">
      <c r="P270" s="48"/>
      <c r="Q270" s="48"/>
    </row>
    <row r="271" spans="16:17">
      <c r="P271" s="48"/>
      <c r="Q271" s="48"/>
    </row>
    <row r="272" spans="16:17">
      <c r="P272" s="48"/>
      <c r="Q272" s="48"/>
    </row>
    <row r="273" spans="16:17">
      <c r="P273" s="48"/>
      <c r="Q273" s="48"/>
    </row>
    <row r="274" spans="16:17">
      <c r="P274" s="48"/>
      <c r="Q274" s="48"/>
    </row>
    <row r="275" spans="16:17">
      <c r="P275" s="48"/>
      <c r="Q275" s="48"/>
    </row>
    <row r="276" spans="16:17">
      <c r="P276" s="48"/>
      <c r="Q276" s="48"/>
    </row>
    <row r="277" spans="16:17">
      <c r="P277" s="48"/>
      <c r="Q277" s="48"/>
    </row>
    <row r="278" spans="16:17">
      <c r="P278" s="48"/>
      <c r="Q278" s="48"/>
    </row>
    <row r="279" spans="16:17">
      <c r="P279" s="48"/>
      <c r="Q279" s="48"/>
    </row>
    <row r="280" spans="16:17">
      <c r="P280" s="48"/>
      <c r="Q280" s="48"/>
    </row>
    <row r="281" spans="16:17">
      <c r="P281" s="48"/>
      <c r="Q281" s="48"/>
    </row>
    <row r="282" spans="16:17">
      <c r="P282" s="48"/>
      <c r="Q282" s="48"/>
    </row>
    <row r="283" spans="16:17">
      <c r="P283" s="48"/>
      <c r="Q283" s="48"/>
    </row>
    <row r="284" spans="16:17">
      <c r="P284" s="48"/>
      <c r="Q284" s="48"/>
    </row>
    <row r="285" spans="16:17">
      <c r="P285" s="48"/>
      <c r="Q285" s="48"/>
    </row>
    <row r="286" spans="16:17">
      <c r="P286" s="48"/>
      <c r="Q286" s="48"/>
    </row>
    <row r="287" spans="16:17">
      <c r="P287" s="48"/>
      <c r="Q287" s="48"/>
    </row>
    <row r="288" spans="16:17">
      <c r="P288" s="48"/>
      <c r="Q288" s="48"/>
    </row>
    <row r="289" spans="16:17">
      <c r="P289" s="48"/>
      <c r="Q289" s="48"/>
    </row>
    <row r="290" spans="16:17">
      <c r="P290" s="48"/>
      <c r="Q290" s="48"/>
    </row>
    <row r="291" spans="16:17">
      <c r="P291" s="48"/>
      <c r="Q291" s="48"/>
    </row>
    <row r="292" spans="16:17">
      <c r="P292" s="48"/>
      <c r="Q292" s="48"/>
    </row>
    <row r="293" spans="16:17">
      <c r="P293" s="48"/>
      <c r="Q293" s="48"/>
    </row>
    <row r="294" spans="16:17">
      <c r="P294" s="48"/>
      <c r="Q294" s="48"/>
    </row>
    <row r="295" spans="16:17">
      <c r="P295" s="48"/>
      <c r="Q295" s="48"/>
    </row>
    <row r="296" spans="16:17">
      <c r="P296" s="48"/>
      <c r="Q296" s="48"/>
    </row>
    <row r="297" spans="16:17">
      <c r="P297" s="48"/>
      <c r="Q297" s="48"/>
    </row>
    <row r="298" spans="16:17">
      <c r="P298" s="48"/>
      <c r="Q298" s="48"/>
    </row>
    <row r="299" spans="16:17">
      <c r="P299" s="48"/>
      <c r="Q299" s="48"/>
    </row>
    <row r="300" spans="16:17">
      <c r="P300" s="48"/>
      <c r="Q300" s="48"/>
    </row>
    <row r="301" spans="16:17">
      <c r="P301" s="48"/>
      <c r="Q301" s="48"/>
    </row>
    <row r="302" spans="16:17">
      <c r="P302" s="48"/>
      <c r="Q302" s="48"/>
    </row>
    <row r="303" spans="16:17">
      <c r="P303" s="48"/>
      <c r="Q303" s="48"/>
    </row>
    <row r="304" spans="16:17">
      <c r="P304" s="48"/>
      <c r="Q304" s="48"/>
    </row>
    <row r="305" spans="16:17">
      <c r="P305" s="48"/>
      <c r="Q305" s="48"/>
    </row>
    <row r="306" spans="16:17">
      <c r="P306" s="48"/>
      <c r="Q306" s="48"/>
    </row>
    <row r="307" spans="16:17">
      <c r="P307" s="48"/>
      <c r="Q307" s="48"/>
    </row>
    <row r="308" spans="16:17">
      <c r="P308" s="48"/>
      <c r="Q308" s="48"/>
    </row>
    <row r="309" spans="16:17">
      <c r="P309" s="48"/>
      <c r="Q309" s="48"/>
    </row>
    <row r="310" spans="16:17">
      <c r="P310" s="48"/>
      <c r="Q310" s="48"/>
    </row>
    <row r="311" spans="16:17">
      <c r="P311" s="48"/>
      <c r="Q311" s="48"/>
    </row>
    <row r="312" spans="16:17">
      <c r="P312" s="48"/>
      <c r="Q312" s="48"/>
    </row>
    <row r="313" spans="16:17">
      <c r="P313" s="48"/>
      <c r="Q313" s="48"/>
    </row>
    <row r="314" spans="16:17">
      <c r="P314" s="48"/>
      <c r="Q314" s="48"/>
    </row>
    <row r="315" spans="16:17">
      <c r="P315" s="48"/>
      <c r="Q315" s="48"/>
    </row>
    <row r="316" spans="16:17">
      <c r="P316" s="48"/>
      <c r="Q316" s="48"/>
    </row>
    <row r="317" spans="16:17">
      <c r="P317" s="48"/>
      <c r="Q317" s="48"/>
    </row>
    <row r="318" spans="16:17">
      <c r="P318" s="48"/>
      <c r="Q318" s="48"/>
    </row>
    <row r="319" spans="16:17">
      <c r="P319" s="48"/>
      <c r="Q319" s="48"/>
    </row>
    <row r="320" spans="16:17">
      <c r="P320" s="48"/>
      <c r="Q320" s="48"/>
    </row>
    <row r="321" spans="16:17">
      <c r="P321" s="48"/>
      <c r="Q321" s="48"/>
    </row>
    <row r="322" spans="16:17">
      <c r="P322" s="48"/>
      <c r="Q322" s="48"/>
    </row>
    <row r="323" spans="16:17">
      <c r="P323" s="48"/>
      <c r="Q323" s="48"/>
    </row>
    <row r="324" spans="16:17">
      <c r="P324" s="48"/>
      <c r="Q324" s="48"/>
    </row>
    <row r="325" spans="16:17">
      <c r="P325" s="48"/>
      <c r="Q325" s="48"/>
    </row>
    <row r="326" spans="16:17">
      <c r="P326" s="48"/>
      <c r="Q326" s="48"/>
    </row>
    <row r="327" spans="16:17">
      <c r="P327" s="48"/>
      <c r="Q327" s="48"/>
    </row>
    <row r="328" spans="16:17">
      <c r="P328" s="48"/>
      <c r="Q328" s="48"/>
    </row>
    <row r="329" spans="16:17">
      <c r="P329" s="48"/>
      <c r="Q329" s="48"/>
    </row>
    <row r="330" spans="16:17">
      <c r="P330" s="48"/>
      <c r="Q330" s="48"/>
    </row>
    <row r="331" spans="16:17">
      <c r="P331" s="48"/>
      <c r="Q331" s="48"/>
    </row>
    <row r="332" spans="16:17">
      <c r="P332" s="48"/>
      <c r="Q332" s="48"/>
    </row>
    <row r="333" spans="16:17">
      <c r="P333" s="48"/>
      <c r="Q333" s="48"/>
    </row>
    <row r="334" spans="16:17">
      <c r="P334" s="48"/>
      <c r="Q334" s="48"/>
    </row>
    <row r="335" spans="16:17">
      <c r="P335" s="48"/>
      <c r="Q335" s="48"/>
    </row>
    <row r="336" spans="16:17">
      <c r="P336" s="48"/>
      <c r="Q336" s="48"/>
    </row>
    <row r="337" spans="16:17">
      <c r="P337" s="48"/>
      <c r="Q337" s="48"/>
    </row>
    <row r="338" spans="16:17">
      <c r="P338" s="48"/>
      <c r="Q338" s="48"/>
    </row>
    <row r="339" spans="16:17">
      <c r="P339" s="48"/>
      <c r="Q339" s="48"/>
    </row>
    <row r="340" spans="16:17">
      <c r="P340" s="48"/>
      <c r="Q340" s="48"/>
    </row>
    <row r="341" spans="16:17">
      <c r="P341" s="48"/>
      <c r="Q341" s="48"/>
    </row>
    <row r="342" spans="16:17">
      <c r="P342" s="48"/>
      <c r="Q342" s="48"/>
    </row>
    <row r="343" spans="16:17">
      <c r="P343" s="48"/>
      <c r="Q343" s="48"/>
    </row>
    <row r="344" spans="16:17">
      <c r="P344" s="48"/>
      <c r="Q344" s="48"/>
    </row>
    <row r="345" spans="16:17">
      <c r="P345" s="48"/>
      <c r="Q345" s="48"/>
    </row>
    <row r="346" spans="16:17">
      <c r="P346" s="48"/>
      <c r="Q346" s="48"/>
    </row>
    <row r="347" spans="16:17">
      <c r="P347" s="48"/>
      <c r="Q347" s="48"/>
    </row>
    <row r="348" spans="16:17">
      <c r="P348" s="48"/>
      <c r="Q348" s="48"/>
    </row>
    <row r="349" spans="16:17">
      <c r="P349" s="48"/>
      <c r="Q349" s="48"/>
    </row>
    <row r="350" spans="16:17">
      <c r="P350" s="48"/>
      <c r="Q350" s="48"/>
    </row>
    <row r="351" spans="16:17">
      <c r="P351" s="48"/>
      <c r="Q351" s="48"/>
    </row>
    <row r="352" spans="16:17">
      <c r="P352" s="48"/>
      <c r="Q352" s="48"/>
    </row>
    <row r="353" spans="16:17">
      <c r="P353" s="48"/>
      <c r="Q353" s="48"/>
    </row>
    <row r="354" spans="16:17">
      <c r="P354" s="48"/>
      <c r="Q354" s="48"/>
    </row>
    <row r="355" spans="16:17">
      <c r="P355" s="48"/>
      <c r="Q355" s="48"/>
    </row>
    <row r="356" spans="16:17">
      <c r="P356" s="48"/>
      <c r="Q356" s="48"/>
    </row>
    <row r="357" spans="16:17">
      <c r="P357" s="48"/>
      <c r="Q357" s="48"/>
    </row>
    <row r="358" spans="16:17">
      <c r="P358" s="48"/>
      <c r="Q358" s="48"/>
    </row>
    <row r="359" spans="16:17">
      <c r="P359" s="48"/>
      <c r="Q359" s="48"/>
    </row>
    <row r="360" spans="16:17">
      <c r="P360" s="48"/>
      <c r="Q360" s="48"/>
    </row>
    <row r="361" spans="16:17">
      <c r="P361" s="48"/>
      <c r="Q361" s="48"/>
    </row>
    <row r="362" spans="16:17">
      <c r="P362" s="48"/>
      <c r="Q362" s="48"/>
    </row>
    <row r="363" spans="16:17">
      <c r="P363" s="48"/>
      <c r="Q363" s="48"/>
    </row>
    <row r="364" spans="16:17">
      <c r="P364" s="48"/>
      <c r="Q364" s="48"/>
    </row>
    <row r="365" spans="16:17">
      <c r="P365" s="48"/>
      <c r="Q365" s="48"/>
    </row>
    <row r="366" spans="16:17">
      <c r="P366" s="48"/>
      <c r="Q366" s="48"/>
    </row>
    <row r="367" spans="16:17">
      <c r="P367" s="48"/>
      <c r="Q367" s="48"/>
    </row>
    <row r="368" spans="16:17">
      <c r="P368" s="48"/>
      <c r="Q368" s="48"/>
    </row>
    <row r="369" spans="16:17">
      <c r="P369" s="48"/>
      <c r="Q369" s="48"/>
    </row>
    <row r="370" spans="16:17">
      <c r="P370" s="48"/>
      <c r="Q370" s="48"/>
    </row>
    <row r="371" spans="16:17">
      <c r="P371" s="48"/>
      <c r="Q371" s="48"/>
    </row>
    <row r="372" spans="16:17">
      <c r="P372" s="48"/>
      <c r="Q372" s="48"/>
    </row>
    <row r="373" spans="16:17">
      <c r="P373" s="48"/>
      <c r="Q373" s="48"/>
    </row>
    <row r="374" spans="16:17">
      <c r="P374" s="48"/>
      <c r="Q374" s="48"/>
    </row>
    <row r="375" spans="16:17">
      <c r="P375" s="48"/>
      <c r="Q375" s="48"/>
    </row>
    <row r="376" spans="16:17">
      <c r="P376" s="48"/>
      <c r="Q376" s="48"/>
    </row>
    <row r="377" spans="16:17">
      <c r="P377" s="48"/>
      <c r="Q377" s="48"/>
    </row>
    <row r="378" spans="16:17">
      <c r="P378" s="48"/>
      <c r="Q378" s="48"/>
    </row>
    <row r="379" spans="16:17">
      <c r="P379" s="48"/>
      <c r="Q379" s="48"/>
    </row>
    <row r="380" spans="16:17">
      <c r="P380" s="48"/>
      <c r="Q380" s="48"/>
    </row>
    <row r="381" spans="16:17">
      <c r="P381" s="48"/>
      <c r="Q381" s="48"/>
    </row>
    <row r="382" spans="16:17">
      <c r="P382" s="48"/>
      <c r="Q382" s="48"/>
    </row>
    <row r="383" spans="16:17">
      <c r="P383" s="48"/>
      <c r="Q383" s="48"/>
    </row>
    <row r="384" spans="16:17">
      <c r="P384" s="48"/>
      <c r="Q384" s="48"/>
    </row>
    <row r="385" spans="16:17">
      <c r="P385" s="48"/>
      <c r="Q385" s="48"/>
    </row>
    <row r="386" spans="16:17">
      <c r="P386" s="48"/>
      <c r="Q386" s="48"/>
    </row>
    <row r="387" spans="16:17">
      <c r="P387" s="48"/>
      <c r="Q387" s="48"/>
    </row>
    <row r="388" spans="16:17">
      <c r="P388" s="48"/>
      <c r="Q388" s="48"/>
    </row>
    <row r="389" spans="16:17">
      <c r="P389" s="48"/>
      <c r="Q389" s="48"/>
    </row>
    <row r="390" spans="16:17">
      <c r="P390" s="48"/>
      <c r="Q390" s="48"/>
    </row>
    <row r="391" spans="16:17">
      <c r="P391" s="48"/>
      <c r="Q391" s="48"/>
    </row>
    <row r="392" spans="16:17">
      <c r="P392" s="48"/>
      <c r="Q392" s="48"/>
    </row>
    <row r="393" spans="16:17">
      <c r="P393" s="48"/>
      <c r="Q393" s="48"/>
    </row>
    <row r="394" spans="16:17">
      <c r="P394" s="48"/>
      <c r="Q394" s="48"/>
    </row>
    <row r="395" spans="16:17">
      <c r="P395" s="48"/>
      <c r="Q395" s="48"/>
    </row>
    <row r="396" spans="16:17">
      <c r="P396" s="48"/>
      <c r="Q396" s="48"/>
    </row>
    <row r="397" spans="16:17">
      <c r="P397" s="48"/>
      <c r="Q397" s="48"/>
    </row>
    <row r="398" spans="16:17">
      <c r="P398" s="48"/>
      <c r="Q398" s="48"/>
    </row>
    <row r="399" spans="16:17">
      <c r="P399" s="48"/>
      <c r="Q399" s="48"/>
    </row>
    <row r="400" spans="16:17">
      <c r="P400" s="48"/>
      <c r="Q400" s="48"/>
    </row>
    <row r="401" spans="16:17">
      <c r="P401" s="48"/>
      <c r="Q401" s="48"/>
    </row>
    <row r="402" spans="16:17">
      <c r="P402" s="48"/>
      <c r="Q402" s="48"/>
    </row>
    <row r="403" spans="16:17">
      <c r="P403" s="48"/>
      <c r="Q403" s="48"/>
    </row>
    <row r="404" spans="16:17">
      <c r="P404" s="48"/>
      <c r="Q404" s="48"/>
    </row>
    <row r="405" spans="16:17">
      <c r="P405" s="48"/>
      <c r="Q405" s="48"/>
    </row>
    <row r="406" spans="16:17">
      <c r="P406" s="48"/>
      <c r="Q406" s="48"/>
    </row>
    <row r="407" spans="16:17">
      <c r="P407" s="48"/>
      <c r="Q407" s="48"/>
    </row>
    <row r="408" spans="16:17">
      <c r="P408" s="48"/>
      <c r="Q408" s="48"/>
    </row>
    <row r="409" spans="16:17">
      <c r="P409" s="48"/>
      <c r="Q409" s="48"/>
    </row>
    <row r="410" spans="16:17">
      <c r="P410" s="48"/>
      <c r="Q410" s="48"/>
    </row>
    <row r="411" spans="16:17">
      <c r="P411" s="48"/>
      <c r="Q411" s="48"/>
    </row>
    <row r="412" spans="16:17">
      <c r="P412" s="48"/>
      <c r="Q412" s="48"/>
    </row>
    <row r="413" spans="16:17">
      <c r="P413" s="48"/>
      <c r="Q413" s="48"/>
    </row>
    <row r="414" spans="16:17">
      <c r="P414" s="48"/>
      <c r="Q414" s="48"/>
    </row>
    <row r="415" spans="16:17">
      <c r="P415" s="48"/>
      <c r="Q415" s="48"/>
    </row>
    <row r="416" spans="16:17">
      <c r="P416" s="48"/>
      <c r="Q416" s="48"/>
    </row>
    <row r="417" spans="16:17">
      <c r="P417" s="48"/>
      <c r="Q417" s="48"/>
    </row>
    <row r="418" spans="16:17">
      <c r="P418" s="48"/>
      <c r="Q418" s="48"/>
    </row>
    <row r="419" spans="16:17">
      <c r="P419" s="48"/>
      <c r="Q419" s="48"/>
    </row>
    <row r="420" spans="16:17">
      <c r="P420" s="48"/>
      <c r="Q420" s="48"/>
    </row>
    <row r="421" spans="16:17">
      <c r="P421" s="48"/>
      <c r="Q421" s="48"/>
    </row>
    <row r="422" spans="16:17">
      <c r="P422" s="48"/>
      <c r="Q422" s="48"/>
    </row>
    <row r="423" spans="16:17">
      <c r="P423" s="48"/>
      <c r="Q423" s="48"/>
    </row>
    <row r="424" spans="16:17">
      <c r="P424" s="48"/>
      <c r="Q424" s="48"/>
    </row>
    <row r="425" spans="16:17">
      <c r="P425" s="48"/>
      <c r="Q425" s="48"/>
    </row>
    <row r="426" spans="16:17">
      <c r="P426" s="48"/>
      <c r="Q426" s="48"/>
    </row>
    <row r="427" spans="16:17">
      <c r="P427" s="48"/>
      <c r="Q427" s="48"/>
    </row>
    <row r="428" spans="16:17">
      <c r="P428" s="48"/>
      <c r="Q428" s="48"/>
    </row>
    <row r="429" spans="16:17">
      <c r="P429" s="48"/>
      <c r="Q429" s="48"/>
    </row>
    <row r="430" spans="16:17">
      <c r="P430" s="48"/>
      <c r="Q430" s="48"/>
    </row>
    <row r="431" spans="16:17">
      <c r="P431" s="48"/>
      <c r="Q431" s="48"/>
    </row>
    <row r="432" spans="16:17">
      <c r="P432" s="48"/>
      <c r="Q432" s="48"/>
    </row>
    <row r="433" spans="16:17">
      <c r="P433" s="48"/>
      <c r="Q433" s="48"/>
    </row>
    <row r="434" spans="16:17">
      <c r="P434" s="48"/>
      <c r="Q434" s="48"/>
    </row>
    <row r="435" spans="16:17">
      <c r="P435" s="48"/>
      <c r="Q435" s="48"/>
    </row>
    <row r="436" spans="16:17">
      <c r="P436" s="48"/>
      <c r="Q436" s="48"/>
    </row>
    <row r="437" spans="16:17">
      <c r="P437" s="48"/>
      <c r="Q437" s="48"/>
    </row>
    <row r="438" spans="16:17">
      <c r="P438" s="48"/>
      <c r="Q438" s="48"/>
    </row>
    <row r="439" spans="16:17">
      <c r="P439" s="48"/>
      <c r="Q439" s="48"/>
    </row>
    <row r="440" spans="16:17">
      <c r="P440" s="48"/>
      <c r="Q440" s="48"/>
    </row>
    <row r="441" spans="16:17">
      <c r="P441" s="48"/>
      <c r="Q441" s="48"/>
    </row>
    <row r="442" spans="16:17">
      <c r="P442" s="48"/>
      <c r="Q442" s="48"/>
    </row>
    <row r="443" spans="16:17">
      <c r="P443" s="48"/>
      <c r="Q443" s="48"/>
    </row>
    <row r="444" spans="16:17">
      <c r="P444" s="48"/>
      <c r="Q444" s="48"/>
    </row>
    <row r="445" spans="16:17">
      <c r="P445" s="48"/>
      <c r="Q445" s="48"/>
    </row>
    <row r="446" spans="16:17">
      <c r="P446" s="48"/>
      <c r="Q446" s="48"/>
    </row>
    <row r="447" spans="16:17">
      <c r="P447" s="48"/>
      <c r="Q447" s="48"/>
    </row>
    <row r="448" spans="16:17">
      <c r="P448" s="48"/>
      <c r="Q448" s="48"/>
    </row>
    <row r="449" spans="16:17">
      <c r="P449" s="48"/>
      <c r="Q449" s="48"/>
    </row>
    <row r="450" spans="16:17">
      <c r="P450" s="48"/>
      <c r="Q450" s="48"/>
    </row>
    <row r="451" spans="16:17">
      <c r="P451" s="48"/>
      <c r="Q451" s="48"/>
    </row>
    <row r="452" spans="16:17">
      <c r="P452" s="48"/>
      <c r="Q452" s="48"/>
    </row>
    <row r="453" spans="16:17">
      <c r="P453" s="48"/>
      <c r="Q453" s="48"/>
    </row>
    <row r="454" spans="16:17">
      <c r="P454" s="48"/>
      <c r="Q454" s="48"/>
    </row>
    <row r="455" spans="16:17">
      <c r="P455" s="48"/>
      <c r="Q455" s="48"/>
    </row>
    <row r="456" spans="16:17">
      <c r="P456" s="48"/>
      <c r="Q456" s="48"/>
    </row>
    <row r="457" spans="16:17">
      <c r="P457" s="48"/>
      <c r="Q457" s="48"/>
    </row>
    <row r="458" spans="16:17">
      <c r="P458" s="48"/>
      <c r="Q458" s="48"/>
    </row>
    <row r="459" spans="16:17">
      <c r="P459" s="48"/>
      <c r="Q459" s="48"/>
    </row>
    <row r="460" spans="16:17">
      <c r="P460" s="48"/>
      <c r="Q460" s="48"/>
    </row>
    <row r="461" spans="16:17">
      <c r="P461" s="48"/>
      <c r="Q461" s="48"/>
    </row>
    <row r="462" spans="16:17">
      <c r="P462" s="48"/>
      <c r="Q462" s="48"/>
    </row>
    <row r="463" spans="16:17">
      <c r="P463" s="48"/>
      <c r="Q463" s="48"/>
    </row>
    <row r="464" spans="16:17">
      <c r="P464" s="48"/>
      <c r="Q464" s="48"/>
    </row>
    <row r="465" spans="16:17">
      <c r="P465" s="48"/>
      <c r="Q465" s="48"/>
    </row>
    <row r="466" spans="16:17">
      <c r="P466" s="48"/>
      <c r="Q466" s="48"/>
    </row>
    <row r="467" spans="16:17">
      <c r="P467" s="48"/>
      <c r="Q467" s="48"/>
    </row>
    <row r="468" spans="16:17">
      <c r="P468" s="48"/>
      <c r="Q468" s="48"/>
    </row>
    <row r="469" spans="16:17">
      <c r="P469" s="48"/>
      <c r="Q469" s="48"/>
    </row>
    <row r="470" spans="16:17">
      <c r="P470" s="48"/>
      <c r="Q470" s="48"/>
    </row>
    <row r="471" spans="16:17">
      <c r="P471" s="48"/>
      <c r="Q471" s="48"/>
    </row>
    <row r="472" spans="16:17">
      <c r="P472" s="48"/>
      <c r="Q472" s="48"/>
    </row>
    <row r="473" spans="16:17">
      <c r="P473" s="48"/>
      <c r="Q473" s="48"/>
    </row>
    <row r="474" spans="16:17">
      <c r="P474" s="48"/>
      <c r="Q474" s="48"/>
    </row>
    <row r="475" spans="16:17">
      <c r="P475" s="48"/>
      <c r="Q475" s="48"/>
    </row>
    <row r="476" spans="16:17">
      <c r="P476" s="48"/>
      <c r="Q476" s="48"/>
    </row>
    <row r="477" spans="16:17">
      <c r="P477" s="48"/>
      <c r="Q477" s="48"/>
    </row>
    <row r="478" spans="16:17">
      <c r="P478" s="48"/>
      <c r="Q478" s="48"/>
    </row>
    <row r="479" spans="16:17">
      <c r="P479" s="48"/>
      <c r="Q479" s="48"/>
    </row>
    <row r="480" spans="16:17">
      <c r="P480" s="48"/>
      <c r="Q480" s="48"/>
    </row>
    <row r="481" spans="16:17">
      <c r="P481" s="48"/>
      <c r="Q481" s="48"/>
    </row>
    <row r="482" spans="16:17">
      <c r="P482" s="48"/>
      <c r="Q482" s="48"/>
    </row>
    <row r="483" spans="16:17">
      <c r="P483" s="48"/>
      <c r="Q483" s="48"/>
    </row>
    <row r="484" spans="16:17">
      <c r="P484" s="48"/>
      <c r="Q484" s="48"/>
    </row>
    <row r="485" spans="16:17">
      <c r="P485" s="48"/>
      <c r="Q485" s="48"/>
    </row>
    <row r="486" spans="16:17">
      <c r="P486" s="48"/>
      <c r="Q486" s="48"/>
    </row>
    <row r="487" spans="16:17">
      <c r="P487" s="48"/>
      <c r="Q487" s="48"/>
    </row>
    <row r="488" spans="16:17">
      <c r="P488" s="48"/>
      <c r="Q488" s="48"/>
    </row>
    <row r="489" spans="16:17">
      <c r="P489" s="48"/>
      <c r="Q489" s="48"/>
    </row>
    <row r="490" spans="16:17">
      <c r="P490" s="48"/>
      <c r="Q490" s="48"/>
    </row>
    <row r="491" spans="16:17">
      <c r="P491" s="48"/>
      <c r="Q491" s="48"/>
    </row>
    <row r="492" spans="16:17">
      <c r="P492" s="48"/>
      <c r="Q492" s="48"/>
    </row>
    <row r="493" spans="16:17">
      <c r="P493" s="48"/>
      <c r="Q493" s="48"/>
    </row>
    <row r="494" spans="16:17">
      <c r="P494" s="48"/>
      <c r="Q494" s="48"/>
    </row>
    <row r="495" spans="16:17">
      <c r="P495" s="48"/>
      <c r="Q495" s="48"/>
    </row>
    <row r="496" spans="16:17">
      <c r="P496" s="48"/>
      <c r="Q496" s="48"/>
    </row>
    <row r="497" spans="16:17">
      <c r="P497" s="48"/>
      <c r="Q497" s="48"/>
    </row>
    <row r="498" spans="16:17">
      <c r="P498" s="48"/>
      <c r="Q498" s="48"/>
    </row>
    <row r="499" spans="16:17">
      <c r="P499" s="48"/>
      <c r="Q499" s="48"/>
    </row>
    <row r="500" spans="16:17">
      <c r="P500" s="48"/>
      <c r="Q500" s="48"/>
    </row>
    <row r="501" spans="16:17">
      <c r="P501" s="48"/>
      <c r="Q501" s="48"/>
    </row>
    <row r="502" spans="16:17">
      <c r="P502" s="48"/>
      <c r="Q502" s="48"/>
    </row>
    <row r="503" spans="16:17">
      <c r="P503" s="48"/>
      <c r="Q503" s="48"/>
    </row>
    <row r="504" spans="16:17">
      <c r="P504" s="48"/>
      <c r="Q504" s="48"/>
    </row>
    <row r="505" spans="16:17">
      <c r="P505" s="48"/>
      <c r="Q505" s="48"/>
    </row>
    <row r="506" spans="16:17">
      <c r="P506" s="48"/>
      <c r="Q506" s="48"/>
    </row>
    <row r="507" spans="16:17">
      <c r="P507" s="48"/>
      <c r="Q507" s="48"/>
    </row>
    <row r="508" spans="16:17">
      <c r="P508" s="48"/>
      <c r="Q508" s="48"/>
    </row>
    <row r="509" spans="16:17">
      <c r="P509" s="48"/>
      <c r="Q509" s="48"/>
    </row>
    <row r="510" spans="16:17">
      <c r="P510" s="48"/>
      <c r="Q510" s="48"/>
    </row>
    <row r="511" spans="16:17">
      <c r="P511" s="48"/>
      <c r="Q511" s="48"/>
    </row>
    <row r="512" spans="16:17">
      <c r="P512" s="48"/>
      <c r="Q512" s="48"/>
    </row>
    <row r="513" spans="16:17">
      <c r="P513" s="48"/>
      <c r="Q513" s="48"/>
    </row>
    <row r="514" spans="16:17">
      <c r="P514" s="48"/>
      <c r="Q514" s="48"/>
    </row>
    <row r="515" spans="16:17">
      <c r="P515" s="48"/>
      <c r="Q515" s="48"/>
    </row>
    <row r="516" spans="16:17">
      <c r="P516" s="48"/>
      <c r="Q516" s="48"/>
    </row>
    <row r="517" spans="16:17">
      <c r="P517" s="48"/>
      <c r="Q517" s="48"/>
    </row>
    <row r="518" spans="16:17">
      <c r="P518" s="48"/>
      <c r="Q518" s="48"/>
    </row>
    <row r="519" spans="16:17">
      <c r="P519" s="48"/>
      <c r="Q519" s="48"/>
    </row>
    <row r="520" spans="16:17">
      <c r="P520" s="48"/>
      <c r="Q520" s="48"/>
    </row>
    <row r="521" spans="16:17">
      <c r="P521" s="48"/>
      <c r="Q521" s="48"/>
    </row>
    <row r="522" spans="16:17">
      <c r="P522" s="48"/>
      <c r="Q522" s="48"/>
    </row>
    <row r="523" spans="16:17">
      <c r="P523" s="48"/>
      <c r="Q523" s="48"/>
    </row>
    <row r="524" spans="16:17">
      <c r="P524" s="48"/>
      <c r="Q524" s="48"/>
    </row>
    <row r="525" spans="16:17">
      <c r="P525" s="48"/>
      <c r="Q525" s="48"/>
    </row>
    <row r="526" spans="16:17">
      <c r="P526" s="48"/>
      <c r="Q526" s="48"/>
    </row>
    <row r="527" spans="16:17">
      <c r="P527" s="48"/>
      <c r="Q527" s="48"/>
    </row>
    <row r="528" spans="16:17">
      <c r="P528" s="48"/>
      <c r="Q528" s="48"/>
    </row>
    <row r="529" spans="16:17">
      <c r="P529" s="48"/>
      <c r="Q529" s="48"/>
    </row>
    <row r="530" spans="16:17">
      <c r="P530" s="48"/>
      <c r="Q530" s="48"/>
    </row>
    <row r="531" spans="16:17">
      <c r="P531" s="48"/>
      <c r="Q531" s="48"/>
    </row>
    <row r="532" spans="16:17">
      <c r="P532" s="48"/>
      <c r="Q532" s="48"/>
    </row>
    <row r="533" spans="16:17">
      <c r="P533" s="48"/>
      <c r="Q533" s="48"/>
    </row>
    <row r="534" spans="16:17">
      <c r="P534" s="48"/>
      <c r="Q534" s="48"/>
    </row>
    <row r="535" spans="16:17">
      <c r="P535" s="48"/>
      <c r="Q535" s="48"/>
    </row>
    <row r="536" spans="16:17">
      <c r="P536" s="48"/>
      <c r="Q536" s="48"/>
    </row>
    <row r="537" spans="16:17">
      <c r="P537" s="48"/>
      <c r="Q537" s="48"/>
    </row>
    <row r="538" spans="16:17">
      <c r="P538" s="48"/>
      <c r="Q538" s="48"/>
    </row>
    <row r="539" spans="16:17">
      <c r="P539" s="48"/>
      <c r="Q539" s="48"/>
    </row>
    <row r="540" spans="16:17">
      <c r="P540" s="48"/>
      <c r="Q540" s="48"/>
    </row>
    <row r="541" spans="16:17">
      <c r="P541" s="48"/>
      <c r="Q541" s="48"/>
    </row>
    <row r="542" spans="16:17">
      <c r="P542" s="48"/>
      <c r="Q542" s="48"/>
    </row>
    <row r="543" spans="16:17">
      <c r="P543" s="48"/>
      <c r="Q543" s="48"/>
    </row>
    <row r="544" spans="16:17">
      <c r="P544" s="48"/>
      <c r="Q544" s="48"/>
    </row>
    <row r="545" spans="16:17">
      <c r="P545" s="48"/>
      <c r="Q545" s="48"/>
    </row>
    <row r="546" spans="16:17">
      <c r="P546" s="48"/>
      <c r="Q546" s="48"/>
    </row>
    <row r="547" spans="16:17">
      <c r="P547" s="48"/>
      <c r="Q547" s="48"/>
    </row>
    <row r="548" spans="16:17">
      <c r="P548" s="48"/>
      <c r="Q548" s="48"/>
    </row>
    <row r="549" spans="16:17">
      <c r="P549" s="48"/>
      <c r="Q549" s="48"/>
    </row>
    <row r="550" spans="16:17">
      <c r="P550" s="48"/>
      <c r="Q550" s="48"/>
    </row>
    <row r="551" spans="16:17">
      <c r="P551" s="48"/>
      <c r="Q551" s="48"/>
    </row>
    <row r="552" spans="16:17">
      <c r="P552" s="48"/>
      <c r="Q552" s="48"/>
    </row>
    <row r="553" spans="16:17">
      <c r="P553" s="48"/>
      <c r="Q553" s="48"/>
    </row>
    <row r="554" spans="16:17">
      <c r="P554" s="48"/>
      <c r="Q554" s="48"/>
    </row>
    <row r="555" spans="16:17">
      <c r="P555" s="48"/>
      <c r="Q555" s="48"/>
    </row>
    <row r="556" spans="16:17">
      <c r="P556" s="48"/>
      <c r="Q556" s="48"/>
    </row>
    <row r="557" spans="16:17">
      <c r="P557" s="48"/>
      <c r="Q557" s="48"/>
    </row>
    <row r="558" spans="16:17">
      <c r="P558" s="48"/>
      <c r="Q558" s="48"/>
    </row>
    <row r="559" spans="16:17">
      <c r="P559" s="48"/>
      <c r="Q559" s="48"/>
    </row>
    <row r="560" spans="16:17">
      <c r="P560" s="48"/>
      <c r="Q560" s="48"/>
    </row>
    <row r="561" spans="16:17">
      <c r="P561" s="48"/>
      <c r="Q561" s="48"/>
    </row>
    <row r="562" spans="16:17">
      <c r="P562" s="48"/>
      <c r="Q562" s="48"/>
    </row>
    <row r="563" spans="16:17">
      <c r="P563" s="48"/>
      <c r="Q563" s="48"/>
    </row>
    <row r="564" spans="16:17">
      <c r="P564" s="48"/>
      <c r="Q564" s="48"/>
    </row>
    <row r="565" spans="16:17">
      <c r="P565" s="48"/>
      <c r="Q565" s="48"/>
    </row>
    <row r="566" spans="16:17">
      <c r="P566" s="48"/>
      <c r="Q566" s="48"/>
    </row>
    <row r="567" spans="16:17">
      <c r="P567" s="48"/>
      <c r="Q567" s="48"/>
    </row>
    <row r="568" spans="16:17">
      <c r="P568" s="48"/>
      <c r="Q568" s="48"/>
    </row>
    <row r="569" spans="16:17">
      <c r="P569" s="48"/>
      <c r="Q569" s="48"/>
    </row>
    <row r="570" spans="16:17">
      <c r="P570" s="48"/>
      <c r="Q570" s="48"/>
    </row>
    <row r="571" spans="16:17">
      <c r="P571" s="48"/>
      <c r="Q571" s="48"/>
    </row>
    <row r="572" spans="16:17">
      <c r="P572" s="48"/>
      <c r="Q572" s="48"/>
    </row>
  </sheetData>
  <autoFilter ref="B2:Q103">
    <filterColumn colId="7"/>
    <filterColumn colId="8"/>
    <filterColumn colId="9"/>
  </autoFilter>
  <sortState ref="A52:N68">
    <sortCondition ref="B3:B68"/>
    <sortCondition ref="I3:I68"/>
  </sortState>
  <mergeCells count="2">
    <mergeCell ref="D1:E1"/>
    <mergeCell ref="F1:L1"/>
  </mergeCells>
  <phoneticPr fontId="175" type="noConversion"/>
  <pageMargins left="0.2" right="0.19" top="0.17" bottom="0.984251969" header="0.17" footer="0.4921259845"/>
  <pageSetup paperSize="9" scale="96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 filterMode="1"/>
  <dimension ref="A1:Q43"/>
  <sheetViews>
    <sheetView zoomScale="120" zoomScaleNormal="120" workbookViewId="0">
      <pane ySplit="1" topLeftCell="A2" activePane="bottomLeft" state="frozen"/>
      <selection pane="bottomLeft" activeCell="J19" sqref="J19"/>
    </sheetView>
  </sheetViews>
  <sheetFormatPr baseColWidth="10" defaultRowHeight="13.2"/>
  <cols>
    <col min="1" max="1" width="14.5546875" style="6" customWidth="1"/>
    <col min="2" max="2" width="19.6640625" bestFit="1" customWidth="1"/>
    <col min="3" max="3" width="10.109375" style="6" customWidth="1"/>
    <col min="4" max="4" width="5.88671875" customWidth="1"/>
    <col min="5" max="5" width="7.33203125" customWidth="1"/>
    <col min="6" max="6" width="24" bestFit="1" customWidth="1"/>
    <col min="7" max="7" width="6.109375" customWidth="1"/>
    <col min="8" max="8" width="13.88671875" bestFit="1" customWidth="1"/>
    <col min="9" max="9" width="9.33203125" style="159" hidden="1" customWidth="1"/>
    <col min="11" max="11" width="7" customWidth="1"/>
    <col min="13" max="13" width="13.44140625" customWidth="1"/>
    <col min="14" max="14" width="13" bestFit="1" customWidth="1"/>
    <col min="15" max="15" width="9.109375" style="8" bestFit="1" customWidth="1"/>
    <col min="16" max="16" width="16.109375" bestFit="1" customWidth="1"/>
    <col min="17" max="17" width="21.6640625" bestFit="1" customWidth="1"/>
  </cols>
  <sheetData>
    <row r="1" spans="1:17" ht="15" thickBot="1">
      <c r="A1" s="40" t="s">
        <v>41</v>
      </c>
      <c r="B1" s="55" t="s">
        <v>16</v>
      </c>
      <c r="C1" s="825" t="s">
        <v>21</v>
      </c>
      <c r="D1" s="826"/>
      <c r="E1" s="56" t="s">
        <v>200</v>
      </c>
      <c r="F1" s="815" t="s">
        <v>379</v>
      </c>
      <c r="G1" s="816"/>
      <c r="H1" s="206">
        <f>SUBTOTAL(9,E:E)</f>
        <v>3</v>
      </c>
      <c r="I1" s="156"/>
      <c r="J1" s="57"/>
      <c r="K1" s="58" t="e">
        <v>#DIV/0!</v>
      </c>
      <c r="L1" s="59"/>
      <c r="M1" s="60"/>
      <c r="N1" s="61">
        <v>34</v>
      </c>
      <c r="O1" s="52">
        <v>28</v>
      </c>
      <c r="P1" s="39"/>
      <c r="Q1" s="37"/>
    </row>
    <row r="2" spans="1:17" ht="15" thickBot="1">
      <c r="A2" s="62" t="s">
        <v>1</v>
      </c>
      <c r="B2" s="43" t="s">
        <v>2</v>
      </c>
      <c r="C2" s="42" t="s">
        <v>11</v>
      </c>
      <c r="D2" s="42" t="s">
        <v>3</v>
      </c>
      <c r="E2" s="42" t="s">
        <v>9</v>
      </c>
      <c r="F2" s="42" t="s">
        <v>4</v>
      </c>
      <c r="G2" s="63" t="s">
        <v>0</v>
      </c>
      <c r="H2" s="64" t="s">
        <v>10</v>
      </c>
      <c r="I2" s="157"/>
      <c r="J2" s="62" t="s">
        <v>43</v>
      </c>
      <c r="K2" s="62" t="s">
        <v>253</v>
      </c>
      <c r="L2" s="62"/>
      <c r="M2" s="63"/>
      <c r="N2" s="42"/>
      <c r="O2" s="53" t="s">
        <v>45</v>
      </c>
      <c r="P2" s="38" t="s">
        <v>129</v>
      </c>
      <c r="Q2" s="38" t="s">
        <v>130</v>
      </c>
    </row>
    <row r="3" spans="1:17" ht="14.4" hidden="1">
      <c r="A3" s="110" t="s">
        <v>282</v>
      </c>
      <c r="B3" s="111" t="s">
        <v>283</v>
      </c>
      <c r="C3" s="104">
        <v>42019</v>
      </c>
      <c r="D3" s="65">
        <v>1</v>
      </c>
      <c r="E3" s="65">
        <v>1</v>
      </c>
      <c r="F3" s="111" t="s">
        <v>284</v>
      </c>
      <c r="G3" s="111" t="s">
        <v>285</v>
      </c>
      <c r="H3" s="112">
        <v>42016</v>
      </c>
      <c r="I3" s="112"/>
      <c r="J3" s="88">
        <v>42030</v>
      </c>
      <c r="K3" s="351">
        <f t="shared" ref="K3:K15" si="0">IF(ISBLANK(J3),"",NETWORKDAYS(H3,J3))</f>
        <v>11</v>
      </c>
      <c r="L3" s="67"/>
      <c r="M3" s="68" t="s">
        <v>123</v>
      </c>
      <c r="N3" s="69" t="s">
        <v>42</v>
      </c>
      <c r="O3" s="54">
        <v>42026</v>
      </c>
      <c r="P3" s="35">
        <f>IF(ISBLANK(J3),0,SUM(J3,-H3))</f>
        <v>14</v>
      </c>
      <c r="Q3" s="36">
        <f>IF(ISBLANK(O3),0,SUM(O3,-H3))</f>
        <v>10</v>
      </c>
    </row>
    <row r="4" spans="1:17" ht="14.4" hidden="1">
      <c r="A4" s="128" t="s">
        <v>336</v>
      </c>
      <c r="B4" s="135" t="s">
        <v>337</v>
      </c>
      <c r="C4" s="134">
        <v>42045</v>
      </c>
      <c r="D4" s="135">
        <v>1</v>
      </c>
      <c r="E4" s="135">
        <v>1</v>
      </c>
      <c r="F4" s="135" t="s">
        <v>5</v>
      </c>
      <c r="G4" s="135" t="s">
        <v>285</v>
      </c>
      <c r="H4" s="136">
        <v>42030</v>
      </c>
      <c r="I4" s="149">
        <v>1677.31</v>
      </c>
      <c r="J4" s="88">
        <v>42048</v>
      </c>
      <c r="K4" s="351">
        <f t="shared" si="0"/>
        <v>15</v>
      </c>
      <c r="L4" s="67"/>
      <c r="M4" s="68" t="s">
        <v>123</v>
      </c>
      <c r="N4" s="69" t="s">
        <v>35</v>
      </c>
      <c r="O4" s="16">
        <v>42037</v>
      </c>
      <c r="P4" s="35">
        <f t="shared" ref="P4:P43" si="1">IF(ISBLANK(J4),0,SUM(J4,-H4))</f>
        <v>18</v>
      </c>
      <c r="Q4" s="36">
        <f t="shared" ref="Q4:Q43" si="2">IF(ISBLANK(O4),0,SUM(O4,-H4))</f>
        <v>7</v>
      </c>
    </row>
    <row r="5" spans="1:17" ht="14.4" hidden="1">
      <c r="A5" s="182" t="s">
        <v>348</v>
      </c>
      <c r="B5" s="183" t="s">
        <v>337</v>
      </c>
      <c r="C5" s="184">
        <v>42050</v>
      </c>
      <c r="D5" s="183">
        <v>1</v>
      </c>
      <c r="E5" s="183">
        <v>1</v>
      </c>
      <c r="F5" s="183" t="s">
        <v>5</v>
      </c>
      <c r="G5" s="183" t="s">
        <v>285</v>
      </c>
      <c r="H5" s="185">
        <v>42034</v>
      </c>
      <c r="I5" s="150">
        <v>1290.74</v>
      </c>
      <c r="J5" s="88">
        <v>42048</v>
      </c>
      <c r="K5" s="351">
        <f t="shared" si="0"/>
        <v>11</v>
      </c>
      <c r="L5" s="67"/>
      <c r="M5" s="68" t="s">
        <v>123</v>
      </c>
      <c r="N5" s="69" t="s">
        <v>35</v>
      </c>
      <c r="O5" s="16">
        <v>42040</v>
      </c>
      <c r="P5" s="35">
        <f t="shared" si="1"/>
        <v>14</v>
      </c>
      <c r="Q5" s="36">
        <f t="shared" si="2"/>
        <v>6</v>
      </c>
    </row>
    <row r="6" spans="1:17" ht="14.4" hidden="1">
      <c r="A6" s="224" t="s">
        <v>392</v>
      </c>
      <c r="B6" s="222" t="s">
        <v>393</v>
      </c>
      <c r="C6" s="225">
        <v>42054</v>
      </c>
      <c r="D6" s="222">
        <v>1</v>
      </c>
      <c r="E6" s="222">
        <v>1</v>
      </c>
      <c r="F6" s="222" t="s">
        <v>394</v>
      </c>
      <c r="G6" s="222" t="s">
        <v>285</v>
      </c>
      <c r="H6" s="223">
        <v>42054</v>
      </c>
      <c r="I6" s="222"/>
      <c r="J6" s="230">
        <v>42060</v>
      </c>
      <c r="K6" s="352">
        <f t="shared" si="0"/>
        <v>5</v>
      </c>
      <c r="L6" s="224"/>
      <c r="M6" s="224" t="s">
        <v>74</v>
      </c>
      <c r="N6" s="224"/>
      <c r="P6" s="35">
        <f t="shared" si="1"/>
        <v>6</v>
      </c>
      <c r="Q6" s="36">
        <f t="shared" si="2"/>
        <v>0</v>
      </c>
    </row>
    <row r="7" spans="1:17" ht="14.4" hidden="1">
      <c r="A7" s="182" t="s">
        <v>486</v>
      </c>
      <c r="B7" s="183" t="s">
        <v>337</v>
      </c>
      <c r="C7" s="184">
        <v>42104</v>
      </c>
      <c r="D7" s="183">
        <v>2</v>
      </c>
      <c r="E7" s="183">
        <v>2</v>
      </c>
      <c r="F7" s="183" t="s">
        <v>5</v>
      </c>
      <c r="G7" s="183" t="s">
        <v>285</v>
      </c>
      <c r="H7" s="185">
        <v>42087</v>
      </c>
      <c r="I7" s="149">
        <v>1290.74</v>
      </c>
      <c r="J7" s="88">
        <v>42102</v>
      </c>
      <c r="K7" s="351">
        <f t="shared" si="0"/>
        <v>12</v>
      </c>
      <c r="L7" s="67"/>
      <c r="M7" s="68" t="s">
        <v>123</v>
      </c>
      <c r="N7" s="69" t="s">
        <v>33</v>
      </c>
      <c r="O7" s="16">
        <v>42090</v>
      </c>
      <c r="P7" s="35">
        <f t="shared" si="1"/>
        <v>15</v>
      </c>
      <c r="Q7" s="36">
        <f t="shared" si="2"/>
        <v>3</v>
      </c>
    </row>
    <row r="8" spans="1:17" ht="14.4" hidden="1">
      <c r="A8" s="322" t="s">
        <v>585</v>
      </c>
      <c r="B8" s="326" t="s">
        <v>337</v>
      </c>
      <c r="C8" s="324">
        <v>42121</v>
      </c>
      <c r="D8" s="326">
        <v>1</v>
      </c>
      <c r="E8" s="326">
        <v>1</v>
      </c>
      <c r="F8" s="326" t="s">
        <v>586</v>
      </c>
      <c r="G8" s="326" t="s">
        <v>285</v>
      </c>
      <c r="H8" s="327">
        <v>42101</v>
      </c>
      <c r="I8" s="307" t="s">
        <v>587</v>
      </c>
      <c r="J8" s="88">
        <v>42117</v>
      </c>
      <c r="K8" s="351">
        <f t="shared" si="0"/>
        <v>13</v>
      </c>
      <c r="L8" s="69"/>
      <c r="M8" s="69" t="s">
        <v>123</v>
      </c>
      <c r="N8" s="69" t="s">
        <v>35</v>
      </c>
      <c r="O8" s="16">
        <v>42108</v>
      </c>
      <c r="P8" s="35">
        <f t="shared" si="1"/>
        <v>16</v>
      </c>
      <c r="Q8" s="36">
        <f t="shared" si="2"/>
        <v>7</v>
      </c>
    </row>
    <row r="9" spans="1:17" ht="14.4" hidden="1">
      <c r="A9" s="322" t="s">
        <v>612</v>
      </c>
      <c r="B9" s="323" t="s">
        <v>337</v>
      </c>
      <c r="C9" s="324">
        <v>42119</v>
      </c>
      <c r="D9" s="323">
        <v>1</v>
      </c>
      <c r="E9" s="323">
        <v>1</v>
      </c>
      <c r="F9" s="323" t="s">
        <v>5</v>
      </c>
      <c r="G9" s="323" t="s">
        <v>285</v>
      </c>
      <c r="H9" s="325">
        <v>42102</v>
      </c>
      <c r="I9" s="308" t="s">
        <v>613</v>
      </c>
      <c r="J9" s="88">
        <v>42117</v>
      </c>
      <c r="K9" s="351">
        <f t="shared" si="0"/>
        <v>12</v>
      </c>
      <c r="L9" s="69"/>
      <c r="M9" s="69" t="s">
        <v>588</v>
      </c>
      <c r="N9" s="69" t="s">
        <v>33</v>
      </c>
      <c r="O9" s="16">
        <v>42111</v>
      </c>
      <c r="P9" s="35">
        <f t="shared" si="1"/>
        <v>15</v>
      </c>
      <c r="Q9" s="36">
        <f t="shared" si="2"/>
        <v>9</v>
      </c>
    </row>
    <row r="10" spans="1:17" ht="14.4" hidden="1">
      <c r="A10" s="593" t="s">
        <v>919</v>
      </c>
      <c r="B10" s="594" t="s">
        <v>337</v>
      </c>
      <c r="C10" s="595">
        <v>42154</v>
      </c>
      <c r="D10" s="594">
        <v>1</v>
      </c>
      <c r="E10" s="594">
        <v>1</v>
      </c>
      <c r="F10" s="594" t="s">
        <v>5</v>
      </c>
      <c r="G10" s="594" t="s">
        <v>285</v>
      </c>
      <c r="H10" s="596">
        <v>42139</v>
      </c>
      <c r="I10" s="586" t="s">
        <v>920</v>
      </c>
      <c r="J10" s="88">
        <v>42153</v>
      </c>
      <c r="K10" s="351">
        <f t="shared" si="0"/>
        <v>11</v>
      </c>
      <c r="L10" s="69"/>
      <c r="M10" s="69" t="s">
        <v>123</v>
      </c>
      <c r="N10" s="69" t="s">
        <v>33</v>
      </c>
      <c r="O10" s="16">
        <v>42149</v>
      </c>
      <c r="P10" s="35">
        <f t="shared" si="1"/>
        <v>14</v>
      </c>
      <c r="Q10" s="36">
        <f t="shared" si="2"/>
        <v>10</v>
      </c>
    </row>
    <row r="11" spans="1:17" ht="14.4" hidden="1">
      <c r="A11" s="593" t="s">
        <v>921</v>
      </c>
      <c r="B11" s="594" t="s">
        <v>337</v>
      </c>
      <c r="C11" s="595">
        <v>42156</v>
      </c>
      <c r="D11" s="594">
        <v>1</v>
      </c>
      <c r="E11" s="594">
        <v>1</v>
      </c>
      <c r="F11" s="594" t="s">
        <v>5</v>
      </c>
      <c r="G11" s="594" t="s">
        <v>285</v>
      </c>
      <c r="H11" s="596">
        <v>42139</v>
      </c>
      <c r="I11" s="586" t="s">
        <v>613</v>
      </c>
      <c r="J11" s="88">
        <v>42153</v>
      </c>
      <c r="K11" s="351">
        <f t="shared" si="0"/>
        <v>11</v>
      </c>
      <c r="L11" s="69"/>
      <c r="M11" s="69" t="s">
        <v>123</v>
      </c>
      <c r="N11" s="69" t="s">
        <v>33</v>
      </c>
      <c r="O11" s="16">
        <v>42153</v>
      </c>
      <c r="P11" s="35">
        <f t="shared" si="1"/>
        <v>14</v>
      </c>
      <c r="Q11" s="36">
        <f t="shared" si="2"/>
        <v>14</v>
      </c>
    </row>
    <row r="12" spans="1:17" ht="14.4" hidden="1">
      <c r="A12" s="593" t="s">
        <v>971</v>
      </c>
      <c r="B12" s="594" t="s">
        <v>972</v>
      </c>
      <c r="C12" s="595">
        <v>42174</v>
      </c>
      <c r="D12" s="594">
        <v>1</v>
      </c>
      <c r="E12" s="594">
        <v>1</v>
      </c>
      <c r="F12" s="594" t="s">
        <v>973</v>
      </c>
      <c r="G12" s="594" t="s">
        <v>285</v>
      </c>
      <c r="H12" s="596">
        <v>42143</v>
      </c>
      <c r="I12" s="586" t="s">
        <v>974</v>
      </c>
      <c r="J12" s="88">
        <v>42153</v>
      </c>
      <c r="K12" s="351">
        <f t="shared" si="0"/>
        <v>9</v>
      </c>
      <c r="L12" s="69"/>
      <c r="M12" s="69" t="s">
        <v>123</v>
      </c>
      <c r="N12" s="69" t="s">
        <v>35</v>
      </c>
      <c r="O12" s="16">
        <v>42152</v>
      </c>
      <c r="P12" s="35">
        <f t="shared" si="1"/>
        <v>10</v>
      </c>
      <c r="Q12" s="36">
        <f t="shared" si="2"/>
        <v>9</v>
      </c>
    </row>
    <row r="13" spans="1:17" ht="14.4" hidden="1">
      <c r="A13" s="593" t="s">
        <v>930</v>
      </c>
      <c r="B13" s="594" t="s">
        <v>337</v>
      </c>
      <c r="C13" s="595">
        <v>42156</v>
      </c>
      <c r="D13" s="594">
        <v>1</v>
      </c>
      <c r="E13" s="594">
        <v>1</v>
      </c>
      <c r="F13" s="594" t="s">
        <v>5</v>
      </c>
      <c r="G13" s="594" t="s">
        <v>285</v>
      </c>
      <c r="H13" s="596">
        <v>42143</v>
      </c>
      <c r="I13" s="586" t="s">
        <v>975</v>
      </c>
      <c r="J13" s="88">
        <v>42153</v>
      </c>
      <c r="K13" s="351">
        <f t="shared" si="0"/>
        <v>9</v>
      </c>
      <c r="L13" s="69"/>
      <c r="M13" s="69" t="s">
        <v>123</v>
      </c>
      <c r="N13" s="69" t="s">
        <v>33</v>
      </c>
      <c r="O13" s="16">
        <v>42153</v>
      </c>
      <c r="P13" s="35">
        <f t="shared" si="1"/>
        <v>10</v>
      </c>
      <c r="Q13" s="36">
        <f t="shared" si="2"/>
        <v>10</v>
      </c>
    </row>
    <row r="14" spans="1:17" ht="14.4" hidden="1">
      <c r="A14" s="592" t="s">
        <v>977</v>
      </c>
      <c r="B14" s="594" t="s">
        <v>337</v>
      </c>
      <c r="C14" s="595">
        <v>42170</v>
      </c>
      <c r="D14" s="594">
        <v>1</v>
      </c>
      <c r="E14" s="594">
        <v>1</v>
      </c>
      <c r="F14" s="594" t="s">
        <v>48</v>
      </c>
      <c r="G14" s="594" t="s">
        <v>285</v>
      </c>
      <c r="H14" s="596">
        <v>42145</v>
      </c>
      <c r="I14" s="586" t="s">
        <v>978</v>
      </c>
      <c r="J14" s="88">
        <v>42171</v>
      </c>
      <c r="K14" s="351">
        <f t="shared" si="0"/>
        <v>19</v>
      </c>
      <c r="L14" s="69"/>
      <c r="M14" s="69" t="s">
        <v>123</v>
      </c>
      <c r="N14" s="69" t="s">
        <v>35</v>
      </c>
      <c r="O14" s="16">
        <v>42156</v>
      </c>
      <c r="P14" s="35">
        <f t="shared" si="1"/>
        <v>26</v>
      </c>
      <c r="Q14" s="36">
        <f t="shared" si="2"/>
        <v>11</v>
      </c>
    </row>
    <row r="15" spans="1:17" ht="14.4" hidden="1">
      <c r="A15" s="593" t="s">
        <v>943</v>
      </c>
      <c r="B15" s="594" t="s">
        <v>337</v>
      </c>
      <c r="C15" s="595">
        <v>42161</v>
      </c>
      <c r="D15" s="594">
        <v>1</v>
      </c>
      <c r="E15" s="594">
        <v>1</v>
      </c>
      <c r="F15" s="594" t="s">
        <v>5</v>
      </c>
      <c r="G15" s="594" t="s">
        <v>285</v>
      </c>
      <c r="H15" s="596">
        <v>42145</v>
      </c>
      <c r="I15" s="586" t="s">
        <v>976</v>
      </c>
      <c r="J15" s="88">
        <v>42164</v>
      </c>
      <c r="K15" s="351">
        <f t="shared" si="0"/>
        <v>14</v>
      </c>
      <c r="L15" s="69"/>
      <c r="M15" s="69" t="s">
        <v>123</v>
      </c>
      <c r="N15" s="69" t="s">
        <v>35</v>
      </c>
      <c r="O15" s="16">
        <v>42158</v>
      </c>
      <c r="P15" s="35">
        <f t="shared" si="1"/>
        <v>19</v>
      </c>
      <c r="Q15" s="36">
        <f t="shared" si="2"/>
        <v>13</v>
      </c>
    </row>
    <row r="16" spans="1:17" ht="14.4" hidden="1">
      <c r="A16" s="629" t="s">
        <v>982</v>
      </c>
      <c r="B16" s="630" t="s">
        <v>68</v>
      </c>
      <c r="C16" s="631">
        <v>42170</v>
      </c>
      <c r="D16" s="630">
        <v>1</v>
      </c>
      <c r="E16" s="630">
        <v>1</v>
      </c>
      <c r="F16" s="630" t="s">
        <v>5</v>
      </c>
      <c r="G16" s="630" t="s">
        <v>285</v>
      </c>
      <c r="H16" s="632">
        <v>42149</v>
      </c>
      <c r="I16" s="597">
        <v>223.27</v>
      </c>
      <c r="J16" s="88">
        <v>42173</v>
      </c>
      <c r="K16" s="351">
        <f t="shared" ref="K16:K21" si="3">IF(ISBLANK(J16),"",NETWORKDAYS(H16,J16))</f>
        <v>19</v>
      </c>
      <c r="L16" s="69"/>
      <c r="M16" s="69" t="s">
        <v>96</v>
      </c>
      <c r="N16" s="69"/>
      <c r="P16" s="35">
        <f t="shared" si="1"/>
        <v>24</v>
      </c>
      <c r="Q16" s="36">
        <f t="shared" si="2"/>
        <v>0</v>
      </c>
    </row>
    <row r="17" spans="1:17" ht="14.4" hidden="1">
      <c r="A17" s="629" t="s">
        <v>982</v>
      </c>
      <c r="B17" s="630" t="s">
        <v>337</v>
      </c>
      <c r="C17" s="631">
        <v>42170</v>
      </c>
      <c r="D17" s="630">
        <v>1</v>
      </c>
      <c r="E17" s="630">
        <v>1</v>
      </c>
      <c r="F17" s="630" t="s">
        <v>5</v>
      </c>
      <c r="G17" s="630" t="s">
        <v>285</v>
      </c>
      <c r="H17" s="632">
        <v>42149</v>
      </c>
      <c r="I17" s="597" t="s">
        <v>987</v>
      </c>
      <c r="J17" s="88">
        <v>42164</v>
      </c>
      <c r="K17" s="351">
        <f t="shared" si="3"/>
        <v>12</v>
      </c>
      <c r="L17" s="69"/>
      <c r="M17" s="69" t="s">
        <v>123</v>
      </c>
      <c r="N17" s="69" t="s">
        <v>33</v>
      </c>
      <c r="O17" s="16">
        <v>42163</v>
      </c>
      <c r="P17" s="35">
        <f t="shared" si="1"/>
        <v>15</v>
      </c>
      <c r="Q17" s="36">
        <f t="shared" si="2"/>
        <v>14</v>
      </c>
    </row>
    <row r="18" spans="1:17" ht="14.4" hidden="1">
      <c r="A18" s="633" t="s">
        <v>1011</v>
      </c>
      <c r="B18" s="634" t="s">
        <v>337</v>
      </c>
      <c r="C18" s="635">
        <v>42165</v>
      </c>
      <c r="D18" s="634">
        <v>1</v>
      </c>
      <c r="E18" s="634">
        <v>1</v>
      </c>
      <c r="F18" s="634" t="s">
        <v>48</v>
      </c>
      <c r="G18" s="634" t="s">
        <v>285</v>
      </c>
      <c r="H18" s="636">
        <v>42152</v>
      </c>
      <c r="I18" s="600" t="s">
        <v>1012</v>
      </c>
      <c r="J18" s="88">
        <v>42164</v>
      </c>
      <c r="K18" s="351">
        <f t="shared" si="3"/>
        <v>9</v>
      </c>
      <c r="L18" s="69"/>
      <c r="M18" s="69" t="s">
        <v>123</v>
      </c>
      <c r="N18" s="69" t="s">
        <v>33</v>
      </c>
      <c r="O18" s="16">
        <v>42163</v>
      </c>
      <c r="P18" s="35">
        <f t="shared" si="1"/>
        <v>12</v>
      </c>
      <c r="Q18" s="36">
        <f t="shared" si="2"/>
        <v>11</v>
      </c>
    </row>
    <row r="19" spans="1:17" ht="14.4">
      <c r="A19" s="663" t="s">
        <v>1043</v>
      </c>
      <c r="B19" s="664" t="s">
        <v>337</v>
      </c>
      <c r="C19" s="665">
        <v>42181</v>
      </c>
      <c r="D19" s="664">
        <v>1</v>
      </c>
      <c r="E19" s="664">
        <v>1</v>
      </c>
      <c r="F19" s="664" t="s">
        <v>554</v>
      </c>
      <c r="G19" s="664" t="s">
        <v>285</v>
      </c>
      <c r="H19" s="666">
        <v>42153</v>
      </c>
      <c r="I19" s="610" t="s">
        <v>1044</v>
      </c>
      <c r="J19" s="667"/>
      <c r="K19" s="668" t="str">
        <f t="shared" si="3"/>
        <v/>
      </c>
      <c r="L19" s="667"/>
      <c r="M19" s="667" t="s">
        <v>123</v>
      </c>
      <c r="N19" s="667" t="s">
        <v>35</v>
      </c>
      <c r="O19" s="16">
        <v>42166</v>
      </c>
      <c r="P19" s="35">
        <f t="shared" si="1"/>
        <v>0</v>
      </c>
      <c r="Q19" s="36">
        <f t="shared" si="2"/>
        <v>13</v>
      </c>
    </row>
    <row r="20" spans="1:17" ht="14.4">
      <c r="A20" s="661" t="s">
        <v>1122</v>
      </c>
      <c r="B20" s="649" t="s">
        <v>337</v>
      </c>
      <c r="C20" s="651">
        <v>42190</v>
      </c>
      <c r="D20" s="649">
        <v>1</v>
      </c>
      <c r="E20" s="649">
        <v>1</v>
      </c>
      <c r="F20" s="649" t="s">
        <v>5</v>
      </c>
      <c r="G20" s="649" t="s">
        <v>285</v>
      </c>
      <c r="H20" s="652">
        <v>42170</v>
      </c>
      <c r="I20" s="648" t="s">
        <v>1144</v>
      </c>
      <c r="J20" s="72"/>
      <c r="K20" s="394" t="str">
        <f t="shared" si="3"/>
        <v/>
      </c>
      <c r="L20" s="72"/>
      <c r="M20" s="72" t="s">
        <v>588</v>
      </c>
      <c r="N20" s="72" t="s">
        <v>35</v>
      </c>
      <c r="P20" s="35">
        <f t="shared" si="1"/>
        <v>0</v>
      </c>
      <c r="Q20" s="36">
        <f t="shared" si="2"/>
        <v>0</v>
      </c>
    </row>
    <row r="21" spans="1:17" ht="14.4">
      <c r="A21" s="703" t="s">
        <v>1188</v>
      </c>
      <c r="B21" s="701" t="s">
        <v>337</v>
      </c>
      <c r="C21" s="702">
        <v>42192</v>
      </c>
      <c r="D21" s="701">
        <v>1</v>
      </c>
      <c r="E21" s="701">
        <v>1</v>
      </c>
      <c r="F21" s="701" t="s">
        <v>5</v>
      </c>
      <c r="G21" s="701" t="s">
        <v>285</v>
      </c>
      <c r="H21" s="702">
        <v>42172</v>
      </c>
      <c r="I21" s="699" t="s">
        <v>1189</v>
      </c>
      <c r="J21" s="711"/>
      <c r="K21" s="394" t="str">
        <f t="shared" si="3"/>
        <v/>
      </c>
      <c r="L21" s="711"/>
      <c r="M21" s="711"/>
      <c r="N21" s="711"/>
      <c r="P21" s="35">
        <f t="shared" si="1"/>
        <v>0</v>
      </c>
      <c r="Q21" s="36">
        <f t="shared" si="2"/>
        <v>0</v>
      </c>
    </row>
    <row r="22" spans="1:17" ht="14.4">
      <c r="P22" s="35">
        <f t="shared" si="1"/>
        <v>0</v>
      </c>
      <c r="Q22" s="36">
        <f t="shared" si="2"/>
        <v>0</v>
      </c>
    </row>
    <row r="23" spans="1:17" ht="14.4">
      <c r="P23" s="35">
        <f t="shared" si="1"/>
        <v>0</v>
      </c>
      <c r="Q23" s="36">
        <f t="shared" si="2"/>
        <v>0</v>
      </c>
    </row>
    <row r="24" spans="1:17" ht="14.4">
      <c r="P24" s="35">
        <f t="shared" si="1"/>
        <v>0</v>
      </c>
      <c r="Q24" s="36">
        <f t="shared" si="2"/>
        <v>0</v>
      </c>
    </row>
    <row r="25" spans="1:17" ht="14.4">
      <c r="P25" s="35">
        <f t="shared" si="1"/>
        <v>0</v>
      </c>
      <c r="Q25" s="36">
        <f t="shared" si="2"/>
        <v>0</v>
      </c>
    </row>
    <row r="26" spans="1:17" ht="14.4">
      <c r="P26" s="35">
        <f t="shared" si="1"/>
        <v>0</v>
      </c>
      <c r="Q26" s="36">
        <f t="shared" si="2"/>
        <v>0</v>
      </c>
    </row>
    <row r="27" spans="1:17" ht="14.4">
      <c r="P27" s="35">
        <f t="shared" si="1"/>
        <v>0</v>
      </c>
      <c r="Q27" s="36">
        <f t="shared" si="2"/>
        <v>0</v>
      </c>
    </row>
    <row r="28" spans="1:17" ht="14.4">
      <c r="P28" s="35">
        <f t="shared" si="1"/>
        <v>0</v>
      </c>
      <c r="Q28" s="36">
        <f t="shared" si="2"/>
        <v>0</v>
      </c>
    </row>
    <row r="29" spans="1:17" ht="14.4">
      <c r="P29" s="35">
        <f t="shared" si="1"/>
        <v>0</v>
      </c>
      <c r="Q29" s="36">
        <f t="shared" si="2"/>
        <v>0</v>
      </c>
    </row>
    <row r="30" spans="1:17" ht="14.4">
      <c r="P30" s="35">
        <f t="shared" si="1"/>
        <v>0</v>
      </c>
      <c r="Q30" s="36">
        <f t="shared" si="2"/>
        <v>0</v>
      </c>
    </row>
    <row r="31" spans="1:17" ht="14.4">
      <c r="P31" s="35">
        <f t="shared" si="1"/>
        <v>0</v>
      </c>
      <c r="Q31" s="36">
        <f t="shared" si="2"/>
        <v>0</v>
      </c>
    </row>
    <row r="32" spans="1:17" ht="14.4">
      <c r="P32" s="35">
        <f t="shared" si="1"/>
        <v>0</v>
      </c>
      <c r="Q32" s="36">
        <f t="shared" si="2"/>
        <v>0</v>
      </c>
    </row>
    <row r="33" spans="16:17" ht="14.4">
      <c r="P33" s="35">
        <f t="shared" si="1"/>
        <v>0</v>
      </c>
      <c r="Q33" s="36">
        <f t="shared" si="2"/>
        <v>0</v>
      </c>
    </row>
    <row r="34" spans="16:17" ht="14.4">
      <c r="P34" s="35">
        <f t="shared" si="1"/>
        <v>0</v>
      </c>
      <c r="Q34" s="36">
        <f t="shared" si="2"/>
        <v>0</v>
      </c>
    </row>
    <row r="35" spans="16:17" ht="14.4">
      <c r="P35" s="35">
        <f t="shared" si="1"/>
        <v>0</v>
      </c>
      <c r="Q35" s="36">
        <f t="shared" si="2"/>
        <v>0</v>
      </c>
    </row>
    <row r="36" spans="16:17" ht="14.4">
      <c r="P36" s="35">
        <f t="shared" si="1"/>
        <v>0</v>
      </c>
      <c r="Q36" s="36">
        <f t="shared" si="2"/>
        <v>0</v>
      </c>
    </row>
    <row r="37" spans="16:17" ht="14.4">
      <c r="P37" s="35">
        <f t="shared" si="1"/>
        <v>0</v>
      </c>
      <c r="Q37" s="36">
        <f t="shared" si="2"/>
        <v>0</v>
      </c>
    </row>
    <row r="38" spans="16:17" ht="14.4">
      <c r="P38" s="35">
        <f t="shared" si="1"/>
        <v>0</v>
      </c>
      <c r="Q38" s="36">
        <f t="shared" si="2"/>
        <v>0</v>
      </c>
    </row>
    <row r="39" spans="16:17" ht="14.4">
      <c r="P39" s="35">
        <f t="shared" si="1"/>
        <v>0</v>
      </c>
      <c r="Q39" s="36">
        <f t="shared" si="2"/>
        <v>0</v>
      </c>
    </row>
    <row r="40" spans="16:17" ht="14.4">
      <c r="P40" s="35">
        <f t="shared" si="1"/>
        <v>0</v>
      </c>
      <c r="Q40" s="36">
        <f t="shared" si="2"/>
        <v>0</v>
      </c>
    </row>
    <row r="41" spans="16:17" ht="14.4">
      <c r="P41" s="35">
        <f t="shared" si="1"/>
        <v>0</v>
      </c>
      <c r="Q41" s="36">
        <f t="shared" si="2"/>
        <v>0</v>
      </c>
    </row>
    <row r="42" spans="16:17" ht="14.4">
      <c r="P42" s="35">
        <f t="shared" si="1"/>
        <v>0</v>
      </c>
      <c r="Q42" s="36">
        <f t="shared" si="2"/>
        <v>0</v>
      </c>
    </row>
    <row r="43" spans="16:17" ht="14.4">
      <c r="P43" s="35">
        <f t="shared" si="1"/>
        <v>0</v>
      </c>
      <c r="Q43" s="36">
        <f t="shared" si="2"/>
        <v>0</v>
      </c>
    </row>
  </sheetData>
  <autoFilter ref="A2:N20">
    <filterColumn colId="8"/>
    <filterColumn colId="9">
      <filters blank="1"/>
    </filterColumn>
  </autoFilter>
  <mergeCells count="2">
    <mergeCell ref="C1:D1"/>
    <mergeCell ref="F1:G1"/>
  </mergeCells>
  <pageMargins left="0.7" right="0.7" top="0.75" bottom="0.75" header="0.3" footer="0.3"/>
  <pageSetup paperSize="9" orientation="portrait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J235"/>
  <sheetViews>
    <sheetView zoomScaleNormal="100" workbookViewId="0">
      <pane ySplit="1" topLeftCell="A2" activePane="bottomLeft" state="frozen"/>
      <selection pane="bottomLeft" activeCell="C2" sqref="C2"/>
    </sheetView>
  </sheetViews>
  <sheetFormatPr baseColWidth="10" defaultRowHeight="13.2"/>
  <cols>
    <col min="1" max="1" width="30.44140625" bestFit="1" customWidth="1"/>
    <col min="2" max="2" width="5.77734375" bestFit="1" customWidth="1"/>
    <col min="3" max="3" width="30.88671875" bestFit="1" customWidth="1"/>
    <col min="4" max="4" width="16" bestFit="1" customWidth="1"/>
    <col min="5" max="5" width="14.44140625" bestFit="1" customWidth="1"/>
    <col min="6" max="6" width="8" bestFit="1" customWidth="1"/>
    <col min="7" max="7" width="13.21875" bestFit="1" customWidth="1"/>
    <col min="8" max="8" width="12.5546875" bestFit="1" customWidth="1"/>
    <col min="9" max="9" width="9.33203125" style="237" hidden="1" customWidth="1"/>
    <col min="10" max="10" width="37.77734375" bestFit="1" customWidth="1"/>
  </cols>
  <sheetData>
    <row r="1" spans="1:10" ht="14.4" thickBot="1">
      <c r="A1" s="783" t="s">
        <v>1198</v>
      </c>
      <c r="B1" s="783" t="s">
        <v>1209</v>
      </c>
      <c r="C1" s="783" t="s">
        <v>1210</v>
      </c>
      <c r="D1" s="787" t="s">
        <v>1191</v>
      </c>
      <c r="E1" s="783" t="s">
        <v>1199</v>
      </c>
      <c r="F1" s="783" t="s">
        <v>1192</v>
      </c>
      <c r="G1" s="783" t="s">
        <v>1200</v>
      </c>
      <c r="H1" s="783" t="s">
        <v>1201</v>
      </c>
      <c r="I1" s="788"/>
      <c r="J1" s="783" t="s">
        <v>1198</v>
      </c>
    </row>
    <row r="2" spans="1:10" ht="13.8">
      <c r="A2" s="774" t="str">
        <f>CONCATENATE(B2," ",C2)</f>
        <v>ETS A.P.S. - REYNAUD STORES</v>
      </c>
      <c r="B2" s="784" t="s">
        <v>1211</v>
      </c>
      <c r="C2" s="774" t="s">
        <v>82</v>
      </c>
      <c r="D2" s="786" t="s">
        <v>1213</v>
      </c>
      <c r="E2" s="775">
        <v>34200</v>
      </c>
      <c r="F2" s="786" t="s">
        <v>1214</v>
      </c>
      <c r="G2" s="786" t="s">
        <v>1215</v>
      </c>
      <c r="H2" s="775"/>
      <c r="I2" s="776"/>
      <c r="J2" s="775" t="s">
        <v>82</v>
      </c>
    </row>
    <row r="3" spans="1:10" ht="13.8">
      <c r="A3" s="774" t="str">
        <f t="shared" ref="A3:A66" si="0">CONCATENATE(B3," ",C3)</f>
        <v>ETS ABC DU SELLIER</v>
      </c>
      <c r="B3" s="784" t="s">
        <v>1211</v>
      </c>
      <c r="C3" s="718" t="s">
        <v>101</v>
      </c>
      <c r="D3" s="711"/>
      <c r="E3" s="711"/>
      <c r="F3" s="711"/>
      <c r="G3" s="711"/>
      <c r="H3" s="711"/>
      <c r="I3" s="773"/>
      <c r="J3" s="711" t="s">
        <v>101</v>
      </c>
    </row>
    <row r="4" spans="1:10" ht="13.8">
      <c r="A4" s="774" t="str">
        <f t="shared" si="0"/>
        <v>ETS ACE CREATION</v>
      </c>
      <c r="B4" s="784" t="s">
        <v>1211</v>
      </c>
      <c r="C4" s="719" t="s">
        <v>88</v>
      </c>
      <c r="D4" s="711"/>
      <c r="E4" s="711"/>
      <c r="F4" s="711"/>
      <c r="G4" s="711"/>
      <c r="H4" s="711"/>
      <c r="I4" s="773"/>
      <c r="J4" s="711" t="s">
        <v>88</v>
      </c>
    </row>
    <row r="5" spans="1:10" ht="13.8">
      <c r="A5" s="774" t="str">
        <f t="shared" si="0"/>
        <v>ETS ACTIVITE STORES ET HABITAT</v>
      </c>
      <c r="B5" s="784" t="s">
        <v>1211</v>
      </c>
      <c r="C5" s="720" t="s">
        <v>652</v>
      </c>
      <c r="D5" s="711"/>
      <c r="E5" s="711"/>
      <c r="F5" s="711"/>
      <c r="G5" s="711"/>
      <c r="H5" s="711"/>
      <c r="I5" s="773"/>
      <c r="J5" s="711" t="s">
        <v>652</v>
      </c>
    </row>
    <row r="6" spans="1:10" ht="13.8">
      <c r="A6" s="774" t="str">
        <f t="shared" si="0"/>
        <v>ETS AIRE STORES - ATELIER DU 40</v>
      </c>
      <c r="B6" s="784" t="s">
        <v>1211</v>
      </c>
      <c r="C6" s="721" t="s">
        <v>91</v>
      </c>
      <c r="D6" s="711"/>
      <c r="E6" s="711"/>
      <c r="F6" s="711"/>
      <c r="G6" s="711"/>
      <c r="H6" s="711"/>
      <c r="I6" s="773"/>
      <c r="J6" s="711" t="s">
        <v>91</v>
      </c>
    </row>
    <row r="7" spans="1:10" ht="13.8">
      <c r="A7" s="774" t="str">
        <f t="shared" si="0"/>
        <v>ETS ALBI METAL STORES</v>
      </c>
      <c r="B7" s="784" t="s">
        <v>1211</v>
      </c>
      <c r="C7" s="722" t="s">
        <v>95</v>
      </c>
      <c r="D7" s="711"/>
      <c r="E7" s="711"/>
      <c r="F7" s="711"/>
      <c r="G7" s="711"/>
      <c r="H7" s="711"/>
      <c r="I7" s="773"/>
      <c r="J7" s="711" t="s">
        <v>95</v>
      </c>
    </row>
    <row r="8" spans="1:10" ht="13.8">
      <c r="A8" s="774" t="str">
        <f t="shared" si="0"/>
        <v>ETS ALBIGES</v>
      </c>
      <c r="B8" s="784" t="s">
        <v>1211</v>
      </c>
      <c r="C8" s="723" t="s">
        <v>34</v>
      </c>
      <c r="D8" s="711"/>
      <c r="E8" s="711"/>
      <c r="F8" s="711"/>
      <c r="G8" s="711"/>
      <c r="H8" s="711"/>
      <c r="I8" s="773"/>
      <c r="J8" s="711" t="s">
        <v>34</v>
      </c>
    </row>
    <row r="9" spans="1:10" ht="13.8">
      <c r="A9" s="774" t="str">
        <f t="shared" si="0"/>
        <v>ETS ALGAYRES</v>
      </c>
      <c r="B9" s="784" t="s">
        <v>1211</v>
      </c>
      <c r="C9" s="724" t="s">
        <v>1054</v>
      </c>
      <c r="D9" s="711"/>
      <c r="E9" s="711"/>
      <c r="F9" s="711"/>
      <c r="G9" s="711"/>
      <c r="H9" s="711"/>
      <c r="I9" s="773"/>
      <c r="J9" s="711" t="s">
        <v>1054</v>
      </c>
    </row>
    <row r="10" spans="1:10" ht="13.8">
      <c r="A10" s="774" t="str">
        <f t="shared" si="0"/>
        <v>ETS ALLAIS WITO</v>
      </c>
      <c r="B10" s="784" t="s">
        <v>1211</v>
      </c>
      <c r="C10" s="725" t="s">
        <v>554</v>
      </c>
      <c r="D10" s="711"/>
      <c r="E10" s="711"/>
      <c r="F10" s="711"/>
      <c r="G10" s="711"/>
      <c r="H10" s="711"/>
      <c r="I10" s="773"/>
      <c r="J10" s="711" t="s">
        <v>554</v>
      </c>
    </row>
    <row r="11" spans="1:10" ht="13.8">
      <c r="A11" s="774" t="str">
        <f t="shared" si="0"/>
        <v>ETS ALLAMARGOT</v>
      </c>
      <c r="B11" s="784" t="s">
        <v>1211</v>
      </c>
      <c r="C11" s="726" t="s">
        <v>812</v>
      </c>
      <c r="D11" s="711"/>
      <c r="E11" s="711"/>
      <c r="F11" s="711"/>
      <c r="G11" s="711"/>
      <c r="H11" s="711"/>
      <c r="I11" s="773"/>
      <c r="J11" s="711" t="s">
        <v>812</v>
      </c>
    </row>
    <row r="12" spans="1:10" ht="13.8">
      <c r="A12" s="774" t="str">
        <f t="shared" si="0"/>
        <v>ETS ALS CONFORT - STORES DUBLANC</v>
      </c>
      <c r="B12" s="784" t="s">
        <v>1211</v>
      </c>
      <c r="C12" s="724" t="s">
        <v>1057</v>
      </c>
      <c r="D12" s="711"/>
      <c r="E12" s="711"/>
      <c r="F12" s="711"/>
      <c r="G12" s="711"/>
      <c r="H12" s="711"/>
      <c r="I12" s="773"/>
      <c r="J12" s="711" t="s">
        <v>1057</v>
      </c>
    </row>
    <row r="13" spans="1:10" ht="13.8">
      <c r="A13" s="774" t="str">
        <f t="shared" si="0"/>
        <v>ETS ALS III - MARESTIN CESCAS</v>
      </c>
      <c r="B13" s="784" t="s">
        <v>1211</v>
      </c>
      <c r="C13" s="727" t="s">
        <v>615</v>
      </c>
      <c r="D13" s="711"/>
      <c r="E13" s="711"/>
      <c r="F13" s="711"/>
      <c r="G13" s="711"/>
      <c r="H13" s="711"/>
      <c r="I13" s="773"/>
      <c r="J13" s="711" t="s">
        <v>615</v>
      </c>
    </row>
    <row r="14" spans="1:10" ht="13.8">
      <c r="A14" s="774" t="str">
        <f t="shared" si="0"/>
        <v>ETS ALUTEX NEGOCE</v>
      </c>
      <c r="B14" s="784" t="s">
        <v>1211</v>
      </c>
      <c r="C14" s="719" t="s">
        <v>866</v>
      </c>
      <c r="D14" s="711"/>
      <c r="E14" s="711"/>
      <c r="F14" s="711"/>
      <c r="G14" s="711"/>
      <c r="H14" s="711"/>
      <c r="I14" s="773"/>
      <c r="J14" s="711" t="s">
        <v>866</v>
      </c>
    </row>
    <row r="15" spans="1:10" ht="13.8">
      <c r="A15" s="774" t="str">
        <f t="shared" si="0"/>
        <v>ETS AME MENUISERIE</v>
      </c>
      <c r="B15" s="784" t="s">
        <v>1211</v>
      </c>
      <c r="C15" s="727" t="s">
        <v>584</v>
      </c>
      <c r="D15" s="711"/>
      <c r="E15" s="711"/>
      <c r="F15" s="711"/>
      <c r="G15" s="711"/>
      <c r="H15" s="711"/>
      <c r="I15" s="773"/>
      <c r="J15" s="711" t="s">
        <v>584</v>
      </c>
    </row>
    <row r="16" spans="1:10" ht="13.8">
      <c r="A16" s="774" t="str">
        <f t="shared" si="0"/>
        <v>ETS ANJOU BOTTIER CONFECT.TECH.</v>
      </c>
      <c r="B16" s="784" t="s">
        <v>1211</v>
      </c>
      <c r="C16" s="727" t="s">
        <v>622</v>
      </c>
      <c r="D16" s="711"/>
      <c r="E16" s="711"/>
      <c r="F16" s="711"/>
      <c r="G16" s="711"/>
      <c r="H16" s="711"/>
      <c r="I16" s="773"/>
      <c r="J16" s="711" t="s">
        <v>622</v>
      </c>
    </row>
    <row r="17" spans="1:10" ht="13.8">
      <c r="A17" s="774" t="str">
        <f t="shared" si="0"/>
        <v>ETS APRILE MENUISERIE</v>
      </c>
      <c r="B17" s="784" t="s">
        <v>1211</v>
      </c>
      <c r="C17" s="726" t="s">
        <v>803</v>
      </c>
      <c r="D17" s="711"/>
      <c r="E17" s="711"/>
      <c r="F17" s="711"/>
      <c r="G17" s="711"/>
      <c r="H17" s="711"/>
      <c r="I17" s="773"/>
      <c r="J17" s="711" t="s">
        <v>803</v>
      </c>
    </row>
    <row r="18" spans="1:10" ht="13.8">
      <c r="A18" s="774" t="str">
        <f t="shared" si="0"/>
        <v>ETS ARC STORES</v>
      </c>
      <c r="B18" s="784" t="s">
        <v>1211</v>
      </c>
      <c r="C18" s="728" t="s">
        <v>451</v>
      </c>
      <c r="D18" s="711"/>
      <c r="E18" s="711"/>
      <c r="F18" s="711"/>
      <c r="G18" s="711"/>
      <c r="H18" s="711"/>
      <c r="I18" s="773"/>
      <c r="J18" s="711" t="s">
        <v>451</v>
      </c>
    </row>
    <row r="19" spans="1:10" ht="13.8">
      <c r="A19" s="774" t="str">
        <f t="shared" si="0"/>
        <v>ETS ARNOULT</v>
      </c>
      <c r="B19" s="784" t="s">
        <v>1211</v>
      </c>
      <c r="C19" s="727" t="s">
        <v>567</v>
      </c>
      <c r="D19" s="711"/>
      <c r="E19" s="711"/>
      <c r="F19" s="711"/>
      <c r="G19" s="711"/>
      <c r="H19" s="711"/>
      <c r="I19" s="773"/>
      <c r="J19" s="711" t="s">
        <v>567</v>
      </c>
    </row>
    <row r="20" spans="1:10" ht="13.8">
      <c r="A20" s="774" t="str">
        <f t="shared" si="0"/>
        <v>ETS ART DU STORE ET DE LA FERMETUR</v>
      </c>
      <c r="B20" s="784" t="s">
        <v>1211</v>
      </c>
      <c r="C20" s="723" t="s">
        <v>86</v>
      </c>
      <c r="D20" s="711"/>
      <c r="E20" s="711"/>
      <c r="F20" s="711"/>
      <c r="G20" s="711"/>
      <c r="H20" s="711"/>
      <c r="I20" s="773"/>
      <c r="J20" s="711" t="s">
        <v>86</v>
      </c>
    </row>
    <row r="21" spans="1:10" ht="13.8">
      <c r="A21" s="774" t="str">
        <f t="shared" si="0"/>
        <v>ETS ASCI ROY</v>
      </c>
      <c r="B21" s="784" t="s">
        <v>1211</v>
      </c>
      <c r="C21" s="729" t="s">
        <v>132</v>
      </c>
      <c r="D21" s="711"/>
      <c r="E21" s="711"/>
      <c r="F21" s="711"/>
      <c r="G21" s="711"/>
      <c r="H21" s="711"/>
      <c r="I21" s="773"/>
      <c r="J21" s="711" t="s">
        <v>132</v>
      </c>
    </row>
    <row r="22" spans="1:10" ht="13.8">
      <c r="A22" s="774" t="str">
        <f t="shared" si="0"/>
        <v>ETS ATELIER CREARTIS</v>
      </c>
      <c r="B22" s="784" t="s">
        <v>1211</v>
      </c>
      <c r="C22" s="726" t="s">
        <v>797</v>
      </c>
      <c r="D22" s="711"/>
      <c r="E22" s="711"/>
      <c r="F22" s="711"/>
      <c r="G22" s="711"/>
      <c r="H22" s="711"/>
      <c r="I22" s="773"/>
      <c r="J22" s="711" t="s">
        <v>797</v>
      </c>
    </row>
    <row r="23" spans="1:10" ht="13.8">
      <c r="A23" s="774" t="str">
        <f t="shared" si="0"/>
        <v>ETS ATELIER SACHETTI</v>
      </c>
      <c r="B23" s="784" t="s">
        <v>1211</v>
      </c>
      <c r="C23" s="723" t="s">
        <v>572</v>
      </c>
      <c r="D23" s="711"/>
      <c r="E23" s="711"/>
      <c r="F23" s="711"/>
      <c r="G23" s="711"/>
      <c r="H23" s="711"/>
      <c r="I23" s="773"/>
      <c r="J23" s="711" t="s">
        <v>572</v>
      </c>
    </row>
    <row r="24" spans="1:10" ht="13.8">
      <c r="A24" s="774" t="str">
        <f t="shared" si="0"/>
        <v>ETS ATELIERS CONCEPT ENSEIGNES</v>
      </c>
      <c r="B24" s="784" t="s">
        <v>1211</v>
      </c>
      <c r="C24" s="727" t="s">
        <v>628</v>
      </c>
      <c r="D24" s="711"/>
      <c r="E24" s="711"/>
      <c r="F24" s="711"/>
      <c r="G24" s="711"/>
      <c r="H24" s="711"/>
      <c r="I24" s="773"/>
      <c r="J24" s="711" t="s">
        <v>628</v>
      </c>
    </row>
    <row r="25" spans="1:10" ht="13.8">
      <c r="A25" s="774" t="str">
        <f t="shared" si="0"/>
        <v>ETS ATELIERS CONCEPT STORES</v>
      </c>
      <c r="B25" s="784" t="s">
        <v>1211</v>
      </c>
      <c r="C25" s="730" t="s">
        <v>335</v>
      </c>
      <c r="D25" s="711"/>
      <c r="E25" s="711"/>
      <c r="F25" s="711"/>
      <c r="G25" s="711"/>
      <c r="H25" s="711"/>
      <c r="I25" s="773"/>
      <c r="J25" s="711" t="s">
        <v>335</v>
      </c>
    </row>
    <row r="26" spans="1:10" ht="13.8">
      <c r="A26" s="774" t="str">
        <f t="shared" si="0"/>
        <v>ETS ATELIERS DU STORE STORADOUR</v>
      </c>
      <c r="B26" s="784" t="s">
        <v>1211</v>
      </c>
      <c r="C26" s="731" t="s">
        <v>125</v>
      </c>
      <c r="D26" s="711"/>
      <c r="E26" s="711"/>
      <c r="F26" s="711"/>
      <c r="G26" s="711"/>
      <c r="H26" s="711"/>
      <c r="I26" s="773"/>
      <c r="J26" s="711" t="s">
        <v>125</v>
      </c>
    </row>
    <row r="27" spans="1:10" ht="13.8">
      <c r="A27" s="774" t="str">
        <f t="shared" si="0"/>
        <v>ETS ATELIERS LORIN</v>
      </c>
      <c r="B27" s="784" t="s">
        <v>1211</v>
      </c>
      <c r="C27" s="732" t="s">
        <v>496</v>
      </c>
      <c r="D27" s="711"/>
      <c r="E27" s="711"/>
      <c r="F27" s="711"/>
      <c r="G27" s="711"/>
      <c r="H27" s="711"/>
      <c r="I27" s="773"/>
      <c r="J27" s="711" t="s">
        <v>496</v>
      </c>
    </row>
    <row r="28" spans="1:10" ht="13.8">
      <c r="A28" s="774" t="str">
        <f t="shared" si="0"/>
        <v>ETS ATEMA</v>
      </c>
      <c r="B28" s="784" t="s">
        <v>1211</v>
      </c>
      <c r="C28" s="724" t="s">
        <v>1040</v>
      </c>
      <c r="D28" s="711"/>
      <c r="E28" s="711"/>
      <c r="F28" s="711"/>
      <c r="G28" s="711"/>
      <c r="H28" s="711"/>
      <c r="I28" s="773"/>
      <c r="J28" s="711" t="s">
        <v>1040</v>
      </c>
    </row>
    <row r="29" spans="1:10" ht="13.8">
      <c r="A29" s="774" t="str">
        <f t="shared" si="0"/>
        <v>ETS ATLANTEA</v>
      </c>
      <c r="B29" s="784" t="s">
        <v>1211</v>
      </c>
      <c r="C29" s="733" t="s">
        <v>110</v>
      </c>
      <c r="D29" s="711"/>
      <c r="E29" s="711"/>
      <c r="F29" s="711"/>
      <c r="G29" s="711"/>
      <c r="H29" s="711"/>
      <c r="I29" s="773"/>
      <c r="J29" s="711" t="s">
        <v>110</v>
      </c>
    </row>
    <row r="30" spans="1:10" ht="13.8">
      <c r="A30" s="774" t="str">
        <f t="shared" si="0"/>
        <v>ETS BACHES ARC EN CIEL</v>
      </c>
      <c r="B30" s="784" t="s">
        <v>1211</v>
      </c>
      <c r="C30" s="734" t="s">
        <v>751</v>
      </c>
      <c r="D30" s="711"/>
      <c r="E30" s="711"/>
      <c r="F30" s="711"/>
      <c r="G30" s="711"/>
      <c r="H30" s="711"/>
      <c r="I30" s="773"/>
      <c r="J30" s="711" t="s">
        <v>751</v>
      </c>
    </row>
    <row r="31" spans="1:10" ht="13.8">
      <c r="A31" s="774" t="str">
        <f t="shared" si="0"/>
        <v>ETS BACHES DE L'OCEAN</v>
      </c>
      <c r="B31" s="784" t="s">
        <v>1211</v>
      </c>
      <c r="C31" s="735" t="s">
        <v>108</v>
      </c>
      <c r="D31" s="711"/>
      <c r="E31" s="711"/>
      <c r="F31" s="711"/>
      <c r="G31" s="711"/>
      <c r="H31" s="711"/>
      <c r="I31" s="773"/>
      <c r="J31" s="711" t="s">
        <v>108</v>
      </c>
    </row>
    <row r="32" spans="1:10" ht="13.8">
      <c r="A32" s="774" t="str">
        <f t="shared" si="0"/>
        <v>ETS BACHES DESCHAMPS SAS</v>
      </c>
      <c r="B32" s="784" t="s">
        <v>1211</v>
      </c>
      <c r="C32" s="734" t="s">
        <v>747</v>
      </c>
      <c r="D32" s="711"/>
      <c r="E32" s="711"/>
      <c r="F32" s="711"/>
      <c r="G32" s="711"/>
      <c r="H32" s="711"/>
      <c r="I32" s="773"/>
      <c r="J32" s="711" t="s">
        <v>747</v>
      </c>
    </row>
    <row r="33" spans="1:10" ht="13.8">
      <c r="A33" s="774" t="str">
        <f t="shared" si="0"/>
        <v>ETS BACHES FAVE</v>
      </c>
      <c r="B33" s="784" t="s">
        <v>1211</v>
      </c>
      <c r="C33" s="733" t="s">
        <v>547</v>
      </c>
      <c r="D33" s="711"/>
      <c r="E33" s="711"/>
      <c r="F33" s="711"/>
      <c r="G33" s="711"/>
      <c r="H33" s="711"/>
      <c r="I33" s="773"/>
      <c r="J33" s="711" t="s">
        <v>547</v>
      </c>
    </row>
    <row r="34" spans="1:10" ht="13.8">
      <c r="A34" s="774" t="str">
        <f t="shared" si="0"/>
        <v>ETS BATTLE CLAUDE</v>
      </c>
      <c r="B34" s="784" t="s">
        <v>1211</v>
      </c>
      <c r="C34" s="728" t="s">
        <v>464</v>
      </c>
      <c r="D34" s="711"/>
      <c r="E34" s="711"/>
      <c r="F34" s="711"/>
      <c r="G34" s="711"/>
      <c r="H34" s="711"/>
      <c r="I34" s="773"/>
      <c r="J34" s="711" t="s">
        <v>464</v>
      </c>
    </row>
    <row r="35" spans="1:10" ht="13.8">
      <c r="A35" s="774" t="str">
        <f t="shared" si="0"/>
        <v>ETS BEAUVAIS ERIC</v>
      </c>
      <c r="B35" s="784" t="s">
        <v>1211</v>
      </c>
      <c r="C35" s="736" t="s">
        <v>818</v>
      </c>
      <c r="D35" s="711"/>
      <c r="E35" s="711"/>
      <c r="F35" s="711"/>
      <c r="G35" s="711"/>
      <c r="H35" s="711"/>
      <c r="I35" s="773"/>
      <c r="J35" s="711" t="s">
        <v>818</v>
      </c>
    </row>
    <row r="36" spans="1:10" ht="13.8">
      <c r="A36" s="774" t="str">
        <f t="shared" si="0"/>
        <v>ETS BIER</v>
      </c>
      <c r="B36" s="784" t="s">
        <v>1211</v>
      </c>
      <c r="C36" s="734" t="s">
        <v>754</v>
      </c>
      <c r="D36" s="711"/>
      <c r="E36" s="711"/>
      <c r="F36" s="711"/>
      <c r="G36" s="711"/>
      <c r="H36" s="711"/>
      <c r="I36" s="773"/>
      <c r="J36" s="711" t="s">
        <v>754</v>
      </c>
    </row>
    <row r="37" spans="1:10" ht="13.8">
      <c r="A37" s="774" t="str">
        <f t="shared" si="0"/>
        <v>ETS BIGFLEX</v>
      </c>
      <c r="B37" s="784" t="s">
        <v>1211</v>
      </c>
      <c r="C37" s="737" t="s">
        <v>795</v>
      </c>
      <c r="D37" s="711"/>
      <c r="E37" s="711"/>
      <c r="F37" s="711"/>
      <c r="G37" s="711"/>
      <c r="H37" s="711"/>
      <c r="I37" s="773"/>
      <c r="J37" s="711" t="s">
        <v>795</v>
      </c>
    </row>
    <row r="38" spans="1:10" ht="13.8">
      <c r="A38" s="774" t="str">
        <f t="shared" si="0"/>
        <v>ETS BIKA TEC METALL UND TEXTILVERA</v>
      </c>
      <c r="B38" s="784" t="s">
        <v>1211</v>
      </c>
      <c r="C38" s="722" t="s">
        <v>298</v>
      </c>
      <c r="D38" s="711"/>
      <c r="E38" s="711"/>
      <c r="F38" s="711"/>
      <c r="G38" s="711"/>
      <c r="H38" s="711"/>
      <c r="I38" s="773"/>
      <c r="J38" s="711" t="s">
        <v>298</v>
      </c>
    </row>
    <row r="39" spans="1:10" ht="13.8">
      <c r="A39" s="774" t="str">
        <f t="shared" si="0"/>
        <v>ETS BLANCHARD J.LUC</v>
      </c>
      <c r="B39" s="784" t="s">
        <v>1211</v>
      </c>
      <c r="C39" s="733" t="s">
        <v>498</v>
      </c>
      <c r="D39" s="711"/>
      <c r="E39" s="711"/>
      <c r="F39" s="711"/>
      <c r="G39" s="711"/>
      <c r="H39" s="711"/>
      <c r="I39" s="773"/>
      <c r="J39" s="711" t="s">
        <v>498</v>
      </c>
    </row>
    <row r="40" spans="1:10" ht="13.8">
      <c r="A40" s="774" t="str">
        <f t="shared" si="0"/>
        <v>ETS B'MIX - TECHNOSTOR</v>
      </c>
      <c r="B40" s="784" t="s">
        <v>1211</v>
      </c>
      <c r="C40" s="723" t="s">
        <v>1148</v>
      </c>
      <c r="D40" s="711"/>
      <c r="E40" s="711"/>
      <c r="F40" s="711"/>
      <c r="G40" s="711"/>
      <c r="H40" s="711"/>
      <c r="I40" s="773"/>
      <c r="J40" s="711" t="s">
        <v>1148</v>
      </c>
    </row>
    <row r="41" spans="1:10" ht="13.8">
      <c r="A41" s="774" t="str">
        <f t="shared" si="0"/>
        <v>ETS BODY STORES SARL</v>
      </c>
      <c r="B41" s="784" t="s">
        <v>1211</v>
      </c>
      <c r="C41" s="738" t="s">
        <v>106</v>
      </c>
      <c r="D41" s="711"/>
      <c r="E41" s="711"/>
      <c r="F41" s="711"/>
      <c r="G41" s="711"/>
      <c r="H41" s="711"/>
      <c r="I41" s="773"/>
      <c r="J41" s="711" t="s">
        <v>106</v>
      </c>
    </row>
    <row r="42" spans="1:10" ht="13.8">
      <c r="A42" s="774" t="str">
        <f t="shared" si="0"/>
        <v>ETS BONNARDEL STORES SARL</v>
      </c>
      <c r="B42" s="784" t="s">
        <v>1211</v>
      </c>
      <c r="C42" s="728" t="s">
        <v>477</v>
      </c>
      <c r="D42" s="711"/>
      <c r="E42" s="711"/>
      <c r="F42" s="711"/>
      <c r="G42" s="711"/>
      <c r="H42" s="711"/>
      <c r="I42" s="773"/>
      <c r="J42" s="711" t="s">
        <v>477</v>
      </c>
    </row>
    <row r="43" spans="1:10" ht="13.8">
      <c r="A43" s="774" t="str">
        <f t="shared" si="0"/>
        <v>ETS BOURDEAU CASTRES</v>
      </c>
      <c r="B43" s="784" t="s">
        <v>1211</v>
      </c>
      <c r="C43" s="739" t="s">
        <v>607</v>
      </c>
      <c r="D43" s="711"/>
      <c r="E43" s="711"/>
      <c r="F43" s="711"/>
      <c r="G43" s="711"/>
      <c r="H43" s="711"/>
      <c r="I43" s="773"/>
      <c r="J43" s="711" t="s">
        <v>607</v>
      </c>
    </row>
    <row r="44" spans="1:10" ht="13.8">
      <c r="A44" s="774" t="str">
        <f t="shared" si="0"/>
        <v>ETS BOUSCARLE</v>
      </c>
      <c r="B44" s="784" t="s">
        <v>1211</v>
      </c>
      <c r="C44" s="740" t="s">
        <v>275</v>
      </c>
      <c r="D44" s="711"/>
      <c r="E44" s="711"/>
      <c r="F44" s="711"/>
      <c r="G44" s="711"/>
      <c r="H44" s="711"/>
      <c r="I44" s="773"/>
      <c r="J44" s="711" t="s">
        <v>275</v>
      </c>
    </row>
    <row r="45" spans="1:10" ht="13.8">
      <c r="A45" s="774" t="str">
        <f t="shared" si="0"/>
        <v>ETS BUILDING POOL SL</v>
      </c>
      <c r="B45" s="784" t="s">
        <v>1211</v>
      </c>
      <c r="C45" s="724" t="s">
        <v>1042</v>
      </c>
      <c r="D45" s="711"/>
      <c r="E45" s="711"/>
      <c r="F45" s="711"/>
      <c r="G45" s="711"/>
      <c r="H45" s="711"/>
      <c r="I45" s="773"/>
      <c r="J45" s="711" t="s">
        <v>1042</v>
      </c>
    </row>
    <row r="46" spans="1:10" ht="13.8">
      <c r="A46" s="774" t="str">
        <f t="shared" si="0"/>
        <v>ETS C.A.S.A</v>
      </c>
      <c r="B46" s="784" t="s">
        <v>1211</v>
      </c>
      <c r="C46" s="741" t="s">
        <v>271</v>
      </c>
      <c r="D46" s="711"/>
      <c r="E46" s="711"/>
      <c r="F46" s="711"/>
      <c r="G46" s="711"/>
      <c r="H46" s="711"/>
      <c r="I46" s="773"/>
      <c r="J46" s="711" t="s">
        <v>271</v>
      </c>
    </row>
    <row r="47" spans="1:10" ht="13.8">
      <c r="A47" s="774" t="str">
        <f t="shared" si="0"/>
        <v>ETS CAP FERMETURES</v>
      </c>
      <c r="B47" s="784" t="s">
        <v>1211</v>
      </c>
      <c r="C47" s="739" t="s">
        <v>109</v>
      </c>
      <c r="D47" s="711"/>
      <c r="E47" s="711"/>
      <c r="F47" s="711"/>
      <c r="G47" s="711"/>
      <c r="H47" s="711"/>
      <c r="I47" s="773"/>
      <c r="J47" s="711" t="s">
        <v>109</v>
      </c>
    </row>
    <row r="48" spans="1:10" ht="13.8">
      <c r="A48" s="774" t="str">
        <f t="shared" si="0"/>
        <v>ETS CAUJOLLE</v>
      </c>
      <c r="B48" s="784" t="s">
        <v>1211</v>
      </c>
      <c r="C48" s="723" t="s">
        <v>1132</v>
      </c>
      <c r="D48" s="711"/>
      <c r="E48" s="711"/>
      <c r="F48" s="711"/>
      <c r="G48" s="711"/>
      <c r="H48" s="711"/>
      <c r="I48" s="773"/>
      <c r="J48" s="711" t="s">
        <v>1132</v>
      </c>
    </row>
    <row r="49" spans="1:10" ht="13.8">
      <c r="A49" s="774" t="str">
        <f t="shared" si="0"/>
        <v>ETS CHABANEL</v>
      </c>
      <c r="B49" s="784" t="s">
        <v>1211</v>
      </c>
      <c r="C49" s="718" t="s">
        <v>93</v>
      </c>
      <c r="D49" s="711"/>
      <c r="E49" s="711"/>
      <c r="F49" s="711"/>
      <c r="G49" s="711"/>
      <c r="H49" s="711"/>
      <c r="I49" s="773"/>
      <c r="J49" s="711" t="s">
        <v>93</v>
      </c>
    </row>
    <row r="50" spans="1:10" ht="13.8">
      <c r="A50" s="774" t="str">
        <f t="shared" si="0"/>
        <v>ETS CLAVIER</v>
      </c>
      <c r="B50" s="784" t="s">
        <v>1211</v>
      </c>
      <c r="C50" s="724" t="s">
        <v>119</v>
      </c>
      <c r="D50" s="711"/>
      <c r="E50" s="711"/>
      <c r="F50" s="711"/>
      <c r="G50" s="711"/>
      <c r="H50" s="711"/>
      <c r="I50" s="773"/>
      <c r="J50" s="711" t="s">
        <v>119</v>
      </c>
    </row>
    <row r="51" spans="1:10" ht="13.8">
      <c r="A51" s="774" t="str">
        <f t="shared" si="0"/>
        <v>ETS CLIMENT MENUISERIES ALU-P</v>
      </c>
      <c r="B51" s="784" t="s">
        <v>1211</v>
      </c>
      <c r="C51" s="733" t="s">
        <v>942</v>
      </c>
      <c r="D51" s="711"/>
      <c r="E51" s="711"/>
      <c r="F51" s="711"/>
      <c r="G51" s="711"/>
      <c r="H51" s="711"/>
      <c r="I51" s="773"/>
      <c r="J51" s="711" t="s">
        <v>942</v>
      </c>
    </row>
    <row r="52" spans="1:10" ht="13.8">
      <c r="A52" s="774" t="str">
        <f t="shared" si="0"/>
        <v>ETS COLSON ET FROMONT</v>
      </c>
      <c r="B52" s="784" t="s">
        <v>1211</v>
      </c>
      <c r="C52" s="742" t="s">
        <v>114</v>
      </c>
      <c r="D52" s="711"/>
      <c r="E52" s="711"/>
      <c r="F52" s="711"/>
      <c r="G52" s="711"/>
      <c r="H52" s="711"/>
      <c r="I52" s="773"/>
      <c r="J52" s="711" t="s">
        <v>114</v>
      </c>
    </row>
    <row r="53" spans="1:10" ht="13.8">
      <c r="A53" s="774" t="str">
        <f t="shared" si="0"/>
        <v>ETS COMPTOIR AVIGNONNAIS DE MENUIS</v>
      </c>
      <c r="B53" s="784" t="s">
        <v>1211</v>
      </c>
      <c r="C53" s="723" t="s">
        <v>1110</v>
      </c>
      <c r="D53" s="711"/>
      <c r="E53" s="711"/>
      <c r="F53" s="711"/>
      <c r="G53" s="711"/>
      <c r="H53" s="711"/>
      <c r="I53" s="773"/>
      <c r="J53" s="711" t="s">
        <v>1110</v>
      </c>
    </row>
    <row r="54" spans="1:10" ht="13.8">
      <c r="A54" s="774" t="str">
        <f t="shared" si="0"/>
        <v>ETS COMPTOIR DES TISSUS</v>
      </c>
      <c r="B54" s="784" t="s">
        <v>1211</v>
      </c>
      <c r="C54" s="734" t="s">
        <v>704</v>
      </c>
      <c r="D54" s="711"/>
      <c r="E54" s="711"/>
      <c r="F54" s="711"/>
      <c r="G54" s="711"/>
      <c r="H54" s="711"/>
      <c r="I54" s="773"/>
      <c r="J54" s="711" t="s">
        <v>704</v>
      </c>
    </row>
    <row r="55" spans="1:10" ht="13.8">
      <c r="A55" s="774" t="str">
        <f t="shared" si="0"/>
        <v>ETS CORBEC DULOT</v>
      </c>
      <c r="B55" s="784" t="s">
        <v>1211</v>
      </c>
      <c r="C55" s="722" t="s">
        <v>85</v>
      </c>
      <c r="D55" s="711"/>
      <c r="E55" s="711"/>
      <c r="F55" s="711"/>
      <c r="G55" s="711"/>
      <c r="H55" s="711"/>
      <c r="I55" s="773"/>
      <c r="J55" s="711" t="s">
        <v>85</v>
      </c>
    </row>
    <row r="56" spans="1:10" ht="13.8">
      <c r="A56" s="774" t="str">
        <f t="shared" si="0"/>
        <v>ETS COUSSEAU</v>
      </c>
      <c r="B56" s="784" t="s">
        <v>1211</v>
      </c>
      <c r="C56" s="743" t="s">
        <v>192</v>
      </c>
      <c r="D56" s="711"/>
      <c r="E56" s="711"/>
      <c r="F56" s="711"/>
      <c r="G56" s="711"/>
      <c r="H56" s="711"/>
      <c r="I56" s="773"/>
      <c r="J56" s="711" t="s">
        <v>192</v>
      </c>
    </row>
    <row r="57" spans="1:10" ht="13.8">
      <c r="A57" s="774" t="str">
        <f t="shared" si="0"/>
        <v>ETS COVER SYSTEMS</v>
      </c>
      <c r="B57" s="784" t="s">
        <v>1211</v>
      </c>
      <c r="C57" s="724" t="s">
        <v>1052</v>
      </c>
      <c r="D57" s="711"/>
      <c r="E57" s="711"/>
      <c r="F57" s="711"/>
      <c r="G57" s="711"/>
      <c r="H57" s="711"/>
      <c r="I57" s="773"/>
      <c r="J57" s="711" t="s">
        <v>1052</v>
      </c>
    </row>
    <row r="58" spans="1:10" ht="13.8">
      <c r="A58" s="774" t="str">
        <f t="shared" si="0"/>
        <v>ETS DARGAUT HABITAT</v>
      </c>
      <c r="B58" s="784" t="s">
        <v>1211</v>
      </c>
      <c r="C58" s="724" t="s">
        <v>1080</v>
      </c>
      <c r="D58" s="711"/>
      <c r="E58" s="711"/>
      <c r="F58" s="711"/>
      <c r="G58" s="711"/>
      <c r="H58" s="711"/>
      <c r="I58" s="773"/>
      <c r="J58" s="711" t="s">
        <v>1080</v>
      </c>
    </row>
    <row r="59" spans="1:10" ht="13.8">
      <c r="A59" s="774" t="str">
        <f t="shared" si="0"/>
        <v>ETS DAVRAY</v>
      </c>
      <c r="B59" s="784" t="s">
        <v>1211</v>
      </c>
      <c r="C59" s="734" t="s">
        <v>703</v>
      </c>
      <c r="D59" s="711"/>
      <c r="E59" s="711"/>
      <c r="F59" s="711"/>
      <c r="G59" s="711"/>
      <c r="H59" s="711"/>
      <c r="I59" s="773"/>
      <c r="J59" s="711" t="s">
        <v>703</v>
      </c>
    </row>
    <row r="60" spans="1:10" ht="13.8">
      <c r="A60" s="774" t="str">
        <f t="shared" si="0"/>
        <v>ETS DECO STORES</v>
      </c>
      <c r="B60" s="784" t="s">
        <v>1211</v>
      </c>
      <c r="C60" s="744" t="s">
        <v>193</v>
      </c>
      <c r="D60" s="711"/>
      <c r="E60" s="711"/>
      <c r="F60" s="711"/>
      <c r="G60" s="711"/>
      <c r="H60" s="711"/>
      <c r="I60" s="773"/>
      <c r="J60" s="711" t="s">
        <v>193</v>
      </c>
    </row>
    <row r="61" spans="1:10" ht="13.8">
      <c r="A61" s="774" t="str">
        <f t="shared" si="0"/>
        <v>ETS DECOR ALU</v>
      </c>
      <c r="B61" s="784" t="s">
        <v>1211</v>
      </c>
      <c r="C61" s="745" t="s">
        <v>364</v>
      </c>
      <c r="D61" s="711"/>
      <c r="E61" s="711"/>
      <c r="F61" s="711"/>
      <c r="G61" s="711"/>
      <c r="H61" s="711"/>
      <c r="I61" s="773"/>
      <c r="J61" s="711" t="s">
        <v>364</v>
      </c>
    </row>
    <row r="62" spans="1:10" ht="13.8">
      <c r="A62" s="774" t="str">
        <f t="shared" si="0"/>
        <v>ETS DECORA STORES</v>
      </c>
      <c r="B62" s="784" t="s">
        <v>1211</v>
      </c>
      <c r="C62" s="746" t="s">
        <v>115</v>
      </c>
      <c r="D62" s="711"/>
      <c r="E62" s="711"/>
      <c r="F62" s="711"/>
      <c r="G62" s="711"/>
      <c r="H62" s="711"/>
      <c r="I62" s="773"/>
      <c r="J62" s="711" t="s">
        <v>115</v>
      </c>
    </row>
    <row r="63" spans="1:10" ht="13.8">
      <c r="A63" s="774" t="str">
        <f t="shared" si="0"/>
        <v>ETS DECORIAL - GRAND LITIER</v>
      </c>
      <c r="B63" s="784" t="s">
        <v>1211</v>
      </c>
      <c r="C63" s="726" t="s">
        <v>768</v>
      </c>
      <c r="D63" s="711"/>
      <c r="E63" s="711"/>
      <c r="F63" s="711"/>
      <c r="G63" s="711"/>
      <c r="H63" s="711"/>
      <c r="I63" s="773"/>
      <c r="J63" s="711" t="s">
        <v>768</v>
      </c>
    </row>
    <row r="64" spans="1:10" ht="13.8">
      <c r="A64" s="774" t="str">
        <f t="shared" si="0"/>
        <v>ETS DECO'STORES - ACOTEX</v>
      </c>
      <c r="B64" s="784" t="s">
        <v>1211</v>
      </c>
      <c r="C64" s="724" t="s">
        <v>1099</v>
      </c>
      <c r="D64" s="711"/>
      <c r="E64" s="711"/>
      <c r="F64" s="711"/>
      <c r="G64" s="711"/>
      <c r="H64" s="711"/>
      <c r="I64" s="773"/>
      <c r="J64" s="711" t="s">
        <v>1099</v>
      </c>
    </row>
    <row r="65" spans="1:10" ht="13.8">
      <c r="A65" s="774" t="str">
        <f t="shared" si="0"/>
        <v>ETS DICANAL</v>
      </c>
      <c r="B65" s="784" t="s">
        <v>1211</v>
      </c>
      <c r="C65" s="724" t="s">
        <v>1077</v>
      </c>
      <c r="D65" s="711"/>
      <c r="E65" s="711"/>
      <c r="F65" s="711"/>
      <c r="G65" s="711"/>
      <c r="H65" s="711"/>
      <c r="I65" s="773"/>
      <c r="J65" s="711" t="s">
        <v>1077</v>
      </c>
    </row>
    <row r="66" spans="1:10" ht="13.8">
      <c r="A66" s="774" t="str">
        <f t="shared" si="0"/>
        <v>ETS DL MENUISERIE EXPANSION</v>
      </c>
      <c r="B66" s="784" t="s">
        <v>1211</v>
      </c>
      <c r="C66" s="733" t="s">
        <v>929</v>
      </c>
      <c r="D66" s="711"/>
      <c r="E66" s="711"/>
      <c r="F66" s="711"/>
      <c r="G66" s="711"/>
      <c r="H66" s="711"/>
      <c r="I66" s="773"/>
      <c r="J66" s="711" t="s">
        <v>929</v>
      </c>
    </row>
    <row r="67" spans="1:10" ht="13.8">
      <c r="A67" s="774" t="str">
        <f t="shared" ref="A67:A130" si="1">CONCATENATE(B67," ",C67)</f>
        <v>ETS DOMECA CASPAR</v>
      </c>
      <c r="B67" s="784" t="s">
        <v>1211</v>
      </c>
      <c r="C67" s="747" t="s">
        <v>720</v>
      </c>
      <c r="D67" s="711"/>
      <c r="E67" s="711"/>
      <c r="F67" s="711"/>
      <c r="G67" s="711"/>
      <c r="H67" s="711"/>
      <c r="I67" s="773"/>
      <c r="J67" s="711" t="s">
        <v>720</v>
      </c>
    </row>
    <row r="68" spans="1:10" ht="13.8">
      <c r="A68" s="774" t="str">
        <f t="shared" si="1"/>
        <v>ETS DULOUT ET FILS</v>
      </c>
      <c r="B68" s="784" t="s">
        <v>1211</v>
      </c>
      <c r="C68" s="748" t="s">
        <v>533</v>
      </c>
      <c r="D68" s="711"/>
      <c r="E68" s="711"/>
      <c r="F68" s="711"/>
      <c r="G68" s="711"/>
      <c r="H68" s="711"/>
      <c r="I68" s="773"/>
      <c r="J68" s="711" t="s">
        <v>533</v>
      </c>
    </row>
    <row r="69" spans="1:10" ht="13.8">
      <c r="A69" s="774" t="str">
        <f t="shared" si="1"/>
        <v>ETS ECO NORMES</v>
      </c>
      <c r="B69" s="784" t="s">
        <v>1211</v>
      </c>
      <c r="C69" s="718" t="s">
        <v>319</v>
      </c>
      <c r="D69" s="711"/>
      <c r="E69" s="711"/>
      <c r="F69" s="711"/>
      <c r="G69" s="711"/>
      <c r="H69" s="711"/>
      <c r="I69" s="773"/>
      <c r="J69" s="711" t="s">
        <v>319</v>
      </c>
    </row>
    <row r="70" spans="1:10" ht="13.8">
      <c r="A70" s="774" t="str">
        <f t="shared" si="1"/>
        <v>ETS EI BORDAZZI</v>
      </c>
      <c r="B70" s="784" t="s">
        <v>1211</v>
      </c>
      <c r="C70" s="733" t="s">
        <v>923</v>
      </c>
      <c r="D70" s="711"/>
      <c r="E70" s="711"/>
      <c r="F70" s="711"/>
      <c r="G70" s="711"/>
      <c r="H70" s="711"/>
      <c r="I70" s="773"/>
      <c r="J70" s="711" t="s">
        <v>923</v>
      </c>
    </row>
    <row r="71" spans="1:10" ht="13.8">
      <c r="A71" s="774" t="str">
        <f t="shared" si="1"/>
        <v>ETS ENTREPRISE DUBILLON</v>
      </c>
      <c r="B71" s="784" t="s">
        <v>1211</v>
      </c>
      <c r="C71" s="727" t="s">
        <v>616</v>
      </c>
      <c r="D71" s="711"/>
      <c r="E71" s="711"/>
      <c r="F71" s="711"/>
      <c r="G71" s="711"/>
      <c r="H71" s="711"/>
      <c r="I71" s="773"/>
      <c r="J71" s="711" t="s">
        <v>616</v>
      </c>
    </row>
    <row r="72" spans="1:10" ht="13.8">
      <c r="A72" s="774" t="str">
        <f t="shared" si="1"/>
        <v>ETS ESM STORES 66</v>
      </c>
      <c r="B72" s="784" t="s">
        <v>1211</v>
      </c>
      <c r="C72" s="726" t="s">
        <v>268</v>
      </c>
      <c r="D72" s="711"/>
      <c r="E72" s="711"/>
      <c r="F72" s="711"/>
      <c r="G72" s="711"/>
      <c r="H72" s="711"/>
      <c r="I72" s="773"/>
      <c r="J72" s="711" t="s">
        <v>268</v>
      </c>
    </row>
    <row r="73" spans="1:10" ht="13.8">
      <c r="A73" s="774" t="str">
        <f t="shared" si="1"/>
        <v>ETS ESPI BATIMENT</v>
      </c>
      <c r="B73" s="784" t="s">
        <v>1211</v>
      </c>
      <c r="C73" s="749" t="s">
        <v>453</v>
      </c>
      <c r="D73" s="711"/>
      <c r="E73" s="711"/>
      <c r="F73" s="711"/>
      <c r="G73" s="711"/>
      <c r="H73" s="711"/>
      <c r="I73" s="773"/>
      <c r="J73" s="711" t="s">
        <v>453</v>
      </c>
    </row>
    <row r="74" spans="1:10" ht="13.8">
      <c r="A74" s="774" t="str">
        <f t="shared" si="1"/>
        <v>ETS ETS COUSSEAU</v>
      </c>
      <c r="B74" s="784" t="s">
        <v>1211</v>
      </c>
      <c r="C74" s="719" t="s">
        <v>494</v>
      </c>
      <c r="D74" s="711"/>
      <c r="E74" s="711"/>
      <c r="F74" s="711"/>
      <c r="G74" s="711"/>
      <c r="H74" s="711"/>
      <c r="I74" s="773"/>
      <c r="J74" s="711" t="s">
        <v>494</v>
      </c>
    </row>
    <row r="75" spans="1:10" ht="13.8">
      <c r="A75" s="774" t="str">
        <f t="shared" si="1"/>
        <v>ETS EUROCOM STORES</v>
      </c>
      <c r="B75" s="784" t="s">
        <v>1211</v>
      </c>
      <c r="C75" s="724" t="s">
        <v>675</v>
      </c>
      <c r="D75" s="711"/>
      <c r="E75" s="711"/>
      <c r="F75" s="711"/>
      <c r="G75" s="711"/>
      <c r="H75" s="711"/>
      <c r="I75" s="773"/>
      <c r="J75" s="711" t="s">
        <v>675</v>
      </c>
    </row>
    <row r="76" spans="1:10" ht="13.8">
      <c r="A76" s="774" t="str">
        <f t="shared" si="1"/>
        <v>ETS EUROSTORES</v>
      </c>
      <c r="B76" s="784" t="s">
        <v>1211</v>
      </c>
      <c r="C76" s="742" t="s">
        <v>248</v>
      </c>
      <c r="D76" s="711"/>
      <c r="E76" s="711"/>
      <c r="F76" s="711"/>
      <c r="G76" s="711"/>
      <c r="H76" s="711"/>
      <c r="I76" s="773"/>
      <c r="J76" s="711" t="s">
        <v>248</v>
      </c>
    </row>
    <row r="77" spans="1:10" ht="13.8">
      <c r="A77" s="774" t="str">
        <f t="shared" si="1"/>
        <v>ETS F.A.S.T.O.R.E</v>
      </c>
      <c r="B77" s="784" t="s">
        <v>1211</v>
      </c>
      <c r="C77" s="749" t="s">
        <v>117</v>
      </c>
      <c r="D77" s="711"/>
      <c r="E77" s="711"/>
      <c r="F77" s="711"/>
      <c r="G77" s="711"/>
      <c r="H77" s="711"/>
      <c r="I77" s="773"/>
      <c r="J77" s="711" t="s">
        <v>117</v>
      </c>
    </row>
    <row r="78" spans="1:10" ht="13.8">
      <c r="A78" s="774" t="str">
        <f t="shared" si="1"/>
        <v>ETS FABRIC STORES</v>
      </c>
      <c r="B78" s="784" t="s">
        <v>1211</v>
      </c>
      <c r="C78" s="750" t="s">
        <v>871</v>
      </c>
      <c r="D78" s="711"/>
      <c r="E78" s="711"/>
      <c r="F78" s="711"/>
      <c r="G78" s="711"/>
      <c r="H78" s="711"/>
      <c r="I78" s="773"/>
      <c r="J78" s="711" t="s">
        <v>871</v>
      </c>
    </row>
    <row r="79" spans="1:10" ht="13.8">
      <c r="A79" s="774" t="str">
        <f t="shared" si="1"/>
        <v>ETS FERNANDEZ FERMETURES</v>
      </c>
      <c r="B79" s="784" t="s">
        <v>1211</v>
      </c>
      <c r="C79" s="728" t="s">
        <v>445</v>
      </c>
      <c r="D79" s="711"/>
      <c r="E79" s="711"/>
      <c r="F79" s="711"/>
      <c r="G79" s="711"/>
      <c r="H79" s="711"/>
      <c r="I79" s="773"/>
      <c r="J79" s="711" t="s">
        <v>445</v>
      </c>
    </row>
    <row r="80" spans="1:10" ht="13.8">
      <c r="A80" s="774" t="str">
        <f t="shared" si="1"/>
        <v>ETS FLEURY SERVICES</v>
      </c>
      <c r="B80" s="784" t="s">
        <v>1211</v>
      </c>
      <c r="C80" s="726" t="s">
        <v>771</v>
      </c>
      <c r="D80" s="711"/>
      <c r="E80" s="711"/>
      <c r="F80" s="711"/>
      <c r="G80" s="711"/>
      <c r="H80" s="711"/>
      <c r="I80" s="773"/>
      <c r="J80" s="711" t="s">
        <v>771</v>
      </c>
    </row>
    <row r="81" spans="1:10" ht="13.8">
      <c r="A81" s="774" t="str">
        <f t="shared" si="1"/>
        <v>ETS FOIRE STUTTGART</v>
      </c>
      <c r="B81" s="784" t="s">
        <v>1211</v>
      </c>
      <c r="C81" s="741" t="s">
        <v>300</v>
      </c>
      <c r="D81" s="711"/>
      <c r="E81" s="711"/>
      <c r="F81" s="711"/>
      <c r="G81" s="711"/>
      <c r="H81" s="711"/>
      <c r="I81" s="773"/>
      <c r="J81" s="711" t="s">
        <v>300</v>
      </c>
    </row>
    <row r="82" spans="1:10" ht="13.8">
      <c r="A82" s="774" t="str">
        <f t="shared" si="1"/>
        <v>ETS FRANCE FENETRES DIFFUSION</v>
      </c>
      <c r="B82" s="784" t="s">
        <v>1211</v>
      </c>
      <c r="C82" s="724" t="s">
        <v>1018</v>
      </c>
      <c r="D82" s="711"/>
      <c r="E82" s="711"/>
      <c r="F82" s="711"/>
      <c r="G82" s="711"/>
      <c r="H82" s="711"/>
      <c r="I82" s="773"/>
      <c r="J82" s="711" t="s">
        <v>1018</v>
      </c>
    </row>
    <row r="83" spans="1:10" ht="13.8">
      <c r="A83" s="774" t="str">
        <f t="shared" si="1"/>
        <v>ETS GALAXY CONCEPT SAS</v>
      </c>
      <c r="B83" s="784" t="s">
        <v>1211</v>
      </c>
      <c r="C83" s="751" t="s">
        <v>1015</v>
      </c>
      <c r="D83" s="711"/>
      <c r="E83" s="711"/>
      <c r="F83" s="711"/>
      <c r="G83" s="711"/>
      <c r="H83" s="711"/>
      <c r="I83" s="773"/>
      <c r="J83" s="711" t="s">
        <v>1015</v>
      </c>
    </row>
    <row r="84" spans="1:10" ht="13.8">
      <c r="A84" s="774" t="str">
        <f t="shared" si="1"/>
        <v>ETS HABITAT ECONOMIQUE LIMOUSIN</v>
      </c>
      <c r="B84" s="784" t="s">
        <v>1211</v>
      </c>
      <c r="C84" s="723" t="s">
        <v>1138</v>
      </c>
      <c r="D84" s="711"/>
      <c r="E84" s="711"/>
      <c r="F84" s="711"/>
      <c r="G84" s="711"/>
      <c r="H84" s="711"/>
      <c r="I84" s="773"/>
      <c r="J84" s="711" t="s">
        <v>1138</v>
      </c>
    </row>
    <row r="85" spans="1:10" ht="13.8">
      <c r="A85" s="774" t="str">
        <f t="shared" si="1"/>
        <v>ETS HL 44 -HAUTEUR LARGEUR</v>
      </c>
      <c r="B85" s="784" t="s">
        <v>1211</v>
      </c>
      <c r="C85" s="752" t="s">
        <v>375</v>
      </c>
      <c r="D85" s="711"/>
      <c r="E85" s="711"/>
      <c r="F85" s="711"/>
      <c r="G85" s="711"/>
      <c r="H85" s="711"/>
      <c r="I85" s="773"/>
      <c r="J85" s="711" t="s">
        <v>375</v>
      </c>
    </row>
    <row r="86" spans="1:10" ht="13.8">
      <c r="A86" s="774" t="str">
        <f t="shared" si="1"/>
        <v>ETS HM RENOV 26</v>
      </c>
      <c r="B86" s="784" t="s">
        <v>1211</v>
      </c>
      <c r="C86" s="730" t="s">
        <v>461</v>
      </c>
      <c r="D86" s="711"/>
      <c r="E86" s="711"/>
      <c r="F86" s="711"/>
      <c r="G86" s="711"/>
      <c r="H86" s="711"/>
      <c r="I86" s="773"/>
      <c r="J86" s="711" t="s">
        <v>461</v>
      </c>
    </row>
    <row r="87" spans="1:10" ht="13.8">
      <c r="A87" s="774" t="str">
        <f t="shared" si="1"/>
        <v>ETS IDEAL BACHES SARL</v>
      </c>
      <c r="B87" s="784" t="s">
        <v>1211</v>
      </c>
      <c r="C87" s="719" t="s">
        <v>107</v>
      </c>
      <c r="D87" s="711"/>
      <c r="E87" s="711"/>
      <c r="F87" s="711"/>
      <c r="G87" s="711"/>
      <c r="H87" s="711"/>
      <c r="I87" s="773"/>
      <c r="J87" s="711" t="s">
        <v>107</v>
      </c>
    </row>
    <row r="88" spans="1:10" ht="13.8">
      <c r="A88" s="774" t="str">
        <f t="shared" si="1"/>
        <v>ETS JFE  STORES ET FERMETURES</v>
      </c>
      <c r="B88" s="784" t="s">
        <v>1211</v>
      </c>
      <c r="C88" s="723" t="s">
        <v>1112</v>
      </c>
      <c r="D88" s="711"/>
      <c r="E88" s="711"/>
      <c r="F88" s="711"/>
      <c r="G88" s="711"/>
      <c r="H88" s="711"/>
      <c r="I88" s="773"/>
      <c r="J88" s="711" t="s">
        <v>1112</v>
      </c>
    </row>
    <row r="89" spans="1:10" ht="13.8">
      <c r="A89" s="774" t="str">
        <f t="shared" si="1"/>
        <v>ETS JLS MENUISERIE</v>
      </c>
      <c r="B89" s="784" t="s">
        <v>1211</v>
      </c>
      <c r="C89" s="723" t="s">
        <v>1154</v>
      </c>
      <c r="D89" s="711"/>
      <c r="E89" s="711"/>
      <c r="F89" s="711"/>
      <c r="G89" s="711"/>
      <c r="H89" s="711"/>
      <c r="I89" s="773"/>
      <c r="J89" s="711" t="s">
        <v>1154</v>
      </c>
    </row>
    <row r="90" spans="1:10" ht="13.8">
      <c r="A90" s="774" t="str">
        <f t="shared" si="1"/>
        <v>ETS K STORES 33</v>
      </c>
      <c r="B90" s="784" t="s">
        <v>1211</v>
      </c>
      <c r="C90" s="724" t="s">
        <v>99</v>
      </c>
      <c r="D90" s="711"/>
      <c r="E90" s="711"/>
      <c r="F90" s="711"/>
      <c r="G90" s="711"/>
      <c r="H90" s="711"/>
      <c r="I90" s="773"/>
      <c r="J90" s="711" t="s">
        <v>99</v>
      </c>
    </row>
    <row r="91" spans="1:10" ht="13.8">
      <c r="A91" s="774" t="str">
        <f t="shared" si="1"/>
        <v>ETS LA CENTRALE DU STORE</v>
      </c>
      <c r="B91" s="784" t="s">
        <v>1211</v>
      </c>
      <c r="C91" s="733" t="s">
        <v>705</v>
      </c>
      <c r="D91" s="711"/>
      <c r="E91" s="711"/>
      <c r="F91" s="711"/>
      <c r="G91" s="711"/>
      <c r="H91" s="711"/>
      <c r="I91" s="773"/>
      <c r="J91" s="711" t="s">
        <v>705</v>
      </c>
    </row>
    <row r="92" spans="1:10" ht="13.8">
      <c r="A92" s="774" t="str">
        <f t="shared" si="1"/>
        <v>ETS LA FERMETURE DUNOISE</v>
      </c>
      <c r="B92" s="784" t="s">
        <v>1211</v>
      </c>
      <c r="C92" s="723" t="s">
        <v>1143</v>
      </c>
      <c r="D92" s="711"/>
      <c r="E92" s="711"/>
      <c r="F92" s="711"/>
      <c r="G92" s="711"/>
      <c r="H92" s="711"/>
      <c r="I92" s="773"/>
      <c r="J92" s="711" t="s">
        <v>1143</v>
      </c>
    </row>
    <row r="93" spans="1:10" ht="13.8">
      <c r="A93" s="774" t="str">
        <f t="shared" si="1"/>
        <v>ETS LA ROCHE STORE</v>
      </c>
      <c r="B93" s="784" t="s">
        <v>1211</v>
      </c>
      <c r="C93" s="728" t="s">
        <v>447</v>
      </c>
      <c r="D93" s="711"/>
      <c r="E93" s="711"/>
      <c r="F93" s="711"/>
      <c r="G93" s="711"/>
      <c r="H93" s="711"/>
      <c r="I93" s="773"/>
      <c r="J93" s="711" t="s">
        <v>447</v>
      </c>
    </row>
    <row r="94" spans="1:10" ht="13.8">
      <c r="A94" s="774" t="str">
        <f t="shared" si="1"/>
        <v>ETS LABASTERE 64</v>
      </c>
      <c r="B94" s="784" t="s">
        <v>1211</v>
      </c>
      <c r="C94" s="750" t="s">
        <v>75</v>
      </c>
      <c r="D94" s="711"/>
      <c r="E94" s="711"/>
      <c r="F94" s="711"/>
      <c r="G94" s="711"/>
      <c r="H94" s="711"/>
      <c r="I94" s="773"/>
      <c r="J94" s="711" t="s">
        <v>75</v>
      </c>
    </row>
    <row r="95" spans="1:10" ht="13.8">
      <c r="A95" s="774" t="str">
        <f t="shared" si="1"/>
        <v>ETS LAFONT STORES</v>
      </c>
      <c r="B95" s="784" t="s">
        <v>1211</v>
      </c>
      <c r="C95" s="753" t="s">
        <v>516</v>
      </c>
      <c r="D95" s="711"/>
      <c r="E95" s="711"/>
      <c r="F95" s="711"/>
      <c r="G95" s="711"/>
      <c r="H95" s="711"/>
      <c r="I95" s="773"/>
      <c r="J95" s="711" t="s">
        <v>516</v>
      </c>
    </row>
    <row r="96" spans="1:10" ht="13.8">
      <c r="A96" s="774" t="str">
        <f t="shared" si="1"/>
        <v>ETS LAHILLE</v>
      </c>
      <c r="B96" s="784" t="s">
        <v>1211</v>
      </c>
      <c r="C96" s="754" t="s">
        <v>1022</v>
      </c>
      <c r="D96" s="711"/>
      <c r="E96" s="711"/>
      <c r="F96" s="711"/>
      <c r="G96" s="711"/>
      <c r="H96" s="711"/>
      <c r="I96" s="773"/>
      <c r="J96" s="711" t="s">
        <v>1022</v>
      </c>
    </row>
    <row r="97" spans="1:10" ht="13.8">
      <c r="A97" s="774" t="str">
        <f t="shared" si="1"/>
        <v>ETS LAMBERT RENE</v>
      </c>
      <c r="B97" s="784" t="s">
        <v>1211</v>
      </c>
      <c r="C97" s="726" t="s">
        <v>722</v>
      </c>
      <c r="D97" s="711"/>
      <c r="E97" s="711"/>
      <c r="F97" s="711"/>
      <c r="G97" s="711"/>
      <c r="H97" s="711"/>
      <c r="I97" s="773"/>
      <c r="J97" s="711" t="s">
        <v>722</v>
      </c>
    </row>
    <row r="98" spans="1:10" ht="13.8">
      <c r="A98" s="774" t="str">
        <f t="shared" si="1"/>
        <v>ETS LE CONFORT PAR LE STORE</v>
      </c>
      <c r="B98" s="784" t="s">
        <v>1211</v>
      </c>
      <c r="C98" s="727" t="s">
        <v>603</v>
      </c>
      <c r="D98" s="711"/>
      <c r="E98" s="711"/>
      <c r="F98" s="711"/>
      <c r="G98" s="711"/>
      <c r="H98" s="711"/>
      <c r="I98" s="773"/>
      <c r="J98" s="711" t="s">
        <v>603</v>
      </c>
    </row>
    <row r="99" spans="1:10" ht="13.8">
      <c r="A99" s="774" t="str">
        <f t="shared" si="1"/>
        <v>ETS LE STORE CIRCELLI</v>
      </c>
      <c r="B99" s="784" t="s">
        <v>1211</v>
      </c>
      <c r="C99" s="737" t="s">
        <v>994</v>
      </c>
      <c r="D99" s="711"/>
      <c r="E99" s="711"/>
      <c r="F99" s="711"/>
      <c r="G99" s="711"/>
      <c r="H99" s="711"/>
      <c r="I99" s="773"/>
      <c r="J99" s="711" t="s">
        <v>994</v>
      </c>
    </row>
    <row r="100" spans="1:10" ht="13.8">
      <c r="A100" s="774" t="str">
        <f t="shared" si="1"/>
        <v>ETS LOCA SOLEIL</v>
      </c>
      <c r="B100" s="784" t="s">
        <v>1211</v>
      </c>
      <c r="C100" s="750" t="s">
        <v>876</v>
      </c>
      <c r="D100" s="711"/>
      <c r="E100" s="711"/>
      <c r="F100" s="711"/>
      <c r="G100" s="711"/>
      <c r="H100" s="711"/>
      <c r="I100" s="773"/>
      <c r="J100" s="711" t="s">
        <v>876</v>
      </c>
    </row>
    <row r="101" spans="1:10" ht="13.8">
      <c r="A101" s="774" t="str">
        <f t="shared" si="1"/>
        <v>ETS LOPES PUB ET STORES</v>
      </c>
      <c r="B101" s="784" t="s">
        <v>1211</v>
      </c>
      <c r="C101" s="755" t="s">
        <v>850</v>
      </c>
      <c r="D101" s="711"/>
      <c r="E101" s="711"/>
      <c r="F101" s="711"/>
      <c r="G101" s="711"/>
      <c r="H101" s="711"/>
      <c r="I101" s="773"/>
      <c r="J101" s="711" t="s">
        <v>850</v>
      </c>
    </row>
    <row r="102" spans="1:10" ht="13.8">
      <c r="A102" s="774" t="str">
        <f t="shared" si="1"/>
        <v>ETS LYON STORES</v>
      </c>
      <c r="B102" s="784" t="s">
        <v>1211</v>
      </c>
      <c r="C102" s="745" t="s">
        <v>59</v>
      </c>
      <c r="D102" s="711"/>
      <c r="E102" s="711"/>
      <c r="F102" s="711"/>
      <c r="G102" s="711"/>
      <c r="H102" s="711"/>
      <c r="I102" s="773"/>
      <c r="J102" s="711" t="s">
        <v>59</v>
      </c>
    </row>
    <row r="103" spans="1:10" ht="13.8">
      <c r="A103" s="774" t="str">
        <f t="shared" si="1"/>
        <v>ETS M. BONARD - ALU STORE</v>
      </c>
      <c r="B103" s="784" t="s">
        <v>1211</v>
      </c>
      <c r="C103" s="720" t="s">
        <v>644</v>
      </c>
      <c r="D103" s="711"/>
      <c r="E103" s="711"/>
      <c r="F103" s="711"/>
      <c r="G103" s="711"/>
      <c r="H103" s="711"/>
      <c r="I103" s="773"/>
      <c r="J103" s="711" t="s">
        <v>644</v>
      </c>
    </row>
    <row r="104" spans="1:10" ht="13.8">
      <c r="A104" s="774" t="str">
        <f t="shared" si="1"/>
        <v>ETS M. LAFAGE PHILIPPE</v>
      </c>
      <c r="B104" s="784" t="s">
        <v>1211</v>
      </c>
      <c r="C104" s="756" t="s">
        <v>485</v>
      </c>
      <c r="D104" s="711"/>
      <c r="E104" s="711"/>
      <c r="F104" s="711"/>
      <c r="G104" s="711"/>
      <c r="H104" s="711"/>
      <c r="I104" s="773"/>
      <c r="J104" s="711" t="s">
        <v>485</v>
      </c>
    </row>
    <row r="105" spans="1:10" ht="13.8">
      <c r="A105" s="774" t="str">
        <f t="shared" si="1"/>
        <v>ETS M. LOTHAIRE THIEBAULT</v>
      </c>
      <c r="B105" s="784" t="s">
        <v>1211</v>
      </c>
      <c r="C105" s="724" t="s">
        <v>1019</v>
      </c>
      <c r="D105" s="711"/>
      <c r="E105" s="711"/>
      <c r="F105" s="711"/>
      <c r="G105" s="711"/>
      <c r="H105" s="711"/>
      <c r="I105" s="773"/>
      <c r="J105" s="711" t="s">
        <v>1019</v>
      </c>
    </row>
    <row r="106" spans="1:10" ht="13.8">
      <c r="A106" s="774" t="str">
        <f t="shared" si="1"/>
        <v>ETS M. RICHARD ERRE</v>
      </c>
      <c r="B106" s="784" t="s">
        <v>1211</v>
      </c>
      <c r="C106" s="733" t="s">
        <v>957</v>
      </c>
      <c r="D106" s="711"/>
      <c r="E106" s="711"/>
      <c r="F106" s="711"/>
      <c r="G106" s="711"/>
      <c r="H106" s="711"/>
      <c r="I106" s="773"/>
      <c r="J106" s="711" t="s">
        <v>957</v>
      </c>
    </row>
    <row r="107" spans="1:10" ht="13.8">
      <c r="A107" s="774" t="str">
        <f t="shared" si="1"/>
        <v>ETS M. VANDENDRIESSCHE PHILIPPE</v>
      </c>
      <c r="B107" s="784" t="s">
        <v>1211</v>
      </c>
      <c r="C107" s="724" t="s">
        <v>1020</v>
      </c>
      <c r="D107" s="711"/>
      <c r="E107" s="711"/>
      <c r="F107" s="711"/>
      <c r="G107" s="711"/>
      <c r="H107" s="711"/>
      <c r="I107" s="773"/>
      <c r="J107" s="711" t="s">
        <v>1020</v>
      </c>
    </row>
    <row r="108" spans="1:10" ht="13.8">
      <c r="A108" s="774" t="str">
        <f t="shared" si="1"/>
        <v>ETS M.GIRAUDOT</v>
      </c>
      <c r="B108" s="784" t="s">
        <v>1211</v>
      </c>
      <c r="C108" s="757" t="s">
        <v>831</v>
      </c>
      <c r="D108" s="711"/>
      <c r="E108" s="711"/>
      <c r="F108" s="711"/>
      <c r="G108" s="711"/>
      <c r="H108" s="711"/>
      <c r="I108" s="773"/>
      <c r="J108" s="711" t="s">
        <v>831</v>
      </c>
    </row>
    <row r="109" spans="1:10" ht="13.8">
      <c r="A109" s="774" t="str">
        <f t="shared" si="1"/>
        <v>ETS M.RICHARD ERRE</v>
      </c>
      <c r="B109" s="784" t="s">
        <v>1211</v>
      </c>
      <c r="C109" s="727" t="s">
        <v>626</v>
      </c>
      <c r="D109" s="711"/>
      <c r="E109" s="711"/>
      <c r="F109" s="711"/>
      <c r="G109" s="711"/>
      <c r="H109" s="711"/>
      <c r="I109" s="773"/>
      <c r="J109" s="711" t="s">
        <v>626</v>
      </c>
    </row>
    <row r="110" spans="1:10" ht="13.8">
      <c r="A110" s="774" t="str">
        <f t="shared" si="1"/>
        <v>ETS MANUFACTURE DES TOILES GOURNAC</v>
      </c>
      <c r="B110" s="784" t="s">
        <v>1211</v>
      </c>
      <c r="C110" s="749" t="s">
        <v>1183</v>
      </c>
      <c r="D110" s="711"/>
      <c r="E110" s="711"/>
      <c r="F110" s="711"/>
      <c r="G110" s="711"/>
      <c r="H110" s="711"/>
      <c r="I110" s="773"/>
      <c r="J110" s="711" t="s">
        <v>1183</v>
      </c>
    </row>
    <row r="111" spans="1:10" ht="13.8">
      <c r="A111" s="774" t="str">
        <f t="shared" si="1"/>
        <v>ETS MAQUIN GERARD</v>
      </c>
      <c r="B111" s="784" t="s">
        <v>1211</v>
      </c>
      <c r="C111" s="733" t="s">
        <v>442</v>
      </c>
      <c r="D111" s="711"/>
      <c r="E111" s="711"/>
      <c r="F111" s="711"/>
      <c r="G111" s="711"/>
      <c r="H111" s="711"/>
      <c r="I111" s="773"/>
      <c r="J111" s="711" t="s">
        <v>442</v>
      </c>
    </row>
    <row r="112" spans="1:10" ht="13.8">
      <c r="A112" s="774" t="str">
        <f t="shared" si="1"/>
        <v>ETS MAUVERTEX</v>
      </c>
      <c r="B112" s="784" t="s">
        <v>1211</v>
      </c>
      <c r="C112" s="750" t="s">
        <v>89</v>
      </c>
      <c r="D112" s="711"/>
      <c r="E112" s="711"/>
      <c r="F112" s="711"/>
      <c r="G112" s="711"/>
      <c r="H112" s="711"/>
      <c r="I112" s="773"/>
      <c r="J112" s="711" t="s">
        <v>89</v>
      </c>
    </row>
    <row r="113" spans="1:10" ht="13.8">
      <c r="A113" s="774" t="str">
        <f t="shared" si="1"/>
        <v>ETS MEDIASUN</v>
      </c>
      <c r="B113" s="784" t="s">
        <v>1211</v>
      </c>
      <c r="C113" s="758" t="s">
        <v>480</v>
      </c>
      <c r="D113" s="711"/>
      <c r="E113" s="711"/>
      <c r="F113" s="711"/>
      <c r="G113" s="711"/>
      <c r="H113" s="711"/>
      <c r="I113" s="773"/>
      <c r="J113" s="711" t="s">
        <v>480</v>
      </c>
    </row>
    <row r="114" spans="1:10" ht="13.8">
      <c r="A114" s="774" t="str">
        <f t="shared" si="1"/>
        <v>ETS MENUISERIE STORE MEDITERRANEE</v>
      </c>
      <c r="B114" s="784" t="s">
        <v>1211</v>
      </c>
      <c r="C114" s="733" t="s">
        <v>188</v>
      </c>
      <c r="D114" s="711"/>
      <c r="E114" s="711"/>
      <c r="F114" s="711"/>
      <c r="G114" s="711"/>
      <c r="H114" s="711"/>
      <c r="I114" s="773"/>
      <c r="J114" s="711" t="s">
        <v>188</v>
      </c>
    </row>
    <row r="115" spans="1:10" ht="13.8">
      <c r="A115" s="774" t="str">
        <f t="shared" si="1"/>
        <v>ETS METRATGE SL</v>
      </c>
      <c r="B115" s="784" t="s">
        <v>1211</v>
      </c>
      <c r="C115" s="726" t="s">
        <v>821</v>
      </c>
      <c r="D115" s="711"/>
      <c r="E115" s="711"/>
      <c r="F115" s="711"/>
      <c r="G115" s="711"/>
      <c r="H115" s="711"/>
      <c r="I115" s="773"/>
      <c r="J115" s="711" t="s">
        <v>821</v>
      </c>
    </row>
    <row r="116" spans="1:10" ht="13.8">
      <c r="A116" s="774" t="str">
        <f t="shared" si="1"/>
        <v>ETS MIROITERIE BERTRAND</v>
      </c>
      <c r="B116" s="784" t="s">
        <v>1211</v>
      </c>
      <c r="C116" s="759" t="s">
        <v>126</v>
      </c>
      <c r="D116" s="711"/>
      <c r="E116" s="711"/>
      <c r="F116" s="711"/>
      <c r="G116" s="711"/>
      <c r="H116" s="711"/>
      <c r="I116" s="773"/>
      <c r="J116" s="711" t="s">
        <v>126</v>
      </c>
    </row>
    <row r="117" spans="1:10" ht="13.8">
      <c r="A117" s="774" t="str">
        <f t="shared" si="1"/>
        <v>ETS MIROITERIE DU COMMINGES SARL</v>
      </c>
      <c r="B117" s="784" t="s">
        <v>1211</v>
      </c>
      <c r="C117" s="760" t="s">
        <v>505</v>
      </c>
      <c r="D117" s="711"/>
      <c r="E117" s="711"/>
      <c r="F117" s="711"/>
      <c r="G117" s="711"/>
      <c r="H117" s="711"/>
      <c r="I117" s="773"/>
      <c r="J117" s="711" t="s">
        <v>505</v>
      </c>
    </row>
    <row r="118" spans="1:10" ht="13.8">
      <c r="A118" s="774" t="str">
        <f t="shared" si="1"/>
        <v>ETS MIROITERIE MANDIC</v>
      </c>
      <c r="B118" s="784" t="s">
        <v>1211</v>
      </c>
      <c r="C118" s="719" t="s">
        <v>839</v>
      </c>
      <c r="D118" s="711"/>
      <c r="E118" s="711"/>
      <c r="F118" s="711"/>
      <c r="G118" s="711"/>
      <c r="H118" s="711"/>
      <c r="I118" s="773"/>
      <c r="J118" s="711" t="s">
        <v>839</v>
      </c>
    </row>
    <row r="119" spans="1:10" ht="13.8">
      <c r="A119" s="774" t="str">
        <f t="shared" si="1"/>
        <v>ETS MITJAVILA NICE</v>
      </c>
      <c r="B119" s="784" t="s">
        <v>1211</v>
      </c>
      <c r="C119" s="739" t="s">
        <v>28</v>
      </c>
      <c r="D119" s="711"/>
      <c r="E119" s="711"/>
      <c r="F119" s="711"/>
      <c r="G119" s="711"/>
      <c r="H119" s="711"/>
      <c r="I119" s="773"/>
      <c r="J119" s="711" t="s">
        <v>28</v>
      </c>
    </row>
    <row r="120" spans="1:10" ht="13.8">
      <c r="A120" s="774" t="str">
        <f t="shared" si="1"/>
        <v>ETS Mme COSTA</v>
      </c>
      <c r="B120" s="784" t="s">
        <v>1211</v>
      </c>
      <c r="C120" s="724" t="s">
        <v>1024</v>
      </c>
      <c r="D120" s="711"/>
      <c r="E120" s="711"/>
      <c r="F120" s="711"/>
      <c r="G120" s="711"/>
      <c r="H120" s="711"/>
      <c r="I120" s="773"/>
      <c r="J120" s="711" t="s">
        <v>1024</v>
      </c>
    </row>
    <row r="121" spans="1:10" ht="13.8">
      <c r="A121" s="774" t="str">
        <f t="shared" si="1"/>
        <v>ETS MOBILE &amp; CO - 2 P LOISIRS</v>
      </c>
      <c r="B121" s="784" t="s">
        <v>1211</v>
      </c>
      <c r="C121" s="727" t="s">
        <v>254</v>
      </c>
      <c r="D121" s="711"/>
      <c r="E121" s="711"/>
      <c r="F121" s="711"/>
      <c r="G121" s="711"/>
      <c r="H121" s="711"/>
      <c r="I121" s="773"/>
      <c r="J121" s="711" t="s">
        <v>254</v>
      </c>
    </row>
    <row r="122" spans="1:10" ht="13.8">
      <c r="A122" s="774" t="str">
        <f t="shared" si="1"/>
        <v>ETS MOYSE COTE SUD</v>
      </c>
      <c r="B122" s="784" t="s">
        <v>1211</v>
      </c>
      <c r="C122" s="718" t="s">
        <v>339</v>
      </c>
      <c r="D122" s="711"/>
      <c r="E122" s="711"/>
      <c r="F122" s="711"/>
      <c r="G122" s="711"/>
      <c r="H122" s="711"/>
      <c r="I122" s="773"/>
      <c r="J122" s="711" t="s">
        <v>339</v>
      </c>
    </row>
    <row r="123" spans="1:10" ht="13.8">
      <c r="A123" s="774" t="str">
        <f t="shared" si="1"/>
        <v>ETS Mr BRICOUT FRANCIS</v>
      </c>
      <c r="B123" s="784" t="s">
        <v>1211</v>
      </c>
      <c r="C123" s="748" t="s">
        <v>526</v>
      </c>
      <c r="D123" s="711"/>
      <c r="E123" s="711"/>
      <c r="F123" s="711"/>
      <c r="G123" s="711"/>
      <c r="H123" s="711"/>
      <c r="I123" s="773"/>
      <c r="J123" s="711" t="s">
        <v>526</v>
      </c>
    </row>
    <row r="124" spans="1:10" ht="13.8">
      <c r="A124" s="774" t="str">
        <f t="shared" si="1"/>
        <v>ETS Mr DEMOUY XAVIER</v>
      </c>
      <c r="B124" s="784" t="s">
        <v>1211</v>
      </c>
      <c r="C124" s="737" t="s">
        <v>989</v>
      </c>
      <c r="D124" s="711"/>
      <c r="E124" s="711"/>
      <c r="F124" s="711"/>
      <c r="G124" s="711"/>
      <c r="H124" s="711"/>
      <c r="I124" s="773"/>
      <c r="J124" s="711" t="s">
        <v>989</v>
      </c>
    </row>
    <row r="125" spans="1:10" ht="13.8">
      <c r="A125" s="774" t="str">
        <f t="shared" si="1"/>
        <v>ETS Mr GILPIN</v>
      </c>
      <c r="B125" s="784" t="s">
        <v>1211</v>
      </c>
      <c r="C125" s="733" t="s">
        <v>966</v>
      </c>
      <c r="D125" s="711"/>
      <c r="E125" s="711"/>
      <c r="F125" s="711"/>
      <c r="G125" s="711"/>
      <c r="H125" s="711"/>
      <c r="I125" s="773"/>
      <c r="J125" s="711" t="s">
        <v>966</v>
      </c>
    </row>
    <row r="126" spans="1:10" ht="13.8">
      <c r="A126" s="774" t="str">
        <f t="shared" si="1"/>
        <v>ETS Mr MONTEREMAL</v>
      </c>
      <c r="B126" s="784" t="s">
        <v>1211</v>
      </c>
      <c r="C126" s="734" t="s">
        <v>728</v>
      </c>
      <c r="D126" s="711"/>
      <c r="E126" s="711"/>
      <c r="F126" s="711"/>
      <c r="G126" s="711"/>
      <c r="H126" s="711"/>
      <c r="I126" s="773"/>
      <c r="J126" s="711" t="s">
        <v>728</v>
      </c>
    </row>
    <row r="127" spans="1:10" ht="13.8">
      <c r="A127" s="774" t="str">
        <f t="shared" si="1"/>
        <v>ETS MR VANHOUTTE</v>
      </c>
      <c r="B127" s="784" t="s">
        <v>1211</v>
      </c>
      <c r="C127" s="734" t="s">
        <v>713</v>
      </c>
      <c r="D127" s="711"/>
      <c r="E127" s="711"/>
      <c r="F127" s="711"/>
      <c r="G127" s="711"/>
      <c r="H127" s="711"/>
      <c r="I127" s="773"/>
      <c r="J127" s="711" t="s">
        <v>713</v>
      </c>
    </row>
    <row r="128" spans="1:10" ht="13.8">
      <c r="A128" s="774" t="str">
        <f t="shared" si="1"/>
        <v>ETS MRS - ART DU STORE &amp; FERMETURE</v>
      </c>
      <c r="B128" s="784" t="s">
        <v>1211</v>
      </c>
      <c r="C128" s="753" t="s">
        <v>512</v>
      </c>
      <c r="D128" s="711"/>
      <c r="E128" s="711"/>
      <c r="F128" s="711"/>
      <c r="G128" s="711"/>
      <c r="H128" s="711"/>
      <c r="I128" s="773"/>
      <c r="J128" s="711" t="s">
        <v>512</v>
      </c>
    </row>
    <row r="129" spans="1:10" ht="13.8">
      <c r="A129" s="774" t="str">
        <f t="shared" si="1"/>
        <v>ETS MRS - ATELIER STORE 81</v>
      </c>
      <c r="B129" s="784" t="s">
        <v>1211</v>
      </c>
      <c r="C129" s="727" t="s">
        <v>560</v>
      </c>
      <c r="D129" s="711"/>
      <c r="E129" s="711"/>
      <c r="F129" s="711"/>
      <c r="G129" s="711"/>
      <c r="H129" s="711"/>
      <c r="I129" s="773"/>
      <c r="J129" s="711" t="s">
        <v>560</v>
      </c>
    </row>
    <row r="130" spans="1:10" ht="13.8">
      <c r="A130" s="774" t="str">
        <f t="shared" si="1"/>
        <v>ETS MRS - BESCHI STORES SAS</v>
      </c>
      <c r="B130" s="784" t="s">
        <v>1211</v>
      </c>
      <c r="C130" s="724" t="s">
        <v>1033</v>
      </c>
      <c r="D130" s="711"/>
      <c r="E130" s="711"/>
      <c r="F130" s="711"/>
      <c r="G130" s="711"/>
      <c r="H130" s="711"/>
      <c r="I130" s="773"/>
      <c r="J130" s="711" t="s">
        <v>1033</v>
      </c>
    </row>
    <row r="131" spans="1:10" ht="13.8">
      <c r="A131" s="774" t="str">
        <f t="shared" ref="A131:A194" si="2">CONCATENATE(B131," ",C131)</f>
        <v>ETS MRS - BO STORE</v>
      </c>
      <c r="B131" s="784" t="s">
        <v>1211</v>
      </c>
      <c r="C131" s="722" t="s">
        <v>290</v>
      </c>
      <c r="D131" s="711"/>
      <c r="E131" s="711"/>
      <c r="F131" s="711"/>
      <c r="G131" s="711"/>
      <c r="H131" s="711"/>
      <c r="I131" s="773"/>
      <c r="J131" s="711" t="s">
        <v>290</v>
      </c>
    </row>
    <row r="132" spans="1:10" ht="13.8">
      <c r="A132" s="774" t="str">
        <f t="shared" si="2"/>
        <v>ETS MRS - DUPUTZ INTER STORES</v>
      </c>
      <c r="B132" s="784" t="s">
        <v>1211</v>
      </c>
      <c r="C132" s="723" t="s">
        <v>520</v>
      </c>
      <c r="D132" s="711"/>
      <c r="E132" s="711"/>
      <c r="F132" s="711"/>
      <c r="G132" s="711"/>
      <c r="H132" s="711"/>
      <c r="I132" s="773"/>
      <c r="J132" s="711" t="s">
        <v>520</v>
      </c>
    </row>
    <row r="133" spans="1:10" ht="13.8">
      <c r="A133" s="774" t="str">
        <f t="shared" si="2"/>
        <v>ETS MRS - GAZAILLE SERVICES</v>
      </c>
      <c r="B133" s="784" t="s">
        <v>1211</v>
      </c>
      <c r="C133" s="718" t="s">
        <v>203</v>
      </c>
      <c r="D133" s="711"/>
      <c r="E133" s="711"/>
      <c r="F133" s="711"/>
      <c r="G133" s="711"/>
      <c r="H133" s="711"/>
      <c r="I133" s="773"/>
      <c r="J133" s="711" t="s">
        <v>203</v>
      </c>
    </row>
    <row r="134" spans="1:10" ht="13.8">
      <c r="A134" s="774" t="str">
        <f t="shared" si="2"/>
        <v>ETS MRS - J'ISOLE STORES DECO</v>
      </c>
      <c r="B134" s="784" t="s">
        <v>1211</v>
      </c>
      <c r="C134" s="744" t="s">
        <v>187</v>
      </c>
      <c r="D134" s="711"/>
      <c r="E134" s="711"/>
      <c r="F134" s="711"/>
      <c r="G134" s="711"/>
      <c r="H134" s="711"/>
      <c r="I134" s="773"/>
      <c r="J134" s="711" t="s">
        <v>187</v>
      </c>
    </row>
    <row r="135" spans="1:10" ht="13.8">
      <c r="A135" s="774" t="str">
        <f t="shared" si="2"/>
        <v>ETS MRS - JS21</v>
      </c>
      <c r="B135" s="784" t="s">
        <v>1211</v>
      </c>
      <c r="C135" s="761" t="s">
        <v>196</v>
      </c>
      <c r="D135" s="711"/>
      <c r="E135" s="711"/>
      <c r="F135" s="711"/>
      <c r="G135" s="711"/>
      <c r="H135" s="711"/>
      <c r="I135" s="773"/>
      <c r="J135" s="711" t="s">
        <v>196</v>
      </c>
    </row>
    <row r="136" spans="1:10" ht="13.8">
      <c r="A136" s="774" t="str">
        <f t="shared" si="2"/>
        <v>ETS MRS - LE CLOU D'OR</v>
      </c>
      <c r="B136" s="784" t="s">
        <v>1211</v>
      </c>
      <c r="C136" s="727" t="s">
        <v>574</v>
      </c>
      <c r="D136" s="711"/>
      <c r="E136" s="711"/>
      <c r="F136" s="711"/>
      <c r="G136" s="711"/>
      <c r="H136" s="711"/>
      <c r="I136" s="773"/>
      <c r="J136" s="711" t="s">
        <v>574</v>
      </c>
    </row>
    <row r="137" spans="1:10" ht="13.8">
      <c r="A137" s="774" t="str">
        <f t="shared" si="2"/>
        <v>ETS MRS - LES STORES MODERNES</v>
      </c>
      <c r="B137" s="784" t="s">
        <v>1211</v>
      </c>
      <c r="C137" s="748" t="s">
        <v>539</v>
      </c>
      <c r="D137" s="711"/>
      <c r="E137" s="711"/>
      <c r="F137" s="711"/>
      <c r="G137" s="711"/>
      <c r="H137" s="711"/>
      <c r="I137" s="773"/>
      <c r="J137" s="711" t="s">
        <v>539</v>
      </c>
    </row>
    <row r="138" spans="1:10" ht="13.8">
      <c r="A138" s="774" t="str">
        <f t="shared" si="2"/>
        <v>ETS MRS - LEZARD 34</v>
      </c>
      <c r="B138" s="784" t="s">
        <v>1211</v>
      </c>
      <c r="C138" s="728" t="s">
        <v>448</v>
      </c>
      <c r="D138" s="711"/>
      <c r="E138" s="711"/>
      <c r="F138" s="711"/>
      <c r="G138" s="711"/>
      <c r="H138" s="711"/>
      <c r="I138" s="773"/>
      <c r="J138" s="711" t="s">
        <v>448</v>
      </c>
    </row>
    <row r="139" spans="1:10" ht="13.8">
      <c r="A139" s="774" t="str">
        <f t="shared" si="2"/>
        <v>ETS MRS - LEZARD 67</v>
      </c>
      <c r="B139" s="784" t="s">
        <v>1211</v>
      </c>
      <c r="C139" s="727" t="s">
        <v>601</v>
      </c>
      <c r="D139" s="711"/>
      <c r="E139" s="711"/>
      <c r="F139" s="711"/>
      <c r="G139" s="711"/>
      <c r="H139" s="711"/>
      <c r="I139" s="773"/>
      <c r="J139" s="711" t="s">
        <v>601</v>
      </c>
    </row>
    <row r="140" spans="1:10" ht="13.8">
      <c r="A140" s="774" t="str">
        <f t="shared" si="2"/>
        <v>ETS MRS - MILLET</v>
      </c>
      <c r="B140" s="784" t="s">
        <v>1211</v>
      </c>
      <c r="C140" s="720" t="s">
        <v>406</v>
      </c>
      <c r="D140" s="711"/>
      <c r="E140" s="711"/>
      <c r="F140" s="711"/>
      <c r="G140" s="711"/>
      <c r="H140" s="711"/>
      <c r="I140" s="773"/>
      <c r="J140" s="711" t="s">
        <v>406</v>
      </c>
    </row>
    <row r="141" spans="1:10" ht="13.8">
      <c r="A141" s="774" t="str">
        <f t="shared" si="2"/>
        <v>ETS MRS - NIORT HABITAT</v>
      </c>
      <c r="B141" s="784" t="s">
        <v>1211</v>
      </c>
      <c r="C141" s="728" t="s">
        <v>489</v>
      </c>
      <c r="D141" s="711"/>
      <c r="E141" s="711"/>
      <c r="F141" s="711"/>
      <c r="G141" s="711"/>
      <c r="H141" s="711"/>
      <c r="I141" s="773"/>
      <c r="J141" s="711" t="s">
        <v>489</v>
      </c>
    </row>
    <row r="142" spans="1:10" ht="13.8">
      <c r="A142" s="774" t="str">
        <f t="shared" si="2"/>
        <v>ETS MRS - RIVIER</v>
      </c>
      <c r="B142" s="784" t="s">
        <v>1211</v>
      </c>
      <c r="C142" s="720" t="s">
        <v>701</v>
      </c>
      <c r="D142" s="711"/>
      <c r="E142" s="711"/>
      <c r="F142" s="711"/>
      <c r="G142" s="711"/>
      <c r="H142" s="711"/>
      <c r="I142" s="773"/>
      <c r="J142" s="711" t="s">
        <v>701</v>
      </c>
    </row>
    <row r="143" spans="1:10" ht="13.8">
      <c r="A143" s="774" t="str">
        <f t="shared" si="2"/>
        <v>ETS MRS - SACHERIE D'AUVERGNE</v>
      </c>
      <c r="B143" s="784" t="s">
        <v>1211</v>
      </c>
      <c r="C143" s="736" t="s">
        <v>195</v>
      </c>
      <c r="D143" s="711"/>
      <c r="E143" s="711"/>
      <c r="F143" s="711"/>
      <c r="G143" s="711"/>
      <c r="H143" s="711"/>
      <c r="I143" s="773"/>
      <c r="J143" s="711" t="s">
        <v>195</v>
      </c>
    </row>
    <row r="144" spans="1:10" ht="13.8">
      <c r="A144" s="774" t="str">
        <f t="shared" si="2"/>
        <v>ETS MRS - SOFATIS / ERTON</v>
      </c>
      <c r="B144" s="784" t="s">
        <v>1211</v>
      </c>
      <c r="C144" s="727" t="s">
        <v>593</v>
      </c>
      <c r="D144" s="711"/>
      <c r="E144" s="711"/>
      <c r="F144" s="711"/>
      <c r="G144" s="711"/>
      <c r="H144" s="711"/>
      <c r="I144" s="773"/>
      <c r="J144" s="711" t="s">
        <v>593</v>
      </c>
    </row>
    <row r="145" spans="1:10" ht="13.8">
      <c r="A145" s="774" t="str">
        <f t="shared" si="2"/>
        <v>ETS MRS - SQUARE STORE</v>
      </c>
      <c r="B145" s="784" t="s">
        <v>1211</v>
      </c>
      <c r="C145" s="733" t="s">
        <v>579</v>
      </c>
      <c r="D145" s="711"/>
      <c r="E145" s="711"/>
      <c r="F145" s="711"/>
      <c r="G145" s="711"/>
      <c r="H145" s="711"/>
      <c r="I145" s="773"/>
      <c r="J145" s="711" t="s">
        <v>579</v>
      </c>
    </row>
    <row r="146" spans="1:10" ht="13.8">
      <c r="A146" s="774" t="str">
        <f t="shared" si="2"/>
        <v>ETS MRS - STORES &amp; FERMETURES JFE</v>
      </c>
      <c r="B146" s="784" t="s">
        <v>1211</v>
      </c>
      <c r="C146" s="728" t="s">
        <v>483</v>
      </c>
      <c r="D146" s="711"/>
      <c r="E146" s="711"/>
      <c r="F146" s="711"/>
      <c r="G146" s="711"/>
      <c r="H146" s="711"/>
      <c r="I146" s="773"/>
      <c r="J146" s="711" t="s">
        <v>483</v>
      </c>
    </row>
    <row r="147" spans="1:10" ht="13.8">
      <c r="A147" s="774" t="str">
        <f t="shared" si="2"/>
        <v>ETS MRS - STORES BRETAGNE - VANNES</v>
      </c>
      <c r="B147" s="784" t="s">
        <v>1211</v>
      </c>
      <c r="C147" s="727" t="s">
        <v>522</v>
      </c>
      <c r="D147" s="711"/>
      <c r="E147" s="711"/>
      <c r="F147" s="711"/>
      <c r="G147" s="711"/>
      <c r="H147" s="711"/>
      <c r="I147" s="773"/>
      <c r="J147" s="711" t="s">
        <v>522</v>
      </c>
    </row>
    <row r="148" spans="1:10" ht="13.8">
      <c r="A148" s="774" t="str">
        <f t="shared" si="2"/>
        <v>ETS MRS - STORES FERM PROTECT - L</v>
      </c>
      <c r="B148" s="784" t="s">
        <v>1211</v>
      </c>
      <c r="C148" s="729" t="s">
        <v>219</v>
      </c>
      <c r="D148" s="711"/>
      <c r="E148" s="711"/>
      <c r="F148" s="711"/>
      <c r="G148" s="711"/>
      <c r="H148" s="711"/>
      <c r="I148" s="773"/>
      <c r="J148" s="711" t="s">
        <v>219</v>
      </c>
    </row>
    <row r="149" spans="1:10" ht="13.8">
      <c r="A149" s="774" t="str">
        <f t="shared" si="2"/>
        <v>ETS MRS - STORES ISOLATION</v>
      </c>
      <c r="B149" s="784" t="s">
        <v>1211</v>
      </c>
      <c r="C149" s="724" t="s">
        <v>1028</v>
      </c>
      <c r="D149" s="711"/>
      <c r="E149" s="711"/>
      <c r="F149" s="711"/>
      <c r="G149" s="711"/>
      <c r="H149" s="711"/>
      <c r="I149" s="773"/>
      <c r="J149" s="711" t="s">
        <v>1028</v>
      </c>
    </row>
    <row r="150" spans="1:10" ht="13.8">
      <c r="A150" s="774" t="str">
        <f t="shared" si="2"/>
        <v>ETS MRS - TECHNIC BAIE</v>
      </c>
      <c r="B150" s="784" t="s">
        <v>1211</v>
      </c>
      <c r="C150" s="724" t="s">
        <v>549</v>
      </c>
      <c r="D150" s="711"/>
      <c r="E150" s="711"/>
      <c r="F150" s="711"/>
      <c r="G150" s="711"/>
      <c r="H150" s="711"/>
      <c r="I150" s="773"/>
      <c r="J150" s="711" t="s">
        <v>549</v>
      </c>
    </row>
    <row r="151" spans="1:10" ht="13.8">
      <c r="A151" s="774" t="str">
        <f t="shared" si="2"/>
        <v>ETS MULTI SERVICE VERNET</v>
      </c>
      <c r="B151" s="784" t="s">
        <v>1211</v>
      </c>
      <c r="C151" s="733" t="s">
        <v>907</v>
      </c>
      <c r="D151" s="711"/>
      <c r="E151" s="711"/>
      <c r="F151" s="711"/>
      <c r="G151" s="711"/>
      <c r="H151" s="711"/>
      <c r="I151" s="773"/>
      <c r="J151" s="711" t="s">
        <v>907</v>
      </c>
    </row>
    <row r="152" spans="1:10" ht="13.8">
      <c r="A152" s="774" t="str">
        <f t="shared" si="2"/>
        <v>ETS OMBRE ET CONFORT</v>
      </c>
      <c r="B152" s="784" t="s">
        <v>1211</v>
      </c>
      <c r="C152" s="735" t="s">
        <v>428</v>
      </c>
      <c r="D152" s="711"/>
      <c r="E152" s="711"/>
      <c r="F152" s="711"/>
      <c r="G152" s="711"/>
      <c r="H152" s="711"/>
      <c r="I152" s="773"/>
      <c r="J152" s="711" t="s">
        <v>428</v>
      </c>
    </row>
    <row r="153" spans="1:10" ht="13.8">
      <c r="A153" s="774" t="str">
        <f t="shared" si="2"/>
        <v>ETS OMBRE ET LUMIERE</v>
      </c>
      <c r="B153" s="784" t="s">
        <v>1211</v>
      </c>
      <c r="C153" s="738" t="s">
        <v>424</v>
      </c>
      <c r="D153" s="711"/>
      <c r="E153" s="711"/>
      <c r="F153" s="711"/>
      <c r="G153" s="711"/>
      <c r="H153" s="711"/>
      <c r="I153" s="773"/>
      <c r="J153" s="711" t="s">
        <v>424</v>
      </c>
    </row>
    <row r="154" spans="1:10" ht="13.8">
      <c r="A154" s="774" t="str">
        <f t="shared" si="2"/>
        <v>ETS OMBRES ET STRUCTURE</v>
      </c>
      <c r="B154" s="784" t="s">
        <v>1211</v>
      </c>
      <c r="C154" s="733" t="s">
        <v>968</v>
      </c>
      <c r="D154" s="711"/>
      <c r="E154" s="711"/>
      <c r="F154" s="711"/>
      <c r="G154" s="711"/>
      <c r="H154" s="711"/>
      <c r="I154" s="773"/>
      <c r="J154" s="711" t="s">
        <v>968</v>
      </c>
    </row>
    <row r="155" spans="1:10" ht="13.8">
      <c r="A155" s="774" t="str">
        <f t="shared" si="2"/>
        <v>ETS OPPENOT</v>
      </c>
      <c r="B155" s="784" t="s">
        <v>1211</v>
      </c>
      <c r="C155" s="727" t="s">
        <v>569</v>
      </c>
      <c r="D155" s="711"/>
      <c r="E155" s="711"/>
      <c r="F155" s="711"/>
      <c r="G155" s="711"/>
      <c r="H155" s="711"/>
      <c r="I155" s="773"/>
      <c r="J155" s="711" t="s">
        <v>569</v>
      </c>
    </row>
    <row r="156" spans="1:10" ht="13.8">
      <c r="A156" s="774" t="str">
        <f t="shared" si="2"/>
        <v>ETS ORILON</v>
      </c>
      <c r="B156" s="784" t="s">
        <v>1211</v>
      </c>
      <c r="C156" s="762" t="s">
        <v>5</v>
      </c>
      <c r="D156" s="711"/>
      <c r="E156" s="711"/>
      <c r="F156" s="711"/>
      <c r="G156" s="711"/>
      <c r="H156" s="711"/>
      <c r="I156" s="773"/>
      <c r="J156" s="711" t="s">
        <v>5</v>
      </c>
    </row>
    <row r="157" spans="1:10" ht="13.8">
      <c r="A157" s="774" t="str">
        <f t="shared" si="2"/>
        <v>ETS ORILON BEZIERS</v>
      </c>
      <c r="B157" s="784" t="s">
        <v>1211</v>
      </c>
      <c r="C157" s="718" t="s">
        <v>48</v>
      </c>
      <c r="D157" s="711"/>
      <c r="E157" s="711"/>
      <c r="F157" s="711"/>
      <c r="G157" s="711"/>
      <c r="H157" s="711"/>
      <c r="I157" s="773"/>
      <c r="J157" s="711" t="s">
        <v>48</v>
      </c>
    </row>
    <row r="158" spans="1:10" ht="13.8">
      <c r="A158" s="774" t="str">
        <f t="shared" si="2"/>
        <v>ETS ORILON MONTPELLIER</v>
      </c>
      <c r="B158" s="784" t="s">
        <v>1211</v>
      </c>
      <c r="C158" s="737" t="s">
        <v>70</v>
      </c>
      <c r="D158" s="711"/>
      <c r="E158" s="711"/>
      <c r="F158" s="711"/>
      <c r="G158" s="711"/>
      <c r="H158" s="711"/>
      <c r="I158" s="773"/>
      <c r="J158" s="711" t="s">
        <v>70</v>
      </c>
    </row>
    <row r="159" spans="1:10" ht="13.8">
      <c r="A159" s="774" t="str">
        <f t="shared" si="2"/>
        <v>ETS ORILON SITE MONTPELLIER</v>
      </c>
      <c r="B159" s="784" t="s">
        <v>1211</v>
      </c>
      <c r="C159" s="736" t="s">
        <v>38</v>
      </c>
      <c r="D159" s="711"/>
      <c r="E159" s="711"/>
      <c r="F159" s="711"/>
      <c r="G159" s="711"/>
      <c r="H159" s="711"/>
      <c r="I159" s="773"/>
      <c r="J159" s="711" t="s">
        <v>38</v>
      </c>
    </row>
    <row r="160" spans="1:10" ht="13.8">
      <c r="A160" s="774" t="str">
        <f t="shared" si="2"/>
        <v>ETS OUESTORE</v>
      </c>
      <c r="B160" s="784" t="s">
        <v>1211</v>
      </c>
      <c r="C160" s="723" t="s">
        <v>1125</v>
      </c>
      <c r="D160" s="711"/>
      <c r="E160" s="711"/>
      <c r="F160" s="711"/>
      <c r="G160" s="711"/>
      <c r="H160" s="711"/>
      <c r="I160" s="773"/>
      <c r="J160" s="711" t="s">
        <v>1125</v>
      </c>
    </row>
    <row r="161" spans="1:10" ht="13.8">
      <c r="A161" s="774" t="str">
        <f t="shared" si="2"/>
        <v>ETS P.A LE VERGER</v>
      </c>
      <c r="B161" s="784" t="s">
        <v>1211</v>
      </c>
      <c r="C161" s="728" t="s">
        <v>472</v>
      </c>
      <c r="D161" s="711"/>
      <c r="E161" s="711"/>
      <c r="F161" s="711"/>
      <c r="G161" s="711"/>
      <c r="H161" s="711"/>
      <c r="I161" s="773"/>
      <c r="J161" s="711" t="s">
        <v>472</v>
      </c>
    </row>
    <row r="162" spans="1:10" ht="13.8">
      <c r="A162" s="774" t="str">
        <f t="shared" si="2"/>
        <v>ETS P.TERRAL-MONTEIRO DECORATION</v>
      </c>
      <c r="B162" s="784" t="s">
        <v>1211</v>
      </c>
      <c r="C162" s="737" t="s">
        <v>992</v>
      </c>
      <c r="D162" s="711"/>
      <c r="E162" s="711"/>
      <c r="F162" s="711"/>
      <c r="G162" s="711"/>
      <c r="H162" s="711"/>
      <c r="I162" s="773"/>
      <c r="J162" s="711" t="s">
        <v>992</v>
      </c>
    </row>
    <row r="163" spans="1:10" ht="13.8">
      <c r="A163" s="774" t="str">
        <f t="shared" si="2"/>
        <v>ETS PATRICK POSE</v>
      </c>
      <c r="B163" s="784" t="s">
        <v>1211</v>
      </c>
      <c r="C163" s="743" t="s">
        <v>111</v>
      </c>
      <c r="D163" s="711"/>
      <c r="E163" s="711"/>
      <c r="F163" s="711"/>
      <c r="G163" s="711"/>
      <c r="H163" s="711"/>
      <c r="I163" s="773"/>
      <c r="J163" s="711" t="s">
        <v>111</v>
      </c>
    </row>
    <row r="164" spans="1:10" ht="13.8">
      <c r="A164" s="774" t="str">
        <f t="shared" si="2"/>
        <v>ETS PERES GERARD - TERRES DE FENETRES</v>
      </c>
      <c r="B164" s="784" t="s">
        <v>1211</v>
      </c>
      <c r="C164" s="763" t="s">
        <v>1168</v>
      </c>
      <c r="D164" s="711"/>
      <c r="E164" s="711"/>
      <c r="F164" s="711"/>
      <c r="G164" s="711"/>
      <c r="H164" s="711"/>
      <c r="I164" s="773"/>
      <c r="J164" s="711" t="s">
        <v>1168</v>
      </c>
    </row>
    <row r="165" spans="1:10" ht="13.8">
      <c r="A165" s="774" t="str">
        <f t="shared" si="2"/>
        <v>ETS PHOENIX</v>
      </c>
      <c r="B165" s="784" t="s">
        <v>1211</v>
      </c>
      <c r="C165" s="733" t="s">
        <v>904</v>
      </c>
      <c r="D165" s="711"/>
      <c r="E165" s="711"/>
      <c r="F165" s="711"/>
      <c r="G165" s="711"/>
      <c r="H165" s="711"/>
      <c r="I165" s="773"/>
      <c r="J165" s="711" t="s">
        <v>904</v>
      </c>
    </row>
    <row r="166" spans="1:10" ht="13.8">
      <c r="A166" s="774" t="str">
        <f t="shared" si="2"/>
        <v>ETS POSE MENUISERIE SERVICES</v>
      </c>
      <c r="B166" s="784" t="s">
        <v>1211</v>
      </c>
      <c r="C166" s="720" t="s">
        <v>647</v>
      </c>
      <c r="D166" s="711"/>
      <c r="E166" s="711"/>
      <c r="F166" s="711"/>
      <c r="G166" s="711"/>
      <c r="H166" s="711"/>
      <c r="I166" s="773"/>
      <c r="J166" s="711" t="s">
        <v>647</v>
      </c>
    </row>
    <row r="167" spans="1:10" ht="13.8">
      <c r="A167" s="774" t="str">
        <f t="shared" si="2"/>
        <v>ETS PRODUCCIONES MITJAVILA SA</v>
      </c>
      <c r="B167" s="784" t="s">
        <v>1211</v>
      </c>
      <c r="C167" s="720" t="s">
        <v>611</v>
      </c>
      <c r="D167" s="711"/>
      <c r="E167" s="711"/>
      <c r="F167" s="711"/>
      <c r="G167" s="711"/>
      <c r="H167" s="711"/>
      <c r="I167" s="773"/>
      <c r="J167" s="711" t="s">
        <v>611</v>
      </c>
    </row>
    <row r="168" spans="1:10" ht="13.8">
      <c r="A168" s="774" t="str">
        <f t="shared" si="2"/>
        <v>ETS PROPLANA AG</v>
      </c>
      <c r="B168" s="784" t="s">
        <v>1211</v>
      </c>
      <c r="C168" s="724" t="s">
        <v>1102</v>
      </c>
      <c r="D168" s="711"/>
      <c r="E168" s="711"/>
      <c r="F168" s="711"/>
      <c r="G168" s="711"/>
      <c r="H168" s="711"/>
      <c r="I168" s="773"/>
      <c r="J168" s="711" t="s">
        <v>1102</v>
      </c>
    </row>
    <row r="169" spans="1:10" ht="13.8">
      <c r="A169" s="774" t="str">
        <f t="shared" si="2"/>
        <v>ETS PROTEC FILMS-SOLUTIONS SOLAIRE</v>
      </c>
      <c r="B169" s="784" t="s">
        <v>1211</v>
      </c>
      <c r="C169" s="764" t="s">
        <v>128</v>
      </c>
      <c r="D169" s="711"/>
      <c r="E169" s="711"/>
      <c r="F169" s="711"/>
      <c r="G169" s="711"/>
      <c r="H169" s="711"/>
      <c r="I169" s="773"/>
      <c r="J169" s="711" t="s">
        <v>128</v>
      </c>
    </row>
    <row r="170" spans="1:10" ht="13.8">
      <c r="A170" s="774" t="str">
        <f t="shared" si="2"/>
        <v>ETS PROTECT ALU - NPU</v>
      </c>
      <c r="B170" s="784" t="s">
        <v>1211</v>
      </c>
      <c r="C170" s="719" t="s">
        <v>370</v>
      </c>
      <c r="D170" s="711"/>
      <c r="E170" s="711"/>
      <c r="F170" s="711"/>
      <c r="G170" s="711"/>
      <c r="H170" s="711"/>
      <c r="I170" s="773"/>
      <c r="J170" s="711" t="s">
        <v>370</v>
      </c>
    </row>
    <row r="171" spans="1:10" ht="13.8">
      <c r="A171" s="774" t="str">
        <f t="shared" si="2"/>
        <v>ETS RABY BENOIT</v>
      </c>
      <c r="B171" s="784" t="s">
        <v>1211</v>
      </c>
      <c r="C171" s="744" t="s">
        <v>390</v>
      </c>
      <c r="D171" s="711"/>
      <c r="E171" s="711"/>
      <c r="F171" s="711"/>
      <c r="G171" s="711"/>
      <c r="H171" s="711"/>
      <c r="I171" s="773"/>
      <c r="J171" s="711" t="s">
        <v>390</v>
      </c>
    </row>
    <row r="172" spans="1:10" ht="13.8">
      <c r="A172" s="774" t="str">
        <f t="shared" si="2"/>
        <v>ETS RAPHAEL PEINTURE</v>
      </c>
      <c r="B172" s="784" t="s">
        <v>1211</v>
      </c>
      <c r="C172" s="718" t="s">
        <v>102</v>
      </c>
      <c r="D172" s="711"/>
      <c r="E172" s="711"/>
      <c r="F172" s="711"/>
      <c r="G172" s="711"/>
      <c r="H172" s="711"/>
      <c r="I172" s="773"/>
      <c r="J172" s="711" t="s">
        <v>102</v>
      </c>
    </row>
    <row r="173" spans="1:10" ht="13.8">
      <c r="A173" s="774" t="str">
        <f t="shared" si="2"/>
        <v>ETS RAYMOND COMMUNICATION</v>
      </c>
      <c r="B173" s="784" t="s">
        <v>1211</v>
      </c>
      <c r="C173" s="728" t="s">
        <v>457</v>
      </c>
      <c r="D173" s="711"/>
      <c r="E173" s="711"/>
      <c r="F173" s="711"/>
      <c r="G173" s="711"/>
      <c r="H173" s="711"/>
      <c r="I173" s="773"/>
      <c r="J173" s="711" t="s">
        <v>457</v>
      </c>
    </row>
    <row r="174" spans="1:10" ht="13.8">
      <c r="A174" s="774" t="str">
        <f t="shared" si="2"/>
        <v>ETS RESMINI STORES</v>
      </c>
      <c r="B174" s="784" t="s">
        <v>1211</v>
      </c>
      <c r="C174" s="750" t="s">
        <v>890</v>
      </c>
      <c r="D174" s="711"/>
      <c r="E174" s="711"/>
      <c r="F174" s="711"/>
      <c r="G174" s="711"/>
      <c r="H174" s="711"/>
      <c r="I174" s="773"/>
      <c r="J174" s="711" t="s">
        <v>890</v>
      </c>
    </row>
    <row r="175" spans="1:10" ht="13.8">
      <c r="A175" s="774" t="str">
        <f t="shared" si="2"/>
        <v>ETS RESTAURANT LE SAPHIR</v>
      </c>
      <c r="B175" s="784" t="s">
        <v>1211</v>
      </c>
      <c r="C175" s="724" t="s">
        <v>1046</v>
      </c>
      <c r="D175" s="711"/>
      <c r="E175" s="711"/>
      <c r="F175" s="711"/>
      <c r="G175" s="711"/>
      <c r="H175" s="711"/>
      <c r="I175" s="773"/>
      <c r="J175" s="711" t="s">
        <v>1046</v>
      </c>
    </row>
    <row r="176" spans="1:10" ht="13.8">
      <c r="A176" s="774" t="str">
        <f t="shared" si="2"/>
        <v>ETS REY STORES</v>
      </c>
      <c r="B176" s="784" t="s">
        <v>1211</v>
      </c>
      <c r="C176" s="733" t="s">
        <v>946</v>
      </c>
      <c r="D176" s="711"/>
      <c r="E176" s="711"/>
      <c r="F176" s="711"/>
      <c r="G176" s="711"/>
      <c r="H176" s="711"/>
      <c r="I176" s="773"/>
      <c r="J176" s="711" t="s">
        <v>946</v>
      </c>
    </row>
    <row r="177" spans="1:10" ht="13.8">
      <c r="A177" s="774" t="str">
        <f t="shared" si="2"/>
        <v>ETS RICHARD FILS</v>
      </c>
      <c r="B177" s="784" t="s">
        <v>1211</v>
      </c>
      <c r="C177" s="747" t="s">
        <v>718</v>
      </c>
      <c r="D177" s="711"/>
      <c r="E177" s="711"/>
      <c r="F177" s="711"/>
      <c r="G177" s="711"/>
      <c r="H177" s="711"/>
      <c r="I177" s="773"/>
      <c r="J177" s="711" t="s">
        <v>718</v>
      </c>
    </row>
    <row r="178" spans="1:10" ht="13.8">
      <c r="A178" s="774" t="str">
        <f t="shared" si="2"/>
        <v>ETS RICHARD MALAVAL</v>
      </c>
      <c r="B178" s="784" t="s">
        <v>1211</v>
      </c>
      <c r="C178" s="737" t="s">
        <v>1005</v>
      </c>
      <c r="D178" s="711"/>
      <c r="E178" s="711"/>
      <c r="F178" s="711"/>
      <c r="G178" s="711"/>
      <c r="H178" s="711"/>
      <c r="I178" s="773"/>
      <c r="J178" s="711" t="s">
        <v>1005</v>
      </c>
    </row>
    <row r="179" spans="1:10" ht="13.8">
      <c r="A179" s="774" t="str">
        <f t="shared" si="2"/>
        <v>ETS ROCHETTE ALAIN</v>
      </c>
      <c r="B179" s="784" t="s">
        <v>1211</v>
      </c>
      <c r="C179" s="724" t="s">
        <v>1075</v>
      </c>
      <c r="D179" s="711"/>
      <c r="E179" s="711"/>
      <c r="F179" s="711"/>
      <c r="G179" s="711"/>
      <c r="H179" s="711"/>
      <c r="I179" s="773"/>
      <c r="J179" s="711" t="s">
        <v>1075</v>
      </c>
    </row>
    <row r="180" spans="1:10" ht="13.8">
      <c r="A180" s="774" t="str">
        <f t="shared" si="2"/>
        <v>ETS ROUX ET DENEGRE - STORE SUD</v>
      </c>
      <c r="B180" s="784" t="s">
        <v>1211</v>
      </c>
      <c r="C180" s="765" t="s">
        <v>655</v>
      </c>
      <c r="D180" s="711"/>
      <c r="E180" s="711"/>
      <c r="F180" s="711"/>
      <c r="G180" s="711"/>
      <c r="H180" s="711"/>
      <c r="I180" s="773"/>
      <c r="J180" s="711" t="s">
        <v>655</v>
      </c>
    </row>
    <row r="181" spans="1:10" ht="13.8">
      <c r="A181" s="774" t="str">
        <f t="shared" si="2"/>
        <v>ETS ROUX FILS SARL</v>
      </c>
      <c r="B181" s="784" t="s">
        <v>1211</v>
      </c>
      <c r="C181" s="766" t="s">
        <v>116</v>
      </c>
      <c r="D181" s="711"/>
      <c r="E181" s="711"/>
      <c r="F181" s="711"/>
      <c r="G181" s="711"/>
      <c r="H181" s="711"/>
      <c r="I181" s="773"/>
      <c r="J181" s="711" t="s">
        <v>116</v>
      </c>
    </row>
    <row r="182" spans="1:10" ht="13.8">
      <c r="A182" s="774" t="str">
        <f t="shared" si="2"/>
        <v>ETS RV STORES</v>
      </c>
      <c r="B182" s="784" t="s">
        <v>1211</v>
      </c>
      <c r="C182" s="740" t="s">
        <v>216</v>
      </c>
      <c r="D182" s="711"/>
      <c r="E182" s="711"/>
      <c r="F182" s="711"/>
      <c r="G182" s="711"/>
      <c r="H182" s="711"/>
      <c r="I182" s="773"/>
      <c r="J182" s="711" t="s">
        <v>216</v>
      </c>
    </row>
    <row r="183" spans="1:10" ht="13.8">
      <c r="A183" s="774" t="str">
        <f t="shared" si="2"/>
        <v>ETS S T I</v>
      </c>
      <c r="B183" s="784" t="s">
        <v>1211</v>
      </c>
      <c r="C183" s="723" t="s">
        <v>124</v>
      </c>
      <c r="D183" s="711"/>
      <c r="E183" s="711"/>
      <c r="F183" s="711"/>
      <c r="G183" s="711"/>
      <c r="H183" s="711"/>
      <c r="I183" s="773"/>
      <c r="J183" s="711" t="s">
        <v>124</v>
      </c>
    </row>
    <row r="184" spans="1:10" ht="13.8">
      <c r="A184" s="774" t="str">
        <f t="shared" si="2"/>
        <v>ETS S.A.R.L  FENETRE IMAGINE</v>
      </c>
      <c r="B184" s="784" t="s">
        <v>1211</v>
      </c>
      <c r="C184" s="728" t="s">
        <v>468</v>
      </c>
      <c r="D184" s="711"/>
      <c r="E184" s="711"/>
      <c r="F184" s="711"/>
      <c r="G184" s="711"/>
      <c r="H184" s="711"/>
      <c r="I184" s="773"/>
      <c r="J184" s="711" t="s">
        <v>468</v>
      </c>
    </row>
    <row r="185" spans="1:10" ht="13.8">
      <c r="A185" s="774" t="str">
        <f t="shared" si="2"/>
        <v>ETS S.B.I</v>
      </c>
      <c r="B185" s="784" t="s">
        <v>1211</v>
      </c>
      <c r="C185" s="724" t="s">
        <v>1049</v>
      </c>
      <c r="D185" s="711"/>
      <c r="E185" s="711"/>
      <c r="F185" s="711"/>
      <c r="G185" s="711"/>
      <c r="H185" s="711"/>
      <c r="I185" s="773"/>
      <c r="J185" s="711" t="s">
        <v>1049</v>
      </c>
    </row>
    <row r="186" spans="1:10" ht="13.8">
      <c r="A186" s="774" t="str">
        <f t="shared" si="2"/>
        <v>ETS SACHETTI</v>
      </c>
      <c r="B186" s="784" t="s">
        <v>1211</v>
      </c>
      <c r="C186" s="762" t="s">
        <v>475</v>
      </c>
      <c r="D186" s="711"/>
      <c r="E186" s="711"/>
      <c r="F186" s="711"/>
      <c r="G186" s="711"/>
      <c r="H186" s="711"/>
      <c r="I186" s="773"/>
      <c r="J186" s="711" t="s">
        <v>475</v>
      </c>
    </row>
    <row r="187" spans="1:10" ht="13.8">
      <c r="A187" s="774" t="str">
        <f t="shared" si="2"/>
        <v>ETS SALVADOR SERGE</v>
      </c>
      <c r="B187" s="784" t="s">
        <v>1211</v>
      </c>
      <c r="C187" s="728" t="s">
        <v>470</v>
      </c>
      <c r="D187" s="711"/>
      <c r="E187" s="711"/>
      <c r="F187" s="711"/>
      <c r="G187" s="711"/>
      <c r="H187" s="711"/>
      <c r="I187" s="773"/>
      <c r="J187" s="711" t="s">
        <v>470</v>
      </c>
    </row>
    <row r="188" spans="1:10" ht="13.8">
      <c r="A188" s="774" t="str">
        <f t="shared" si="2"/>
        <v>ETS SARL AZURENOV 31</v>
      </c>
      <c r="B188" s="784" t="s">
        <v>1211</v>
      </c>
      <c r="C188" s="724" t="s">
        <v>765</v>
      </c>
      <c r="D188" s="711"/>
      <c r="E188" s="711"/>
      <c r="F188" s="711"/>
      <c r="G188" s="711"/>
      <c r="H188" s="711"/>
      <c r="I188" s="773"/>
      <c r="J188" s="711" t="s">
        <v>765</v>
      </c>
    </row>
    <row r="189" spans="1:10" ht="13.8">
      <c r="A189" s="774" t="str">
        <f t="shared" si="2"/>
        <v>ETS SARL BRAGA ET FILS</v>
      </c>
      <c r="B189" s="784" t="s">
        <v>1211</v>
      </c>
      <c r="C189" s="737" t="s">
        <v>996</v>
      </c>
      <c r="D189" s="711"/>
      <c r="E189" s="711"/>
      <c r="F189" s="711"/>
      <c r="G189" s="711"/>
      <c r="H189" s="711"/>
      <c r="I189" s="773"/>
      <c r="J189" s="711" t="s">
        <v>996</v>
      </c>
    </row>
    <row r="190" spans="1:10" ht="13.8">
      <c r="A190" s="774" t="str">
        <f t="shared" si="2"/>
        <v>ETS SARL EURO STORES</v>
      </c>
      <c r="B190" s="784" t="s">
        <v>1211</v>
      </c>
      <c r="C190" s="720" t="s">
        <v>693</v>
      </c>
      <c r="D190" s="711"/>
      <c r="E190" s="711"/>
      <c r="F190" s="711"/>
      <c r="G190" s="711"/>
      <c r="H190" s="711"/>
      <c r="I190" s="773"/>
      <c r="J190" s="711" t="s">
        <v>693</v>
      </c>
    </row>
    <row r="191" spans="1:10" ht="13.8">
      <c r="A191" s="774" t="str">
        <f t="shared" si="2"/>
        <v>ETS SARL ISOLAIRE AND CO</v>
      </c>
      <c r="B191" s="784" t="s">
        <v>1211</v>
      </c>
      <c r="C191" s="720" t="s">
        <v>662</v>
      </c>
      <c r="D191" s="711"/>
      <c r="E191" s="711"/>
      <c r="F191" s="711"/>
      <c r="G191" s="711"/>
      <c r="H191" s="711"/>
      <c r="I191" s="773"/>
      <c r="J191" s="711" t="s">
        <v>662</v>
      </c>
    </row>
    <row r="192" spans="1:10" ht="13.8">
      <c r="A192" s="774" t="str">
        <f t="shared" si="2"/>
        <v>ETS SARL SOCIETE NOUVELLE SMVF</v>
      </c>
      <c r="B192" s="784" t="s">
        <v>1211</v>
      </c>
      <c r="C192" s="767" t="s">
        <v>396</v>
      </c>
      <c r="D192" s="711"/>
      <c r="E192" s="711"/>
      <c r="F192" s="711"/>
      <c r="G192" s="711"/>
      <c r="H192" s="711"/>
      <c r="I192" s="773"/>
      <c r="J192" s="711" t="s">
        <v>396</v>
      </c>
    </row>
    <row r="193" spans="1:10" ht="13.8">
      <c r="A193" s="774" t="str">
        <f t="shared" si="2"/>
        <v>ETS SBSF MORELLINI</v>
      </c>
      <c r="B193" s="784" t="s">
        <v>1211</v>
      </c>
      <c r="C193" s="768" t="s">
        <v>121</v>
      </c>
      <c r="D193" s="711"/>
      <c r="E193" s="711"/>
      <c r="F193" s="711"/>
      <c r="G193" s="711"/>
      <c r="H193" s="711"/>
      <c r="I193" s="773"/>
      <c r="J193" s="711" t="s">
        <v>121</v>
      </c>
    </row>
    <row r="194" spans="1:10" ht="13.8">
      <c r="A194" s="774" t="str">
        <f t="shared" si="2"/>
        <v>ETS SCAFAD</v>
      </c>
      <c r="B194" s="784" t="s">
        <v>1211</v>
      </c>
      <c r="C194" s="723" t="s">
        <v>1114</v>
      </c>
      <c r="D194" s="711"/>
      <c r="E194" s="711"/>
      <c r="F194" s="711"/>
      <c r="G194" s="711"/>
      <c r="H194" s="711"/>
      <c r="I194" s="773"/>
      <c r="J194" s="711" t="s">
        <v>1114</v>
      </c>
    </row>
    <row r="195" spans="1:10" ht="13.8">
      <c r="A195" s="774" t="str">
        <f t="shared" ref="A195:A235" si="3">CONCATENATE(B195," ",C195)</f>
        <v>ETS SELLERIE GALLEGO</v>
      </c>
      <c r="B195" s="784" t="s">
        <v>1211</v>
      </c>
      <c r="C195" s="742" t="s">
        <v>77</v>
      </c>
      <c r="D195" s="711"/>
      <c r="E195" s="711"/>
      <c r="F195" s="711"/>
      <c r="G195" s="711"/>
      <c r="H195" s="711"/>
      <c r="I195" s="773"/>
      <c r="J195" s="711" t="s">
        <v>77</v>
      </c>
    </row>
    <row r="196" spans="1:10" ht="13.8">
      <c r="A196" s="774" t="str">
        <f t="shared" si="3"/>
        <v>ETS SERRURERIE DULAUROY</v>
      </c>
      <c r="B196" s="784" t="s">
        <v>1211</v>
      </c>
      <c r="C196" s="742" t="s">
        <v>329</v>
      </c>
      <c r="D196" s="711"/>
      <c r="E196" s="711"/>
      <c r="F196" s="711"/>
      <c r="G196" s="711"/>
      <c r="H196" s="711"/>
      <c r="I196" s="773"/>
      <c r="J196" s="711" t="s">
        <v>329</v>
      </c>
    </row>
    <row r="197" spans="1:10" ht="13.8">
      <c r="A197" s="774" t="str">
        <f t="shared" si="3"/>
        <v>ETS SIAM</v>
      </c>
      <c r="B197" s="784" t="s">
        <v>1211</v>
      </c>
      <c r="C197" s="719" t="s">
        <v>838</v>
      </c>
      <c r="D197" s="711"/>
      <c r="E197" s="711"/>
      <c r="F197" s="711"/>
      <c r="G197" s="711"/>
      <c r="H197" s="711"/>
      <c r="I197" s="773"/>
      <c r="J197" s="711" t="s">
        <v>838</v>
      </c>
    </row>
    <row r="198" spans="1:10" ht="13.8">
      <c r="A198" s="774" t="str">
        <f t="shared" si="3"/>
        <v>ETS SICOBAL</v>
      </c>
      <c r="B198" s="784" t="s">
        <v>1211</v>
      </c>
      <c r="C198" s="729" t="s">
        <v>120</v>
      </c>
      <c r="D198" s="711"/>
      <c r="E198" s="711"/>
      <c r="F198" s="711"/>
      <c r="G198" s="711"/>
      <c r="H198" s="711"/>
      <c r="I198" s="773"/>
      <c r="J198" s="711" t="s">
        <v>120</v>
      </c>
    </row>
    <row r="199" spans="1:10" ht="13.8">
      <c r="A199" s="774" t="str">
        <f t="shared" si="3"/>
        <v>ETS SOCOTEX</v>
      </c>
      <c r="B199" s="784" t="s">
        <v>1211</v>
      </c>
      <c r="C199" s="719" t="s">
        <v>133</v>
      </c>
      <c r="D199" s="711"/>
      <c r="E199" s="711"/>
      <c r="F199" s="711"/>
      <c r="G199" s="711"/>
      <c r="H199" s="711"/>
      <c r="I199" s="773"/>
      <c r="J199" s="711" t="s">
        <v>133</v>
      </c>
    </row>
    <row r="200" spans="1:10" ht="13.8">
      <c r="A200" s="774" t="str">
        <f t="shared" si="3"/>
        <v>ETS SOLAR TECH</v>
      </c>
      <c r="B200" s="784" t="s">
        <v>1211</v>
      </c>
      <c r="C200" s="733" t="s">
        <v>938</v>
      </c>
      <c r="D200" s="711"/>
      <c r="E200" s="711"/>
      <c r="F200" s="711"/>
      <c r="G200" s="711"/>
      <c r="H200" s="711"/>
      <c r="I200" s="773"/>
      <c r="J200" s="711" t="s">
        <v>938</v>
      </c>
    </row>
    <row r="201" spans="1:10" ht="13.8">
      <c r="A201" s="774" t="str">
        <f t="shared" si="3"/>
        <v>ETS SPECIAL HABITAT</v>
      </c>
      <c r="B201" s="784" t="s">
        <v>1211</v>
      </c>
      <c r="C201" s="760" t="s">
        <v>502</v>
      </c>
      <c r="D201" s="711"/>
      <c r="E201" s="711"/>
      <c r="F201" s="711"/>
      <c r="G201" s="711"/>
      <c r="H201" s="711"/>
      <c r="I201" s="773"/>
      <c r="J201" s="711" t="s">
        <v>502</v>
      </c>
    </row>
    <row r="202" spans="1:10" ht="13.8">
      <c r="A202" s="774" t="str">
        <f t="shared" si="3"/>
        <v>ETS STE ATMD</v>
      </c>
      <c r="B202" s="784" t="s">
        <v>1211</v>
      </c>
      <c r="C202" s="718" t="s">
        <v>326</v>
      </c>
      <c r="D202" s="711"/>
      <c r="E202" s="711"/>
      <c r="F202" s="711"/>
      <c r="G202" s="711"/>
      <c r="H202" s="711"/>
      <c r="I202" s="773"/>
      <c r="J202" s="711" t="s">
        <v>326</v>
      </c>
    </row>
    <row r="203" spans="1:10" ht="13.8">
      <c r="A203" s="774" t="str">
        <f t="shared" si="3"/>
        <v>ETS STE BROCH</v>
      </c>
      <c r="B203" s="784" t="s">
        <v>1211</v>
      </c>
      <c r="C203" s="723" t="s">
        <v>1166</v>
      </c>
      <c r="D203" s="711"/>
      <c r="E203" s="711"/>
      <c r="F203" s="711"/>
      <c r="G203" s="711"/>
      <c r="H203" s="711"/>
      <c r="I203" s="773"/>
      <c r="J203" s="711" t="s">
        <v>1166</v>
      </c>
    </row>
    <row r="204" spans="1:10" ht="13.8">
      <c r="A204" s="774" t="str">
        <f t="shared" si="3"/>
        <v>ETS STORE NANTAIS</v>
      </c>
      <c r="B204" s="784" t="s">
        <v>1211</v>
      </c>
      <c r="C204" s="730" t="s">
        <v>420</v>
      </c>
      <c r="D204" s="711"/>
      <c r="E204" s="711"/>
      <c r="F204" s="711"/>
      <c r="G204" s="711"/>
      <c r="H204" s="711"/>
      <c r="I204" s="773"/>
      <c r="J204" s="711" t="s">
        <v>420</v>
      </c>
    </row>
    <row r="205" spans="1:10" ht="13.8">
      <c r="A205" s="774" t="str">
        <f t="shared" si="3"/>
        <v>ETS STORES 82</v>
      </c>
      <c r="B205" s="784" t="s">
        <v>1211</v>
      </c>
      <c r="C205" s="731" t="s">
        <v>357</v>
      </c>
      <c r="D205" s="711"/>
      <c r="E205" s="711"/>
      <c r="F205" s="711"/>
      <c r="G205" s="711"/>
      <c r="H205" s="711"/>
      <c r="I205" s="773"/>
      <c r="J205" s="711" t="s">
        <v>357</v>
      </c>
    </row>
    <row r="206" spans="1:10" ht="13.8">
      <c r="A206" s="774" t="str">
        <f t="shared" si="3"/>
        <v>ETS STORES ALPAGO</v>
      </c>
      <c r="B206" s="784" t="s">
        <v>1211</v>
      </c>
      <c r="C206" s="769" t="s">
        <v>98</v>
      </c>
      <c r="D206" s="711"/>
      <c r="E206" s="711"/>
      <c r="F206" s="711"/>
      <c r="G206" s="711"/>
      <c r="H206" s="711"/>
      <c r="I206" s="773"/>
      <c r="J206" s="711" t="s">
        <v>98</v>
      </c>
    </row>
    <row r="207" spans="1:10" ht="13.8">
      <c r="A207" s="774" t="str">
        <f t="shared" si="3"/>
        <v>ETS STORES COLLON</v>
      </c>
      <c r="B207" s="784" t="s">
        <v>1211</v>
      </c>
      <c r="C207" s="719" t="s">
        <v>87</v>
      </c>
      <c r="D207" s="711"/>
      <c r="E207" s="711"/>
      <c r="F207" s="711"/>
      <c r="G207" s="711"/>
      <c r="H207" s="711"/>
      <c r="I207" s="773"/>
      <c r="J207" s="711" t="s">
        <v>87</v>
      </c>
    </row>
    <row r="208" spans="1:10" ht="13.8">
      <c r="A208" s="774" t="str">
        <f t="shared" si="3"/>
        <v>ETS STORES DE CHARTREUSE</v>
      </c>
      <c r="B208" s="784" t="s">
        <v>1211</v>
      </c>
      <c r="C208" s="749" t="s">
        <v>715</v>
      </c>
      <c r="D208" s="711"/>
      <c r="E208" s="711"/>
      <c r="F208" s="711"/>
      <c r="G208" s="711"/>
      <c r="H208" s="711"/>
      <c r="I208" s="773"/>
      <c r="J208" s="711" t="s">
        <v>715</v>
      </c>
    </row>
    <row r="209" spans="1:10" ht="13.8">
      <c r="A209" s="774" t="str">
        <f t="shared" si="3"/>
        <v>ETS STORES DES COSTIERES</v>
      </c>
      <c r="B209" s="784" t="s">
        <v>1211</v>
      </c>
      <c r="C209" s="748" t="s">
        <v>514</v>
      </c>
      <c r="D209" s="711"/>
      <c r="E209" s="711"/>
      <c r="F209" s="711"/>
      <c r="G209" s="711"/>
      <c r="H209" s="711"/>
      <c r="I209" s="773"/>
      <c r="J209" s="711" t="s">
        <v>514</v>
      </c>
    </row>
    <row r="210" spans="1:10" ht="13.8">
      <c r="A210" s="774" t="str">
        <f t="shared" si="3"/>
        <v>ETS STORES DUBILLON</v>
      </c>
      <c r="B210" s="784" t="s">
        <v>1211</v>
      </c>
      <c r="C210" s="720" t="s">
        <v>679</v>
      </c>
      <c r="D210" s="711"/>
      <c r="E210" s="711"/>
      <c r="F210" s="711"/>
      <c r="G210" s="711"/>
      <c r="H210" s="711"/>
      <c r="I210" s="773"/>
      <c r="J210" s="711" t="s">
        <v>679</v>
      </c>
    </row>
    <row r="211" spans="1:10" ht="13.8">
      <c r="A211" s="774" t="str">
        <f t="shared" si="3"/>
        <v>ETS STORES ET JARDIN</v>
      </c>
      <c r="B211" s="784" t="s">
        <v>1211</v>
      </c>
      <c r="C211" s="733" t="s">
        <v>641</v>
      </c>
      <c r="D211" s="711"/>
      <c r="E211" s="711"/>
      <c r="F211" s="711"/>
      <c r="G211" s="711"/>
      <c r="H211" s="711"/>
      <c r="I211" s="773"/>
      <c r="J211" s="711" t="s">
        <v>641</v>
      </c>
    </row>
    <row r="212" spans="1:10" ht="13.8">
      <c r="A212" s="774" t="str">
        <f t="shared" si="3"/>
        <v>ETS STORES ETOILE/MR STORE</v>
      </c>
      <c r="B212" s="784" t="s">
        <v>1211</v>
      </c>
      <c r="C212" s="723" t="s">
        <v>1127</v>
      </c>
      <c r="D212" s="711"/>
      <c r="E212" s="711"/>
      <c r="F212" s="711"/>
      <c r="G212" s="711"/>
      <c r="H212" s="711"/>
      <c r="I212" s="773"/>
      <c r="J212" s="711" t="s">
        <v>1127</v>
      </c>
    </row>
    <row r="213" spans="1:10" ht="13.8">
      <c r="A213" s="774" t="str">
        <f t="shared" si="3"/>
        <v>ETS STORES ROBERT HERAUT EST</v>
      </c>
      <c r="B213" s="784" t="s">
        <v>1211</v>
      </c>
      <c r="C213" s="734" t="s">
        <v>740</v>
      </c>
      <c r="D213" s="711"/>
      <c r="E213" s="711"/>
      <c r="F213" s="711"/>
      <c r="G213" s="711"/>
      <c r="H213" s="711"/>
      <c r="I213" s="773"/>
      <c r="J213" s="711" t="s">
        <v>740</v>
      </c>
    </row>
    <row r="214" spans="1:10" ht="13.8">
      <c r="A214" s="774" t="str">
        <f t="shared" si="3"/>
        <v>ETS STORES SERVICES ET DECO</v>
      </c>
      <c r="B214" s="784" t="s">
        <v>1211</v>
      </c>
      <c r="C214" s="718" t="s">
        <v>113</v>
      </c>
      <c r="D214" s="711"/>
      <c r="E214" s="711"/>
      <c r="F214" s="711"/>
      <c r="G214" s="711"/>
      <c r="H214" s="711"/>
      <c r="I214" s="773"/>
      <c r="J214" s="711" t="s">
        <v>113</v>
      </c>
    </row>
    <row r="215" spans="1:10" ht="13.8">
      <c r="A215" s="774" t="str">
        <f t="shared" si="3"/>
        <v>ETS STORES SUD</v>
      </c>
      <c r="B215" s="784" t="s">
        <v>1211</v>
      </c>
      <c r="C215" s="723" t="s">
        <v>135</v>
      </c>
      <c r="D215" s="711"/>
      <c r="E215" s="711"/>
      <c r="F215" s="711"/>
      <c r="G215" s="711"/>
      <c r="H215" s="711"/>
      <c r="I215" s="773"/>
      <c r="J215" s="711" t="s">
        <v>135</v>
      </c>
    </row>
    <row r="216" spans="1:10" ht="13.8">
      <c r="A216" s="774" t="str">
        <f t="shared" si="3"/>
        <v>ETS STYLE DECOR SIGNATURE</v>
      </c>
      <c r="B216" s="784" t="s">
        <v>1211</v>
      </c>
      <c r="C216" s="750" t="s">
        <v>884</v>
      </c>
      <c r="D216" s="711"/>
      <c r="E216" s="711"/>
      <c r="F216" s="711"/>
      <c r="G216" s="711"/>
      <c r="H216" s="711"/>
      <c r="I216" s="773"/>
      <c r="J216" s="711" t="s">
        <v>884</v>
      </c>
    </row>
    <row r="217" spans="1:10" ht="13.8">
      <c r="A217" s="774" t="str">
        <f t="shared" si="3"/>
        <v>ETS SUNBLOCK B.V</v>
      </c>
      <c r="B217" s="784" t="s">
        <v>1211</v>
      </c>
      <c r="C217" s="730" t="s">
        <v>52</v>
      </c>
      <c r="D217" s="711"/>
      <c r="E217" s="711"/>
      <c r="F217" s="711"/>
      <c r="G217" s="711"/>
      <c r="H217" s="711"/>
      <c r="I217" s="773"/>
      <c r="J217" s="711" t="s">
        <v>52</v>
      </c>
    </row>
    <row r="218" spans="1:10" ht="13.8">
      <c r="A218" s="774" t="str">
        <f t="shared" si="3"/>
        <v>ETS SUNNY STORE</v>
      </c>
      <c r="B218" s="784" t="s">
        <v>1211</v>
      </c>
      <c r="C218" s="723" t="s">
        <v>1116</v>
      </c>
      <c r="D218" s="711"/>
      <c r="E218" s="711"/>
      <c r="F218" s="711"/>
      <c r="G218" s="711"/>
      <c r="H218" s="711"/>
      <c r="I218" s="773"/>
      <c r="J218" s="711" t="s">
        <v>1116</v>
      </c>
    </row>
    <row r="219" spans="1:10" ht="13.8">
      <c r="A219" s="774" t="str">
        <f t="shared" si="3"/>
        <v>ETS SUQUET</v>
      </c>
      <c r="B219" s="784" t="s">
        <v>1211</v>
      </c>
      <c r="C219" s="736" t="s">
        <v>783</v>
      </c>
      <c r="D219" s="711"/>
      <c r="E219" s="711"/>
      <c r="F219" s="711"/>
      <c r="G219" s="711"/>
      <c r="H219" s="711"/>
      <c r="I219" s="773"/>
      <c r="J219" s="711" t="s">
        <v>783</v>
      </c>
    </row>
    <row r="220" spans="1:10" ht="13.8">
      <c r="A220" s="774" t="str">
        <f t="shared" si="3"/>
        <v>ETS SV PRODUCTION</v>
      </c>
      <c r="B220" s="784" t="s">
        <v>1211</v>
      </c>
      <c r="C220" s="726" t="s">
        <v>815</v>
      </c>
      <c r="D220" s="711"/>
      <c r="E220" s="711"/>
      <c r="F220" s="711"/>
      <c r="G220" s="711"/>
      <c r="H220" s="711"/>
      <c r="I220" s="773"/>
      <c r="J220" s="711" t="s">
        <v>815</v>
      </c>
    </row>
    <row r="221" spans="1:10" ht="13.8">
      <c r="A221" s="774" t="str">
        <f t="shared" si="3"/>
        <v>ETS TCVA</v>
      </c>
      <c r="B221" s="784" t="s">
        <v>1211</v>
      </c>
      <c r="C221" s="717" t="s">
        <v>545</v>
      </c>
      <c r="D221" s="711"/>
      <c r="E221" s="711"/>
      <c r="F221" s="711"/>
      <c r="G221" s="711"/>
      <c r="H221" s="711"/>
      <c r="I221" s="773"/>
      <c r="J221" s="711" t="s">
        <v>545</v>
      </c>
    </row>
    <row r="222" spans="1:10" ht="13.8">
      <c r="A222" s="774" t="str">
        <f t="shared" si="3"/>
        <v>ETS TENTOEXPRESS</v>
      </c>
      <c r="B222" s="784" t="s">
        <v>1211</v>
      </c>
      <c r="C222" s="733" t="s">
        <v>951</v>
      </c>
      <c r="D222" s="711"/>
      <c r="E222" s="711"/>
      <c r="F222" s="711"/>
      <c r="G222" s="711"/>
      <c r="H222" s="711"/>
      <c r="I222" s="773"/>
      <c r="J222" s="711" t="s">
        <v>951</v>
      </c>
    </row>
    <row r="223" spans="1:10" ht="13.8">
      <c r="A223" s="774" t="str">
        <f t="shared" si="3"/>
        <v>ETS TOLDOS CANTABRIA</v>
      </c>
      <c r="B223" s="784" t="s">
        <v>1211</v>
      </c>
      <c r="C223" s="734" t="s">
        <v>709</v>
      </c>
      <c r="D223" s="711"/>
      <c r="E223" s="711"/>
      <c r="F223" s="711"/>
      <c r="G223" s="711"/>
      <c r="H223" s="711"/>
      <c r="I223" s="773"/>
      <c r="J223" s="711" t="s">
        <v>709</v>
      </c>
    </row>
    <row r="224" spans="1:10" ht="13.8">
      <c r="A224" s="774" t="str">
        <f t="shared" si="3"/>
        <v>ETS TOLDOS HUGUET</v>
      </c>
      <c r="B224" s="784" t="s">
        <v>1211</v>
      </c>
      <c r="C224" s="726" t="s">
        <v>829</v>
      </c>
      <c r="D224" s="711"/>
      <c r="E224" s="711"/>
      <c r="F224" s="711"/>
      <c r="G224" s="711"/>
      <c r="H224" s="711"/>
      <c r="I224" s="773"/>
      <c r="J224" s="711" t="s">
        <v>829</v>
      </c>
    </row>
    <row r="225" spans="1:10" ht="13.8">
      <c r="A225" s="774" t="str">
        <f t="shared" si="3"/>
        <v>ETS TOLDOS PINO</v>
      </c>
      <c r="B225" s="784" t="s">
        <v>1211</v>
      </c>
      <c r="C225" s="748" t="s">
        <v>541</v>
      </c>
      <c r="D225" s="711"/>
      <c r="E225" s="711"/>
      <c r="F225" s="711"/>
      <c r="G225" s="711"/>
      <c r="H225" s="711"/>
      <c r="I225" s="773"/>
      <c r="J225" s="711" t="s">
        <v>541</v>
      </c>
    </row>
    <row r="226" spans="1:10" ht="13.8">
      <c r="A226" s="774" t="str">
        <f t="shared" si="3"/>
        <v>SA TREBUCHON EQUIP'</v>
      </c>
      <c r="B226" s="785" t="s">
        <v>1212</v>
      </c>
      <c r="C226" s="733" t="s">
        <v>940</v>
      </c>
      <c r="D226" s="711"/>
      <c r="E226" s="711"/>
      <c r="F226" s="711"/>
      <c r="G226" s="711"/>
      <c r="H226" s="711"/>
      <c r="I226" s="773"/>
      <c r="J226" s="711" t="s">
        <v>940</v>
      </c>
    </row>
    <row r="227" spans="1:10" ht="13.8">
      <c r="A227" s="774" t="str">
        <f t="shared" si="3"/>
        <v>SA VERANDA AUTAA</v>
      </c>
      <c r="B227" s="785" t="s">
        <v>1212</v>
      </c>
      <c r="C227" s="719" t="s">
        <v>637</v>
      </c>
      <c r="D227" s="711"/>
      <c r="E227" s="711"/>
      <c r="F227" s="711"/>
      <c r="G227" s="711"/>
      <c r="H227" s="711"/>
      <c r="I227" s="773"/>
      <c r="J227" s="711" t="s">
        <v>637</v>
      </c>
    </row>
    <row r="228" spans="1:10" ht="13.8">
      <c r="A228" s="774" t="str">
        <f t="shared" si="3"/>
        <v>SA VERANDALUX</v>
      </c>
      <c r="B228" s="785" t="s">
        <v>1212</v>
      </c>
      <c r="C228" s="770" t="s">
        <v>94</v>
      </c>
      <c r="D228" s="711"/>
      <c r="E228" s="711"/>
      <c r="F228" s="711"/>
      <c r="G228" s="711"/>
      <c r="H228" s="711"/>
      <c r="I228" s="773"/>
      <c r="J228" s="711" t="s">
        <v>94</v>
      </c>
    </row>
    <row r="229" spans="1:10" ht="13.8">
      <c r="A229" s="774" t="str">
        <f t="shared" si="3"/>
        <v>SA VERCASSON CHRISTIAN</v>
      </c>
      <c r="B229" s="785" t="s">
        <v>1212</v>
      </c>
      <c r="C229" s="771" t="s">
        <v>684</v>
      </c>
      <c r="D229" s="711"/>
      <c r="E229" s="711"/>
      <c r="F229" s="711"/>
      <c r="G229" s="711"/>
      <c r="H229" s="711"/>
      <c r="I229" s="773"/>
      <c r="J229" s="711" t="s">
        <v>684</v>
      </c>
    </row>
    <row r="230" spans="1:10" ht="13.8">
      <c r="A230" s="774" t="str">
        <f t="shared" si="3"/>
        <v>SA VERGARA LORENTE JAVIER</v>
      </c>
      <c r="B230" s="785" t="s">
        <v>1212</v>
      </c>
      <c r="C230" s="772" t="s">
        <v>556</v>
      </c>
      <c r="D230" s="711"/>
      <c r="E230" s="711"/>
      <c r="F230" s="711"/>
      <c r="G230" s="711"/>
      <c r="H230" s="711"/>
      <c r="I230" s="773"/>
      <c r="J230" s="711" t="s">
        <v>556</v>
      </c>
    </row>
    <row r="231" spans="1:10" ht="13.8">
      <c r="A231" s="774" t="str">
        <f t="shared" si="3"/>
        <v>SA VICTOR JEAN LUC</v>
      </c>
      <c r="B231" s="785" t="s">
        <v>1212</v>
      </c>
      <c r="C231" s="723" t="s">
        <v>1095</v>
      </c>
      <c r="D231" s="711"/>
      <c r="E231" s="711"/>
      <c r="F231" s="711"/>
      <c r="G231" s="711"/>
      <c r="H231" s="711"/>
      <c r="I231" s="773"/>
      <c r="J231" s="711" t="s">
        <v>1095</v>
      </c>
    </row>
    <row r="232" spans="1:10" ht="13.8">
      <c r="A232" s="774" t="str">
        <f t="shared" si="3"/>
        <v>SA VIVARENOV - M.NICOLAS PIERRARD</v>
      </c>
      <c r="B232" s="785" t="s">
        <v>1212</v>
      </c>
      <c r="C232" s="723" t="s">
        <v>1151</v>
      </c>
      <c r="D232" s="711"/>
      <c r="E232" s="711"/>
      <c r="F232" s="711"/>
      <c r="G232" s="711"/>
      <c r="H232" s="711"/>
      <c r="I232" s="773"/>
      <c r="J232" s="711" t="s">
        <v>1151</v>
      </c>
    </row>
    <row r="233" spans="1:10" ht="13.8">
      <c r="A233" s="774" t="str">
        <f t="shared" si="3"/>
        <v>SA VOILERIE BRESTOISE</v>
      </c>
      <c r="B233" s="785" t="s">
        <v>1212</v>
      </c>
      <c r="C233" s="767" t="s">
        <v>410</v>
      </c>
      <c r="D233" s="711"/>
      <c r="E233" s="711"/>
      <c r="F233" s="711"/>
      <c r="G233" s="711"/>
      <c r="H233" s="711"/>
      <c r="I233" s="773"/>
      <c r="J233" s="711" t="s">
        <v>410</v>
      </c>
    </row>
    <row r="234" spans="1:10" ht="13.8">
      <c r="A234" s="774" t="str">
        <f t="shared" si="3"/>
        <v>SA WALL CREATION SARL</v>
      </c>
      <c r="B234" s="785" t="s">
        <v>1212</v>
      </c>
      <c r="C234" s="772" t="s">
        <v>552</v>
      </c>
      <c r="D234" s="711"/>
      <c r="E234" s="711"/>
      <c r="F234" s="711"/>
      <c r="G234" s="711"/>
      <c r="H234" s="711"/>
      <c r="I234" s="773"/>
      <c r="J234" s="711" t="s">
        <v>552</v>
      </c>
    </row>
    <row r="235" spans="1:10" ht="13.8">
      <c r="A235" s="774" t="str">
        <f t="shared" si="3"/>
        <v>SA XL MARQUAGE</v>
      </c>
      <c r="B235" s="785" t="s">
        <v>1212</v>
      </c>
      <c r="C235" s="748" t="s">
        <v>529</v>
      </c>
      <c r="D235" s="711"/>
      <c r="E235" s="711"/>
      <c r="F235" s="711"/>
      <c r="G235" s="711"/>
      <c r="H235" s="711"/>
      <c r="I235" s="773"/>
      <c r="J235" s="711" t="s">
        <v>529</v>
      </c>
    </row>
  </sheetData>
  <sortState ref="A2:A302">
    <sortCondition ref="A1"/>
  </sortState>
  <phoneticPr fontId="175" type="noConversion"/>
  <pageMargins left="0.2" right="0.19" top="0.17" bottom="0.19" header="0.17" footer="0.18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I1"/>
  <sheetViews>
    <sheetView zoomScale="130" zoomScaleNormal="130" workbookViewId="0">
      <pane ySplit="1" topLeftCell="A2" activePane="bottomLeft" state="frozen"/>
      <selection pane="bottomLeft" activeCell="A2" sqref="A2"/>
    </sheetView>
  </sheetViews>
  <sheetFormatPr baseColWidth="10" defaultColWidth="11.44140625" defaultRowHeight="13.2"/>
  <cols>
    <col min="1" max="1" width="17.33203125" style="4" bestFit="1" customWidth="1"/>
    <col min="2" max="2" width="16" style="20" bestFit="1" customWidth="1"/>
    <col min="3" max="3" width="17.88671875" style="4" customWidth="1"/>
    <col min="4" max="4" width="7" style="7" customWidth="1"/>
    <col min="5" max="5" width="8.88671875" style="4" bestFit="1" customWidth="1"/>
    <col min="6" max="6" width="33.33203125" style="4" bestFit="1" customWidth="1"/>
    <col min="7" max="7" width="8.5546875" style="4" bestFit="1" customWidth="1"/>
    <col min="8" max="8" width="12.33203125" style="4" bestFit="1" customWidth="1"/>
    <col min="9" max="16384" width="11.44140625" style="4"/>
  </cols>
  <sheetData>
    <row r="1" spans="1:9" ht="14.4" thickBot="1">
      <c r="A1" s="30" t="s">
        <v>1</v>
      </c>
      <c r="B1" s="31" t="s">
        <v>2</v>
      </c>
      <c r="C1" s="32" t="s">
        <v>11</v>
      </c>
      <c r="D1" s="32" t="s">
        <v>3</v>
      </c>
      <c r="E1" s="32" t="s">
        <v>9</v>
      </c>
      <c r="F1" s="32" t="s">
        <v>4</v>
      </c>
      <c r="G1" s="33" t="s">
        <v>0</v>
      </c>
      <c r="H1" s="34" t="s">
        <v>10</v>
      </c>
      <c r="I1" s="30" t="s">
        <v>43</v>
      </c>
    </row>
  </sheetData>
  <autoFilter ref="A1:I1"/>
  <sortState ref="A2:H21">
    <sortCondition ref="A2:A21"/>
    <sortCondition ref="H2:H21"/>
  </sortState>
  <phoneticPr fontId="175" type="noConversion"/>
  <pageMargins left="0.2" right="0.19" top="0.17" bottom="0.18" header="0.17" footer="0.18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I3"/>
  <sheetViews>
    <sheetView zoomScale="130" zoomScaleNormal="130" workbookViewId="0">
      <pane ySplit="1" topLeftCell="A2" activePane="bottomLeft" state="frozen"/>
      <selection activeCell="F309" sqref="F309"/>
      <selection pane="bottomLeft" activeCell="A2" sqref="A2:I3"/>
    </sheetView>
  </sheetViews>
  <sheetFormatPr baseColWidth="10" defaultColWidth="11.44140625" defaultRowHeight="10.199999999999999"/>
  <cols>
    <col min="1" max="1" width="16.33203125" style="27" bestFit="1" customWidth="1"/>
    <col min="2" max="2" width="21.88671875" style="17" bestFit="1" customWidth="1"/>
    <col min="3" max="3" width="14.6640625" style="17" bestFit="1" customWidth="1"/>
    <col min="4" max="4" width="9.6640625" style="17" bestFit="1" customWidth="1"/>
    <col min="5" max="5" width="9.33203125" style="17" bestFit="1" customWidth="1"/>
    <col min="6" max="6" width="31.109375" style="17" bestFit="1" customWidth="1"/>
    <col min="7" max="7" width="19.109375" style="17" bestFit="1" customWidth="1"/>
    <col min="8" max="8" width="20.88671875" style="17" bestFit="1" customWidth="1"/>
    <col min="9" max="9" width="11.44140625" style="148"/>
    <col min="10" max="16384" width="11.44140625" style="17"/>
  </cols>
  <sheetData>
    <row r="1" spans="1:9" ht="16.5" customHeight="1">
      <c r="A1" s="268" t="s">
        <v>1</v>
      </c>
      <c r="B1" s="269" t="s">
        <v>2</v>
      </c>
      <c r="C1" s="268" t="s">
        <v>11</v>
      </c>
      <c r="D1" s="268" t="s">
        <v>3</v>
      </c>
      <c r="E1" s="268" t="s">
        <v>9</v>
      </c>
      <c r="F1" s="268" t="s">
        <v>4</v>
      </c>
      <c r="G1" s="268" t="s">
        <v>197</v>
      </c>
      <c r="H1" s="268" t="s">
        <v>22</v>
      </c>
      <c r="I1" s="270" t="s">
        <v>353</v>
      </c>
    </row>
    <row r="2" spans="1:9" ht="13.8">
      <c r="A2" s="699" t="s">
        <v>1165</v>
      </c>
      <c r="B2" s="699" t="s">
        <v>51</v>
      </c>
      <c r="C2" s="700">
        <v>42194</v>
      </c>
      <c r="D2" s="699">
        <v>1</v>
      </c>
      <c r="E2" s="699">
        <v>1</v>
      </c>
      <c r="F2" s="699" t="s">
        <v>1166</v>
      </c>
      <c r="G2" s="699" t="s">
        <v>23</v>
      </c>
      <c r="H2" s="700">
        <v>42173</v>
      </c>
      <c r="I2" s="699">
        <v>852.66</v>
      </c>
    </row>
    <row r="3" spans="1:9" ht="13.8">
      <c r="A3" s="699" t="s">
        <v>1170</v>
      </c>
      <c r="B3" s="699" t="s">
        <v>51</v>
      </c>
      <c r="C3" s="700">
        <v>42195</v>
      </c>
      <c r="D3" s="699">
        <v>1</v>
      </c>
      <c r="E3" s="699">
        <v>1</v>
      </c>
      <c r="F3" s="699" t="s">
        <v>75</v>
      </c>
      <c r="G3" s="699" t="s">
        <v>23</v>
      </c>
      <c r="H3" s="700">
        <v>42174</v>
      </c>
      <c r="I3" s="699">
        <v>595.02</v>
      </c>
    </row>
  </sheetData>
  <autoFilter ref="A1:H3">
    <filterColumn colId="1"/>
    <filterColumn colId="6"/>
    <sortState ref="A2:H22">
      <sortCondition ref="A2:A22"/>
      <sortCondition ref="G2:G22"/>
    </sortState>
  </autoFilter>
  <sortState ref="A2:I110">
    <sortCondition ref="H2:H110"/>
    <sortCondition ref="A2:A110"/>
  </sortState>
  <phoneticPr fontId="175" type="noConversion"/>
  <pageMargins left="0.2" right="0.19" top="0.3" bottom="0.18" header="0.17" footer="0.18"/>
  <pageSetup paperSize="9" scale="85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F431"/>
  <sheetViews>
    <sheetView zoomScale="110" zoomScaleNormal="110" workbookViewId="0">
      <pane ySplit="2" topLeftCell="A3" activePane="bottomLeft" state="frozen"/>
      <selection pane="bottomLeft" sqref="A1:C1"/>
    </sheetView>
  </sheetViews>
  <sheetFormatPr baseColWidth="10" defaultRowHeight="13.2"/>
  <cols>
    <col min="1" max="1" width="21.109375" bestFit="1" customWidth="1"/>
    <col min="2" max="2" width="7.77734375" bestFit="1" customWidth="1"/>
    <col min="3" max="3" width="7.21875" bestFit="1" customWidth="1"/>
    <col min="4" max="4" width="7.21875" customWidth="1"/>
    <col min="5" max="5" width="5.109375" bestFit="1" customWidth="1"/>
    <col min="6" max="6" width="16.109375" bestFit="1" customWidth="1"/>
    <col min="7" max="7" width="10.44140625" bestFit="1" customWidth="1"/>
    <col min="8" max="8" width="10.6640625" bestFit="1" customWidth="1"/>
    <col min="9" max="9" width="5.88671875" bestFit="1" customWidth="1"/>
  </cols>
  <sheetData>
    <row r="1" spans="1:6" ht="13.8" thickBot="1">
      <c r="A1" s="830"/>
      <c r="B1" s="830"/>
      <c r="C1" s="830"/>
      <c r="D1" s="797"/>
    </row>
    <row r="2" spans="1:6">
      <c r="A2" s="794" t="s">
        <v>1399</v>
      </c>
      <c r="B2" s="795" t="s">
        <v>1400</v>
      </c>
      <c r="C2" s="798" t="s">
        <v>1253</v>
      </c>
      <c r="D2" s="803"/>
      <c r="E2" s="799" t="s">
        <v>1401</v>
      </c>
      <c r="F2" s="795" t="s">
        <v>1402</v>
      </c>
    </row>
    <row r="3" spans="1:6">
      <c r="A3" s="805" t="s">
        <v>1322</v>
      </c>
      <c r="B3" s="800">
        <v>39</v>
      </c>
      <c r="C3" s="793">
        <f>SUM(B3,-'[1]600EX'!$G$23)</f>
        <v>17</v>
      </c>
      <c r="D3" s="793"/>
      <c r="E3" s="808">
        <v>10</v>
      </c>
      <c r="F3" s="808"/>
    </row>
    <row r="4" spans="1:6">
      <c r="A4" s="805" t="s">
        <v>1323</v>
      </c>
      <c r="B4" s="800">
        <v>38</v>
      </c>
      <c r="C4" s="793">
        <f>SUM(B4,-'[1]600EX'!$G$23)</f>
        <v>16</v>
      </c>
      <c r="D4" s="793"/>
      <c r="E4" s="808">
        <v>10</v>
      </c>
      <c r="F4" s="808"/>
    </row>
    <row r="5" spans="1:6">
      <c r="A5" s="805" t="s">
        <v>1312</v>
      </c>
      <c r="B5" s="800">
        <v>165</v>
      </c>
      <c r="C5" s="793">
        <f>SUM(B5,-'[1]600EX'!$G$23*2,-'[1]600EX'!$O$22*2,-[1]M640EX!$G$23*2,[1]M640EX!$O$22*2)</f>
        <v>107</v>
      </c>
      <c r="D5" s="793"/>
      <c r="E5" s="808">
        <v>20</v>
      </c>
      <c r="F5" s="808"/>
    </row>
    <row r="6" spans="1:6">
      <c r="A6" s="805" t="s">
        <v>1324</v>
      </c>
      <c r="B6" s="800">
        <v>54</v>
      </c>
      <c r="C6" s="793">
        <f>SUM(B6,-[1]M640EX!$G$23)</f>
        <v>48</v>
      </c>
      <c r="D6" s="793"/>
      <c r="E6" s="808">
        <v>10</v>
      </c>
      <c r="F6" s="808"/>
    </row>
    <row r="7" spans="1:6">
      <c r="A7" s="805" t="s">
        <v>1325</v>
      </c>
      <c r="B7" s="800">
        <v>54</v>
      </c>
      <c r="C7" s="793">
        <f>SUM(B7,-[1]M640EX!$G$23)</f>
        <v>48</v>
      </c>
      <c r="D7" s="793"/>
      <c r="E7" s="808">
        <v>10</v>
      </c>
      <c r="F7" s="808"/>
    </row>
    <row r="8" spans="1:6">
      <c r="A8" s="805" t="s">
        <v>1326</v>
      </c>
      <c r="B8" s="800">
        <v>8</v>
      </c>
      <c r="C8" s="793">
        <f>SUM(B8)</f>
        <v>8</v>
      </c>
      <c r="D8" s="793"/>
      <c r="E8" s="808">
        <v>15</v>
      </c>
      <c r="F8" s="808"/>
    </row>
    <row r="9" spans="1:6">
      <c r="A9" s="807" t="s">
        <v>1516</v>
      </c>
      <c r="B9" s="800">
        <v>255</v>
      </c>
      <c r="C9" s="793">
        <f>SUM(B9,-'[2]CUMMUL '!B306)</f>
        <v>255</v>
      </c>
      <c r="D9" s="808"/>
      <c r="E9" s="808">
        <v>20</v>
      </c>
      <c r="F9" s="808"/>
    </row>
    <row r="10" spans="1:6">
      <c r="A10" s="807" t="s">
        <v>1517</v>
      </c>
      <c r="B10" s="800">
        <v>255</v>
      </c>
      <c r="C10" s="793">
        <f>SUM(B10,-'[2]CUMMUL '!B306)</f>
        <v>255</v>
      </c>
      <c r="D10" s="808"/>
      <c r="E10" s="808">
        <v>20</v>
      </c>
      <c r="F10" s="808"/>
    </row>
    <row r="11" spans="1:6">
      <c r="A11" s="805" t="s">
        <v>1430</v>
      </c>
      <c r="B11" s="800">
        <v>108</v>
      </c>
      <c r="C11" s="793">
        <f>SUM(B11,-[3]série240!$H$23,-[3]série240!$S$9)</f>
        <v>21</v>
      </c>
      <c r="D11" s="808"/>
      <c r="E11" s="808">
        <v>20</v>
      </c>
      <c r="F11" s="808"/>
    </row>
    <row r="12" spans="1:6">
      <c r="A12" s="801" t="s">
        <v>1431</v>
      </c>
      <c r="B12" s="800">
        <v>172</v>
      </c>
      <c r="C12" s="793">
        <f>SUM(B12,-[3]série265!$J$23)</f>
        <v>-5</v>
      </c>
      <c r="D12" s="808"/>
      <c r="E12" s="808">
        <v>20</v>
      </c>
      <c r="F12" s="808"/>
    </row>
    <row r="13" spans="1:6">
      <c r="A13" s="805" t="s">
        <v>1432</v>
      </c>
      <c r="B13" s="800">
        <v>396</v>
      </c>
      <c r="C13" s="793">
        <f>SUM(B13,-[3]série265!$J$23*2)</f>
        <v>42</v>
      </c>
      <c r="D13" s="808"/>
      <c r="E13" s="808">
        <v>40</v>
      </c>
      <c r="F13" s="808"/>
    </row>
    <row r="14" spans="1:6">
      <c r="A14" s="801" t="s">
        <v>1282</v>
      </c>
      <c r="B14" s="796">
        <v>0</v>
      </c>
      <c r="C14" s="793">
        <f>SUM(B14)</f>
        <v>0</v>
      </c>
      <c r="D14" s="793"/>
      <c r="E14" s="808">
        <v>15</v>
      </c>
      <c r="F14" s="808"/>
    </row>
    <row r="15" spans="1:6">
      <c r="A15" s="801" t="s">
        <v>1280</v>
      </c>
      <c r="B15" s="796">
        <v>0</v>
      </c>
      <c r="C15" s="793">
        <f>SUM(B15,-[3]Feuil1!$B$8)</f>
        <v>0</v>
      </c>
      <c r="D15" s="793"/>
      <c r="E15" s="808">
        <v>10</v>
      </c>
      <c r="F15" s="808"/>
    </row>
    <row r="16" spans="1:6">
      <c r="A16" s="801" t="s">
        <v>1281</v>
      </c>
      <c r="B16" s="796">
        <v>0</v>
      </c>
      <c r="C16" s="793">
        <f>SUM(B16,-[3]Feuil1!$B$10)</f>
        <v>0</v>
      </c>
      <c r="D16" s="793"/>
      <c r="E16" s="808">
        <v>15</v>
      </c>
      <c r="F16" s="808"/>
    </row>
    <row r="17" spans="1:6">
      <c r="A17" s="801" t="s">
        <v>1283</v>
      </c>
      <c r="B17" s="796">
        <v>0</v>
      </c>
      <c r="C17" s="793">
        <f>SUM(B17,-[3]Feuil1!$B$12)</f>
        <v>0</v>
      </c>
      <c r="D17" s="793"/>
      <c r="E17" s="808">
        <v>15</v>
      </c>
      <c r="F17" s="808"/>
    </row>
    <row r="18" spans="1:6">
      <c r="A18" s="801" t="s">
        <v>1255</v>
      </c>
      <c r="B18" s="796">
        <v>30</v>
      </c>
      <c r="C18" s="793">
        <f>SUM(B18,-[1]cummul!$B$3,-[4]CUMMUL!$B$2,-[5]cummul!$B$2,-[6]CUMMUL!$B$2)</f>
        <v>22</v>
      </c>
      <c r="D18" s="793"/>
      <c r="E18" s="808">
        <v>25</v>
      </c>
      <c r="F18" s="808"/>
    </row>
    <row r="19" spans="1:6">
      <c r="A19" s="801" t="s">
        <v>1237</v>
      </c>
      <c r="B19" s="796">
        <v>15</v>
      </c>
      <c r="C19" s="793">
        <f>SUM(B19,-[1]cummul!$B$6,-[5]cummul!$B$5)</f>
        <v>12</v>
      </c>
      <c r="D19" s="793"/>
      <c r="E19" s="808">
        <v>12</v>
      </c>
      <c r="F19" s="808"/>
    </row>
    <row r="20" spans="1:6">
      <c r="A20" s="801" t="s">
        <v>1246</v>
      </c>
      <c r="B20" s="796">
        <v>74</v>
      </c>
      <c r="C20" s="793">
        <f>B20-E20</f>
        <v>49</v>
      </c>
      <c r="D20" s="793"/>
      <c r="E20" s="808">
        <v>25</v>
      </c>
      <c r="F20" s="808"/>
    </row>
    <row r="21" spans="1:6">
      <c r="A21" s="801" t="s">
        <v>1248</v>
      </c>
      <c r="B21" s="796">
        <v>91</v>
      </c>
      <c r="C21" s="793">
        <f>SUM(B21-D21)</f>
        <v>91</v>
      </c>
      <c r="D21" s="793"/>
      <c r="E21" s="808">
        <v>12</v>
      </c>
      <c r="F21" s="808"/>
    </row>
    <row r="22" spans="1:6">
      <c r="A22" s="801" t="s">
        <v>1247</v>
      </c>
      <c r="B22" s="796">
        <v>77</v>
      </c>
      <c r="C22" s="793">
        <f>SUM(B22-D22)</f>
        <v>77</v>
      </c>
      <c r="D22" s="793"/>
      <c r="E22" s="808">
        <v>1</v>
      </c>
      <c r="F22" s="808"/>
    </row>
    <row r="23" spans="1:6">
      <c r="A23" s="801" t="s">
        <v>1249</v>
      </c>
      <c r="B23" s="796">
        <v>10</v>
      </c>
      <c r="C23" s="793">
        <f>B23-D23</f>
        <v>10</v>
      </c>
      <c r="D23" s="793"/>
      <c r="E23" s="808">
        <v>10</v>
      </c>
      <c r="F23" s="808"/>
    </row>
    <row r="24" spans="1:6">
      <c r="A24" s="801" t="s">
        <v>1256</v>
      </c>
      <c r="B24" s="796">
        <v>42</v>
      </c>
      <c r="C24" s="793">
        <f>B24-D24</f>
        <v>42</v>
      </c>
      <c r="D24" s="793"/>
      <c r="E24" s="808">
        <v>25</v>
      </c>
      <c r="F24" s="808"/>
    </row>
    <row r="25" spans="1:6">
      <c r="A25" s="801" t="s">
        <v>1254</v>
      </c>
      <c r="B25" s="796">
        <v>260</v>
      </c>
      <c r="C25" s="793">
        <f>SUM(B25,-'[2]CUMMUL '!$B$22,-[1]cummul!$B$5,-[1]cummul!$B$6,-[5]cummul!$B$4,-[5]cummul!$B$5,-[3]Feuil1!$B$1)</f>
        <v>54</v>
      </c>
      <c r="D25" s="793"/>
      <c r="E25" s="808">
        <v>25</v>
      </c>
      <c r="F25" s="808"/>
    </row>
    <row r="26" spans="1:6">
      <c r="A26" s="801" t="s">
        <v>1370</v>
      </c>
      <c r="B26" s="802">
        <v>5</v>
      </c>
      <c r="C26" s="793">
        <f t="shared" ref="C26:C33" si="0">SUM(B26)</f>
        <v>5</v>
      </c>
      <c r="D26" s="793"/>
      <c r="E26" s="808">
        <v>3</v>
      </c>
      <c r="F26" s="808"/>
    </row>
    <row r="27" spans="1:6">
      <c r="A27" s="801" t="s">
        <v>1370</v>
      </c>
      <c r="B27" s="802">
        <v>5</v>
      </c>
      <c r="C27" s="793">
        <f t="shared" si="0"/>
        <v>5</v>
      </c>
      <c r="D27" s="793"/>
      <c r="E27" s="808">
        <v>3</v>
      </c>
      <c r="F27" s="808"/>
    </row>
    <row r="28" spans="1:6">
      <c r="A28" s="801" t="s">
        <v>1371</v>
      </c>
      <c r="B28" s="802">
        <v>9</v>
      </c>
      <c r="C28" s="793">
        <f t="shared" si="0"/>
        <v>9</v>
      </c>
      <c r="D28" s="793"/>
      <c r="E28" s="808">
        <v>3</v>
      </c>
      <c r="F28" s="808"/>
    </row>
    <row r="29" spans="1:6">
      <c r="A29" s="801" t="s">
        <v>1372</v>
      </c>
      <c r="B29" s="802">
        <v>9</v>
      </c>
      <c r="C29" s="793">
        <f t="shared" si="0"/>
        <v>9</v>
      </c>
      <c r="D29" s="793"/>
      <c r="E29" s="808">
        <v>3</v>
      </c>
      <c r="F29" s="808"/>
    </row>
    <row r="30" spans="1:6">
      <c r="A30" s="801" t="s">
        <v>1373</v>
      </c>
      <c r="B30" s="802">
        <v>12</v>
      </c>
      <c r="C30" s="793">
        <f t="shared" si="0"/>
        <v>12</v>
      </c>
      <c r="D30" s="793"/>
      <c r="E30" s="808">
        <v>3</v>
      </c>
      <c r="F30" s="808"/>
    </row>
    <row r="31" spans="1:6">
      <c r="A31" s="801" t="s">
        <v>1374</v>
      </c>
      <c r="B31" s="802">
        <v>12</v>
      </c>
      <c r="C31" s="793">
        <f t="shared" si="0"/>
        <v>12</v>
      </c>
      <c r="D31" s="793"/>
      <c r="E31" s="808">
        <v>3</v>
      </c>
      <c r="F31" s="808"/>
    </row>
    <row r="32" spans="1:6">
      <c r="A32" s="801" t="s">
        <v>1375</v>
      </c>
      <c r="B32" s="802">
        <v>10</v>
      </c>
      <c r="C32" s="793">
        <f t="shared" si="0"/>
        <v>10</v>
      </c>
      <c r="D32" s="793"/>
      <c r="E32" s="808">
        <v>3</v>
      </c>
      <c r="F32" s="808"/>
    </row>
    <row r="33" spans="1:6">
      <c r="A33" s="801" t="s">
        <v>1376</v>
      </c>
      <c r="B33" s="802">
        <v>10</v>
      </c>
      <c r="C33" s="793">
        <f t="shared" si="0"/>
        <v>10</v>
      </c>
      <c r="D33" s="793"/>
      <c r="E33" s="808">
        <v>3</v>
      </c>
      <c r="F33" s="808"/>
    </row>
    <row r="34" spans="1:6">
      <c r="A34" s="801" t="s">
        <v>1622</v>
      </c>
      <c r="B34" s="802">
        <v>0</v>
      </c>
      <c r="C34" s="793"/>
      <c r="D34" s="808"/>
      <c r="E34" s="808">
        <v>2</v>
      </c>
      <c r="F34" s="808"/>
    </row>
    <row r="35" spans="1:6">
      <c r="A35" s="801" t="s">
        <v>1643</v>
      </c>
      <c r="B35" s="802"/>
      <c r="C35" s="793"/>
      <c r="D35" s="808"/>
      <c r="E35" s="808">
        <v>2</v>
      </c>
      <c r="F35" s="808"/>
    </row>
    <row r="36" spans="1:6">
      <c r="A36" s="801" t="s">
        <v>1623</v>
      </c>
      <c r="B36" s="802">
        <v>0</v>
      </c>
      <c r="C36" s="793"/>
      <c r="D36" s="808"/>
      <c r="E36" s="808">
        <v>2</v>
      </c>
      <c r="F36" s="808"/>
    </row>
    <row r="37" spans="1:6">
      <c r="A37" s="801" t="s">
        <v>1644</v>
      </c>
      <c r="B37" s="802"/>
      <c r="C37" s="793"/>
      <c r="D37" s="808"/>
      <c r="E37" s="808">
        <v>2</v>
      </c>
      <c r="F37" s="808"/>
    </row>
    <row r="38" spans="1:6">
      <c r="A38" s="801" t="s">
        <v>1624</v>
      </c>
      <c r="B38" s="802">
        <v>0</v>
      </c>
      <c r="C38" s="793"/>
      <c r="D38" s="808"/>
      <c r="E38" s="808">
        <v>2</v>
      </c>
      <c r="F38" s="808"/>
    </row>
    <row r="39" spans="1:6">
      <c r="A39" s="801" t="s">
        <v>1645</v>
      </c>
      <c r="B39" s="802"/>
      <c r="C39" s="793"/>
      <c r="D39" s="808"/>
      <c r="E39" s="808">
        <v>2</v>
      </c>
      <c r="F39" s="808"/>
    </row>
    <row r="40" spans="1:6">
      <c r="A40" s="801" t="s">
        <v>1625</v>
      </c>
      <c r="B40" s="802">
        <v>0</v>
      </c>
      <c r="C40" s="793"/>
      <c r="D40" s="808"/>
      <c r="E40" s="808">
        <v>2</v>
      </c>
      <c r="F40" s="808"/>
    </row>
    <row r="41" spans="1:6">
      <c r="A41" s="801" t="s">
        <v>1646</v>
      </c>
      <c r="B41" s="802"/>
      <c r="C41" s="793"/>
      <c r="D41" s="808"/>
      <c r="E41" s="808">
        <v>2</v>
      </c>
      <c r="F41" s="808"/>
    </row>
    <row r="42" spans="1:6">
      <c r="A42" s="801" t="s">
        <v>1626</v>
      </c>
      <c r="B42" s="802">
        <v>0</v>
      </c>
      <c r="C42" s="793"/>
      <c r="D42" s="808"/>
      <c r="E42" s="808">
        <v>2</v>
      </c>
      <c r="F42" s="808"/>
    </row>
    <row r="43" spans="1:6">
      <c r="A43" s="801" t="s">
        <v>1626</v>
      </c>
      <c r="B43" s="802">
        <v>0</v>
      </c>
      <c r="C43" s="793"/>
      <c r="D43" s="808"/>
      <c r="E43" s="808">
        <v>2</v>
      </c>
      <c r="F43" s="808"/>
    </row>
    <row r="44" spans="1:6">
      <c r="A44" s="801" t="s">
        <v>1647</v>
      </c>
      <c r="B44" s="802"/>
      <c r="C44" s="793"/>
      <c r="D44" s="808"/>
      <c r="E44" s="808">
        <v>2</v>
      </c>
      <c r="F44" s="808"/>
    </row>
    <row r="45" spans="1:6">
      <c r="A45" s="801" t="s">
        <v>1647</v>
      </c>
      <c r="B45" s="802"/>
      <c r="C45" s="793"/>
      <c r="D45" s="808"/>
      <c r="E45" s="808">
        <v>2</v>
      </c>
      <c r="F45" s="808"/>
    </row>
    <row r="46" spans="1:6">
      <c r="A46" s="801" t="s">
        <v>1627</v>
      </c>
      <c r="B46" s="802">
        <v>4</v>
      </c>
      <c r="C46" s="793"/>
      <c r="D46" s="808"/>
      <c r="E46" s="808">
        <v>2</v>
      </c>
      <c r="F46" s="808"/>
    </row>
    <row r="47" spans="1:6">
      <c r="A47" s="801" t="s">
        <v>1648</v>
      </c>
      <c r="B47" s="802"/>
      <c r="C47" s="793"/>
      <c r="D47" s="808"/>
      <c r="E47" s="808">
        <v>2</v>
      </c>
      <c r="F47" s="808"/>
    </row>
    <row r="48" spans="1:6">
      <c r="A48" s="801" t="s">
        <v>1628</v>
      </c>
      <c r="B48" s="802">
        <v>4</v>
      </c>
      <c r="C48" s="793"/>
      <c r="D48" s="808"/>
      <c r="E48" s="808">
        <v>2</v>
      </c>
      <c r="F48" s="808"/>
    </row>
    <row r="49" spans="1:6">
      <c r="A49" s="801" t="s">
        <v>1649</v>
      </c>
      <c r="B49" s="802"/>
      <c r="C49" s="793"/>
      <c r="D49" s="808"/>
      <c r="E49" s="808">
        <v>2</v>
      </c>
      <c r="F49" s="808"/>
    </row>
    <row r="50" spans="1:6">
      <c r="A50" s="801" t="s">
        <v>1629</v>
      </c>
      <c r="B50" s="802">
        <v>5</v>
      </c>
      <c r="C50" s="793"/>
      <c r="D50" s="808"/>
      <c r="E50" s="808">
        <v>2</v>
      </c>
      <c r="F50" s="808"/>
    </row>
    <row r="51" spans="1:6">
      <c r="A51" s="801" t="s">
        <v>1650</v>
      </c>
      <c r="B51" s="802">
        <v>9</v>
      </c>
      <c r="C51" s="793"/>
      <c r="D51" s="808"/>
      <c r="E51" s="808">
        <v>2</v>
      </c>
      <c r="F51" s="808"/>
    </row>
    <row r="52" spans="1:6">
      <c r="A52" s="801" t="s">
        <v>1630</v>
      </c>
      <c r="B52" s="802">
        <v>5</v>
      </c>
      <c r="C52" s="793"/>
      <c r="D52" s="808"/>
      <c r="E52" s="808">
        <v>2</v>
      </c>
      <c r="F52" s="808"/>
    </row>
    <row r="53" spans="1:6">
      <c r="A53" s="801" t="s">
        <v>1651</v>
      </c>
      <c r="B53" s="802">
        <v>9</v>
      </c>
      <c r="C53" s="793"/>
      <c r="D53" s="808"/>
      <c r="E53" s="808">
        <v>2</v>
      </c>
      <c r="F53" s="808"/>
    </row>
    <row r="54" spans="1:6">
      <c r="A54" s="801" t="s">
        <v>1631</v>
      </c>
      <c r="B54" s="802"/>
      <c r="C54" s="793"/>
      <c r="D54" s="808"/>
      <c r="E54" s="808">
        <v>2</v>
      </c>
      <c r="F54" s="808"/>
    </row>
    <row r="55" spans="1:6">
      <c r="A55" s="801" t="s">
        <v>1652</v>
      </c>
      <c r="B55" s="802"/>
      <c r="C55" s="793"/>
      <c r="D55" s="808"/>
      <c r="E55" s="808">
        <v>2</v>
      </c>
      <c r="F55" s="808"/>
    </row>
    <row r="56" spans="1:6">
      <c r="A56" s="801" t="s">
        <v>1632</v>
      </c>
      <c r="B56" s="802"/>
      <c r="C56" s="793"/>
      <c r="D56" s="808"/>
      <c r="E56" s="808">
        <v>2</v>
      </c>
      <c r="F56" s="808"/>
    </row>
    <row r="57" spans="1:6">
      <c r="A57" s="801" t="s">
        <v>1653</v>
      </c>
      <c r="B57" s="802"/>
      <c r="C57" s="793"/>
      <c r="D57" s="808"/>
      <c r="E57" s="808">
        <v>2</v>
      </c>
      <c r="F57" s="808"/>
    </row>
    <row r="58" spans="1:6">
      <c r="A58" s="801" t="s">
        <v>1633</v>
      </c>
      <c r="B58" s="802"/>
      <c r="C58" s="793"/>
      <c r="D58" s="808"/>
      <c r="E58" s="808">
        <v>2</v>
      </c>
      <c r="F58" s="808"/>
    </row>
    <row r="59" spans="1:6">
      <c r="A59" s="801" t="s">
        <v>1654</v>
      </c>
      <c r="B59" s="802">
        <v>29</v>
      </c>
      <c r="C59" s="793"/>
      <c r="D59" s="808"/>
      <c r="E59" s="808">
        <v>2</v>
      </c>
      <c r="F59" s="808"/>
    </row>
    <row r="60" spans="1:6">
      <c r="A60" s="801" t="s">
        <v>1634</v>
      </c>
      <c r="B60" s="802"/>
      <c r="C60" s="793"/>
      <c r="D60" s="808"/>
      <c r="E60" s="808">
        <v>2</v>
      </c>
      <c r="F60" s="808"/>
    </row>
    <row r="61" spans="1:6">
      <c r="A61" s="801" t="s">
        <v>1655</v>
      </c>
      <c r="B61" s="802">
        <v>29</v>
      </c>
      <c r="C61" s="793"/>
      <c r="D61" s="808"/>
      <c r="E61" s="808">
        <v>2</v>
      </c>
      <c r="F61" s="808"/>
    </row>
    <row r="62" spans="1:6">
      <c r="A62" s="801" t="s">
        <v>1635</v>
      </c>
      <c r="B62" s="802"/>
      <c r="C62" s="793"/>
      <c r="D62" s="808"/>
      <c r="E62" s="808">
        <v>2</v>
      </c>
      <c r="F62" s="808"/>
    </row>
    <row r="63" spans="1:6">
      <c r="A63" s="801" t="s">
        <v>1656</v>
      </c>
      <c r="B63" s="802"/>
      <c r="C63" s="793"/>
      <c r="D63" s="808"/>
      <c r="E63" s="808">
        <v>2</v>
      </c>
      <c r="F63" s="808"/>
    </row>
    <row r="64" spans="1:6">
      <c r="A64" s="801" t="s">
        <v>1636</v>
      </c>
      <c r="B64" s="802"/>
      <c r="C64" s="793"/>
      <c r="D64" s="808"/>
      <c r="E64" s="808">
        <v>2</v>
      </c>
      <c r="F64" s="808"/>
    </row>
    <row r="65" spans="1:6">
      <c r="A65" s="801" t="s">
        <v>1657</v>
      </c>
      <c r="B65" s="802"/>
      <c r="C65" s="793"/>
      <c r="D65" s="808"/>
      <c r="E65" s="808">
        <v>2</v>
      </c>
      <c r="F65" s="808"/>
    </row>
    <row r="66" spans="1:6">
      <c r="A66" s="801" t="s">
        <v>1637</v>
      </c>
      <c r="B66" s="802">
        <v>17</v>
      </c>
      <c r="C66" s="793"/>
      <c r="D66" s="808"/>
      <c r="E66" s="808">
        <v>2</v>
      </c>
      <c r="F66" s="808"/>
    </row>
    <row r="67" spans="1:6">
      <c r="A67" s="801" t="s">
        <v>1658</v>
      </c>
      <c r="B67" s="802">
        <v>12</v>
      </c>
      <c r="C67" s="793"/>
      <c r="D67" s="808"/>
      <c r="E67" s="808">
        <v>2</v>
      </c>
      <c r="F67" s="808"/>
    </row>
    <row r="68" spans="1:6">
      <c r="A68" s="801" t="s">
        <v>1638</v>
      </c>
      <c r="B68" s="802">
        <v>17</v>
      </c>
      <c r="C68" s="793"/>
      <c r="D68" s="808"/>
      <c r="E68" s="808">
        <v>2</v>
      </c>
      <c r="F68" s="808"/>
    </row>
    <row r="69" spans="1:6">
      <c r="A69" s="801" t="s">
        <v>1659</v>
      </c>
      <c r="B69" s="802">
        <v>12</v>
      </c>
      <c r="C69" s="793"/>
      <c r="D69" s="808"/>
      <c r="E69" s="808">
        <v>2</v>
      </c>
      <c r="F69" s="808"/>
    </row>
    <row r="70" spans="1:6">
      <c r="A70" s="801" t="s">
        <v>1639</v>
      </c>
      <c r="B70" s="802"/>
      <c r="C70" s="793"/>
      <c r="D70" s="808"/>
      <c r="E70" s="808">
        <v>2</v>
      </c>
      <c r="F70" s="808"/>
    </row>
    <row r="71" spans="1:6">
      <c r="A71" s="801" t="s">
        <v>1660</v>
      </c>
      <c r="B71" s="802">
        <v>5</v>
      </c>
      <c r="C71" s="793"/>
      <c r="D71" s="808"/>
      <c r="E71" s="808">
        <v>2</v>
      </c>
      <c r="F71" s="808"/>
    </row>
    <row r="72" spans="1:6">
      <c r="A72" s="801" t="s">
        <v>1640</v>
      </c>
      <c r="B72" s="802"/>
      <c r="C72" s="793"/>
      <c r="D72" s="808"/>
      <c r="E72" s="808">
        <v>2</v>
      </c>
      <c r="F72" s="808"/>
    </row>
    <row r="73" spans="1:6">
      <c r="A73" s="801" t="s">
        <v>1661</v>
      </c>
      <c r="B73" s="802">
        <v>5</v>
      </c>
      <c r="C73" s="793"/>
      <c r="D73" s="808"/>
      <c r="E73" s="808">
        <v>2</v>
      </c>
      <c r="F73" s="808"/>
    </row>
    <row r="74" spans="1:6">
      <c r="A74" s="801" t="s">
        <v>1641</v>
      </c>
      <c r="B74" s="802">
        <v>5</v>
      </c>
      <c r="C74" s="793"/>
      <c r="D74" s="808"/>
      <c r="E74" s="808">
        <v>2</v>
      </c>
      <c r="F74" s="808"/>
    </row>
    <row r="75" spans="1:6">
      <c r="A75" s="801" t="s">
        <v>1662</v>
      </c>
      <c r="B75" s="802">
        <v>40</v>
      </c>
      <c r="C75" s="793"/>
      <c r="D75" s="808"/>
      <c r="E75" s="808">
        <v>2</v>
      </c>
      <c r="F75" s="808"/>
    </row>
    <row r="76" spans="1:6">
      <c r="A76" s="801" t="s">
        <v>1642</v>
      </c>
      <c r="B76" s="802">
        <v>5</v>
      </c>
      <c r="C76" s="793"/>
      <c r="D76" s="808"/>
      <c r="E76" s="808">
        <v>2</v>
      </c>
      <c r="F76" s="808"/>
    </row>
    <row r="77" spans="1:6">
      <c r="A77" s="801" t="s">
        <v>1663</v>
      </c>
      <c r="B77" s="802">
        <v>40</v>
      </c>
      <c r="C77" s="793"/>
      <c r="D77" s="808"/>
      <c r="E77" s="808">
        <v>2</v>
      </c>
      <c r="F77" s="808"/>
    </row>
    <row r="78" spans="1:6">
      <c r="A78" s="801" t="s">
        <v>1377</v>
      </c>
      <c r="B78" s="802">
        <v>5</v>
      </c>
      <c r="C78" s="793">
        <f>B78-E78</f>
        <v>3</v>
      </c>
      <c r="D78" s="793"/>
      <c r="E78" s="808">
        <v>2</v>
      </c>
      <c r="F78" s="808"/>
    </row>
    <row r="79" spans="1:6">
      <c r="A79" s="801" t="s">
        <v>1378</v>
      </c>
      <c r="B79" s="802">
        <v>5</v>
      </c>
      <c r="C79" s="793">
        <f>B79-E79</f>
        <v>3</v>
      </c>
      <c r="D79" s="793"/>
      <c r="E79" s="808">
        <v>2</v>
      </c>
      <c r="F79" s="808"/>
    </row>
    <row r="80" spans="1:6">
      <c r="A80" s="801" t="s">
        <v>1379</v>
      </c>
      <c r="B80" s="802">
        <v>10</v>
      </c>
      <c r="C80" s="793">
        <f>SUM(B80,-[3]Feuil1!$D$9,-[1]cummul!$D$3,-[1]cummul!$D$8,-[4]CUMMUL!$D$2,-[5]cummul!$D$3,-[5]cummul!$D$7)</f>
        <v>0</v>
      </c>
      <c r="D80" s="793"/>
      <c r="E80" s="808">
        <v>2</v>
      </c>
      <c r="F80" s="808"/>
    </row>
    <row r="81" spans="1:6">
      <c r="A81" s="801" t="s">
        <v>1380</v>
      </c>
      <c r="B81" s="802">
        <v>10</v>
      </c>
      <c r="C81" s="793">
        <f>SUM(B81,-[3]Feuil1!$D$14,-[1]cummul!$D$3,-[1]cummul!$D$8,-[4]CUMMUL!$D$2,-[5]cummul!$D$3,-[5]cummul!$D$7)</f>
        <v>0</v>
      </c>
      <c r="D81" s="793"/>
      <c r="E81" s="808">
        <v>2</v>
      </c>
      <c r="F81" s="808"/>
    </row>
    <row r="82" spans="1:6">
      <c r="A82" s="801" t="s">
        <v>1381</v>
      </c>
      <c r="B82" s="802">
        <v>142</v>
      </c>
      <c r="C82" s="793">
        <f>SUM(B82,-[3]Feuil1!$E$9,-[1]cummul!$E$3,-[1]cummul!$E$8,-[4]CUMMUL!$E$2,-[5]cummul!$E$3,-[5]cummul!$E$7)</f>
        <v>28</v>
      </c>
      <c r="D82" s="793"/>
      <c r="E82" s="808">
        <v>40</v>
      </c>
      <c r="F82" s="808"/>
    </row>
    <row r="83" spans="1:6">
      <c r="A83" s="801" t="s">
        <v>1382</v>
      </c>
      <c r="B83" s="802">
        <v>142</v>
      </c>
      <c r="C83" s="793">
        <f>SUM(B83,-[3]Feuil1!$E$9,-[1]cummul!$E$3,-[1]cummul!$E$8,-[4]CUMMUL!$E$2,-[5]cummul!$E$3,-[5]cummul!$E$7)</f>
        <v>28</v>
      </c>
      <c r="D83" s="793"/>
      <c r="E83" s="808">
        <v>40</v>
      </c>
      <c r="F83" s="808"/>
    </row>
    <row r="84" spans="1:6">
      <c r="A84" s="801" t="s">
        <v>1383</v>
      </c>
      <c r="B84" s="802">
        <v>42</v>
      </c>
      <c r="C84" s="793">
        <f>SUM(B84,-[3]Feuil1!$F$9,-[1]cummul!$F$3,-[1]cummul!$F$8,-[4]CUMMUL!$F$2,-[5]cummul!$F$3,-[5]cummul!$F$7)</f>
        <v>5</v>
      </c>
      <c r="D84" s="793"/>
      <c r="E84" s="808">
        <v>10</v>
      </c>
      <c r="F84" s="808"/>
    </row>
    <row r="85" spans="1:6">
      <c r="A85" s="801" t="s">
        <v>1384</v>
      </c>
      <c r="B85" s="802">
        <v>42</v>
      </c>
      <c r="C85" s="793">
        <f>SUM(B85,-[3]Feuil1!$F$14,-[1]cummul!$F$3,-[1]cummul!$F$8,-[4]CUMMUL!$F$2,-[5]cummul!$F$3,-[5]cummul!$F$7)</f>
        <v>5</v>
      </c>
      <c r="D85" s="793"/>
      <c r="E85" s="808">
        <v>10</v>
      </c>
      <c r="F85" s="808"/>
    </row>
    <row r="86" spans="1:6">
      <c r="A86" s="801" t="s">
        <v>1385</v>
      </c>
      <c r="B86" s="802">
        <v>227</v>
      </c>
      <c r="C86" s="793">
        <f>SUM(B86,-[3]Feuil1!$G$9,-[1]cummul!$G$3,-[1]cummul!$G$8,-[4]CUMMUL!$G$2,-[5]cummul!$G$3,-[5]cummul!$G$7)</f>
        <v>6</v>
      </c>
      <c r="D86" s="793"/>
      <c r="E86" s="808">
        <v>40</v>
      </c>
      <c r="F86" s="808"/>
    </row>
    <row r="87" spans="1:6">
      <c r="A87" s="801" t="s">
        <v>1386</v>
      </c>
      <c r="B87" s="802">
        <v>227</v>
      </c>
      <c r="C87" s="793">
        <f>SUM(B87,-[3]Feuil1!$G$14,-[1]cummul!$G$3,-[1]cummul!$G$8,-[4]CUMMUL!$G$2,-[5]cummul!$G$3,-[5]cummul!$G$7)</f>
        <v>6</v>
      </c>
      <c r="D87" s="793"/>
      <c r="E87" s="808">
        <v>40</v>
      </c>
      <c r="F87" s="808"/>
    </row>
    <row r="88" spans="1:6">
      <c r="A88" s="801" t="s">
        <v>1387</v>
      </c>
      <c r="B88" s="802">
        <v>15</v>
      </c>
      <c r="C88" s="793">
        <f>SUM(B88,-[3]Feuil1!$H$14,-[1]cummul!$H$3,-[1]cummul!$H$8,-[4]CUMMUL!$H$2,-[5]cummul!$H$3,-[5]cummul!$H$7)</f>
        <v>4</v>
      </c>
      <c r="D88" s="793"/>
      <c r="E88" s="808">
        <v>5</v>
      </c>
      <c r="F88" s="808"/>
    </row>
    <row r="89" spans="1:6">
      <c r="A89" s="801" t="s">
        <v>1388</v>
      </c>
      <c r="B89" s="802">
        <v>15</v>
      </c>
      <c r="C89" s="793">
        <f>SUM(B89,-[3]Feuil1!$H$14,-[1]cummul!$H$3,-[1]cummul!$H$8,-[4]CUMMUL!$H$2,-[5]cummul!$H$3,-[5]cummul!$H$7)</f>
        <v>4</v>
      </c>
      <c r="D89" s="793"/>
      <c r="E89" s="808">
        <v>5</v>
      </c>
      <c r="F89" s="808"/>
    </row>
    <row r="90" spans="1:6">
      <c r="A90" s="801" t="s">
        <v>1389</v>
      </c>
      <c r="B90" s="802">
        <v>149</v>
      </c>
      <c r="C90" s="793">
        <f>SUM(B90,-[3]Feuil1!$I$9,-[1]cummul!$I$3,-[1]cummul!$I$8,-[4]CUMMUL!$I$2,-[5]cummul!$I$3,-[5]cummul!$I$7)</f>
        <v>-2</v>
      </c>
      <c r="D90" s="793"/>
      <c r="E90" s="808">
        <v>40</v>
      </c>
      <c r="F90" s="808"/>
    </row>
    <row r="91" spans="1:6">
      <c r="A91" s="801" t="s">
        <v>1390</v>
      </c>
      <c r="B91" s="802">
        <v>149</v>
      </c>
      <c r="C91" s="793">
        <f>SUM(B91,-[3]Feuil1!$I$14,-[1]cummul!$I$3,-[1]cummul!$I$8,-[4]CUMMUL!$I$2,-[5]cummul!$I$3,-[5]cummul!$I$7)</f>
        <v>-2</v>
      </c>
      <c r="D91" s="793"/>
      <c r="E91" s="808">
        <v>40</v>
      </c>
      <c r="F91" s="808"/>
    </row>
    <row r="92" spans="1:6">
      <c r="A92" s="801" t="s">
        <v>1391</v>
      </c>
      <c r="B92" s="802">
        <v>21</v>
      </c>
      <c r="C92" s="793">
        <f>SUM(B92,-[3]Feuil1!$J$9,-[1]cummul!$J$3,-[1]cummul!$J$8,-[4]CUMMUL!$J$2,-[5]cummul!$J$3,-[5]cummul!$J$7)</f>
        <v>15</v>
      </c>
      <c r="D92" s="793"/>
      <c r="E92" s="808">
        <v>10</v>
      </c>
      <c r="F92" s="808"/>
    </row>
    <row r="93" spans="1:6">
      <c r="A93" s="801" t="s">
        <v>1392</v>
      </c>
      <c r="B93" s="802">
        <v>21</v>
      </c>
      <c r="C93" s="793">
        <f>SUM(B93,-[3]Feuil1!$J$14,-[1]cummul!$J$3,-[1]cummul!$J$8,-[4]CUMMUL!$J$2,-[5]cummul!$J$3,-[5]cummul!$J$7)</f>
        <v>15</v>
      </c>
      <c r="D93" s="793"/>
      <c r="E93" s="808">
        <v>10</v>
      </c>
      <c r="F93" s="808"/>
    </row>
    <row r="94" spans="1:6">
      <c r="A94" s="801" t="s">
        <v>1393</v>
      </c>
      <c r="B94" s="802">
        <v>119</v>
      </c>
      <c r="C94" s="793">
        <f>SUM(B94,-[3]Feuil1!$K$9,-[1]cummul!$K$3,-[1]cummul!$K$8,-[4]CUMMUL!$K$2,-[5]cummul!$K$3,-[5]cummul!$K$7)</f>
        <v>-4</v>
      </c>
      <c r="D94" s="793"/>
      <c r="E94" s="808">
        <v>40</v>
      </c>
      <c r="F94" s="808"/>
    </row>
    <row r="95" spans="1:6">
      <c r="A95" s="801" t="s">
        <v>1394</v>
      </c>
      <c r="B95" s="802">
        <v>119</v>
      </c>
      <c r="C95" s="793">
        <f>SUM(B95,-[3]Feuil1!$K$14,-[1]cummul!$K$3,-[1]cummul!$K$8,-[4]CUMMUL!$K$2,-[5]cummul!$K$3,-[5]cummul!$K$7)</f>
        <v>-4</v>
      </c>
      <c r="D95" s="793"/>
      <c r="E95" s="808">
        <v>40</v>
      </c>
      <c r="F95" s="808"/>
    </row>
    <row r="96" spans="1:6">
      <c r="A96" s="801" t="s">
        <v>1395</v>
      </c>
      <c r="B96" s="802">
        <v>9</v>
      </c>
      <c r="C96" s="793">
        <f>SUM(B96,-[1]cummul!$L$3,-[1]cummul!$L$8,-[5]cummul!$L$3,-[5]cummul!$L$7)</f>
        <v>0</v>
      </c>
      <c r="D96" s="793"/>
      <c r="E96" s="808">
        <v>0</v>
      </c>
      <c r="F96" s="808"/>
    </row>
    <row r="97" spans="1:6">
      <c r="A97" s="801" t="s">
        <v>1396</v>
      </c>
      <c r="B97" s="802">
        <v>9</v>
      </c>
      <c r="C97" s="793">
        <f>SUM(B97,-[1]cummul!$L$3,-[1]cummul!$L$8,-[5]cummul!$L$3,-[5]cummul!$L$7)</f>
        <v>0</v>
      </c>
      <c r="D97" s="793"/>
      <c r="E97" s="808">
        <v>0</v>
      </c>
      <c r="F97" s="808"/>
    </row>
    <row r="98" spans="1:6">
      <c r="A98" s="801" t="s">
        <v>1397</v>
      </c>
      <c r="B98" s="802">
        <v>10</v>
      </c>
      <c r="C98" s="793">
        <v>5</v>
      </c>
      <c r="D98" s="793"/>
      <c r="E98" s="808">
        <v>3</v>
      </c>
      <c r="F98" s="808"/>
    </row>
    <row r="99" spans="1:6">
      <c r="A99" s="801" t="s">
        <v>1398</v>
      </c>
      <c r="B99" s="802">
        <v>10</v>
      </c>
      <c r="C99" s="793">
        <v>5</v>
      </c>
      <c r="D99" s="793"/>
      <c r="E99" s="808">
        <v>3</v>
      </c>
      <c r="F99" s="808"/>
    </row>
    <row r="100" spans="1:6">
      <c r="A100" s="807" t="s">
        <v>1518</v>
      </c>
      <c r="B100" s="800">
        <v>8200</v>
      </c>
      <c r="C100" s="793">
        <f>SUM(B100,-'[2]CUMMUL '!A285*30,-'[2]CUMMUL '!D285*30,-'[2]CUMMUL '!G285*30,-'[2]CUMMUL '!J284*60,-'[2]CUMMUL '!A288*60,-'[2]CUMMUL '!D288*60,-'[2]CUMMUL '!G288*60,-'[2]CUMMUL '!J287*60,-'[2]CUMMUL '!A291*90,-'[2]CUMMUL '!D291*90,-'[2]CUMMUL '!G291*90,-'[2]CUMMUL '!J290*60,-'[2]CUMMUL '!A294*120,-'[2]CUMMUL '!D294*120,-'[2]CUMMUL '!G294*120)</f>
        <v>8200</v>
      </c>
      <c r="D100" s="808"/>
      <c r="E100" s="808">
        <v>1000</v>
      </c>
      <c r="F100" s="808"/>
    </row>
    <row r="101" spans="1:6">
      <c r="A101" s="807" t="s">
        <v>1519</v>
      </c>
      <c r="B101" s="800">
        <v>500</v>
      </c>
      <c r="C101" s="793">
        <f>B101-D101</f>
        <v>500</v>
      </c>
      <c r="D101" s="808"/>
      <c r="E101" s="808">
        <v>200</v>
      </c>
      <c r="F101" s="808"/>
    </row>
    <row r="102" spans="1:6">
      <c r="A102" s="801" t="s">
        <v>1404</v>
      </c>
      <c r="B102" s="800">
        <v>520</v>
      </c>
      <c r="C102" s="793">
        <f>SUM(B102,-[3]série265!$J$23*4,-[3]série265!$W$9*4)</f>
        <v>-188</v>
      </c>
      <c r="D102" s="808"/>
      <c r="E102" s="808">
        <v>80</v>
      </c>
      <c r="F102" s="808"/>
    </row>
    <row r="103" spans="1:6">
      <c r="A103" s="801" t="s">
        <v>1310</v>
      </c>
      <c r="B103" s="800">
        <v>80</v>
      </c>
      <c r="C103" s="793">
        <f>SUM(B103,-[6]STguides!$V$29*2)</f>
        <v>0</v>
      </c>
      <c r="D103" s="793"/>
      <c r="E103" s="808">
        <v>30</v>
      </c>
      <c r="F103" s="808"/>
    </row>
    <row r="104" spans="1:6">
      <c r="A104" s="801" t="s">
        <v>1343</v>
      </c>
      <c r="B104" s="796">
        <v>153</v>
      </c>
      <c r="C104" s="793">
        <f>SUM(B104,-[7]Feuil1!$E$1)</f>
        <v>50</v>
      </c>
      <c r="D104" s="793"/>
      <c r="E104" s="808">
        <v>50</v>
      </c>
      <c r="F104" s="808"/>
    </row>
    <row r="105" spans="1:6">
      <c r="A105" s="801" t="s">
        <v>1257</v>
      </c>
      <c r="B105" s="796">
        <v>10</v>
      </c>
      <c r="C105" s="793">
        <f>SUM(B105,-[8]CUMMUL!$B$1)</f>
        <v>-2</v>
      </c>
      <c r="D105" s="793"/>
      <c r="E105" s="808">
        <v>7</v>
      </c>
      <c r="F105" s="808"/>
    </row>
    <row r="106" spans="1:6">
      <c r="A106" s="801" t="s">
        <v>1288</v>
      </c>
      <c r="B106" s="796">
        <v>48</v>
      </c>
      <c r="C106" s="793">
        <f>SUM(B106,-[6]STguides!$V$29)</f>
        <v>8</v>
      </c>
      <c r="D106" s="793"/>
      <c r="E106" s="808">
        <v>15</v>
      </c>
      <c r="F106" s="808"/>
    </row>
    <row r="107" spans="1:6">
      <c r="A107" s="801" t="s">
        <v>1289</v>
      </c>
      <c r="B107" s="796">
        <v>48</v>
      </c>
      <c r="C107" s="793">
        <f>SUM(B107,-[6]STguides!$V$29)</f>
        <v>8</v>
      </c>
      <c r="D107" s="793"/>
      <c r="E107" s="808">
        <v>15</v>
      </c>
      <c r="F107" s="808"/>
    </row>
    <row r="108" spans="1:6">
      <c r="A108" s="801" t="s">
        <v>1438</v>
      </c>
      <c r="B108" s="800">
        <v>11</v>
      </c>
      <c r="C108" s="793">
        <f>B108-'[3]265 SOLAIRE'!$H$7</f>
        <v>5</v>
      </c>
      <c r="D108" s="808"/>
      <c r="E108" s="808">
        <v>5</v>
      </c>
      <c r="F108" s="808"/>
    </row>
    <row r="109" spans="1:6">
      <c r="A109" s="801" t="s">
        <v>1299</v>
      </c>
      <c r="B109" s="800">
        <v>180</v>
      </c>
      <c r="C109" s="793">
        <f>SUM(B109,-[4]L100!$J$17,-[4]L300A!$K$17,-[4]L505!$J$17,-[4]L510!$J$17,-[4]L520!$K$6,-[5]IND100P!$K$26,-[5]IND100P!$V$26,-[5]IND100F!$K$26,-[5]IND100F!$V$26,-[6]STguides!$E$29,-[6]STguides!$J$29,-[6]STguides!$O$29,-[6]STbrassimple!$H$22)</f>
        <v>41</v>
      </c>
      <c r="D109" s="793"/>
      <c r="E109" s="808">
        <v>20</v>
      </c>
      <c r="F109" s="808"/>
    </row>
    <row r="110" spans="1:6">
      <c r="A110" s="801" t="s">
        <v>1311</v>
      </c>
      <c r="B110" s="800">
        <v>1</v>
      </c>
      <c r="C110" s="793">
        <f>SUM(B110,-[6]STguides!$U$29)</f>
        <v>-2</v>
      </c>
      <c r="D110" s="793"/>
      <c r="E110" s="808">
        <v>30</v>
      </c>
      <c r="F110" s="808"/>
    </row>
    <row r="111" spans="1:6">
      <c r="A111" s="801" t="s">
        <v>1300</v>
      </c>
      <c r="B111" s="800">
        <v>649</v>
      </c>
      <c r="C111" s="793">
        <f>SUM(B111,-[4]CUMMUL!$B$6,-[5]cummul!$B$10,-[6]CUMMUL!$B$11)</f>
        <v>65</v>
      </c>
      <c r="D111" s="793"/>
      <c r="E111" s="808">
        <v>20</v>
      </c>
      <c r="F111" s="808"/>
    </row>
    <row r="112" spans="1:6">
      <c r="A112" s="805" t="s">
        <v>1405</v>
      </c>
      <c r="B112" s="800">
        <v>103</v>
      </c>
      <c r="C112" s="793">
        <f>SUM(B112,-[3]série240!$H$23)</f>
        <v>17</v>
      </c>
      <c r="D112" s="808"/>
      <c r="E112" s="808">
        <v>20</v>
      </c>
      <c r="F112" s="808"/>
    </row>
    <row r="113" spans="1:6">
      <c r="A113" s="801" t="s">
        <v>1429</v>
      </c>
      <c r="B113" s="800">
        <v>100</v>
      </c>
      <c r="C113" s="793">
        <f>SUM(B113,-[3]série240!$H$7,-[3]série265!$J$21)</f>
        <v>84</v>
      </c>
      <c r="D113" s="808"/>
      <c r="E113" s="808">
        <v>20</v>
      </c>
      <c r="F113" s="808"/>
    </row>
    <row r="114" spans="1:6">
      <c r="A114" s="807" t="s">
        <v>1520</v>
      </c>
      <c r="B114" s="800">
        <v>292</v>
      </c>
      <c r="C114" s="793">
        <f>SUM(B114,-'[2]CUMMUL '!A285,-'[2]CUMMUL '!A288*3,-'[2]CUMMUL '!A291*5,-'[2]CUMMUL '!A294*7,-'[2]CUMMUL '!D285,-'[2]CUMMUL '!D288*3,-'[2]CUMMUL '!D291*5,-'[2]CUMMUL '!D294*7,-'[2]CUMMUL '!G285,-'[2]CUMMUL '!G288*3,-'[2]CUMMUL '!G291*5,-'[2]CUMMUL '!G294*7,-'[2]CUMMUL '!J284,-'[2]CUMMUL '!J287,-'[2]CUMMUL '!J290)</f>
        <v>292</v>
      </c>
      <c r="D114" s="808"/>
      <c r="E114" s="808">
        <v>60</v>
      </c>
      <c r="F114" s="808"/>
    </row>
    <row r="115" spans="1:6">
      <c r="A115" s="807" t="s">
        <v>1521</v>
      </c>
      <c r="B115" s="800">
        <v>30</v>
      </c>
      <c r="C115" s="793">
        <f>SUM(B115,-'[2]CUMMUL '!J293)</f>
        <v>30</v>
      </c>
      <c r="D115" s="808"/>
      <c r="E115" s="808">
        <v>10</v>
      </c>
      <c r="F115" s="808"/>
    </row>
    <row r="116" spans="1:6">
      <c r="A116" s="807" t="s">
        <v>1522</v>
      </c>
      <c r="B116" s="800">
        <v>180</v>
      </c>
      <c r="C116" s="793">
        <f>SUM(B116,-[2]VERANDA!I292,-'[2]V XL'!H295)</f>
        <v>180</v>
      </c>
      <c r="D116" s="808"/>
      <c r="E116" s="808">
        <v>20</v>
      </c>
      <c r="F116" s="808"/>
    </row>
    <row r="117" spans="1:6">
      <c r="A117" s="807" t="s">
        <v>1523</v>
      </c>
      <c r="B117" s="800">
        <v>51</v>
      </c>
      <c r="C117" s="793">
        <f>SUM(B117-[2]VERANDA!I292,-'[2]V XL'!J295)</f>
        <v>51</v>
      </c>
      <c r="D117" s="808"/>
      <c r="E117" s="808">
        <v>20</v>
      </c>
      <c r="F117" s="808"/>
    </row>
    <row r="118" spans="1:6">
      <c r="A118" s="807" t="s">
        <v>1524</v>
      </c>
      <c r="B118" s="800">
        <v>10</v>
      </c>
      <c r="C118" s="793">
        <f>SUM(B118,-[2]VERANDA!H293,-'[2]V XL'!H295)</f>
        <v>10</v>
      </c>
      <c r="D118" s="808"/>
      <c r="E118" s="808">
        <v>20</v>
      </c>
      <c r="F118" s="808"/>
    </row>
    <row r="119" spans="1:6">
      <c r="A119" s="807" t="s">
        <v>1525</v>
      </c>
      <c r="B119" s="800">
        <v>82</v>
      </c>
      <c r="C119" s="793">
        <f>SUM(B119,-[2]VERANDA!Q293,-'[2]V XL'!J295)</f>
        <v>82</v>
      </c>
      <c r="D119" s="808"/>
      <c r="E119" s="808">
        <v>20</v>
      </c>
      <c r="F119" s="808"/>
    </row>
    <row r="120" spans="1:6">
      <c r="A120" s="807" t="s">
        <v>1526</v>
      </c>
      <c r="B120" s="800">
        <v>168</v>
      </c>
      <c r="C120" s="793">
        <f>SUM(B120,-[2]VERANDA!I292,-'[2]V XL'!K295)</f>
        <v>168</v>
      </c>
      <c r="D120" s="808"/>
      <c r="E120" s="808">
        <v>20</v>
      </c>
      <c r="F120" s="808"/>
    </row>
    <row r="121" spans="1:6">
      <c r="A121" s="807" t="s">
        <v>1527</v>
      </c>
      <c r="B121" s="800">
        <v>62</v>
      </c>
      <c r="C121" s="793">
        <f>SUM(B121,-[2]VERANDA!Q293,-'[2]V XL'!J295)</f>
        <v>62</v>
      </c>
      <c r="D121" s="808"/>
      <c r="E121" s="808">
        <v>20</v>
      </c>
      <c r="F121" s="808"/>
    </row>
    <row r="122" spans="1:6">
      <c r="A122" s="801" t="s">
        <v>1447</v>
      </c>
      <c r="B122" s="796">
        <v>500</v>
      </c>
      <c r="C122" s="793"/>
      <c r="D122" s="808"/>
      <c r="E122" s="808">
        <v>500</v>
      </c>
      <c r="F122" s="808"/>
    </row>
    <row r="123" spans="1:6">
      <c r="A123" s="801" t="s">
        <v>1406</v>
      </c>
      <c r="B123" s="800">
        <v>639</v>
      </c>
      <c r="C123" s="793">
        <f>SUM(B123,-[3]série265!$J$23*2,-'[3]265 SOLAIRE'!$H$7*2)</f>
        <v>273</v>
      </c>
      <c r="D123" s="808"/>
      <c r="E123" s="808">
        <v>20</v>
      </c>
      <c r="F123" s="808"/>
    </row>
    <row r="124" spans="1:6">
      <c r="A124" s="801" t="s">
        <v>1407</v>
      </c>
      <c r="B124" s="800">
        <v>639</v>
      </c>
      <c r="C124" s="793">
        <f>SUM(B124,-[3]série265!$J$23*2,-'[3]265 SOLAIRE'!$H$7*2)</f>
        <v>273</v>
      </c>
      <c r="D124" s="808"/>
      <c r="E124" s="808">
        <v>20</v>
      </c>
      <c r="F124" s="808"/>
    </row>
    <row r="125" spans="1:6">
      <c r="A125" s="805" t="s">
        <v>1327</v>
      </c>
      <c r="B125" s="800">
        <v>26</v>
      </c>
      <c r="C125" s="793">
        <f>SUM(B125,-'[1]600EX'!$G$23,-[1]M640EX!$G$23)</f>
        <v>-2</v>
      </c>
      <c r="D125" s="793"/>
      <c r="E125" s="808">
        <v>6</v>
      </c>
      <c r="F125" s="808"/>
    </row>
    <row r="126" spans="1:6">
      <c r="A126" s="805" t="s">
        <v>1328</v>
      </c>
      <c r="B126" s="800">
        <v>26</v>
      </c>
      <c r="C126" s="793">
        <f>SUM(B126,-'[1]600EX'!$G$23,-[1]M640EX!$G$23)</f>
        <v>-2</v>
      </c>
      <c r="D126" s="793"/>
      <c r="E126" s="808">
        <v>6</v>
      </c>
      <c r="F126" s="808"/>
    </row>
    <row r="127" spans="1:6">
      <c r="A127" s="807" t="s">
        <v>1528</v>
      </c>
      <c r="B127" s="800">
        <v>317</v>
      </c>
      <c r="C127" s="793">
        <f>SUM(B127,-'[2]CUMMUL '!A285*2,-'[2]CUMMUL '!A288*4,-'[2]CUMMUL '!A291*6,-'[2]CUMMUL '!A294*8)</f>
        <v>317</v>
      </c>
      <c r="D127" s="808"/>
      <c r="E127" s="808">
        <v>40</v>
      </c>
      <c r="F127" s="808"/>
    </row>
    <row r="128" spans="1:6">
      <c r="A128" s="801" t="s">
        <v>1313</v>
      </c>
      <c r="B128" s="800">
        <v>370</v>
      </c>
      <c r="C128" s="793">
        <f>SUM(B128,-[6]STguides!$V$29*4)</f>
        <v>210</v>
      </c>
      <c r="D128" s="793"/>
      <c r="E128" s="808">
        <v>40</v>
      </c>
      <c r="F128" s="808"/>
    </row>
    <row r="129" spans="1:6">
      <c r="A129" s="807" t="s">
        <v>1529</v>
      </c>
      <c r="B129" s="800">
        <v>68</v>
      </c>
      <c r="C129" s="793">
        <f>SUM(B129,-'[2]CUMMUL '!J293)</f>
        <v>68</v>
      </c>
      <c r="D129" s="808"/>
      <c r="E129" s="808">
        <v>5</v>
      </c>
      <c r="F129" s="808"/>
    </row>
    <row r="130" spans="1:6">
      <c r="A130" s="807" t="s">
        <v>1530</v>
      </c>
      <c r="B130" s="800">
        <v>68</v>
      </c>
      <c r="C130" s="793">
        <f>SUM(B130,-'[2]CUMMUL '!J293)</f>
        <v>68</v>
      </c>
      <c r="D130" s="808"/>
      <c r="E130" s="808">
        <v>5</v>
      </c>
      <c r="F130" s="808"/>
    </row>
    <row r="131" spans="1:6">
      <c r="A131" s="801" t="s">
        <v>1408</v>
      </c>
      <c r="B131" s="800">
        <v>536</v>
      </c>
      <c r="C131" s="793">
        <f>SUM(B131,-[3]série265!$J$23*2,-'[3]265 SOLAIRE'!$H$7*2)</f>
        <v>170</v>
      </c>
      <c r="D131" s="808"/>
      <c r="E131" s="808">
        <v>20</v>
      </c>
      <c r="F131" s="808"/>
    </row>
    <row r="132" spans="1:6">
      <c r="A132" s="801" t="s">
        <v>1409</v>
      </c>
      <c r="B132" s="800">
        <v>536</v>
      </c>
      <c r="C132" s="793">
        <f>SUM(B132,-[3]série265!$J$23*2,-'[3]265 SOLAIRE'!$H$7*2)</f>
        <v>170</v>
      </c>
      <c r="D132" s="808"/>
      <c r="E132" s="808">
        <v>20</v>
      </c>
      <c r="F132" s="808"/>
    </row>
    <row r="133" spans="1:6">
      <c r="A133" s="801" t="s">
        <v>1314</v>
      </c>
      <c r="B133" s="800">
        <v>100</v>
      </c>
      <c r="C133" s="793">
        <f>SUM(B133,-[6]STguides!$V$29*2)</f>
        <v>20</v>
      </c>
      <c r="D133" s="793"/>
      <c r="E133" s="808">
        <v>20</v>
      </c>
      <c r="F133" s="808"/>
    </row>
    <row r="134" spans="1:6">
      <c r="A134" s="807" t="s">
        <v>1531</v>
      </c>
      <c r="B134" s="800">
        <v>78</v>
      </c>
      <c r="C134" s="793">
        <f>SUM(B134,-'[2]CUMMUL '!J284*2,-'[2]CUMMUL '!J290*2)</f>
        <v>78</v>
      </c>
      <c r="D134" s="808"/>
      <c r="E134" s="808">
        <v>40</v>
      </c>
      <c r="F134" s="808"/>
    </row>
    <row r="135" spans="1:6">
      <c r="A135" s="801" t="s">
        <v>1358</v>
      </c>
      <c r="B135" s="796">
        <v>29</v>
      </c>
      <c r="C135" s="796">
        <f>SUM(B135,-[1]cummul!$B$20,-[1]cummul!$B$23,-[1]cummul!$B$24,-[1]cummul!$B$25,-[5]cummul!$B$14,-[5]cummul!$B$15)</f>
        <v>5</v>
      </c>
      <c r="D135" s="796"/>
      <c r="E135" s="808">
        <v>5</v>
      </c>
      <c r="F135" s="808"/>
    </row>
    <row r="136" spans="1:6">
      <c r="A136" s="801" t="s">
        <v>1359</v>
      </c>
      <c r="B136" s="796">
        <v>29</v>
      </c>
      <c r="C136" s="796">
        <f>SUM(B136,-[1]cummul!$B$20,-[1]cummul!$B$23,-[1]cummul!$B$24,-[1]cummul!$B$25,-[5]cummul!$B$14,-[5]cummul!$B$15)</f>
        <v>5</v>
      </c>
      <c r="D136" s="796"/>
      <c r="E136" s="808">
        <v>5</v>
      </c>
      <c r="F136" s="808"/>
    </row>
    <row r="137" spans="1:6">
      <c r="A137" s="801" t="s">
        <v>1360</v>
      </c>
      <c r="B137" s="796">
        <v>282</v>
      </c>
      <c r="C137" s="793">
        <f>SUM(B137,-[1]M1710!$K$22*2,-[4]L1710!$J$17*2,-[1]M560!$K$26*2,-[1]M1440!$K$26*2,-[4]L520!$K$6*2,-[1]M520!$H$6*2,-[3]série40!$F$20*4,-[3]série80!$J$23*4,-[3]série240!$H$23*4)</f>
        <v>-108</v>
      </c>
      <c r="D137" s="793"/>
      <c r="E137" s="808">
        <v>60</v>
      </c>
      <c r="F137" s="808"/>
    </row>
    <row r="138" spans="1:6">
      <c r="A138" s="807" t="s">
        <v>1532</v>
      </c>
      <c r="B138" s="800">
        <v>49</v>
      </c>
      <c r="C138" s="793">
        <f>SUM(B138,-'[2]V A BRAS'!J298)</f>
        <v>49</v>
      </c>
      <c r="D138" s="808"/>
      <c r="E138" s="808">
        <v>15</v>
      </c>
      <c r="F138" s="808"/>
    </row>
    <row r="139" spans="1:6">
      <c r="A139" s="807" t="s">
        <v>1533</v>
      </c>
      <c r="B139" s="800">
        <v>49</v>
      </c>
      <c r="C139" s="793">
        <f>SUM(B139,-'[2]V A BRAS'!J298)</f>
        <v>49</v>
      </c>
      <c r="D139" s="808"/>
      <c r="E139" s="808">
        <v>15</v>
      </c>
      <c r="F139" s="808"/>
    </row>
    <row r="140" spans="1:6">
      <c r="A140" s="801" t="s">
        <v>1410</v>
      </c>
      <c r="B140" s="800">
        <v>349</v>
      </c>
      <c r="C140" s="793">
        <f>SUM(B140,-[3]série265!$J$7*2,-[3]série265!$J$21*2,-'[3]265 SOLAIRE'!$H$7*2,-[3]série265!$J$14)</f>
        <v>87</v>
      </c>
      <c r="D140" s="808"/>
      <c r="E140" s="808">
        <v>50</v>
      </c>
      <c r="F140" s="808"/>
    </row>
    <row r="141" spans="1:6">
      <c r="A141" s="801" t="s">
        <v>1411</v>
      </c>
      <c r="B141" s="800">
        <v>492</v>
      </c>
      <c r="C141" s="793">
        <f>SUM(B141,-[3]série265!$J$14)</f>
        <v>388</v>
      </c>
      <c r="D141" s="808"/>
      <c r="E141" s="808">
        <v>20</v>
      </c>
      <c r="F141" s="808"/>
    </row>
    <row r="142" spans="1:6">
      <c r="A142" s="807" t="s">
        <v>1534</v>
      </c>
      <c r="B142" s="800">
        <v>26</v>
      </c>
      <c r="C142" s="793">
        <f>SUM(B142,-'[2]V A BRAS'!J298)</f>
        <v>26</v>
      </c>
      <c r="D142" s="808"/>
      <c r="E142" s="808">
        <v>10</v>
      </c>
      <c r="F142" s="808"/>
    </row>
    <row r="143" spans="1:6">
      <c r="A143" s="801" t="s">
        <v>1420</v>
      </c>
      <c r="B143" s="800">
        <v>15</v>
      </c>
      <c r="C143" s="793">
        <f>SUM(B143,-'[3]265 SOLAIRE'!$H$7)</f>
        <v>9</v>
      </c>
      <c r="D143" s="808"/>
      <c r="E143" s="808">
        <v>5</v>
      </c>
      <c r="F143" s="808"/>
    </row>
    <row r="144" spans="1:6">
      <c r="A144" s="801" t="s">
        <v>1421</v>
      </c>
      <c r="B144" s="800">
        <v>15</v>
      </c>
      <c r="C144" s="793">
        <f>SUM(B144,-'[3]265 SOLAIRE'!$H$7)</f>
        <v>9</v>
      </c>
      <c r="D144" s="808"/>
      <c r="E144" s="808">
        <v>5</v>
      </c>
      <c r="F144" s="808"/>
    </row>
    <row r="145" spans="1:6">
      <c r="A145" s="805" t="s">
        <v>1329</v>
      </c>
      <c r="B145" s="800">
        <v>10</v>
      </c>
      <c r="C145" s="793">
        <f>SUM(B145,-[1]M640EX!$G$23)</f>
        <v>4</v>
      </c>
      <c r="D145" s="793"/>
      <c r="E145" s="808">
        <v>6</v>
      </c>
      <c r="F145" s="808"/>
    </row>
    <row r="146" spans="1:6">
      <c r="A146" s="805" t="s">
        <v>1330</v>
      </c>
      <c r="B146" s="800">
        <v>10</v>
      </c>
      <c r="C146" s="793">
        <f>SUM(B146,-[1]M640EX!$G$23)</f>
        <v>4</v>
      </c>
      <c r="D146" s="793"/>
      <c r="E146" s="808">
        <v>6</v>
      </c>
      <c r="F146" s="808"/>
    </row>
    <row r="147" spans="1:6">
      <c r="A147" s="807" t="s">
        <v>1535</v>
      </c>
      <c r="B147" s="800">
        <v>94</v>
      </c>
      <c r="C147" s="793">
        <f>SUM(B147,-'[2]V A BRAS'!J298)</f>
        <v>94</v>
      </c>
      <c r="D147" s="808"/>
      <c r="E147" s="808">
        <v>40</v>
      </c>
      <c r="F147" s="808"/>
    </row>
    <row r="148" spans="1:6">
      <c r="A148" s="807" t="s">
        <v>1448</v>
      </c>
      <c r="B148" s="806">
        <v>201</v>
      </c>
      <c r="C148" s="793">
        <f>SUM(B148,-'[8]corbeille 55 blanc'!$W$62*8)</f>
        <v>145</v>
      </c>
      <c r="D148" s="808"/>
      <c r="E148" s="808">
        <v>40</v>
      </c>
      <c r="F148" s="808"/>
    </row>
    <row r="149" spans="1:6">
      <c r="A149" s="805" t="s">
        <v>1482</v>
      </c>
      <c r="B149" s="806">
        <v>200</v>
      </c>
      <c r="C149" s="793">
        <f>SUM(B149,-'[8]corbeille 55 nat'!$W$61*8)</f>
        <v>192</v>
      </c>
      <c r="D149" s="808"/>
      <c r="E149" s="808">
        <v>30</v>
      </c>
      <c r="F149" s="808"/>
    </row>
    <row r="150" spans="1:6">
      <c r="A150" s="807" t="s">
        <v>1449</v>
      </c>
      <c r="B150" s="806">
        <v>350</v>
      </c>
      <c r="C150" s="793">
        <f>SUM(B150,-'[8]corbeille 55 blanc'!$F$70*10)</f>
        <v>70</v>
      </c>
      <c r="D150" s="808"/>
      <c r="E150" s="808">
        <v>100</v>
      </c>
      <c r="F150" s="808"/>
    </row>
    <row r="151" spans="1:6">
      <c r="A151" s="805" t="s">
        <v>1483</v>
      </c>
      <c r="B151" s="806">
        <v>270</v>
      </c>
      <c r="C151" s="793">
        <f>SUM(B151,-'[8]corbeille 55 nat'!$F$70*10)</f>
        <v>50</v>
      </c>
      <c r="D151" s="808"/>
      <c r="E151" s="808">
        <v>100</v>
      </c>
      <c r="F151" s="808"/>
    </row>
    <row r="152" spans="1:6">
      <c r="A152" s="805" t="s">
        <v>1450</v>
      </c>
      <c r="B152" s="806">
        <v>148</v>
      </c>
      <c r="C152" s="793">
        <f>SUM(B152,-'[8]corbeille 55 blanc'!$F$70*2)</f>
        <v>92</v>
      </c>
      <c r="D152" s="808"/>
      <c r="E152" s="808">
        <v>40</v>
      </c>
      <c r="F152" s="808"/>
    </row>
    <row r="153" spans="1:6">
      <c r="A153" s="805" t="s">
        <v>1484</v>
      </c>
      <c r="B153" s="806">
        <v>106</v>
      </c>
      <c r="C153" s="793">
        <f>SUM(B153,-'[8]corbeille 55 nat'!$K$61*2,-'[8]hall-CAN 55 NAT'!$I$21)</f>
        <v>42</v>
      </c>
      <c r="D153" s="808"/>
      <c r="E153" s="808">
        <v>40</v>
      </c>
      <c r="F153" s="808"/>
    </row>
    <row r="154" spans="1:6">
      <c r="A154" s="805" t="s">
        <v>1451</v>
      </c>
      <c r="B154" s="806">
        <v>163</v>
      </c>
      <c r="C154" s="793">
        <f>SUM(B154,-'[8]corbeille 55 blanc'!$W$62*2)</f>
        <v>149</v>
      </c>
      <c r="D154" s="808"/>
      <c r="E154" s="808">
        <v>40</v>
      </c>
      <c r="F154" s="808"/>
    </row>
    <row r="155" spans="1:6">
      <c r="A155" s="805" t="s">
        <v>1485</v>
      </c>
      <c r="B155" s="806">
        <v>216</v>
      </c>
      <c r="C155" s="793">
        <f>SUM(B155,-'[8]corbeille 55 nat'!$W$61*2)</f>
        <v>214</v>
      </c>
      <c r="D155" s="808"/>
      <c r="E155" s="808">
        <v>40</v>
      </c>
      <c r="F155" s="808"/>
    </row>
    <row r="156" spans="1:6">
      <c r="A156" s="807" t="s">
        <v>1452</v>
      </c>
      <c r="B156" s="806">
        <v>147</v>
      </c>
      <c r="C156" s="793">
        <f>B156-D156</f>
        <v>147</v>
      </c>
      <c r="D156" s="808"/>
      <c r="E156" s="808">
        <v>0</v>
      </c>
      <c r="F156" s="808"/>
    </row>
    <row r="157" spans="1:6">
      <c r="A157" s="805" t="s">
        <v>1486</v>
      </c>
      <c r="B157" s="806">
        <v>129</v>
      </c>
      <c r="C157" s="793">
        <f>SUM(B157,-'[8]corbeille 35nat'!$B$44*2,-'[8]corbeille 35nat'!$J$44*2,-'[8]corbeille 45 nat'!$B$52*2,-'[8]corbeille 45 nat'!$J$52*2,-'[8]corbeille 55 nat'!$B$65*2,-'[8]corbeille 55 nat'!$J$65*2)</f>
        <v>95</v>
      </c>
      <c r="D157" s="808"/>
      <c r="E157" s="808">
        <v>0</v>
      </c>
      <c r="F157" s="808"/>
    </row>
    <row r="158" spans="1:6">
      <c r="A158" s="805" t="s">
        <v>1453</v>
      </c>
      <c r="B158" s="806">
        <v>130</v>
      </c>
      <c r="C158" s="793">
        <f>SUM(B158,-'[8]corbeille 55 blanc'!$K$62*6)</f>
        <v>16</v>
      </c>
      <c r="D158" s="808"/>
      <c r="E158" s="808">
        <v>120</v>
      </c>
      <c r="F158" s="808"/>
    </row>
    <row r="159" spans="1:6">
      <c r="A159" s="805" t="s">
        <v>1487</v>
      </c>
      <c r="B159" s="806">
        <v>196</v>
      </c>
      <c r="C159" s="793">
        <f>SUM(B159,-'[8]corbeille 55 nat'!$K$61*6,-'[8]hall-CAN 55 NAT'!$I$22)</f>
        <v>-66</v>
      </c>
      <c r="D159" s="808"/>
      <c r="E159" s="808">
        <v>120</v>
      </c>
      <c r="F159" s="808"/>
    </row>
    <row r="160" spans="1:6">
      <c r="A160" s="805" t="s">
        <v>1454</v>
      </c>
      <c r="B160" s="806">
        <v>111</v>
      </c>
      <c r="C160" s="793">
        <f>SUM(B160,-'[8]corbeille 55 blanc'!$K$62*2)</f>
        <v>73</v>
      </c>
      <c r="D160" s="808"/>
      <c r="E160" s="808">
        <v>100</v>
      </c>
      <c r="F160" s="808"/>
    </row>
    <row r="161" spans="1:6">
      <c r="A161" s="805" t="s">
        <v>1488</v>
      </c>
      <c r="B161" s="806">
        <v>221</v>
      </c>
      <c r="C161" s="793">
        <f>SUM(B161,-'[8]corbeille 55 nat'!$F$70*8,-'[8]hall-CAN 55 NAT'!$I$23)</f>
        <v>-17</v>
      </c>
      <c r="D161" s="808"/>
      <c r="E161" s="808">
        <v>50</v>
      </c>
      <c r="F161" s="808"/>
    </row>
    <row r="162" spans="1:6">
      <c r="A162" s="805" t="s">
        <v>1489</v>
      </c>
      <c r="B162" s="806">
        <v>181</v>
      </c>
      <c r="C162" s="793">
        <f>B162-D162</f>
        <v>181</v>
      </c>
      <c r="D162" s="808"/>
      <c r="E162" s="808">
        <v>80</v>
      </c>
      <c r="F162" s="808"/>
    </row>
    <row r="163" spans="1:6">
      <c r="A163" s="807" t="s">
        <v>1455</v>
      </c>
      <c r="B163" s="796">
        <v>236</v>
      </c>
      <c r="C163" s="793">
        <f>SUM(B163,-'[8]CANAD BLANC'!$B$11*8,-'[8]CANAD BLANC'!$B$13*8)</f>
        <v>236</v>
      </c>
      <c r="D163" s="808"/>
      <c r="E163" s="808">
        <v>100</v>
      </c>
      <c r="F163" s="808"/>
    </row>
    <row r="164" spans="1:6">
      <c r="A164" s="805" t="s">
        <v>1490</v>
      </c>
      <c r="B164" s="806">
        <v>172</v>
      </c>
      <c r="C164" s="793">
        <f>SUM(B164,-'[8]corbeille 35nat'!$B$44*8,-'[8]corbeille 35nat'!$J$44*8,-'[8]corbeille 35nat'!$B$48*8,-'[8]corbeille 45 nat'!$B$52*8,-'[8]corbeille 45 nat'!$J$52*8,-'[8]corbeille 45 nat'!$B$56*8)</f>
        <v>68</v>
      </c>
      <c r="D164" s="808"/>
      <c r="E164" s="808">
        <v>50</v>
      </c>
      <c r="F164" s="808"/>
    </row>
    <row r="165" spans="1:6">
      <c r="A165" s="807" t="s">
        <v>1456</v>
      </c>
      <c r="B165" s="796">
        <v>182</v>
      </c>
      <c r="C165" s="793">
        <f>SUM(B165,-'[8]CANAD BLANC'!$B$11*2,-'[8]CANAD BLANC'!$B$13*2)</f>
        <v>182</v>
      </c>
      <c r="D165" s="808"/>
      <c r="E165" s="808">
        <v>50</v>
      </c>
      <c r="F165" s="808"/>
    </row>
    <row r="166" spans="1:6">
      <c r="A166" s="805" t="s">
        <v>1491</v>
      </c>
      <c r="B166" s="806">
        <v>112</v>
      </c>
      <c r="C166" s="793">
        <f>SUM(B166,-'[8]corbeille 35nat'!$F$49*2,-'[8]corbeille 45 nat'!$F$57*2,-'[8]corbeille 55 nat'!$F$70*2)</f>
        <v>14</v>
      </c>
      <c r="D166" s="808"/>
      <c r="E166" s="808">
        <v>50</v>
      </c>
      <c r="F166" s="808"/>
    </row>
    <row r="167" spans="1:6">
      <c r="A167" s="807" t="s">
        <v>1457</v>
      </c>
      <c r="B167" s="796">
        <v>210</v>
      </c>
      <c r="C167" s="793">
        <f>SUM(B167,-'[8]corbeille 35 blanc'!$P$51,-'[8]corbeille 45 blanc'!$P$61,-'[8]corbeille 55 blanc'!$P$77)</f>
        <v>37</v>
      </c>
      <c r="D167" s="808"/>
      <c r="E167" s="808">
        <v>80</v>
      </c>
      <c r="F167" s="808"/>
    </row>
    <row r="168" spans="1:6">
      <c r="A168" s="805" t="s">
        <v>1492</v>
      </c>
      <c r="B168" s="806">
        <v>203</v>
      </c>
      <c r="C168" s="793">
        <f>SUM(B168,-'[8]corbeille 35nat'!$P$51,-'[8]corbeille 45 nat'!$P$61,-'[8]corbeille 55 nat'!$P$77)</f>
        <v>39</v>
      </c>
      <c r="D168" s="808"/>
      <c r="E168" s="808">
        <v>80</v>
      </c>
      <c r="F168" s="808"/>
    </row>
    <row r="169" spans="1:6">
      <c r="A169" s="805" t="s">
        <v>1458</v>
      </c>
      <c r="B169" s="806">
        <v>27</v>
      </c>
      <c r="C169" s="793">
        <f>B169-D169</f>
        <v>27</v>
      </c>
      <c r="D169" s="808"/>
      <c r="E169" s="808">
        <v>15</v>
      </c>
      <c r="F169" s="808"/>
    </row>
    <row r="170" spans="1:6">
      <c r="A170" s="807" t="s">
        <v>1459</v>
      </c>
      <c r="B170" s="796">
        <v>93</v>
      </c>
      <c r="C170" s="793">
        <f>B170-D170</f>
        <v>93</v>
      </c>
      <c r="D170" s="808"/>
      <c r="E170" s="808">
        <v>15</v>
      </c>
      <c r="F170" s="808"/>
    </row>
    <row r="171" spans="1:6">
      <c r="A171" s="805" t="s">
        <v>1493</v>
      </c>
      <c r="B171" s="806">
        <v>167</v>
      </c>
      <c r="C171" s="793">
        <f>B171-D171</f>
        <v>167</v>
      </c>
      <c r="D171" s="808"/>
      <c r="E171" s="808">
        <v>15</v>
      </c>
      <c r="F171" s="808"/>
    </row>
    <row r="172" spans="1:6">
      <c r="A172" s="805" t="s">
        <v>1494</v>
      </c>
      <c r="B172" s="806">
        <v>250</v>
      </c>
      <c r="C172" s="793">
        <f>B172-D172</f>
        <v>250</v>
      </c>
      <c r="D172" s="808"/>
      <c r="E172" s="808">
        <v>15</v>
      </c>
      <c r="F172" s="808"/>
    </row>
    <row r="173" spans="1:6">
      <c r="A173" s="807" t="s">
        <v>1460</v>
      </c>
      <c r="B173" s="806">
        <v>48</v>
      </c>
      <c r="C173" s="793">
        <f>B173-D173</f>
        <v>48</v>
      </c>
      <c r="D173" s="808"/>
      <c r="E173" s="808">
        <v>15</v>
      </c>
      <c r="F173" s="808"/>
    </row>
    <row r="174" spans="1:6">
      <c r="A174" s="805" t="s">
        <v>1461</v>
      </c>
      <c r="B174" s="806">
        <v>296</v>
      </c>
      <c r="C174" s="793">
        <f>SUM(B174,-'[8]corbeille 45 blanc'!$F$57*8)</f>
        <v>176</v>
      </c>
      <c r="D174" s="808"/>
      <c r="E174" s="808">
        <v>100</v>
      </c>
      <c r="F174" s="808"/>
    </row>
    <row r="175" spans="1:6">
      <c r="A175" s="805" t="s">
        <v>1495</v>
      </c>
      <c r="B175" s="806">
        <v>132</v>
      </c>
      <c r="C175" s="793">
        <f>SUM(B175,-'[8]corbeille 45 nat'!$K$49*8)</f>
        <v>92</v>
      </c>
      <c r="D175" s="808"/>
      <c r="E175" s="808">
        <v>100</v>
      </c>
      <c r="F175" s="808"/>
    </row>
    <row r="176" spans="1:6">
      <c r="A176" s="805" t="s">
        <v>1462</v>
      </c>
      <c r="B176" s="806">
        <v>219</v>
      </c>
      <c r="C176" s="793">
        <f>SUM(B176,-'[8]corbeille 45 blanc'!$K$50*2,-'[8]corbeille 45 blanc'!$W$50*2)</f>
        <v>189</v>
      </c>
      <c r="D176" s="808"/>
      <c r="E176" s="808">
        <v>100</v>
      </c>
      <c r="F176" s="808"/>
    </row>
    <row r="177" spans="1:6">
      <c r="A177" s="805" t="s">
        <v>1496</v>
      </c>
      <c r="B177" s="806">
        <v>124</v>
      </c>
      <c r="C177" s="793">
        <f>SUM(B177,-'[8]corbeille 45 nat'!$F$57*2)</f>
        <v>80</v>
      </c>
      <c r="D177" s="808"/>
      <c r="E177" s="808">
        <v>100</v>
      </c>
      <c r="F177" s="808"/>
    </row>
    <row r="178" spans="1:6">
      <c r="A178" s="801" t="s">
        <v>1305</v>
      </c>
      <c r="B178" s="800">
        <v>4</v>
      </c>
      <c r="C178" s="793">
        <f>SUM(B178,-[1]M5000!$E$16*4,-[1]M5000!$K$16*4)</f>
        <v>0</v>
      </c>
      <c r="D178" s="793"/>
      <c r="E178" s="808">
        <v>40</v>
      </c>
      <c r="F178" s="808"/>
    </row>
    <row r="179" spans="1:6">
      <c r="A179" s="801" t="s">
        <v>1306</v>
      </c>
      <c r="B179" s="800">
        <v>0</v>
      </c>
      <c r="C179" s="793">
        <f>B179-E179</f>
        <v>-20</v>
      </c>
      <c r="D179" s="793"/>
      <c r="E179" s="808">
        <v>20</v>
      </c>
      <c r="F179" s="808"/>
    </row>
    <row r="180" spans="1:6">
      <c r="A180" s="801" t="s">
        <v>1463</v>
      </c>
      <c r="B180" s="806">
        <v>122</v>
      </c>
      <c r="C180" s="793">
        <f>SUM(B180,-'[8]corbeille 35 blanc'!$F$49*2,-'[8]corbeille 45 blanc'!$F$57*2)</f>
        <v>84</v>
      </c>
      <c r="D180" s="808"/>
      <c r="E180" s="808">
        <v>100</v>
      </c>
      <c r="F180" s="808"/>
    </row>
    <row r="181" spans="1:6">
      <c r="A181" s="805" t="s">
        <v>1497</v>
      </c>
      <c r="B181" s="806">
        <v>184</v>
      </c>
      <c r="C181" s="793">
        <f>SUM(B181,-'[8]corbeille 45 nat'!$F$57*2,-'[8]corbeille 35nat'!$F$49*2)</f>
        <v>130</v>
      </c>
      <c r="D181" s="808"/>
      <c r="E181" s="808">
        <v>100</v>
      </c>
      <c r="F181" s="808"/>
    </row>
    <row r="182" spans="1:6">
      <c r="A182" s="807" t="s">
        <v>1464</v>
      </c>
      <c r="B182" s="806">
        <v>359</v>
      </c>
      <c r="C182" s="793">
        <f>SUM(B182,-'[8]corbeille 35 blanc'!$W$42*8,-'[8]corbeille 45 blanc'!$W$50*8)</f>
        <v>359</v>
      </c>
      <c r="D182" s="808"/>
      <c r="E182" s="808">
        <v>100</v>
      </c>
      <c r="F182" s="808"/>
    </row>
    <row r="183" spans="1:6">
      <c r="A183" s="805" t="s">
        <v>1498</v>
      </c>
      <c r="B183" s="806">
        <v>218</v>
      </c>
      <c r="C183" s="793">
        <f>SUM(B183,-'[8]corbeille 35nat'!$F$49*8,-'[8]corbeille 45 nat'!$F$57*8)</f>
        <v>2</v>
      </c>
      <c r="D183" s="808"/>
      <c r="E183" s="808">
        <v>100</v>
      </c>
      <c r="F183" s="808"/>
    </row>
    <row r="184" spans="1:6">
      <c r="A184" s="805" t="s">
        <v>1465</v>
      </c>
      <c r="B184" s="806">
        <v>163</v>
      </c>
      <c r="C184" s="793">
        <f>SUM(B184,-'[8]corbeille 45 blanc'!$W$50*8)</f>
        <v>163</v>
      </c>
      <c r="D184" s="808"/>
      <c r="E184" s="808">
        <v>100</v>
      </c>
      <c r="F184" s="808"/>
    </row>
    <row r="185" spans="1:6">
      <c r="A185" s="805" t="s">
        <v>1499</v>
      </c>
      <c r="B185" s="806">
        <v>426</v>
      </c>
      <c r="C185" s="793">
        <f>SUM(B185,-'[8]corbeille 45 nat'!$W$49*8)</f>
        <v>426</v>
      </c>
      <c r="D185" s="808"/>
      <c r="E185" s="808">
        <v>100</v>
      </c>
      <c r="F185" s="808"/>
    </row>
    <row r="186" spans="1:6">
      <c r="A186" s="807" t="s">
        <v>1466</v>
      </c>
      <c r="B186" s="806">
        <v>117</v>
      </c>
      <c r="C186" s="793">
        <f>SUM(B186,-'[8]corbeille 35 blanc'!$F$49*10)</f>
        <v>77</v>
      </c>
      <c r="D186" s="808"/>
      <c r="E186" s="808">
        <v>100</v>
      </c>
      <c r="F186" s="808"/>
    </row>
    <row r="187" spans="1:6">
      <c r="A187" s="805" t="s">
        <v>1500</v>
      </c>
      <c r="B187" s="806">
        <v>131</v>
      </c>
      <c r="C187" s="793">
        <f>SUM(B187,-'[8]corbeille 35nat'!$F$49*10)</f>
        <v>81</v>
      </c>
      <c r="D187" s="808"/>
      <c r="E187" s="808">
        <v>100</v>
      </c>
      <c r="F187" s="808"/>
    </row>
    <row r="188" spans="1:6">
      <c r="A188" s="801" t="s">
        <v>1467</v>
      </c>
      <c r="B188" s="806">
        <v>398</v>
      </c>
      <c r="C188" s="793">
        <f>SUM(B188,-'[8]corbeille 55 blanc'!$K$62*4)</f>
        <v>322</v>
      </c>
      <c r="D188" s="808"/>
      <c r="E188" s="808">
        <v>100</v>
      </c>
      <c r="F188" s="808"/>
    </row>
    <row r="189" spans="1:6">
      <c r="A189" s="805" t="s">
        <v>1501</v>
      </c>
      <c r="B189" s="806">
        <v>124</v>
      </c>
      <c r="C189" s="793">
        <f>SUM(B189,-'[8]corbeille 35nat'!$K$41*10)</f>
        <v>104</v>
      </c>
      <c r="D189" s="808"/>
      <c r="E189" s="808">
        <v>100</v>
      </c>
      <c r="F189" s="808"/>
    </row>
    <row r="190" spans="1:6">
      <c r="A190" s="807" t="s">
        <v>1468</v>
      </c>
      <c r="B190" s="806">
        <v>50</v>
      </c>
      <c r="C190" s="793">
        <f>SUM(B190,-'[8]corbeille 35 blanc'!$K$42*4)</f>
        <v>34</v>
      </c>
      <c r="D190" s="808"/>
      <c r="E190" s="808">
        <v>100</v>
      </c>
      <c r="F190" s="808"/>
    </row>
    <row r="191" spans="1:6">
      <c r="A191" s="805" t="s">
        <v>1502</v>
      </c>
      <c r="B191" s="806">
        <v>159</v>
      </c>
      <c r="C191" s="793">
        <f>SUM(B191,-'[8]corbeille 35nat'!$K$41*4)</f>
        <v>151</v>
      </c>
      <c r="D191" s="808"/>
      <c r="E191" s="808">
        <v>100</v>
      </c>
      <c r="F191" s="808"/>
    </row>
    <row r="192" spans="1:6">
      <c r="A192" s="807" t="s">
        <v>1469</v>
      </c>
      <c r="B192" s="806">
        <v>135</v>
      </c>
      <c r="C192" s="793">
        <f>SUM(B192,-'[8]corbeille 35 blanc'!$F$49)</f>
        <v>131</v>
      </c>
      <c r="D192" s="808"/>
      <c r="E192" s="808">
        <v>100</v>
      </c>
      <c r="F192" s="808"/>
    </row>
    <row r="193" spans="1:6">
      <c r="A193" s="805" t="s">
        <v>1503</v>
      </c>
      <c r="B193" s="806">
        <v>634</v>
      </c>
      <c r="C193" s="793">
        <f>SUM(B193,-'[8]corbeille 35nat'!$F$49)</f>
        <v>629</v>
      </c>
      <c r="D193" s="808"/>
      <c r="E193" s="808">
        <v>100</v>
      </c>
      <c r="F193" s="808"/>
    </row>
    <row r="194" spans="1:6">
      <c r="A194" s="807" t="s">
        <v>1470</v>
      </c>
      <c r="B194" s="806">
        <v>150</v>
      </c>
      <c r="C194" s="793">
        <f>SUM(B194,-'[8]corbeille 35 blanc'!$F$49)</f>
        <v>146</v>
      </c>
      <c r="D194" s="808"/>
      <c r="E194" s="808">
        <v>100</v>
      </c>
      <c r="F194" s="808"/>
    </row>
    <row r="195" spans="1:6">
      <c r="A195" s="805" t="s">
        <v>1504</v>
      </c>
      <c r="B195" s="806">
        <v>327</v>
      </c>
      <c r="C195" s="793">
        <f>SUM(B195,-'[8]corbeille 35nat'!$F$49)</f>
        <v>322</v>
      </c>
      <c r="D195" s="808"/>
      <c r="E195" s="808">
        <v>100</v>
      </c>
      <c r="F195" s="808"/>
    </row>
    <row r="196" spans="1:6">
      <c r="A196" s="807" t="s">
        <v>1471</v>
      </c>
      <c r="B196" s="806">
        <v>298</v>
      </c>
      <c r="C196" s="793">
        <f>SUM(B196,-'[8]corbeille 35 blanc'!$F$49*4)</f>
        <v>282</v>
      </c>
      <c r="D196" s="808"/>
      <c r="E196" s="808">
        <v>100</v>
      </c>
      <c r="F196" s="808"/>
    </row>
    <row r="197" spans="1:6">
      <c r="A197" s="805" t="s">
        <v>1505</v>
      </c>
      <c r="B197" s="806">
        <v>186</v>
      </c>
      <c r="C197" s="793">
        <f>SUM(B197,-'[8]corbeille 35nat'!$W$41*4)</f>
        <v>186</v>
      </c>
      <c r="D197" s="808"/>
      <c r="E197" s="808">
        <v>100</v>
      </c>
      <c r="F197" s="808"/>
    </row>
    <row r="198" spans="1:6">
      <c r="A198" s="807" t="s">
        <v>1472</v>
      </c>
      <c r="B198" s="806">
        <v>269</v>
      </c>
      <c r="C198" s="793">
        <f>SUM(B198,-'[8]corbeille 35 blanc'!$W$42*4)</f>
        <v>269</v>
      </c>
      <c r="D198" s="808"/>
      <c r="E198" s="808">
        <v>100</v>
      </c>
      <c r="F198" s="808"/>
    </row>
    <row r="199" spans="1:6">
      <c r="A199" s="805" t="s">
        <v>1506</v>
      </c>
      <c r="B199" s="806">
        <v>459</v>
      </c>
      <c r="C199" s="793">
        <f>SUM(B199,-'[8]corbeille 35nat'!$W$41*4)</f>
        <v>459</v>
      </c>
      <c r="D199" s="808"/>
      <c r="E199" s="808">
        <v>100</v>
      </c>
      <c r="F199" s="808"/>
    </row>
    <row r="200" spans="1:6">
      <c r="A200" s="807" t="s">
        <v>1473</v>
      </c>
      <c r="B200" s="806">
        <v>280</v>
      </c>
      <c r="C200" s="793">
        <f>SUM(B200,-'[8]corbeille 45 blanc'!$F$57*10)</f>
        <v>130</v>
      </c>
      <c r="D200" s="808"/>
      <c r="E200" s="808">
        <v>100</v>
      </c>
      <c r="F200" s="808"/>
    </row>
    <row r="201" spans="1:6">
      <c r="A201" s="805" t="s">
        <v>1507</v>
      </c>
      <c r="B201" s="806">
        <v>137</v>
      </c>
      <c r="C201" s="793">
        <f>SUM(B201,-'[8]corbeille 45 nat'!$F$57*10)</f>
        <v>-83</v>
      </c>
      <c r="D201" s="808"/>
      <c r="E201" s="808">
        <v>100</v>
      </c>
      <c r="F201" s="808"/>
    </row>
    <row r="202" spans="1:6">
      <c r="A202" s="807" t="s">
        <v>1474</v>
      </c>
      <c r="B202" s="806">
        <v>331</v>
      </c>
      <c r="C202" s="793">
        <f>SUM(B202,-'[8]corbeille 35 blanc'!$F$44*10,-'[8]corbeille 45 blanc'!$F$52*10,-'[8]corbeille 55 blanc'!$F$65*10)</f>
        <v>11</v>
      </c>
      <c r="D202" s="808"/>
      <c r="E202" s="808">
        <v>100</v>
      </c>
      <c r="F202" s="808"/>
    </row>
    <row r="203" spans="1:6">
      <c r="A203" s="805" t="s">
        <v>1508</v>
      </c>
      <c r="B203" s="806">
        <v>336</v>
      </c>
      <c r="C203" s="793">
        <f>SUM(B203,-'[8]corbeille 35nat'!$F$44*10,-'[8]corbeille 45 nat'!$F$52*10,-'[8]corbeille 55 nat'!$F$65*10)</f>
        <v>106</v>
      </c>
      <c r="D203" s="808"/>
      <c r="E203" s="808">
        <v>100</v>
      </c>
      <c r="F203" s="808"/>
    </row>
    <row r="204" spans="1:6">
      <c r="A204" s="805" t="s">
        <v>1475</v>
      </c>
      <c r="B204" s="806">
        <v>588</v>
      </c>
      <c r="C204" s="806">
        <f>SUM(B204,-'[8]CANAD BLANC'!$P$3*2,-'[8]CANAD BLANC'!$P$4*2,-'[8]CANAD BLANC'!$P$5*2,-'[8]CANAD BLANC'!$P$6*2,-'[8]CANAD BLANC'!$P$7*2,-'[8]CANAD BLANC'!$P$8*2,-'[8]CANAD BLANC'!$P$9*2,-'[8]CANAD BLANC'!$M$11*4,-'[8]CANAD BLANC'!$R$10)</f>
        <v>74</v>
      </c>
      <c r="D204" s="808"/>
      <c r="E204" s="808">
        <v>100</v>
      </c>
      <c r="F204" s="808"/>
    </row>
    <row r="205" spans="1:6">
      <c r="A205" s="805" t="s">
        <v>1509</v>
      </c>
      <c r="B205" s="806">
        <v>708</v>
      </c>
      <c r="C205" s="793">
        <f>SUM(B205,-'[8]hall-CAN 55 NAT'!$X$15*2,-'[8]hall-CAN 55 NAT'!$X$16*2,-'[8]hall-CAN 55 NAT'!$X$17*2,-'[8]hall-CAN 55 NAT'!$X$18*2,-'[8]hall-CAN 55 NAT'!$X$19*2,-'[8]hall-CAN 55 NAT'!$X$20*2,-'[8]hall-CAN 55 NAT'!$X$21*2,-'[8]hall-CAN 55 NAT'!$Z$22)</f>
        <v>184</v>
      </c>
      <c r="D205" s="808"/>
      <c r="E205" s="808">
        <v>100</v>
      </c>
      <c r="F205" s="808"/>
    </row>
    <row r="206" spans="1:6">
      <c r="A206" s="801" t="s">
        <v>1315</v>
      </c>
      <c r="B206" s="800">
        <v>39</v>
      </c>
      <c r="C206" s="793">
        <f>SUM(B206,-[6]STguides!$J$29)</f>
        <v>10</v>
      </c>
      <c r="D206" s="793"/>
      <c r="E206" s="808">
        <v>20</v>
      </c>
      <c r="F206" s="808"/>
    </row>
    <row r="207" spans="1:6">
      <c r="A207" s="801" t="s">
        <v>1316</v>
      </c>
      <c r="B207" s="800">
        <v>39</v>
      </c>
      <c r="C207" s="793">
        <f>SUM(B207,-[6]STguides!$J$29)</f>
        <v>10</v>
      </c>
      <c r="D207" s="793"/>
      <c r="E207" s="808">
        <v>20</v>
      </c>
      <c r="F207" s="808"/>
    </row>
    <row r="208" spans="1:6">
      <c r="A208" s="801" t="s">
        <v>1317</v>
      </c>
      <c r="B208" s="800">
        <v>1</v>
      </c>
      <c r="C208" s="793">
        <f>SUM(B208)</f>
        <v>1</v>
      </c>
      <c r="D208" s="793"/>
      <c r="E208" s="808">
        <v>0</v>
      </c>
      <c r="F208" s="808"/>
    </row>
    <row r="209" spans="1:6">
      <c r="A209" s="801" t="s">
        <v>1318</v>
      </c>
      <c r="B209" s="800">
        <v>274</v>
      </c>
      <c r="C209" s="793">
        <f>SUM(B209,-[6]STguides!$E$29*2,-[6]STguides!$J$29*2,-[6]Coffre110!$H$22*2)</f>
        <v>12</v>
      </c>
      <c r="D209" s="793"/>
      <c r="E209" s="808">
        <v>40</v>
      </c>
      <c r="F209" s="808"/>
    </row>
    <row r="210" spans="1:6">
      <c r="A210" s="801" t="s">
        <v>1319</v>
      </c>
      <c r="B210" s="800">
        <v>285</v>
      </c>
      <c r="C210" s="793">
        <f>SUM(B210,-[6]STguides!$E$29*2,-[6]STguides!$J$29*2,-[6]Coffre110!$H$22*2)</f>
        <v>23</v>
      </c>
      <c r="D210" s="793"/>
      <c r="E210" s="808">
        <v>40</v>
      </c>
      <c r="F210" s="808"/>
    </row>
    <row r="211" spans="1:6">
      <c r="A211" s="805" t="s">
        <v>1320</v>
      </c>
      <c r="B211" s="800">
        <v>278</v>
      </c>
      <c r="C211" s="793">
        <f>SUM(B211,-[6]STguides!$E$29*2,-[6]STguides!$J$29*2,-[6]Coffre110!$H$22*2)</f>
        <v>16</v>
      </c>
      <c r="D211" s="793"/>
      <c r="E211" s="808">
        <v>40</v>
      </c>
      <c r="F211" s="808"/>
    </row>
    <row r="212" spans="1:6">
      <c r="A212" s="805" t="s">
        <v>1321</v>
      </c>
      <c r="B212" s="800">
        <v>258</v>
      </c>
      <c r="C212" s="793">
        <f>SUM(B212,-[6]STguides!$E$29*2,-[6]STguides!$J$29*2)</f>
        <v>-4</v>
      </c>
      <c r="D212" s="793"/>
      <c r="E212" s="808">
        <v>40</v>
      </c>
      <c r="F212" s="808"/>
    </row>
    <row r="213" spans="1:6">
      <c r="A213" s="805" t="s">
        <v>1309</v>
      </c>
      <c r="B213" s="800">
        <v>486</v>
      </c>
      <c r="C213" s="793">
        <f>SUM(B213,-[3]Feuil1!$B$17*4,-[3]Feuil1!$B$18*4,-[3]Feuil1!$B$19*4,-[1]cummul!$L$4*2,-[1]cummul!$L$9*4,-[5]cummul!$L$4*2,-[5]cummul!$L$8*4,-[4]CUMMUL!$B$4*2)</f>
        <v>230</v>
      </c>
      <c r="D213" s="793"/>
      <c r="E213" s="808">
        <v>80</v>
      </c>
      <c r="F213" s="808"/>
    </row>
    <row r="214" spans="1:6">
      <c r="A214" s="807" t="s">
        <v>1536</v>
      </c>
      <c r="B214" s="800">
        <v>56</v>
      </c>
      <c r="C214" s="793">
        <f>SUM(B214,-'[2]V A BRAS'!J298)</f>
        <v>56</v>
      </c>
      <c r="D214" s="808"/>
      <c r="E214" s="808">
        <v>10</v>
      </c>
      <c r="F214" s="808"/>
    </row>
    <row r="215" spans="1:6">
      <c r="A215" s="807" t="s">
        <v>1537</v>
      </c>
      <c r="B215" s="800">
        <v>56</v>
      </c>
      <c r="C215" s="793">
        <f>SUM(B215,-'[2]V A BRAS'!J298)</f>
        <v>56</v>
      </c>
      <c r="D215" s="808"/>
      <c r="E215" s="808">
        <v>10</v>
      </c>
      <c r="F215" s="808"/>
    </row>
    <row r="216" spans="1:6">
      <c r="A216" s="805" t="s">
        <v>1332</v>
      </c>
      <c r="B216" s="800">
        <v>13</v>
      </c>
      <c r="C216" s="793">
        <f>SUM(B216,-[6]Coffre105!$K$7)</f>
        <v>13</v>
      </c>
      <c r="D216" s="793"/>
      <c r="E216" s="808">
        <v>10</v>
      </c>
      <c r="F216" s="808"/>
    </row>
    <row r="217" spans="1:6">
      <c r="A217" s="805" t="s">
        <v>1333</v>
      </c>
      <c r="B217" s="800">
        <v>13</v>
      </c>
      <c r="C217" s="793">
        <f>SUM(B217,-[6]Coffre105!$K$7)</f>
        <v>13</v>
      </c>
      <c r="D217" s="793"/>
      <c r="E217" s="808">
        <v>10</v>
      </c>
      <c r="F217" s="808"/>
    </row>
    <row r="218" spans="1:6">
      <c r="A218" s="801" t="s">
        <v>1412</v>
      </c>
      <c r="B218" s="800">
        <v>369</v>
      </c>
      <c r="C218" s="793">
        <f>SUM(B218,-[3]série265!$J$23*2,-'[3]265 SOLAIRE'!$H$7*2)</f>
        <v>3</v>
      </c>
      <c r="D218" s="808"/>
      <c r="E218" s="808">
        <v>20</v>
      </c>
      <c r="F218" s="808"/>
    </row>
    <row r="219" spans="1:6">
      <c r="A219" s="801" t="s">
        <v>1413</v>
      </c>
      <c r="B219" s="800">
        <v>369</v>
      </c>
      <c r="C219" s="793">
        <f>SUM(B219,-[3]série265!$J$23*2,-'[3]265 SOLAIRE'!$H$7*2)</f>
        <v>3</v>
      </c>
      <c r="D219" s="808"/>
      <c r="E219" s="808">
        <v>20</v>
      </c>
      <c r="F219" s="808"/>
    </row>
    <row r="220" spans="1:6">
      <c r="A220" s="805" t="s">
        <v>1307</v>
      </c>
      <c r="B220" s="800">
        <v>64</v>
      </c>
      <c r="C220" s="793">
        <f>SUM(B220,-[1]cummul!$L$4,-[1]cummul!$L$9,-[1]cummul!$H$14,-[1]cummul!$H$19,-[5]IND100P!$K$26*2,-[5]IND100P!$V$26*4,-[5]IND600!$Q$4*2,-[5]IND600!$Q$5*2,-[5]IND600!$Q$6*2,-[5]IND600!$Q$7*4,-[5]IND600!$Q$8*4,-[5]IND600!$Q$9*4)</f>
        <v>-3</v>
      </c>
      <c r="D220" s="793"/>
      <c r="E220" s="808">
        <v>20</v>
      </c>
      <c r="F220" s="808"/>
    </row>
    <row r="221" spans="1:6">
      <c r="A221" s="801" t="s">
        <v>1344</v>
      </c>
      <c r="B221" s="796"/>
      <c r="C221" s="793">
        <v>323</v>
      </c>
      <c r="D221" s="793"/>
      <c r="E221" s="808">
        <v>10</v>
      </c>
      <c r="F221" s="808"/>
    </row>
    <row r="222" spans="1:6">
      <c r="A222" s="807" t="s">
        <v>1538</v>
      </c>
      <c r="B222" s="800">
        <v>238</v>
      </c>
      <c r="C222" s="793">
        <f>SUM(B222,-'[2]CUMMUL '!A285,-'[2]CUMMUL '!A288,-'[2]CUMMUL '!A291,-'[2]CUMMUL '!A294,-'[2]CUMMUL '!D285,-'[2]CUMMUL '!D288,-'[2]CUMMUL '!D291,-'[2]CUMMUL '!D294,-'[2]CUMMUL '!G285,-'[2]CUMMUL '!G288,-'[2]CUMMUL '!G291,-'[2]CUMMUL '!G294,-'[2]CUMMUL '!J284,-'[2]CUMMUL '!J287,-'[2]CUMMUL '!J290)</f>
        <v>238</v>
      </c>
      <c r="D222" s="808"/>
      <c r="E222" s="808">
        <v>30</v>
      </c>
      <c r="F222" s="808"/>
    </row>
    <row r="223" spans="1:6">
      <c r="A223" s="801" t="s">
        <v>1345</v>
      </c>
      <c r="B223" s="796">
        <v>25</v>
      </c>
      <c r="C223" s="793">
        <f>SUM(B223,-[4]L100!$J$16,-[4]L300A!$K$17,-[4]L505!$J$17,-[4]L510!$J$17,-[4]L520!$K$6,-[4]L1710!$J$17)</f>
        <v>24</v>
      </c>
      <c r="D223" s="793"/>
      <c r="E223" s="808">
        <v>20</v>
      </c>
      <c r="F223" s="808"/>
    </row>
    <row r="224" spans="1:6">
      <c r="A224" s="801" t="s">
        <v>1346</v>
      </c>
      <c r="B224" s="796">
        <v>307</v>
      </c>
      <c r="C224" s="793">
        <f>SUM(B224,-[1]cummul!$B$7,-[4]CUMMUL!$B$4,-[6]STguides!$E$29,-[6]STguides!$J$29,-[6]STguides!$P$29,-'[2]CUMMUL '!$J$11,-[3]Feuil1!$E$17,-[3]Feuil1!$E$18)</f>
        <v>-9</v>
      </c>
      <c r="D224" s="793"/>
      <c r="E224" s="808">
        <v>20</v>
      </c>
      <c r="F224" s="808"/>
    </row>
    <row r="225" spans="1:6">
      <c r="A225" s="801" t="s">
        <v>1347</v>
      </c>
      <c r="B225" s="796">
        <v>112</v>
      </c>
      <c r="C225" s="793">
        <f>SUM(B225,-[6]Coffre110!$Y$22,-[6]Coffre105!$K$7)</f>
        <v>112</v>
      </c>
      <c r="D225" s="793"/>
      <c r="E225" s="808">
        <v>20</v>
      </c>
      <c r="F225" s="808"/>
    </row>
    <row r="226" spans="1:6">
      <c r="A226" s="801" t="s">
        <v>1348</v>
      </c>
      <c r="B226" s="796">
        <v>199</v>
      </c>
      <c r="C226" s="793">
        <f>SUM(B226,-[3]série240!$H$23,-[3]série240!$S$9,-[3]série265!$J$23,-[3]série265!$W$9,-[6]STguides!$U$29)</f>
        <v>-68</v>
      </c>
      <c r="D226" s="793"/>
      <c r="E226" s="808">
        <v>30</v>
      </c>
      <c r="F226" s="808"/>
    </row>
    <row r="227" spans="1:6">
      <c r="A227" s="801" t="s">
        <v>1349</v>
      </c>
      <c r="B227" s="796">
        <v>31</v>
      </c>
      <c r="C227" s="793">
        <f>SUM(B227,-[4]CUMMUL!$B$4)</f>
        <v>27</v>
      </c>
      <c r="D227" s="793"/>
      <c r="E227" s="808">
        <v>10</v>
      </c>
      <c r="F227" s="808"/>
    </row>
    <row r="228" spans="1:6">
      <c r="A228" s="801" t="s">
        <v>1350</v>
      </c>
      <c r="B228" s="796">
        <v>47</v>
      </c>
      <c r="C228" s="793">
        <f>SUM(B228)</f>
        <v>47</v>
      </c>
      <c r="D228" s="793"/>
      <c r="E228" s="808">
        <v>10</v>
      </c>
      <c r="F228" s="808"/>
    </row>
    <row r="229" spans="1:6">
      <c r="A229" s="801" t="s">
        <v>1351</v>
      </c>
      <c r="B229" s="796">
        <v>280</v>
      </c>
      <c r="C229" s="793">
        <f>SUM(B229,-[1]cummul!$B$2,-[4]CUMMUL!$B$3,-[5]cummul!$B$3,-[6]CUMMUL!$B$3)</f>
        <v>47</v>
      </c>
      <c r="D229" s="793"/>
      <c r="E229" s="808">
        <v>20</v>
      </c>
      <c r="F229" s="808"/>
    </row>
    <row r="230" spans="1:6">
      <c r="A230" s="801" t="s">
        <v>1352</v>
      </c>
      <c r="B230" s="796">
        <v>56</v>
      </c>
      <c r="C230" s="793">
        <f>SUM(B230,-[6]STguides!$V$14)</f>
        <v>36</v>
      </c>
      <c r="D230" s="793"/>
      <c r="E230" s="808">
        <v>10</v>
      </c>
      <c r="F230" s="808"/>
    </row>
    <row r="231" spans="1:6">
      <c r="A231" s="801" t="s">
        <v>1353</v>
      </c>
      <c r="B231" s="796"/>
      <c r="C231" s="793">
        <f>SUM(B231)</f>
        <v>0</v>
      </c>
      <c r="D231" s="793"/>
      <c r="E231" s="808">
        <v>20</v>
      </c>
      <c r="F231" s="808"/>
    </row>
    <row r="232" spans="1:6">
      <c r="A232" s="805" t="s">
        <v>1510</v>
      </c>
      <c r="B232" s="806">
        <v>256</v>
      </c>
      <c r="C232" s="793">
        <f>SUM(B232,-'[8]CANAD BLANC'!$M$11*4,-'[8]hall-CAN 55 NAT'!$U$23*4,-'[8]hall-CAN 55 NAT'!$J$12*4)</f>
        <v>88</v>
      </c>
      <c r="D232" s="808"/>
      <c r="E232" s="808">
        <v>80</v>
      </c>
      <c r="F232" s="808"/>
    </row>
    <row r="233" spans="1:6">
      <c r="A233" s="807" t="s">
        <v>1476</v>
      </c>
      <c r="B233" s="806">
        <v>37</v>
      </c>
      <c r="C233" s="793">
        <f>SUM(B233,-'[8]CANAD BLANC'!$B$11,-'[8]CANAD BLANC'!$B$13)</f>
        <v>37</v>
      </c>
      <c r="D233" s="808"/>
      <c r="E233" s="808">
        <v>15</v>
      </c>
      <c r="F233" s="808"/>
    </row>
    <row r="234" spans="1:6">
      <c r="A234" s="805" t="s">
        <v>1511</v>
      </c>
      <c r="B234" s="806">
        <v>66</v>
      </c>
      <c r="C234" s="793">
        <f>SUM(B234,-'[8]corbeille 35nat'!$B$44,-'[8]corbeille 35nat'!$J$44,-'[8]corbeille 45 nat'!$B$52,-'[8]corbeille 45 nat'!$J$52,-'[8]corbeille 55 nat'!$B$65,-'[8]corbeille 55 nat'!$J$65)</f>
        <v>49</v>
      </c>
      <c r="D234" s="808"/>
      <c r="E234" s="808">
        <v>15</v>
      </c>
      <c r="F234" s="808"/>
    </row>
    <row r="235" spans="1:6">
      <c r="A235" s="807" t="s">
        <v>1477</v>
      </c>
      <c r="B235" s="806">
        <v>139</v>
      </c>
      <c r="C235" s="793">
        <f>SUM(B235,-'[8]CANAD BLANC'!$B$13)</f>
        <v>139</v>
      </c>
      <c r="D235" s="808"/>
      <c r="E235" s="808">
        <v>15</v>
      </c>
      <c r="F235" s="808"/>
    </row>
    <row r="236" spans="1:6">
      <c r="A236" s="805" t="s">
        <v>1512</v>
      </c>
      <c r="B236" s="806">
        <v>77</v>
      </c>
      <c r="C236" s="793">
        <f>SUM(B236,-'[8]corbeille 35nat'!$J$44,-'[8]corbeille 45 nat'!$J$52,-'[8]corbeille 55 nat'!$J$65)</f>
        <v>69</v>
      </c>
      <c r="D236" s="808"/>
      <c r="E236" s="808">
        <v>15</v>
      </c>
      <c r="F236" s="808"/>
    </row>
    <row r="237" spans="1:6">
      <c r="A237" s="805" t="s">
        <v>31</v>
      </c>
      <c r="B237" s="806">
        <v>732</v>
      </c>
      <c r="C237" s="793">
        <f>SUM(B237,-'[8]hall-CAN 55 NAT'!$Z$22,-'[8]CANAD BLANC'!$R$10)</f>
        <v>100</v>
      </c>
      <c r="D237" s="808"/>
      <c r="E237" s="808">
        <v>100</v>
      </c>
      <c r="F237" s="808"/>
    </row>
    <row r="238" spans="1:6">
      <c r="A238" s="807" t="s">
        <v>1539</v>
      </c>
      <c r="B238" s="800">
        <v>20</v>
      </c>
      <c r="C238" s="793">
        <f>B238-D238</f>
        <v>20</v>
      </c>
      <c r="D238" s="808"/>
      <c r="E238" s="808">
        <v>10</v>
      </c>
      <c r="F238" s="808"/>
    </row>
    <row r="239" spans="1:6">
      <c r="A239" s="801" t="s">
        <v>1331</v>
      </c>
      <c r="B239" s="800">
        <v>0</v>
      </c>
      <c r="C239" s="793">
        <f>SUM(B239)</f>
        <v>0</v>
      </c>
      <c r="D239" s="793"/>
      <c r="E239" s="808">
        <v>20</v>
      </c>
      <c r="F239" s="808"/>
    </row>
    <row r="240" spans="1:6">
      <c r="A240" s="807" t="s">
        <v>1541</v>
      </c>
      <c r="B240" s="800">
        <v>56</v>
      </c>
      <c r="C240" s="793">
        <f>SUM(B240,-'[2]CUMMUL '!B296)</f>
        <v>56</v>
      </c>
      <c r="D240" s="808"/>
      <c r="E240" s="808">
        <v>5</v>
      </c>
      <c r="F240" s="808"/>
    </row>
    <row r="241" spans="1:6">
      <c r="A241" s="807" t="s">
        <v>1540</v>
      </c>
      <c r="B241" s="800">
        <v>92</v>
      </c>
      <c r="C241" s="793">
        <f>SUM(B241-D241)</f>
        <v>92</v>
      </c>
      <c r="D241" s="808"/>
      <c r="E241" s="808">
        <v>5</v>
      </c>
      <c r="F241" s="808"/>
    </row>
    <row r="242" spans="1:6">
      <c r="A242" s="805" t="s">
        <v>1334</v>
      </c>
      <c r="B242" s="800">
        <v>55</v>
      </c>
      <c r="C242" s="793">
        <f>B242</f>
        <v>55</v>
      </c>
      <c r="D242" s="793"/>
      <c r="E242" s="808">
        <v>5</v>
      </c>
      <c r="F242" s="808"/>
    </row>
    <row r="243" spans="1:6">
      <c r="A243" s="805" t="s">
        <v>1335</v>
      </c>
      <c r="B243" s="800">
        <v>0</v>
      </c>
      <c r="C243" s="793">
        <f>SUM(B243,-[6]Coffre110!$Y$22*2)</f>
        <v>0</v>
      </c>
      <c r="D243" s="793"/>
      <c r="E243" s="808">
        <v>5</v>
      </c>
      <c r="F243" s="808"/>
    </row>
    <row r="244" spans="1:6">
      <c r="A244" s="801" t="s">
        <v>1290</v>
      </c>
      <c r="B244" s="796">
        <v>368</v>
      </c>
      <c r="C244" s="793">
        <f>SUM(B244,-[6]STguides!$P$29*2,-[6]STguides!$V$29*2)</f>
        <v>50</v>
      </c>
      <c r="D244" s="793"/>
      <c r="E244" s="808">
        <v>40</v>
      </c>
      <c r="F244" s="808"/>
    </row>
    <row r="245" spans="1:6">
      <c r="A245" s="801" t="s">
        <v>1403</v>
      </c>
      <c r="B245" s="796">
        <v>72</v>
      </c>
      <c r="C245" s="793">
        <f>B245-[5]cummul!$B$4-[1]cummul!$B$5</f>
        <v>66</v>
      </c>
      <c r="D245" s="793"/>
      <c r="E245" s="808">
        <v>10</v>
      </c>
      <c r="F245" s="808"/>
    </row>
    <row r="246" spans="1:6">
      <c r="A246" s="801" t="s">
        <v>1238</v>
      </c>
      <c r="B246" s="796"/>
      <c r="C246" s="793"/>
      <c r="D246" s="793"/>
      <c r="E246" s="808">
        <v>5</v>
      </c>
      <c r="F246" s="808"/>
    </row>
    <row r="247" spans="1:6">
      <c r="A247" s="801" t="s">
        <v>1238</v>
      </c>
      <c r="B247" s="796">
        <v>10</v>
      </c>
      <c r="C247" s="793">
        <f>B247-E247</f>
        <v>5</v>
      </c>
      <c r="D247" s="793"/>
      <c r="E247" s="808">
        <v>5</v>
      </c>
      <c r="F247" s="808"/>
    </row>
    <row r="248" spans="1:6">
      <c r="A248" s="801" t="s">
        <v>1239</v>
      </c>
      <c r="B248" s="796">
        <v>2</v>
      </c>
      <c r="C248" s="793">
        <f>B248-[5]cummul!$B$4-[1]cummul!$B$5</f>
        <v>-4</v>
      </c>
      <c r="D248" s="793"/>
      <c r="E248" s="808">
        <v>40</v>
      </c>
      <c r="F248" s="808"/>
    </row>
    <row r="249" spans="1:6">
      <c r="A249" s="801" t="s">
        <v>1240</v>
      </c>
      <c r="B249" s="796">
        <v>37</v>
      </c>
      <c r="C249" s="793">
        <f>B249-E249</f>
        <v>32</v>
      </c>
      <c r="D249" s="793"/>
      <c r="E249" s="808">
        <v>5</v>
      </c>
      <c r="F249" s="808"/>
    </row>
    <row r="250" spans="1:6">
      <c r="A250" s="801" t="s">
        <v>1241</v>
      </c>
      <c r="B250" s="796">
        <v>0</v>
      </c>
      <c r="C250" s="793">
        <f>SUM(B250,-[1]cummul!$B$6,-[5]cummul!$B$5)</f>
        <v>-3</v>
      </c>
      <c r="D250" s="793"/>
      <c r="E250" s="808">
        <v>2</v>
      </c>
      <c r="F250" s="808"/>
    </row>
    <row r="251" spans="1:6">
      <c r="A251" s="801" t="s">
        <v>1258</v>
      </c>
      <c r="B251" s="796">
        <v>356</v>
      </c>
      <c r="C251" s="793">
        <f>SUM(B251,-'[2]CUMMUL '!$B$21,-'[2]CUMMUL '!$B$22,-[1]cummul!$C$7,-[4]CUMMUL!$C$4,-[5]cummul!$C$6,-[6]CUMMUL!$C$6,-[3]Feuil1!$C$5)</f>
        <v>-3</v>
      </c>
      <c r="D251" s="793"/>
      <c r="E251" s="808">
        <v>50</v>
      </c>
      <c r="F251" s="808"/>
    </row>
    <row r="252" spans="1:6">
      <c r="A252" s="801" t="s">
        <v>1259</v>
      </c>
      <c r="B252" s="796">
        <v>0</v>
      </c>
      <c r="C252" s="793">
        <f>B252-E252</f>
        <v>-10</v>
      </c>
      <c r="D252" s="793"/>
      <c r="E252" s="808">
        <v>10</v>
      </c>
      <c r="F252" s="808"/>
    </row>
    <row r="253" spans="1:6">
      <c r="A253" s="801" t="s">
        <v>1260</v>
      </c>
      <c r="B253" s="796">
        <v>10</v>
      </c>
      <c r="C253" s="793">
        <f>B253-E253</f>
        <v>0</v>
      </c>
      <c r="D253" s="793"/>
      <c r="E253" s="808">
        <v>10</v>
      </c>
      <c r="F253" s="808"/>
    </row>
    <row r="254" spans="1:6">
      <c r="A254" s="801" t="s">
        <v>1341</v>
      </c>
      <c r="B254" s="800">
        <v>107</v>
      </c>
      <c r="C254" s="793">
        <f>SUM(B254,-[6]STguides!$V$29)</f>
        <v>67</v>
      </c>
      <c r="D254" s="793"/>
      <c r="E254" s="808">
        <v>10</v>
      </c>
      <c r="F254" s="808"/>
    </row>
    <row r="255" spans="1:6">
      <c r="A255" s="801" t="s">
        <v>1342</v>
      </c>
      <c r="B255" s="800">
        <v>107</v>
      </c>
      <c r="C255" s="793">
        <f>SUM(B255,-[6]STguides!$V$29)</f>
        <v>67</v>
      </c>
      <c r="D255" s="793"/>
      <c r="E255" s="808">
        <v>10</v>
      </c>
      <c r="F255" s="808"/>
    </row>
    <row r="256" spans="1:6">
      <c r="A256" s="801" t="s">
        <v>1340</v>
      </c>
      <c r="B256" s="800">
        <v>30</v>
      </c>
      <c r="C256" s="793">
        <f>SUM(B256,-[6]STguides!$U$29*2)</f>
        <v>24</v>
      </c>
      <c r="D256" s="793"/>
      <c r="E256" s="808">
        <v>10</v>
      </c>
      <c r="F256" s="808"/>
    </row>
    <row r="257" spans="1:6">
      <c r="A257" s="801" t="s">
        <v>1354</v>
      </c>
      <c r="B257" s="796">
        <v>22</v>
      </c>
      <c r="C257" s="793">
        <f>SUM(B257,-[7]Feuil1!$B$11*2)</f>
        <v>0</v>
      </c>
      <c r="D257" s="793"/>
      <c r="E257" s="808">
        <v>20</v>
      </c>
      <c r="F257" s="808"/>
    </row>
    <row r="258" spans="1:6">
      <c r="A258" s="801" t="s">
        <v>1355</v>
      </c>
      <c r="B258" s="796">
        <v>26</v>
      </c>
      <c r="C258" s="793">
        <f>SUM(B258,-'[1]600EX'!$C$34*2,-[1]M640EX!$C$34*2)</f>
        <v>14</v>
      </c>
      <c r="D258" s="793"/>
      <c r="E258" s="808">
        <v>20</v>
      </c>
      <c r="F258" s="808"/>
    </row>
    <row r="259" spans="1:6">
      <c r="A259" s="807" t="s">
        <v>1478</v>
      </c>
      <c r="B259" s="796">
        <v>7276</v>
      </c>
      <c r="C259" s="793">
        <f>SUM(B259,-'[8]corbeille 35nat'!$F$49*44,-'[8]corbeille 45 nat'!$F$57*44,-'[8]corbeille 55 nat'!$F$70*44,-'[8]corbeille 35 blanc'!$F$49*44,-'[8]corbeille 45 blanc'!$F$57*44,-'[8]corbeille 55 blanc'!$F$70*44,-'[8]hall-CAN 55 NAT'!$C$18*44)</f>
        <v>-2492</v>
      </c>
      <c r="D259" s="808"/>
      <c r="E259" s="808">
        <v>300</v>
      </c>
      <c r="F259" s="808"/>
    </row>
    <row r="260" spans="1:6">
      <c r="A260" s="807" t="s">
        <v>1542</v>
      </c>
      <c r="B260" s="800">
        <v>243</v>
      </c>
      <c r="C260" s="793">
        <f>SUM(B260,-'[2]CUMMUL '!A285,-'[2]CUMMUL '!A288,-'[2]CUMMUL '!A291,-'[2]CUMMUL '!A294,-'[2]CUMMUL '!J284)</f>
        <v>243</v>
      </c>
      <c r="D260" s="808"/>
      <c r="E260" s="808">
        <v>20</v>
      </c>
      <c r="F260" s="808"/>
    </row>
    <row r="261" spans="1:6">
      <c r="A261" s="807" t="s">
        <v>1543</v>
      </c>
      <c r="B261" s="800">
        <v>243</v>
      </c>
      <c r="C261" s="793">
        <f>SUM(B261,-'[2]CUMMUL '!A285,-'[2]CUMMUL '!A288,-'[2]CUMMUL '!A291,-'[2]CUMMUL '!A294,-'[2]CUMMUL '!J284)</f>
        <v>243</v>
      </c>
      <c r="D261" s="808"/>
      <c r="E261" s="808">
        <v>20</v>
      </c>
      <c r="F261" s="808"/>
    </row>
    <row r="262" spans="1:6">
      <c r="A262" s="807" t="s">
        <v>1544</v>
      </c>
      <c r="B262" s="800">
        <v>50</v>
      </c>
      <c r="C262" s="793">
        <f>SUM(B262,-'[2]CUMMUL '!A288,-'[2]CUMMUL '!A291*2,-'[2]CUMMUL '!A294*3)</f>
        <v>50</v>
      </c>
      <c r="D262" s="808"/>
      <c r="E262" s="808">
        <v>20</v>
      </c>
      <c r="F262" s="808"/>
    </row>
    <row r="263" spans="1:6">
      <c r="A263" s="807" t="s">
        <v>1545</v>
      </c>
      <c r="B263" s="800">
        <v>47</v>
      </c>
      <c r="C263" s="793">
        <f>SUM(B263,-'[2]CUMMUL '!G285,-'[2]CUMMUL '!G288,-'[2]CUMMUL '!G291,-'[2]CUMMUL '!G294,-'[2]CUMMUL '!J284)</f>
        <v>47</v>
      </c>
      <c r="D263" s="808"/>
      <c r="E263" s="808">
        <v>15</v>
      </c>
      <c r="F263" s="808"/>
    </row>
    <row r="264" spans="1:6">
      <c r="A264" s="807" t="s">
        <v>1546</v>
      </c>
      <c r="B264" s="800">
        <v>51</v>
      </c>
      <c r="C264" s="793">
        <f>SUM(B264,-'[2]CUMMUL '!G285,-'[2]CUMMUL '!G288,-'[2]CUMMUL '!G291,-'[2]CUMMUL '!G294,-'[2]CUMMUL '!J284)</f>
        <v>51</v>
      </c>
      <c r="D264" s="808"/>
      <c r="E264" s="808">
        <v>15</v>
      </c>
      <c r="F264" s="808"/>
    </row>
    <row r="265" spans="1:6">
      <c r="A265" s="807" t="s">
        <v>1547</v>
      </c>
      <c r="B265" s="800">
        <v>7</v>
      </c>
      <c r="C265" s="793">
        <f>SUM(B265,-'[2]CUMMUL '!G288,-'[2]CUMMUL '!G291*2,-'[2]CUMMUL '!G294*3)</f>
        <v>7</v>
      </c>
      <c r="D265" s="808"/>
      <c r="E265" s="808">
        <v>15</v>
      </c>
      <c r="F265" s="808"/>
    </row>
    <row r="266" spans="1:6">
      <c r="A266" s="807" t="s">
        <v>1548</v>
      </c>
      <c r="B266" s="800">
        <v>18</v>
      </c>
      <c r="C266" s="793">
        <f>SUM(B266,-'[2]V A BRAS'!J298)</f>
        <v>18</v>
      </c>
      <c r="D266" s="808"/>
      <c r="E266" s="808">
        <v>10</v>
      </c>
      <c r="F266" s="808"/>
    </row>
    <row r="267" spans="1:6">
      <c r="A267" s="807" t="s">
        <v>1549</v>
      </c>
      <c r="B267" s="800">
        <v>22</v>
      </c>
      <c r="C267" s="793">
        <f>SUM(B267,-'[2]V A BRAS'!J298)</f>
        <v>22</v>
      </c>
      <c r="D267" s="808"/>
      <c r="E267" s="808">
        <v>10</v>
      </c>
      <c r="F267" s="808"/>
    </row>
    <row r="268" spans="1:6">
      <c r="A268" s="801" t="s">
        <v>1337</v>
      </c>
      <c r="B268" s="800">
        <v>140</v>
      </c>
      <c r="C268" s="793">
        <f>SUM(B268,-[6]STguides!$V$29*2)</f>
        <v>60</v>
      </c>
      <c r="D268" s="793"/>
      <c r="E268" s="808">
        <v>40</v>
      </c>
      <c r="F268" s="808"/>
    </row>
    <row r="269" spans="1:6">
      <c r="A269" s="807" t="s">
        <v>1550</v>
      </c>
      <c r="B269" s="800">
        <v>54</v>
      </c>
      <c r="C269" s="793">
        <f>SUM(B269,-'[2]CUMMUL '!J284*2,-'[2]CUMMUL '!J290*2)</f>
        <v>54</v>
      </c>
      <c r="D269" s="808"/>
      <c r="E269" s="808">
        <v>20</v>
      </c>
      <c r="F269" s="808"/>
    </row>
    <row r="270" spans="1:6">
      <c r="A270" s="807" t="s">
        <v>1595</v>
      </c>
      <c r="B270" s="800">
        <v>0</v>
      </c>
      <c r="C270" s="793">
        <f>B270-D270</f>
        <v>0</v>
      </c>
      <c r="D270" s="808"/>
      <c r="E270" s="808">
        <v>10</v>
      </c>
      <c r="F270" s="808"/>
    </row>
    <row r="271" spans="1:6">
      <c r="A271" s="805" t="s">
        <v>1303</v>
      </c>
      <c r="B271" s="800">
        <v>28</v>
      </c>
      <c r="C271" s="793">
        <f>SUM(B271,-'[1]600EX'!$G$23)</f>
        <v>6</v>
      </c>
      <c r="D271" s="793"/>
      <c r="E271" s="808">
        <v>10</v>
      </c>
      <c r="F271" s="808"/>
    </row>
    <row r="272" spans="1:6">
      <c r="A272" s="805" t="s">
        <v>1304</v>
      </c>
      <c r="B272" s="800">
        <v>10</v>
      </c>
      <c r="C272" s="793">
        <f>SUM(B272,-[6]Coffre110!$B$24)</f>
        <v>10</v>
      </c>
      <c r="D272" s="793"/>
      <c r="E272" s="808">
        <v>10</v>
      </c>
      <c r="F272" s="808"/>
    </row>
    <row r="273" spans="1:6">
      <c r="A273" s="801" t="s">
        <v>1361</v>
      </c>
      <c r="B273" s="796">
        <v>190</v>
      </c>
      <c r="C273" s="793">
        <f>B273-E273</f>
        <v>170</v>
      </c>
      <c r="D273" s="793"/>
      <c r="E273" s="808">
        <v>20</v>
      </c>
      <c r="F273" s="808"/>
    </row>
    <row r="274" spans="1:6">
      <c r="A274" s="801" t="s">
        <v>1362</v>
      </c>
      <c r="B274" s="796">
        <v>220</v>
      </c>
      <c r="C274" s="793">
        <f>B274-E274</f>
        <v>190</v>
      </c>
      <c r="D274" s="793"/>
      <c r="E274" s="808">
        <v>30</v>
      </c>
      <c r="F274" s="808"/>
    </row>
    <row r="275" spans="1:6">
      <c r="A275" s="801" t="s">
        <v>1363</v>
      </c>
      <c r="B275" s="796">
        <v>100</v>
      </c>
      <c r="C275" s="793">
        <f>B275-E275</f>
        <v>70</v>
      </c>
      <c r="D275" s="793"/>
      <c r="E275" s="808">
        <v>30</v>
      </c>
      <c r="F275" s="808"/>
    </row>
    <row r="276" spans="1:6">
      <c r="A276" s="801" t="s">
        <v>1364</v>
      </c>
      <c r="B276" s="796">
        <v>160</v>
      </c>
      <c r="C276" s="793">
        <f>B276-E276</f>
        <v>130</v>
      </c>
      <c r="D276" s="793"/>
      <c r="E276" s="808">
        <v>30</v>
      </c>
      <c r="F276" s="808"/>
    </row>
    <row r="277" spans="1:6">
      <c r="A277" s="801" t="s">
        <v>1365</v>
      </c>
      <c r="B277" s="796">
        <v>10</v>
      </c>
      <c r="C277" s="793">
        <f>B277-E277</f>
        <v>0</v>
      </c>
      <c r="D277" s="793"/>
      <c r="E277" s="808">
        <v>10</v>
      </c>
      <c r="F277" s="808"/>
    </row>
    <row r="278" spans="1:6">
      <c r="A278" s="805" t="s">
        <v>1443</v>
      </c>
      <c r="B278" s="806">
        <v>36</v>
      </c>
      <c r="C278" s="793">
        <f>SUM(B278,-'[8]corbeille 35nat'!$F$44,-'[8]corbeille 45 nat'!$F$52,-'[8]corbeille 55 nat'!$F$65)</f>
        <v>13</v>
      </c>
      <c r="D278" s="808"/>
      <c r="E278" s="808">
        <v>20</v>
      </c>
      <c r="F278" s="808"/>
    </row>
    <row r="279" spans="1:6">
      <c r="A279" s="805" t="s">
        <v>1439</v>
      </c>
      <c r="B279" s="806">
        <v>35</v>
      </c>
      <c r="C279" s="793">
        <f>SUM(B279,-'[8]corbeille 35 blanc'!$F$44,-'[8]corbeille 45 blanc'!$F$52,-'[8]corbeille 55 blanc'!$F$65)</f>
        <v>3</v>
      </c>
      <c r="D279" s="808"/>
      <c r="E279" s="808">
        <v>20</v>
      </c>
      <c r="F279" s="808"/>
    </row>
    <row r="280" spans="1:6">
      <c r="A280" s="801" t="s">
        <v>1301</v>
      </c>
      <c r="B280" s="800">
        <v>47</v>
      </c>
      <c r="C280" s="793">
        <f>B280-E280</f>
        <v>32</v>
      </c>
      <c r="D280" s="793"/>
      <c r="E280" s="808">
        <v>15</v>
      </c>
      <c r="F280" s="808"/>
    </row>
    <row r="281" spans="1:6">
      <c r="A281" s="807" t="s">
        <v>1301</v>
      </c>
      <c r="B281" s="800">
        <v>29</v>
      </c>
      <c r="C281" s="793">
        <f>SUM(B281,-'[2]CUMMUL '!A288,-'[2]CUMMUL '!A291*2,-'[2]CUMMUL '!A294*3,-'[2]CUMMUL '!D288,-'[2]CUMMUL '!D291*2,-'[2]CUMMUL '!D294*3,-'[2]CUMMUL '!G288,-'[2]CUMMUL '!G291*2,-'[2]CUMMUL '!G294*3)</f>
        <v>29</v>
      </c>
      <c r="D281" s="808"/>
      <c r="E281" s="808">
        <v>20</v>
      </c>
      <c r="F281" s="808"/>
    </row>
    <row r="282" spans="1:6">
      <c r="A282" s="805" t="s">
        <v>1444</v>
      </c>
      <c r="B282" s="806">
        <v>524</v>
      </c>
      <c r="C282" s="793">
        <f>SUM(B282,-'[8]corbeille 55 nat'!$F$70*4,-'[8]hall-CAN 55 NAT'!$J$12*16,-'[8]hall-CAN 55 NAT'!$U$23*16,-'[8]hall-CAN 55 NAT'!$U$12)</f>
        <v>-35</v>
      </c>
      <c r="D282" s="808"/>
      <c r="E282" s="808">
        <v>100</v>
      </c>
      <c r="F282" s="808"/>
    </row>
    <row r="283" spans="1:6">
      <c r="A283" s="805" t="s">
        <v>1440</v>
      </c>
      <c r="B283" s="806">
        <v>149</v>
      </c>
      <c r="C283" s="793">
        <f>SUM(B283,-'[8]corbeille 55 blanc'!$F$70*4)</f>
        <v>37</v>
      </c>
      <c r="D283" s="808"/>
      <c r="E283" s="808">
        <v>100</v>
      </c>
      <c r="F283" s="808"/>
    </row>
    <row r="284" spans="1:6">
      <c r="A284" s="805" t="s">
        <v>1445</v>
      </c>
      <c r="B284" s="806">
        <v>108</v>
      </c>
      <c r="C284" s="793">
        <f>SUM(B284,-'[8]corbeille 45 nat'!$F$57*4)</f>
        <v>20</v>
      </c>
      <c r="D284" s="808"/>
      <c r="E284" s="808">
        <v>25</v>
      </c>
      <c r="F284" s="808"/>
    </row>
    <row r="285" spans="1:6">
      <c r="A285" s="805" t="s">
        <v>1441</v>
      </c>
      <c r="B285" s="806">
        <v>90</v>
      </c>
      <c r="C285" s="793">
        <f>SUM(B285,-'[8]corbeille 45 blanc'!$F$57*4)</f>
        <v>30</v>
      </c>
      <c r="D285" s="808"/>
      <c r="E285" s="808">
        <v>25</v>
      </c>
      <c r="F285" s="808"/>
    </row>
    <row r="286" spans="1:6">
      <c r="A286" s="805" t="s">
        <v>1446</v>
      </c>
      <c r="B286" s="806">
        <v>46</v>
      </c>
      <c r="C286" s="793">
        <f>SUM(B286,-'[8]corbeille 35nat'!$F$49*4)</f>
        <v>26</v>
      </c>
      <c r="D286" s="808"/>
      <c r="E286" s="808">
        <v>50</v>
      </c>
      <c r="F286" s="808"/>
    </row>
    <row r="287" spans="1:6">
      <c r="A287" s="805" t="s">
        <v>1442</v>
      </c>
      <c r="B287" s="806">
        <v>20</v>
      </c>
      <c r="C287" s="793">
        <f>SUM(B287,-'[8]corbeille 35 blanc'!$F$49*4)</f>
        <v>4</v>
      </c>
      <c r="D287" s="808"/>
      <c r="E287" s="808">
        <v>50</v>
      </c>
      <c r="F287" s="808"/>
    </row>
    <row r="288" spans="1:6">
      <c r="A288" s="801" t="s">
        <v>1338</v>
      </c>
      <c r="B288" s="800">
        <v>586</v>
      </c>
      <c r="C288" s="793">
        <f>SUM(B288,-[6]STguides!$P$29*2,-[6]STguides!$V$29*2)</f>
        <v>268</v>
      </c>
      <c r="D288" s="793"/>
      <c r="E288" s="808">
        <v>60</v>
      </c>
      <c r="F288" s="808"/>
    </row>
    <row r="289" spans="1:6">
      <c r="A289" s="807" t="s">
        <v>1479</v>
      </c>
      <c r="B289" s="796">
        <v>74</v>
      </c>
      <c r="C289" s="793">
        <f>SUM(B289,-'[8]corbeille 35nat'!$B$48*3,-'[8]corbeille 45 nat'!$B$56*3,-'[8]corbeille 55 nat'!$B$69*3,-'[8]corbeille 35 blanc'!$B$48*3,-'[8]corbeille 45 blanc'!$B$56*3,-'[8]corbeille 55 blanc'!$B$69*3)</f>
        <v>26</v>
      </c>
      <c r="D289" s="808"/>
      <c r="E289" s="808">
        <v>50</v>
      </c>
      <c r="F289" s="808"/>
    </row>
    <row r="290" spans="1:6">
      <c r="A290" s="807" t="s">
        <v>1551</v>
      </c>
      <c r="B290" s="800">
        <v>464</v>
      </c>
      <c r="C290" s="793">
        <f>SUM(B290,-'[2]CUMMUL '!A285*2,-'[2]CUMMUL '!A288*4,-'[2]CUMMUL '!A291*6,-'[2]CUMMUL '!A294*8,-'[2]CUMMUL '!D285*2,-'[2]CUMMUL '!D288*4,-'[2]CUMMUL '!D291*6,-'[2]CUMMUL '!D294*8,-'[2]CUMMUL '!G285*2,-'[2]CUMMUL '!G288*4,-'[2]CUMMUL '!G291*6,-'[2]CUMMUL '!G294*8,-'[2]CUMMUL '!J284*2,-'[2]CUMMUL '!J287*2,-'[2]CUMMUL '!J290*2)</f>
        <v>464</v>
      </c>
      <c r="D290" s="808"/>
      <c r="E290" s="808">
        <v>120</v>
      </c>
      <c r="F290" s="808"/>
    </row>
    <row r="291" spans="1:6">
      <c r="A291" s="807" t="s">
        <v>1552</v>
      </c>
      <c r="B291" s="800">
        <v>430</v>
      </c>
      <c r="C291" s="793">
        <f>SUM(B291,-'[2]CUMMUL '!A285*2,-'[2]CUMMUL '!A288*4,-'[2]CUMMUL '!A291*6,-'[2]CUMMUL '!A294*8,-'[2]CUMMUL '!D285*2,-'[2]CUMMUL '!D288*4,-'[2]CUMMUL '!D291*6,-'[2]CUMMUL '!D294*8,-'[2]CUMMUL '!G285*2,-'[2]CUMMUL '!G288*4,-'[2]CUMMUL '!G291*6,-'[2]CUMMUL '!G294*8,-'[2]CUMMUL '!J284*2,-'[2]CUMMUL '!J287*2,-'[2]CUMMUL '!J290*2)</f>
        <v>430</v>
      </c>
      <c r="D291" s="808"/>
      <c r="E291" s="808">
        <v>120</v>
      </c>
      <c r="F291" s="808"/>
    </row>
    <row r="292" spans="1:6">
      <c r="A292" s="807" t="s">
        <v>1553</v>
      </c>
      <c r="B292" s="800">
        <v>246</v>
      </c>
      <c r="C292" s="793">
        <f>SUM(B292,-'[2]CUMMUL '!A285,-'[2]CUMMUL '!A288*2,-'[2]CUMMUL '!A291*3,-'[2]CUMMUL '!A294*4,-'[2]CUMMUL '!D285,-'[2]CUMMUL '!D288*2,-'[2]CUMMUL '!D291*3,-'[2]CUMMUL '!D294*4,-'[2]CUMMUL '!G285,-'[2]CUMMUL '!G288*2,-'[2]CUMMUL '!G291*3,-'[2]CUMMUL '!G294*4,-'[2]CUMMUL '!J284,-'[2]CUMMUL '!J287,-'[2]CUMMUL '!J290)</f>
        <v>246</v>
      </c>
      <c r="D292" s="808"/>
      <c r="E292" s="808">
        <v>20</v>
      </c>
      <c r="F292" s="808"/>
    </row>
    <row r="293" spans="1:6">
      <c r="A293" s="807" t="s">
        <v>1554</v>
      </c>
      <c r="B293" s="800">
        <v>120</v>
      </c>
      <c r="C293" s="793">
        <f>SUM(B293,-'[2]CUMMUL '!A285+'[2]CUMMUL '!D285+'[2]CUMMUL '!G285)</f>
        <v>120</v>
      </c>
      <c r="D293" s="808"/>
      <c r="E293" s="808">
        <v>20</v>
      </c>
      <c r="F293" s="808"/>
    </row>
    <row r="294" spans="1:6">
      <c r="A294" s="801" t="s">
        <v>1437</v>
      </c>
      <c r="B294" s="800">
        <v>16</v>
      </c>
      <c r="C294" s="793">
        <f>B294-'[3]265 SOLAIRE'!$H$7</f>
        <v>10</v>
      </c>
      <c r="D294" s="808"/>
      <c r="E294" s="808">
        <v>5</v>
      </c>
      <c r="F294" s="808"/>
    </row>
    <row r="295" spans="1:6">
      <c r="A295" s="801" t="s">
        <v>1291</v>
      </c>
      <c r="B295" s="796">
        <v>86</v>
      </c>
      <c r="C295" s="793">
        <f>SUM(B295,-[6]STbrassimple!$H$22)</f>
        <v>86</v>
      </c>
      <c r="D295" s="793"/>
      <c r="E295" s="808">
        <v>2</v>
      </c>
      <c r="F295" s="808"/>
    </row>
    <row r="296" spans="1:6">
      <c r="A296" s="801" t="s">
        <v>1293</v>
      </c>
      <c r="B296" s="796">
        <v>0</v>
      </c>
      <c r="C296" s="793">
        <f>SUM(B296,-[6]Coffre105!$H$21)</f>
        <v>0</v>
      </c>
      <c r="D296" s="793"/>
      <c r="E296" s="808">
        <v>30</v>
      </c>
      <c r="F296" s="808"/>
    </row>
    <row r="297" spans="1:6">
      <c r="A297" s="801" t="s">
        <v>1292</v>
      </c>
      <c r="B297" s="796">
        <v>267</v>
      </c>
      <c r="C297" s="793">
        <f>SUM(B297,-[6]STguides!$Y$11)</f>
        <v>108</v>
      </c>
      <c r="D297" s="793"/>
      <c r="E297" s="808">
        <v>60</v>
      </c>
      <c r="F297" s="808"/>
    </row>
    <row r="298" spans="1:6">
      <c r="A298" s="801" t="s">
        <v>1294</v>
      </c>
      <c r="B298" s="796">
        <v>203</v>
      </c>
      <c r="C298" s="793">
        <f>SUM(B298,-[6]STguides!$Y$12)</f>
        <v>44</v>
      </c>
      <c r="D298" s="793"/>
      <c r="E298" s="808">
        <v>20</v>
      </c>
      <c r="F298" s="808"/>
    </row>
    <row r="299" spans="1:6">
      <c r="A299" s="801" t="s">
        <v>1298</v>
      </c>
      <c r="B299" s="796">
        <v>149</v>
      </c>
      <c r="C299" s="793">
        <f>SUM(B299,-[6]STbrassimple!$K$4,-[6]STbrassimple!$K$5)</f>
        <v>149</v>
      </c>
      <c r="D299" s="793"/>
      <c r="E299" s="808">
        <v>20</v>
      </c>
      <c r="F299" s="808"/>
    </row>
    <row r="300" spans="1:6">
      <c r="A300" s="807" t="s">
        <v>1555</v>
      </c>
      <c r="B300" s="800">
        <v>5</v>
      </c>
      <c r="C300" s="793">
        <f>SUM(B300,-'[2]V A BRAS'!J298)</f>
        <v>5</v>
      </c>
      <c r="D300" s="808"/>
      <c r="E300" s="808">
        <v>5</v>
      </c>
      <c r="F300" s="808"/>
    </row>
    <row r="301" spans="1:6">
      <c r="A301" s="801" t="s">
        <v>1433</v>
      </c>
      <c r="B301" s="800">
        <v>430</v>
      </c>
      <c r="C301" s="793">
        <f>SUM(B301,-[3]série265!$J$23*2)</f>
        <v>76</v>
      </c>
      <c r="D301" s="808"/>
      <c r="E301" s="808">
        <v>40</v>
      </c>
      <c r="F301" s="808"/>
    </row>
    <row r="302" spans="1:6">
      <c r="A302" s="807" t="s">
        <v>1556</v>
      </c>
      <c r="B302" s="800">
        <v>28</v>
      </c>
      <c r="C302" s="793">
        <f>SUM(B302,-'[2]CUMMUL '!J284,-'[2]CUMMUL '!J290)</f>
        <v>28</v>
      </c>
      <c r="D302" s="808"/>
      <c r="E302" s="808">
        <v>15</v>
      </c>
      <c r="F302" s="808"/>
    </row>
    <row r="303" spans="1:6">
      <c r="A303" s="807" t="s">
        <v>1557</v>
      </c>
      <c r="B303" s="800">
        <v>28</v>
      </c>
      <c r="C303" s="793">
        <f>SUM(B303,-'[2]CUMMUL '!J284,-'[2]CUMMUL '!J290)</f>
        <v>28</v>
      </c>
      <c r="D303" s="808"/>
      <c r="E303" s="808">
        <v>15</v>
      </c>
      <c r="F303" s="808"/>
    </row>
    <row r="304" spans="1:6">
      <c r="A304" s="807" t="s">
        <v>1596</v>
      </c>
      <c r="B304" s="800">
        <v>8</v>
      </c>
      <c r="C304" s="793">
        <f>SUM(B304,-'[2]CUMMUL '!J364)</f>
        <v>8</v>
      </c>
      <c r="D304" s="808"/>
      <c r="E304" s="808">
        <v>10</v>
      </c>
      <c r="F304" s="808"/>
    </row>
    <row r="305" spans="1:6">
      <c r="A305" s="807" t="s">
        <v>1558</v>
      </c>
      <c r="B305" s="800">
        <v>13</v>
      </c>
      <c r="C305" s="793">
        <f>SUM(B305,-'[2]CUMMUL '!J284,-'[2]CUMMUL '!J290)</f>
        <v>13</v>
      </c>
      <c r="D305" s="808"/>
      <c r="E305" s="808">
        <v>15</v>
      </c>
      <c r="F305" s="808"/>
    </row>
    <row r="306" spans="1:6">
      <c r="A306" s="807" t="s">
        <v>1597</v>
      </c>
      <c r="B306" s="800">
        <v>3</v>
      </c>
      <c r="C306" s="793">
        <f>SUM(B306,-'[2]CUMMUL '!J364)</f>
        <v>3</v>
      </c>
      <c r="D306" s="808"/>
      <c r="E306" s="808">
        <v>10</v>
      </c>
      <c r="F306" s="808"/>
    </row>
    <row r="307" spans="1:6">
      <c r="A307" s="807" t="s">
        <v>1559</v>
      </c>
      <c r="B307" s="800">
        <v>133</v>
      </c>
      <c r="C307" s="793">
        <f>SUM(B307,-[2]VERANDA!I292)</f>
        <v>133</v>
      </c>
      <c r="D307" s="808"/>
      <c r="E307" s="808">
        <v>20</v>
      </c>
      <c r="F307" s="808"/>
    </row>
    <row r="308" spans="1:6">
      <c r="A308" s="807" t="s">
        <v>1560</v>
      </c>
      <c r="B308" s="800">
        <v>162</v>
      </c>
      <c r="C308" s="793">
        <f>SUM(B308,-[2]VERANDA!R292)</f>
        <v>162</v>
      </c>
      <c r="D308" s="808"/>
      <c r="E308" s="808">
        <v>20</v>
      </c>
      <c r="F308" s="808"/>
    </row>
    <row r="309" spans="1:6">
      <c r="A309" s="807" t="s">
        <v>1598</v>
      </c>
      <c r="B309" s="800">
        <v>28</v>
      </c>
      <c r="C309" s="793">
        <f>SUM(B309,-'[2]CUMMUL '!D362,-'[2]CUMMUL '!D365*2,-'[2]CUMMUL '!D368*3,-'[2]CUMMUL '!D371*4)</f>
        <v>28</v>
      </c>
      <c r="D309" s="808"/>
      <c r="E309" s="808">
        <v>15</v>
      </c>
      <c r="F309" s="808"/>
    </row>
    <row r="310" spans="1:6">
      <c r="A310" s="801" t="s">
        <v>1284</v>
      </c>
      <c r="B310" s="796">
        <v>36</v>
      </c>
      <c r="C310" s="793">
        <f>SUM(B310,-[1]cummul!$O$7,-[5]cummul!$B$14)</f>
        <v>0</v>
      </c>
      <c r="D310" s="793"/>
      <c r="E310" s="808">
        <v>5</v>
      </c>
      <c r="F310" s="808"/>
    </row>
    <row r="311" spans="1:6">
      <c r="A311" s="801" t="s">
        <v>1285</v>
      </c>
      <c r="B311" s="796">
        <v>4</v>
      </c>
      <c r="C311" s="793">
        <f>SUM(B311,-[1]cummul!$O$8,-[5]cummul!$B$15)</f>
        <v>3</v>
      </c>
      <c r="D311" s="793"/>
      <c r="E311" s="808">
        <v>5</v>
      </c>
      <c r="F311" s="808"/>
    </row>
    <row r="312" spans="1:6">
      <c r="A312" s="801" t="s">
        <v>504</v>
      </c>
      <c r="B312" s="796">
        <v>76</v>
      </c>
      <c r="C312" s="793">
        <f>SUM(B312,-[3]série40!$F$20,-[3]série80!$J$23,-[3]série240!$H$23,-[1]M560!$K$26,-[1]M1440!$K$26,-[1]M1450!$J$26,-[1]M1710!$K$22,-[4]L1710!$J$17)</f>
        <v>-24</v>
      </c>
      <c r="D312" s="793"/>
      <c r="E312" s="808">
        <v>40</v>
      </c>
      <c r="F312" s="808"/>
    </row>
    <row r="313" spans="1:6">
      <c r="A313" s="807" t="s">
        <v>1561</v>
      </c>
      <c r="B313" s="800">
        <v>32</v>
      </c>
      <c r="C313" s="793">
        <f>SUM(B313,-'[2]V XL'!K295,-'[2]V L XL'!K295)</f>
        <v>32</v>
      </c>
      <c r="D313" s="808"/>
      <c r="E313" s="808">
        <v>15</v>
      </c>
      <c r="F313" s="808"/>
    </row>
    <row r="314" spans="1:6">
      <c r="A314" s="807" t="s">
        <v>1599</v>
      </c>
      <c r="B314" s="800">
        <v>9</v>
      </c>
      <c r="C314" s="793">
        <f>SUM(B314,-'[2]V XL'!V372,-'[2]V XL'!V372)</f>
        <v>9</v>
      </c>
      <c r="D314" s="808"/>
      <c r="E314" s="808">
        <v>15</v>
      </c>
      <c r="F314" s="808"/>
    </row>
    <row r="315" spans="1:6">
      <c r="A315" s="807" t="s">
        <v>1562</v>
      </c>
      <c r="B315" s="800">
        <v>12</v>
      </c>
      <c r="C315" s="793">
        <f>SUM(B315,-[2]VERANDA!H293*2,-'[2]V L'!H292*2,-'[2]V L'!H292*2,-'[2]V XL'!H295*2)</f>
        <v>12</v>
      </c>
      <c r="D315" s="808"/>
      <c r="E315" s="808">
        <v>40</v>
      </c>
      <c r="F315" s="808"/>
    </row>
    <row r="316" spans="1:6">
      <c r="A316" s="807" t="s">
        <v>1563</v>
      </c>
      <c r="B316" s="800">
        <v>88</v>
      </c>
      <c r="C316" s="793">
        <f>SUM(B316,-[2]VERANDA!Q293*2,-'[2]V XL'!J296*2,-'[2]V L XL'!J296*2)</f>
        <v>88</v>
      </c>
      <c r="D316" s="808"/>
      <c r="E316" s="808">
        <v>40</v>
      </c>
      <c r="F316" s="808"/>
    </row>
    <row r="317" spans="1:6">
      <c r="A317" s="807" t="s">
        <v>1600</v>
      </c>
      <c r="B317" s="800">
        <v>45</v>
      </c>
      <c r="C317" s="793">
        <f>SUM(B317,-'[2]CUMMUL '!D362*2,-'[2]CUMMUL '!D365*4,-'[2]CUMMUL '!D368*6,-'[2]CUMMUL '!D371*8,-'[2]CUMMUL '!J364*2)</f>
        <v>45</v>
      </c>
      <c r="D317" s="808"/>
      <c r="E317" s="808">
        <v>20</v>
      </c>
      <c r="F317" s="808"/>
    </row>
    <row r="318" spans="1:6">
      <c r="A318" s="807" t="s">
        <v>1564</v>
      </c>
      <c r="B318" s="800">
        <v>11</v>
      </c>
      <c r="C318" s="793">
        <f>SUM(B318,-'[2]V A BRAS'!J298)</f>
        <v>11</v>
      </c>
      <c r="D318" s="808"/>
      <c r="E318" s="808">
        <v>20</v>
      </c>
      <c r="F318" s="808"/>
    </row>
    <row r="319" spans="1:6">
      <c r="A319" s="801" t="s">
        <v>1286</v>
      </c>
      <c r="B319" s="796">
        <v>2</v>
      </c>
      <c r="C319" s="793">
        <f>SUM(B319,-[1]PU43!$A$3,-[1]PU43!$A$7)</f>
        <v>0</v>
      </c>
      <c r="D319" s="793"/>
      <c r="E319" s="808">
        <v>10</v>
      </c>
      <c r="F319" s="808"/>
    </row>
    <row r="320" spans="1:6">
      <c r="A320" s="801" t="s">
        <v>1287</v>
      </c>
      <c r="B320" s="796">
        <v>0</v>
      </c>
      <c r="C320" s="793">
        <f>SUM(B320,-[1]M5000!$O$19)</f>
        <v>0</v>
      </c>
      <c r="D320" s="793"/>
      <c r="E320" s="808">
        <v>10</v>
      </c>
      <c r="F320" s="808"/>
    </row>
    <row r="321" spans="1:6">
      <c r="A321" s="801" t="s">
        <v>1308</v>
      </c>
      <c r="B321" s="800">
        <v>39</v>
      </c>
      <c r="C321" s="793">
        <f>SUM(B321,-[1]cummul!$B$12,-[5]cummul!$B$7)</f>
        <v>23</v>
      </c>
      <c r="D321" s="793"/>
      <c r="E321" s="808">
        <v>5</v>
      </c>
      <c r="F321" s="808"/>
    </row>
    <row r="322" spans="1:6">
      <c r="A322" s="801" t="s">
        <v>1302</v>
      </c>
      <c r="B322" s="800">
        <v>28</v>
      </c>
      <c r="C322" s="793">
        <f>SUM(B322,-[1]cummul!$B$12,-[5]cummul!$B$7)</f>
        <v>12</v>
      </c>
      <c r="D322" s="793"/>
      <c r="E322" s="808">
        <v>3</v>
      </c>
      <c r="F322" s="808"/>
    </row>
    <row r="323" spans="1:6">
      <c r="A323" s="801" t="s">
        <v>1336</v>
      </c>
      <c r="B323" s="800">
        <v>168</v>
      </c>
      <c r="C323" s="793">
        <f>SUM(B323,-'[1]600EX'!$G$23*5,-'[1]600EX'!$O$22*10,-[1]M640EX!$G$23*5)</f>
        <v>18</v>
      </c>
      <c r="D323" s="793"/>
      <c r="E323" s="808">
        <v>100</v>
      </c>
      <c r="F323" s="808"/>
    </row>
    <row r="324" spans="1:6">
      <c r="A324" s="801" t="s">
        <v>1356</v>
      </c>
      <c r="B324" s="796">
        <v>30</v>
      </c>
      <c r="C324" s="793">
        <f>SUM(B324,-[7]Feuil1!$B$24)</f>
        <v>30</v>
      </c>
      <c r="D324" s="793"/>
      <c r="E324" s="808">
        <v>25</v>
      </c>
      <c r="F324" s="808"/>
    </row>
    <row r="325" spans="1:6">
      <c r="A325" s="801" t="s">
        <v>1357</v>
      </c>
      <c r="B325" s="796">
        <v>70</v>
      </c>
      <c r="C325" s="793">
        <f>SUM(B325,-'[1]600EX'!$D$34,-[1]M640EX!$D$34)</f>
        <v>51</v>
      </c>
      <c r="D325" s="793"/>
      <c r="E325" s="808">
        <v>50</v>
      </c>
      <c r="F325" s="808"/>
    </row>
    <row r="326" spans="1:6">
      <c r="A326" s="805" t="s">
        <v>1513</v>
      </c>
      <c r="B326" s="806">
        <v>46</v>
      </c>
      <c r="C326" s="793">
        <f>SUM(B326,-'[8]corbeille 35nat'!$B$44*2,-'[8]corbeille 35nat'!$J$44*2,-'[8]corbeille 45 nat'!$B$52*2,-'[8]corbeille 45 nat'!$J$52*2,-'[8]corbeille 55 nat'!$B$65*2,-'[8]corbeille 55 nat'!$J$65*2)</f>
        <v>12</v>
      </c>
      <c r="D326" s="808"/>
      <c r="E326" s="808">
        <v>10</v>
      </c>
      <c r="F326" s="808"/>
    </row>
    <row r="327" spans="1:6">
      <c r="A327" s="805" t="s">
        <v>1514</v>
      </c>
      <c r="B327" s="806">
        <v>0</v>
      </c>
      <c r="C327" s="793">
        <f>B327-D327</f>
        <v>0</v>
      </c>
      <c r="D327" s="808"/>
      <c r="E327" s="808">
        <v>10</v>
      </c>
      <c r="F327" s="808"/>
    </row>
    <row r="328" spans="1:6">
      <c r="A328" s="807" t="s">
        <v>1480</v>
      </c>
      <c r="B328" s="806">
        <v>84</v>
      </c>
      <c r="C328" s="793">
        <f>SUM(B328,-'[8]CANAD BLANC'!$B$11*2,-'[8]CANAD BLANC'!$B$13*2)</f>
        <v>84</v>
      </c>
      <c r="D328" s="808"/>
      <c r="E328" s="808">
        <v>10</v>
      </c>
      <c r="F328" s="808"/>
    </row>
    <row r="329" spans="1:6">
      <c r="A329" s="801" t="s">
        <v>1414</v>
      </c>
      <c r="B329" s="800">
        <v>200</v>
      </c>
      <c r="C329" s="793">
        <f>SUM(B329,-[3]Feuil1!$B$2,-[3]Feuil1!$B$3)</f>
        <v>16</v>
      </c>
      <c r="D329" s="808"/>
      <c r="E329" s="808">
        <v>20</v>
      </c>
      <c r="F329" s="808"/>
    </row>
    <row r="330" spans="1:6">
      <c r="A330" s="805" t="s">
        <v>1415</v>
      </c>
      <c r="B330" s="800">
        <v>956</v>
      </c>
      <c r="C330" s="793">
        <f>SUM(B330,-[3]Feuil1!$B$2,-[3]Feuil1!$B$3)</f>
        <v>772</v>
      </c>
      <c r="D330" s="808"/>
      <c r="E330" s="808">
        <v>40</v>
      </c>
      <c r="F330" s="808"/>
    </row>
    <row r="331" spans="1:6">
      <c r="A331" s="801" t="s">
        <v>1416</v>
      </c>
      <c r="B331" s="800">
        <v>12</v>
      </c>
      <c r="C331" s="793">
        <f>B331-D331</f>
        <v>12</v>
      </c>
      <c r="D331" s="808"/>
      <c r="E331" s="808">
        <v>10</v>
      </c>
      <c r="F331" s="808"/>
    </row>
    <row r="332" spans="1:6">
      <c r="A332" s="801" t="s">
        <v>1417</v>
      </c>
      <c r="B332" s="800">
        <v>408</v>
      </c>
      <c r="C332" s="793">
        <f>SUM(B332,-[3]série80!$J$23*2,-[3]série265!$J$23*2,-'[3]265 SOLAIRE'!$H$7*2)</f>
        <v>30</v>
      </c>
      <c r="D332" s="808"/>
      <c r="E332" s="808">
        <v>40</v>
      </c>
      <c r="F332" s="808"/>
    </row>
    <row r="333" spans="1:6">
      <c r="A333" s="801" t="s">
        <v>1418</v>
      </c>
      <c r="B333" s="800">
        <v>464</v>
      </c>
      <c r="C333" s="793">
        <f>SUM(B333,-[3]série240!$H$23*4)</f>
        <v>120</v>
      </c>
      <c r="D333" s="808"/>
      <c r="E333" s="808">
        <v>80</v>
      </c>
      <c r="F333" s="808"/>
    </row>
    <row r="334" spans="1:6">
      <c r="A334" s="805" t="s">
        <v>1419</v>
      </c>
      <c r="B334" s="800">
        <v>222</v>
      </c>
      <c r="C334" s="793">
        <f>SUM(B334,-[3]série240!$H$23*2)</f>
        <v>50</v>
      </c>
      <c r="D334" s="808"/>
      <c r="E334" s="808">
        <v>40</v>
      </c>
      <c r="F334" s="808"/>
    </row>
    <row r="335" spans="1:6">
      <c r="A335" s="801" t="s">
        <v>1422</v>
      </c>
      <c r="B335" s="800">
        <v>193</v>
      </c>
      <c r="C335" s="793">
        <f>SUM(B335,-[3]série240!$H$23*2,-[3]série240!$S$9*2)</f>
        <v>19</v>
      </c>
      <c r="D335" s="808"/>
      <c r="E335" s="808">
        <v>40</v>
      </c>
      <c r="F335" s="808"/>
    </row>
    <row r="336" spans="1:6">
      <c r="A336" s="801" t="s">
        <v>1423</v>
      </c>
      <c r="B336" s="800">
        <v>254</v>
      </c>
      <c r="C336" s="793">
        <f>SUM(B336,-[3]série240!$H$23*2,-[3]série240!$S$9*2)</f>
        <v>80</v>
      </c>
      <c r="D336" s="808"/>
      <c r="E336" s="808">
        <v>40</v>
      </c>
      <c r="F336" s="808"/>
    </row>
    <row r="337" spans="1:6">
      <c r="A337" s="805" t="s">
        <v>1428</v>
      </c>
      <c r="B337" s="804">
        <v>47</v>
      </c>
      <c r="C337" s="793">
        <f>SUM(B337,-D337)</f>
        <v>47</v>
      </c>
      <c r="D337" s="808"/>
      <c r="E337" s="808">
        <v>20</v>
      </c>
      <c r="F337" s="808"/>
    </row>
    <row r="338" spans="1:6">
      <c r="A338" s="801" t="s">
        <v>1424</v>
      </c>
      <c r="B338" s="800">
        <v>239</v>
      </c>
      <c r="C338" s="793">
        <f>B338-D338</f>
        <v>239</v>
      </c>
      <c r="D338" s="808"/>
      <c r="E338" s="808">
        <v>0</v>
      </c>
      <c r="F338" s="808"/>
    </row>
    <row r="339" spans="1:6">
      <c r="A339" s="801" t="s">
        <v>1425</v>
      </c>
      <c r="B339" s="800">
        <v>364</v>
      </c>
      <c r="C339" s="793">
        <f>SUM(B339,-[3]série265!$J$23*2,-[3]série265!$W$9*2,-'[3]265 SOLAIRE'!$H$7*2)</f>
        <v>-2</v>
      </c>
      <c r="D339" s="808"/>
      <c r="E339" s="808">
        <v>40</v>
      </c>
      <c r="F339" s="808"/>
    </row>
    <row r="340" spans="1:6">
      <c r="A340" s="801" t="s">
        <v>1339</v>
      </c>
      <c r="B340" s="800">
        <v>618</v>
      </c>
      <c r="C340" s="793">
        <f>SUM(B340,-[5]cummul!$B$10,-[6]CUMMUL!$B$11)</f>
        <v>38</v>
      </c>
      <c r="D340" s="793"/>
      <c r="E340" s="808">
        <v>40</v>
      </c>
      <c r="F340" s="808"/>
    </row>
    <row r="341" spans="1:6">
      <c r="A341" s="807" t="s">
        <v>1565</v>
      </c>
      <c r="B341" s="800">
        <v>322</v>
      </c>
      <c r="C341" s="793">
        <f>SUM(B341,-[2]VERANDA!Q293*4)</f>
        <v>322</v>
      </c>
      <c r="D341" s="808"/>
      <c r="E341" s="808">
        <v>50</v>
      </c>
      <c r="F341" s="808"/>
    </row>
    <row r="342" spans="1:6">
      <c r="A342" s="807" t="s">
        <v>1601</v>
      </c>
      <c r="B342" s="800">
        <v>38</v>
      </c>
      <c r="C342" s="793">
        <f>SUM(B342,-'[2]CUMMUL '!D365*4,-'[2]CUMMUL '!D368*8,-'[2]CUMMUL '!D371*12)</f>
        <v>38</v>
      </c>
      <c r="D342" s="808"/>
      <c r="E342" s="808">
        <v>50</v>
      </c>
      <c r="F342" s="808"/>
    </row>
    <row r="343" spans="1:6">
      <c r="A343" s="807" t="s">
        <v>1566</v>
      </c>
      <c r="B343" s="800">
        <v>321</v>
      </c>
      <c r="C343" s="793">
        <f>SUM(B343,-'[2]CUMMUL '!E298)</f>
        <v>321</v>
      </c>
      <c r="D343" s="808"/>
      <c r="E343" s="808">
        <v>50</v>
      </c>
      <c r="F343" s="808"/>
    </row>
    <row r="344" spans="1:6">
      <c r="A344" s="807" t="s">
        <v>1602</v>
      </c>
      <c r="B344" s="800">
        <v>108</v>
      </c>
      <c r="C344" s="793">
        <f>SUM(B344,-'[2]CUMMUL '!H375)</f>
        <v>108</v>
      </c>
      <c r="D344" s="808"/>
      <c r="E344" s="808">
        <v>50</v>
      </c>
      <c r="F344" s="808"/>
    </row>
    <row r="345" spans="1:6">
      <c r="A345" s="807" t="s">
        <v>1567</v>
      </c>
      <c r="B345" s="800">
        <v>167</v>
      </c>
      <c r="C345" s="793">
        <f>SUM(B345,-'[2]CUMMUL '!E299)</f>
        <v>167</v>
      </c>
      <c r="D345" s="808"/>
      <c r="E345" s="808">
        <v>50</v>
      </c>
      <c r="F345" s="808"/>
    </row>
    <row r="346" spans="1:6">
      <c r="A346" s="807" t="s">
        <v>1603</v>
      </c>
      <c r="B346" s="800">
        <v>95</v>
      </c>
      <c r="C346" s="793">
        <f>SUM(B346,-'[2]CUMMUL '!H376)</f>
        <v>95</v>
      </c>
      <c r="D346" s="808"/>
      <c r="E346" s="808">
        <v>50</v>
      </c>
      <c r="F346" s="808"/>
    </row>
    <row r="347" spans="1:6">
      <c r="A347" s="807" t="s">
        <v>1568</v>
      </c>
      <c r="B347" s="800">
        <v>182</v>
      </c>
      <c r="C347" s="793">
        <f>SUM(B347,-'[2]CUMMUL '!A285,-'[2]CUMMUL '!A288*2,-'[2]CUMMUL '!A291*3,-'[2]CUMMUL '!A294*4,-'[2]CUMMUL '!G285,-'[2]CUMMUL '!G288*2,-'[2]CUMMUL '!G291*3,-'[2]CUMMUL '!G294*4)</f>
        <v>182</v>
      </c>
      <c r="D347" s="808"/>
      <c r="E347" s="808">
        <v>50</v>
      </c>
      <c r="F347" s="808"/>
    </row>
    <row r="348" spans="1:6">
      <c r="A348" s="807" t="s">
        <v>1569</v>
      </c>
      <c r="B348" s="800">
        <v>182</v>
      </c>
      <c r="C348" s="793">
        <f>SUM(B348,-'[2]CUMMUL '!A285,-'[2]CUMMUL '!A288*2,-'[2]CUMMUL '!A291*3,-'[2]CUMMUL '!A294*4,-'[2]CUMMUL '!G285,-'[2]CUMMUL '!G288*2,-'[2]CUMMUL '!G291*3,-'[2]CUMMUL '!G294*4)</f>
        <v>182</v>
      </c>
      <c r="D348" s="808"/>
      <c r="E348" s="808">
        <v>50</v>
      </c>
      <c r="F348" s="808"/>
    </row>
    <row r="349" spans="1:6">
      <c r="A349" s="807" t="s">
        <v>1604</v>
      </c>
      <c r="B349" s="800">
        <v>36</v>
      </c>
      <c r="C349" s="793">
        <f>SUM(B349,-'[2]CUMMUL '!D362,-'[2]CUMMUL '!D365*2,-'[2]CUMMUL '!D368*3,-'[2]CUMMUL '!D371*4)</f>
        <v>36</v>
      </c>
      <c r="D349" s="808"/>
      <c r="E349" s="808">
        <v>50</v>
      </c>
      <c r="F349" s="808"/>
    </row>
    <row r="350" spans="1:6">
      <c r="A350" s="807" t="s">
        <v>1605</v>
      </c>
      <c r="B350" s="800">
        <v>36</v>
      </c>
      <c r="C350" s="793">
        <f>SUM(B350,-'[2]CUMMUL '!D362,-'[2]CUMMUL '!D365*2,-'[2]CUMMUL '!D368*3,-'[2]CUMMUL '!D371*4)</f>
        <v>36</v>
      </c>
      <c r="D350" s="808"/>
      <c r="E350" s="808">
        <v>50</v>
      </c>
      <c r="F350" s="808"/>
    </row>
    <row r="351" spans="1:6">
      <c r="A351" s="807" t="s">
        <v>1570</v>
      </c>
      <c r="B351" s="800">
        <v>452</v>
      </c>
      <c r="C351" s="793">
        <f>SUM(B351,-'[2]CUMMUL '!A285*2,-'[2]CUMMUL '!A288*4,-'[2]CUMMUL '!A291*6,-'[2]CUMMUL '!A294*8,-'[2]CUMMUL '!G285*2,-'[2]CUMMUL '!G288*4,-'[2]CUMMUL '!G291*6,-'[2]CUMMUL '!G294*8,-'[2]CUMMUL '!J284*2,-'[2]CUMMUL '!J290*2)</f>
        <v>452</v>
      </c>
      <c r="D351" s="808"/>
      <c r="E351" s="808">
        <v>50</v>
      </c>
      <c r="F351" s="808"/>
    </row>
    <row r="352" spans="1:6">
      <c r="A352" s="807" t="s">
        <v>1606</v>
      </c>
      <c r="B352" s="800">
        <v>100</v>
      </c>
      <c r="C352" s="793">
        <f>SUM(B352,-'[2]CUMMUL '!D362*2,-'[2]CUMMUL '!D365*4,-'[2]CUMMUL '!D368*7,-'[2]CUMMUL '!D371*8,-'[2]CUMMUL '!J364*2)</f>
        <v>100</v>
      </c>
      <c r="D352" s="808"/>
      <c r="E352" s="808">
        <v>50</v>
      </c>
      <c r="F352" s="808"/>
    </row>
    <row r="353" spans="1:6">
      <c r="A353" s="807" t="s">
        <v>1571</v>
      </c>
      <c r="B353" s="800">
        <v>41</v>
      </c>
      <c r="C353" s="793">
        <f>SUM(B353,-'[2]CUMMUL '!J284,-'[2]CUMMUL '!J290)</f>
        <v>41</v>
      </c>
      <c r="D353" s="808"/>
      <c r="E353" s="808">
        <v>50</v>
      </c>
      <c r="F353" s="808"/>
    </row>
    <row r="354" spans="1:6">
      <c r="A354" s="807" t="s">
        <v>1572</v>
      </c>
      <c r="B354" s="800">
        <v>41</v>
      </c>
      <c r="C354" s="793">
        <f>SUM(B354,-'[2]CUMMUL '!J284,-'[2]CUMMUL '!J290)</f>
        <v>41</v>
      </c>
      <c r="D354" s="808"/>
      <c r="E354" s="808">
        <v>50</v>
      </c>
      <c r="F354" s="808"/>
    </row>
    <row r="355" spans="1:6">
      <c r="A355" s="807" t="s">
        <v>1607</v>
      </c>
      <c r="B355" s="800">
        <v>172</v>
      </c>
      <c r="C355" s="793">
        <f>SUM(B355,-'[2]CUMMUL '!J364)</f>
        <v>172</v>
      </c>
      <c r="D355" s="808"/>
      <c r="E355" s="808">
        <v>50</v>
      </c>
      <c r="F355" s="808"/>
    </row>
    <row r="356" spans="1:6">
      <c r="A356" s="807" t="s">
        <v>1608</v>
      </c>
      <c r="B356" s="800">
        <v>172</v>
      </c>
      <c r="C356" s="793">
        <f>SUM(B356,-'[2]CUMMUL '!J364)</f>
        <v>172</v>
      </c>
      <c r="D356" s="808"/>
      <c r="E356" s="808">
        <v>50</v>
      </c>
      <c r="F356" s="808"/>
    </row>
    <row r="357" spans="1:6">
      <c r="A357" s="807" t="s">
        <v>1573</v>
      </c>
      <c r="B357" s="800">
        <v>35</v>
      </c>
      <c r="C357" s="793">
        <f>SUM(B357,-D357)</f>
        <v>35</v>
      </c>
      <c r="D357" s="808"/>
      <c r="E357" s="808">
        <v>50</v>
      </c>
      <c r="F357" s="808"/>
    </row>
    <row r="358" spans="1:6">
      <c r="A358" s="807" t="s">
        <v>1609</v>
      </c>
      <c r="B358" s="800">
        <v>57</v>
      </c>
      <c r="C358" s="793">
        <f>B358-D358</f>
        <v>57</v>
      </c>
      <c r="D358" s="808"/>
      <c r="E358" s="808">
        <v>50</v>
      </c>
      <c r="F358" s="808"/>
    </row>
    <row r="359" spans="1:6">
      <c r="A359" s="807" t="s">
        <v>1574</v>
      </c>
      <c r="B359" s="800">
        <v>65</v>
      </c>
      <c r="C359" s="793">
        <f>SUM(B359,-D359)</f>
        <v>65</v>
      </c>
      <c r="D359" s="808"/>
      <c r="E359" s="808">
        <v>50</v>
      </c>
      <c r="F359" s="808"/>
    </row>
    <row r="360" spans="1:6">
      <c r="A360" s="807" t="s">
        <v>1610</v>
      </c>
      <c r="B360" s="800">
        <v>36</v>
      </c>
      <c r="C360" s="793">
        <f>B360-D360</f>
        <v>36</v>
      </c>
      <c r="D360" s="808"/>
      <c r="E360" s="808">
        <v>50</v>
      </c>
      <c r="F360" s="808"/>
    </row>
    <row r="361" spans="1:6">
      <c r="A361" s="807" t="s">
        <v>1575</v>
      </c>
      <c r="B361" s="800">
        <v>38</v>
      </c>
      <c r="C361" s="793">
        <f>SUM(B361,-D361)</f>
        <v>38</v>
      </c>
      <c r="D361" s="808"/>
      <c r="E361" s="808">
        <v>50</v>
      </c>
      <c r="F361" s="808"/>
    </row>
    <row r="362" spans="1:6">
      <c r="A362" s="807" t="s">
        <v>1611</v>
      </c>
      <c r="B362" s="800">
        <v>44</v>
      </c>
      <c r="C362" s="793">
        <f>B362-D362</f>
        <v>44</v>
      </c>
      <c r="D362" s="808"/>
      <c r="E362" s="808">
        <v>50</v>
      </c>
      <c r="F362" s="808"/>
    </row>
    <row r="363" spans="1:6">
      <c r="A363" s="807" t="s">
        <v>1576</v>
      </c>
      <c r="B363" s="800">
        <v>406</v>
      </c>
      <c r="C363" s="793">
        <f>SUM(B363,-'[2]CUMMUL '!E300)</f>
        <v>406</v>
      </c>
      <c r="D363" s="808"/>
      <c r="E363" s="808">
        <v>50</v>
      </c>
      <c r="F363" s="808"/>
    </row>
    <row r="364" spans="1:6">
      <c r="A364" s="807" t="s">
        <v>1612</v>
      </c>
      <c r="B364" s="800">
        <v>92</v>
      </c>
      <c r="C364" s="793">
        <f>SUM(B364,-'[2]CUMMUL '!H377)</f>
        <v>92</v>
      </c>
      <c r="D364" s="808"/>
      <c r="E364" s="808">
        <v>50</v>
      </c>
      <c r="F364" s="808"/>
    </row>
    <row r="365" spans="1:6">
      <c r="A365" s="807" t="s">
        <v>1577</v>
      </c>
      <c r="B365" s="800">
        <v>188</v>
      </c>
      <c r="C365" s="793">
        <f>SUM(B365,-'[2]CUMMUL '!E301)</f>
        <v>188</v>
      </c>
      <c r="D365" s="808"/>
      <c r="E365" s="808">
        <v>50</v>
      </c>
      <c r="F365" s="808"/>
    </row>
    <row r="366" spans="1:6">
      <c r="A366" s="807" t="s">
        <v>1578</v>
      </c>
      <c r="B366" s="800">
        <v>100</v>
      </c>
      <c r="C366" s="793">
        <f>SUM(B366,-'[2]CUMMUL '!E302)</f>
        <v>100</v>
      </c>
      <c r="D366" s="808"/>
      <c r="E366" s="808">
        <v>50</v>
      </c>
      <c r="F366" s="808"/>
    </row>
    <row r="367" spans="1:6">
      <c r="A367" s="807" t="s">
        <v>1613</v>
      </c>
      <c r="B367" s="800">
        <v>172</v>
      </c>
      <c r="C367" s="793">
        <f>SUM(B367-'[2]CUMMUL '!H379)</f>
        <v>172</v>
      </c>
      <c r="D367" s="808"/>
      <c r="E367" s="808">
        <v>50</v>
      </c>
      <c r="F367" s="808"/>
    </row>
    <row r="368" spans="1:6">
      <c r="A368" s="807" t="s">
        <v>1579</v>
      </c>
      <c r="B368" s="800">
        <v>350</v>
      </c>
      <c r="C368" s="793">
        <f>SUM(B368,-'[2]CUMMUL '!E303)</f>
        <v>350</v>
      </c>
      <c r="D368" s="808"/>
      <c r="E368" s="808">
        <v>50</v>
      </c>
      <c r="F368" s="808"/>
    </row>
    <row r="369" spans="1:6">
      <c r="A369" s="807" t="s">
        <v>1614</v>
      </c>
      <c r="B369" s="800">
        <v>101</v>
      </c>
      <c r="C369" s="793">
        <f>SUM(B369-'[2]CUMMUL '!H380)</f>
        <v>101</v>
      </c>
      <c r="D369" s="808"/>
      <c r="E369" s="808">
        <v>50</v>
      </c>
      <c r="F369" s="808"/>
    </row>
    <row r="370" spans="1:6">
      <c r="A370" s="807" t="s">
        <v>1580</v>
      </c>
      <c r="B370" s="800">
        <v>65</v>
      </c>
      <c r="C370" s="793">
        <f>SUM(B370,-'[2]CUMMUL '!E304)</f>
        <v>65</v>
      </c>
      <c r="D370" s="808"/>
      <c r="E370" s="808">
        <v>50</v>
      </c>
      <c r="F370" s="808"/>
    </row>
    <row r="371" spans="1:6">
      <c r="A371" s="807" t="s">
        <v>1615</v>
      </c>
      <c r="B371" s="800">
        <v>126</v>
      </c>
      <c r="C371" s="793">
        <f t="shared" ref="C371:C380" si="1">B371-D371</f>
        <v>126</v>
      </c>
      <c r="D371" s="808"/>
      <c r="E371" s="808">
        <v>50</v>
      </c>
      <c r="F371" s="808"/>
    </row>
    <row r="372" spans="1:6">
      <c r="A372" s="807" t="s">
        <v>1581</v>
      </c>
      <c r="B372" s="800">
        <v>12</v>
      </c>
      <c r="C372" s="793">
        <f t="shared" si="1"/>
        <v>12</v>
      </c>
      <c r="D372" s="808"/>
      <c r="E372" s="808">
        <v>50</v>
      </c>
      <c r="F372" s="808"/>
    </row>
    <row r="373" spans="1:6">
      <c r="A373" s="807" t="s">
        <v>1582</v>
      </c>
      <c r="B373" s="800">
        <v>12</v>
      </c>
      <c r="C373" s="793">
        <f t="shared" si="1"/>
        <v>12</v>
      </c>
      <c r="D373" s="808"/>
      <c r="E373" s="808">
        <v>50</v>
      </c>
      <c r="F373" s="808"/>
    </row>
    <row r="374" spans="1:6">
      <c r="A374" s="807" t="s">
        <v>1616</v>
      </c>
      <c r="B374" s="800">
        <v>33</v>
      </c>
      <c r="C374" s="793">
        <f t="shared" si="1"/>
        <v>33</v>
      </c>
      <c r="D374" s="808"/>
      <c r="E374" s="808">
        <v>50</v>
      </c>
      <c r="F374" s="808"/>
    </row>
    <row r="375" spans="1:6">
      <c r="A375" s="807" t="s">
        <v>1617</v>
      </c>
      <c r="B375" s="800">
        <v>33</v>
      </c>
      <c r="C375" s="793">
        <f t="shared" si="1"/>
        <v>33</v>
      </c>
      <c r="D375" s="808"/>
      <c r="E375" s="808">
        <v>50</v>
      </c>
      <c r="F375" s="808"/>
    </row>
    <row r="376" spans="1:6">
      <c r="A376" s="807" t="s">
        <v>1584</v>
      </c>
      <c r="B376" s="800">
        <v>0</v>
      </c>
      <c r="C376" s="793">
        <f t="shared" si="1"/>
        <v>0</v>
      </c>
      <c r="D376" s="808"/>
      <c r="E376" s="808">
        <v>50</v>
      </c>
      <c r="F376" s="808"/>
    </row>
    <row r="377" spans="1:6">
      <c r="A377" s="807" t="s">
        <v>1583</v>
      </c>
      <c r="B377" s="800">
        <v>202</v>
      </c>
      <c r="C377" s="793">
        <f t="shared" si="1"/>
        <v>202</v>
      </c>
      <c r="D377" s="808"/>
      <c r="E377" s="808">
        <v>50</v>
      </c>
      <c r="F377" s="808"/>
    </row>
    <row r="378" spans="1:6">
      <c r="A378" s="807" t="s">
        <v>1618</v>
      </c>
      <c r="B378" s="800">
        <v>60</v>
      </c>
      <c r="C378" s="793">
        <f t="shared" si="1"/>
        <v>60</v>
      </c>
      <c r="D378" s="808"/>
      <c r="E378" s="808">
        <v>50</v>
      </c>
      <c r="F378" s="808"/>
    </row>
    <row r="379" spans="1:6">
      <c r="A379" s="807" t="s">
        <v>1586</v>
      </c>
      <c r="B379" s="800">
        <v>0</v>
      </c>
      <c r="C379" s="793">
        <f t="shared" si="1"/>
        <v>0</v>
      </c>
      <c r="D379" s="808"/>
      <c r="E379" s="808">
        <v>50</v>
      </c>
      <c r="F379" s="808"/>
    </row>
    <row r="380" spans="1:6">
      <c r="A380" s="807" t="s">
        <v>1619</v>
      </c>
      <c r="B380" s="800">
        <v>60</v>
      </c>
      <c r="C380" s="793">
        <f t="shared" si="1"/>
        <v>60</v>
      </c>
      <c r="D380" s="808"/>
      <c r="E380" s="808">
        <v>50</v>
      </c>
      <c r="F380" s="808"/>
    </row>
    <row r="381" spans="1:6">
      <c r="A381" s="807" t="s">
        <v>1585</v>
      </c>
      <c r="B381" s="800">
        <v>14</v>
      </c>
      <c r="C381" s="793">
        <f>SUM(B381,-'[2]CUMMUL '!E305)</f>
        <v>14</v>
      </c>
      <c r="D381" s="808"/>
      <c r="E381" s="808">
        <v>50</v>
      </c>
      <c r="F381" s="808"/>
    </row>
    <row r="382" spans="1:6">
      <c r="A382" s="807" t="s">
        <v>1587</v>
      </c>
      <c r="B382" s="800">
        <v>14</v>
      </c>
      <c r="C382" s="793">
        <f>SUM(B382,-'[2]V A BRAS'!J298)</f>
        <v>14</v>
      </c>
      <c r="D382" s="808"/>
      <c r="E382" s="808">
        <v>50</v>
      </c>
      <c r="F382" s="808"/>
    </row>
    <row r="383" spans="1:6">
      <c r="A383" s="807" t="s">
        <v>1588</v>
      </c>
      <c r="B383" s="800">
        <v>14</v>
      </c>
      <c r="C383" s="793">
        <f>SUM(B383,-'[2]V A BRAS'!J298)</f>
        <v>14</v>
      </c>
      <c r="D383" s="808"/>
      <c r="E383" s="808">
        <v>50</v>
      </c>
      <c r="F383" s="808"/>
    </row>
    <row r="384" spans="1:6">
      <c r="A384" s="807" t="s">
        <v>1589</v>
      </c>
      <c r="B384" s="800">
        <v>8</v>
      </c>
      <c r="C384" s="793">
        <f>SUM(B384,-'[2]V A BRAS'!J298)</f>
        <v>8</v>
      </c>
      <c r="D384" s="808"/>
      <c r="E384" s="808">
        <v>50</v>
      </c>
      <c r="F384" s="808"/>
    </row>
    <row r="385" spans="1:6">
      <c r="A385" s="807" t="s">
        <v>1590</v>
      </c>
      <c r="B385" s="800">
        <v>8</v>
      </c>
      <c r="C385" s="793">
        <f>SUM(B385,-'[2]V A BRAS'!J298)</f>
        <v>8</v>
      </c>
      <c r="D385" s="808"/>
      <c r="E385" s="808">
        <v>50</v>
      </c>
      <c r="F385" s="808"/>
    </row>
    <row r="386" spans="1:6">
      <c r="A386" s="807" t="s">
        <v>1591</v>
      </c>
      <c r="B386" s="800">
        <v>91</v>
      </c>
      <c r="C386" s="793">
        <f>SUM(B386,-'[2]V L XL'!M288,-'[2]V XL'!X288)</f>
        <v>91</v>
      </c>
      <c r="D386" s="808"/>
      <c r="E386" s="808">
        <v>50</v>
      </c>
      <c r="F386" s="808"/>
    </row>
    <row r="387" spans="1:6">
      <c r="A387" s="807" t="s">
        <v>1592</v>
      </c>
      <c r="B387" s="800">
        <v>91</v>
      </c>
      <c r="C387" s="793">
        <f>SUM(B387,-'[2]V L XL'!M289,-'[2]V XL'!X289)</f>
        <v>91</v>
      </c>
      <c r="D387" s="808"/>
      <c r="E387" s="808">
        <v>50</v>
      </c>
      <c r="F387" s="808"/>
    </row>
    <row r="388" spans="1:6">
      <c r="A388" s="807" t="s">
        <v>1620</v>
      </c>
      <c r="B388" s="800">
        <v>36</v>
      </c>
      <c r="C388" s="793">
        <f>SUM(B388,-'[2]CUMMUL '!J364*5)</f>
        <v>36</v>
      </c>
      <c r="D388" s="808"/>
      <c r="E388" s="808">
        <v>50</v>
      </c>
      <c r="F388" s="808"/>
    </row>
    <row r="389" spans="1:6">
      <c r="A389" s="807" t="s">
        <v>1621</v>
      </c>
      <c r="B389" s="800">
        <v>36</v>
      </c>
      <c r="C389" s="793">
        <f>SUM(B389,-'[2]CUMMUL '!J364*5)</f>
        <v>36</v>
      </c>
      <c r="D389" s="808"/>
      <c r="E389" s="808">
        <v>50</v>
      </c>
      <c r="F389" s="808"/>
    </row>
    <row r="390" spans="1:6">
      <c r="A390" s="801" t="s">
        <v>1427</v>
      </c>
      <c r="B390" s="800">
        <v>109</v>
      </c>
      <c r="C390" s="793">
        <f>SUM(B390,-[3]Feuil1!$B$2)</f>
        <v>29</v>
      </c>
      <c r="D390" s="808"/>
      <c r="E390" s="808">
        <v>15</v>
      </c>
      <c r="F390" s="808"/>
    </row>
    <row r="391" spans="1:6">
      <c r="A391" s="801" t="s">
        <v>1426</v>
      </c>
      <c r="B391" s="800">
        <v>222</v>
      </c>
      <c r="C391" s="793">
        <f>SUM(B391,-[3]Feuil1!$B$3)</f>
        <v>118</v>
      </c>
      <c r="D391" s="808"/>
      <c r="E391" s="808">
        <v>15</v>
      </c>
      <c r="F391" s="808"/>
    </row>
    <row r="392" spans="1:6">
      <c r="A392" s="801" t="s">
        <v>1366</v>
      </c>
      <c r="B392" s="796">
        <v>35</v>
      </c>
      <c r="C392" s="793">
        <f>B392-E392</f>
        <v>33</v>
      </c>
      <c r="D392" s="793"/>
      <c r="E392" s="808">
        <v>2</v>
      </c>
      <c r="F392" s="808"/>
    </row>
    <row r="393" spans="1:6">
      <c r="A393" s="801" t="s">
        <v>1367</v>
      </c>
      <c r="B393" s="796">
        <v>328</v>
      </c>
      <c r="C393" s="793">
        <f>SUM(B393,-[1]cummul!$B$27,-[4]CUMMUL!$B$3,-[5]cummul!$B$21,-[6]CUMMUL!$B$3)</f>
        <v>95</v>
      </c>
      <c r="D393" s="793"/>
      <c r="E393" s="808">
        <v>25</v>
      </c>
      <c r="F393" s="808"/>
    </row>
    <row r="394" spans="1:6">
      <c r="A394" s="805" t="s">
        <v>1515</v>
      </c>
      <c r="B394" s="806">
        <v>50</v>
      </c>
      <c r="C394" s="793">
        <f>B394-D394</f>
        <v>50</v>
      </c>
      <c r="D394" s="808"/>
      <c r="E394" s="808">
        <v>25</v>
      </c>
      <c r="F394" s="808"/>
    </row>
    <row r="395" spans="1:6">
      <c r="A395" s="801" t="s">
        <v>1368</v>
      </c>
      <c r="B395" s="796">
        <v>63</v>
      </c>
      <c r="C395" s="793">
        <f>SUM(B395,-[6]STguides!$U$14)</f>
        <v>61</v>
      </c>
      <c r="D395" s="793"/>
      <c r="E395" s="808">
        <v>25</v>
      </c>
      <c r="F395" s="808"/>
    </row>
    <row r="396" spans="1:6">
      <c r="A396" s="801" t="s">
        <v>1264</v>
      </c>
      <c r="B396" s="796">
        <v>20</v>
      </c>
      <c r="C396" s="793">
        <f>B396-E396</f>
        <v>10</v>
      </c>
      <c r="D396" s="793"/>
      <c r="E396" s="808">
        <v>10</v>
      </c>
      <c r="F396" s="808"/>
    </row>
    <row r="397" spans="1:6">
      <c r="A397" s="801" t="s">
        <v>1261</v>
      </c>
      <c r="B397" s="796">
        <v>129</v>
      </c>
      <c r="C397" s="793">
        <f>SUM(B397,-[6]STguides!$E$29,-[6]STguides!$J$29,-[6]Coffre110!$H$22)</f>
        <v>-2</v>
      </c>
      <c r="D397" s="793"/>
      <c r="E397" s="808">
        <v>10</v>
      </c>
      <c r="F397" s="808"/>
    </row>
    <row r="398" spans="1:6">
      <c r="A398" s="801" t="s">
        <v>1262</v>
      </c>
      <c r="B398" s="796">
        <v>0</v>
      </c>
      <c r="C398" s="793">
        <f>B398-E398</f>
        <v>-10</v>
      </c>
      <c r="D398" s="793"/>
      <c r="E398" s="808">
        <v>10</v>
      </c>
      <c r="F398" s="808"/>
    </row>
    <row r="399" spans="1:6">
      <c r="A399" s="801" t="s">
        <v>1263</v>
      </c>
      <c r="B399" s="796">
        <v>0</v>
      </c>
      <c r="C399" s="793">
        <f>B399-E399</f>
        <v>-10</v>
      </c>
      <c r="D399" s="793"/>
      <c r="E399" s="808">
        <v>10</v>
      </c>
      <c r="F399" s="808"/>
    </row>
    <row r="400" spans="1:6">
      <c r="A400" s="801" t="s">
        <v>1270</v>
      </c>
      <c r="B400" s="796">
        <v>9</v>
      </c>
      <c r="C400" s="793">
        <f>B400-E400</f>
        <v>4</v>
      </c>
      <c r="D400" s="793"/>
      <c r="E400" s="808">
        <v>5</v>
      </c>
      <c r="F400" s="808"/>
    </row>
    <row r="401" spans="1:6">
      <c r="A401" s="801" t="s">
        <v>1265</v>
      </c>
      <c r="B401" s="796">
        <v>25</v>
      </c>
      <c r="C401" s="793">
        <f>SUM(B401,-[3]série40!$H$5*2,-[1]M100!$Z$5,[1]M100!$Z$8*2,-[1]M100!$Z$9*2,-[1]M100!$Z$38,-[1]M100!$Z$41*2,-[1]M100!$Z$42*2,-[1]M300A!$Z$5,-[1]M300A!$Z$8*2,-[1]M300A!$Z$9*2,-[1]M505!$Z$5,-[1]M505!$Z$8*2,-[1]M505!$Z$9*2,-[1]M510!$X$5,-[1]M510!$X$8*2,-[1]M510!$X$9*2,-[1]M520!$H$5,-[1]M560!$O$5,-[1]M600!$Q$4,-[1]M600!$Q$7*2,-[1]M600!$Q$8*2)</f>
        <v>2</v>
      </c>
      <c r="D401" s="793"/>
      <c r="E401" s="808">
        <v>20</v>
      </c>
      <c r="F401" s="808"/>
    </row>
    <row r="402" spans="1:6">
      <c r="A402" s="801" t="s">
        <v>1266</v>
      </c>
      <c r="B402" s="796">
        <v>5</v>
      </c>
      <c r="C402" s="793">
        <f>B402-E402</f>
        <v>0</v>
      </c>
      <c r="D402" s="793"/>
      <c r="E402" s="808">
        <v>5</v>
      </c>
      <c r="F402" s="808"/>
    </row>
    <row r="403" spans="1:6">
      <c r="A403" s="801" t="s">
        <v>1267</v>
      </c>
      <c r="B403" s="796">
        <v>3</v>
      </c>
      <c r="C403" s="793">
        <f>SUM(B403,-'[1]600EX'!$G$23,-'[1]600EX'!$O$24*2,-[1]M640EX!$G$23,-[1]M640EX!$O$24*2,-[1]M5000!$E$16*2)</f>
        <v>-29</v>
      </c>
      <c r="D403" s="793"/>
      <c r="E403" s="808">
        <v>20</v>
      </c>
      <c r="F403" s="808"/>
    </row>
    <row r="404" spans="1:6">
      <c r="A404" s="805" t="s">
        <v>1434</v>
      </c>
      <c r="B404" s="800">
        <v>102</v>
      </c>
      <c r="C404" s="793">
        <f>SUM(B404,-[3]série240!$H$23,-[3]série240!$S$9)</f>
        <v>15</v>
      </c>
      <c r="D404" s="808"/>
      <c r="E404" s="808">
        <v>20</v>
      </c>
      <c r="F404" s="808"/>
    </row>
    <row r="405" spans="1:6">
      <c r="A405" s="805" t="s">
        <v>1435</v>
      </c>
      <c r="B405" s="800">
        <v>100</v>
      </c>
      <c r="C405" s="793">
        <f>SUM(B405,-[3]série240!$H$23,-[3]série240!$S$9,-[3]série265!$C$27/2,-[3]série80!$C$27/2,-'[3]265 SOLAIRE'!$C$12/2)</f>
        <v>6</v>
      </c>
      <c r="D405" s="808"/>
      <c r="E405" s="808">
        <v>30</v>
      </c>
      <c r="F405" s="808"/>
    </row>
    <row r="406" spans="1:6">
      <c r="A406" s="801" t="s">
        <v>1436</v>
      </c>
      <c r="B406" s="800">
        <v>90</v>
      </c>
      <c r="C406" s="793">
        <f>SUM(B406,-[3]série80!$L$6,-[3]série265!$L$6,-[3]série265!$C$28/2,-[3]série80!$C$28/2,-'[3]265 SOLAIRE'!$C$13/2)</f>
        <v>-2</v>
      </c>
      <c r="D406" s="808"/>
      <c r="E406" s="808">
        <v>30</v>
      </c>
      <c r="F406" s="808"/>
    </row>
    <row r="407" spans="1:6">
      <c r="A407" s="801" t="s">
        <v>1369</v>
      </c>
      <c r="B407" s="796">
        <v>30</v>
      </c>
      <c r="C407" s="793">
        <f>SUM(B407)</f>
        <v>30</v>
      </c>
      <c r="D407" s="793"/>
      <c r="E407" s="808">
        <v>0</v>
      </c>
      <c r="F407" s="808"/>
    </row>
    <row r="408" spans="1:6">
      <c r="A408" s="801" t="s">
        <v>1250</v>
      </c>
      <c r="B408" s="796">
        <v>200</v>
      </c>
      <c r="C408" s="793">
        <f>SUM(B408-E408)</f>
        <v>175</v>
      </c>
      <c r="D408" s="793"/>
      <c r="E408" s="808">
        <v>25</v>
      </c>
      <c r="F408" s="808"/>
    </row>
    <row r="409" spans="1:6">
      <c r="A409" s="801" t="s">
        <v>1251</v>
      </c>
      <c r="B409" s="796">
        <v>2</v>
      </c>
      <c r="C409" s="793">
        <f>B409-E409</f>
        <v>0</v>
      </c>
      <c r="D409" s="793"/>
      <c r="E409" s="808">
        <v>2</v>
      </c>
      <c r="F409" s="808"/>
    </row>
    <row r="410" spans="1:6">
      <c r="A410" s="801" t="s">
        <v>1252</v>
      </c>
      <c r="B410" s="796">
        <v>12</v>
      </c>
      <c r="C410" s="793">
        <f>B410-E410</f>
        <v>2</v>
      </c>
      <c r="D410" s="793"/>
      <c r="E410" s="808">
        <v>10</v>
      </c>
      <c r="F410" s="808"/>
    </row>
    <row r="411" spans="1:6">
      <c r="A411" s="801" t="s">
        <v>1242</v>
      </c>
      <c r="B411" s="796">
        <v>0</v>
      </c>
      <c r="C411" s="793">
        <f>B411</f>
        <v>0</v>
      </c>
      <c r="D411" s="793"/>
      <c r="E411" s="808">
        <v>20</v>
      </c>
      <c r="F411" s="808"/>
    </row>
    <row r="412" spans="1:6">
      <c r="A412" s="801" t="s">
        <v>1243</v>
      </c>
      <c r="B412" s="796">
        <v>29</v>
      </c>
      <c r="C412" s="793">
        <f>SUM(B412,-'[2]CUMMUL '!$B$21)</f>
        <v>-9</v>
      </c>
      <c r="D412" s="793"/>
      <c r="E412" s="808">
        <v>20</v>
      </c>
      <c r="F412" s="808"/>
    </row>
    <row r="413" spans="1:6">
      <c r="A413" s="801" t="s">
        <v>1244</v>
      </c>
      <c r="B413" s="796">
        <v>32</v>
      </c>
      <c r="C413" s="793">
        <f>SUM(B413,-E413)</f>
        <v>22</v>
      </c>
      <c r="D413" s="793"/>
      <c r="E413" s="808">
        <v>10</v>
      </c>
      <c r="F413" s="808"/>
    </row>
    <row r="414" spans="1:6">
      <c r="A414" s="801" t="s">
        <v>1245</v>
      </c>
      <c r="B414" s="796">
        <v>0</v>
      </c>
      <c r="C414" s="793">
        <v>0</v>
      </c>
      <c r="D414" s="793"/>
      <c r="E414" s="808">
        <v>15</v>
      </c>
      <c r="F414" s="808"/>
    </row>
    <row r="415" spans="1:6">
      <c r="A415" s="801" t="s">
        <v>1268</v>
      </c>
      <c r="B415" s="796">
        <v>0</v>
      </c>
      <c r="C415" s="793">
        <v>0</v>
      </c>
      <c r="D415" s="793"/>
      <c r="E415" s="808">
        <v>10</v>
      </c>
      <c r="F415" s="808"/>
    </row>
    <row r="416" spans="1:6">
      <c r="A416" s="801" t="s">
        <v>1269</v>
      </c>
      <c r="B416" s="796">
        <v>0</v>
      </c>
      <c r="C416" s="793">
        <v>0</v>
      </c>
      <c r="D416" s="793"/>
      <c r="E416" s="808">
        <v>10</v>
      </c>
      <c r="F416" s="808"/>
    </row>
    <row r="417" spans="1:6">
      <c r="A417" s="801" t="s">
        <v>1271</v>
      </c>
      <c r="B417" s="796">
        <v>0</v>
      </c>
      <c r="C417" s="793"/>
      <c r="D417" s="793"/>
      <c r="E417" s="808">
        <v>15</v>
      </c>
      <c r="F417" s="808"/>
    </row>
    <row r="418" spans="1:6">
      <c r="A418" s="801" t="s">
        <v>1279</v>
      </c>
      <c r="B418" s="796">
        <v>1</v>
      </c>
      <c r="C418" s="793"/>
      <c r="D418" s="793"/>
      <c r="E418" s="808">
        <v>20</v>
      </c>
      <c r="F418" s="808"/>
    </row>
    <row r="419" spans="1:6">
      <c r="A419" s="801" t="s">
        <v>1274</v>
      </c>
      <c r="B419" s="796">
        <v>89</v>
      </c>
      <c r="C419" s="793">
        <f>SUM(B419,-'[2]CUMMUL '!$B$16,-[3]Feuil1!$N$7)</f>
        <v>74</v>
      </c>
      <c r="D419" s="793"/>
      <c r="E419" s="808">
        <v>20</v>
      </c>
      <c r="F419" s="808"/>
    </row>
    <row r="420" spans="1:6">
      <c r="A420" s="801" t="s">
        <v>1272</v>
      </c>
      <c r="B420" s="796">
        <v>283</v>
      </c>
      <c r="C420" s="793">
        <f>SUM(B420,-'[2]CUMMUL '!$B$14,-[1]cummul!$B$17,-[4]CUMMUL!$B$8,-[5]cummul!$B$12,-[6]CUMMUL!$B$14,-[3]Feuil1!$N$1)</f>
        <v>-21</v>
      </c>
      <c r="D420" s="793"/>
      <c r="E420" s="808">
        <v>20</v>
      </c>
      <c r="F420" s="808"/>
    </row>
    <row r="421" spans="1:6">
      <c r="A421" s="801" t="s">
        <v>1273</v>
      </c>
      <c r="B421" s="796">
        <v>165</v>
      </c>
      <c r="C421" s="793">
        <f>SUM(B421,-[1]cummul!$B$18,-[4]CUMMUL!$B$9,-[5]cummul!$B$13,-[6]CUMMUL!$B$15,-[3]Feuil1!$N$2)</f>
        <v>-5</v>
      </c>
      <c r="D421" s="793"/>
      <c r="E421" s="808">
        <v>20</v>
      </c>
      <c r="F421" s="808"/>
    </row>
    <row r="422" spans="1:6">
      <c r="A422" s="801" t="s">
        <v>1275</v>
      </c>
      <c r="B422" s="796">
        <v>152</v>
      </c>
      <c r="C422" s="793">
        <f>SUM(B422,-'[2]CUMMUL '!$B$17,-[1]cummul!$B$23,-[5]cummul!$B$17,-[3]Feuil1!$N$8)</f>
        <v>-11</v>
      </c>
      <c r="D422" s="793"/>
      <c r="E422" s="808">
        <v>20</v>
      </c>
      <c r="F422" s="808"/>
    </row>
    <row r="423" spans="1:6">
      <c r="A423" s="801" t="s">
        <v>1276</v>
      </c>
      <c r="B423" s="796">
        <v>103</v>
      </c>
      <c r="C423" s="793">
        <f>SUM(B423,-'[2]CUMMUL '!$B$18,-[1]cummul!$B$24,-[5]cummul!$B$18,-[3]Feuil1!$N$9)</f>
        <v>15</v>
      </c>
      <c r="D423" s="793"/>
      <c r="E423" s="808">
        <v>20</v>
      </c>
      <c r="F423" s="808"/>
    </row>
    <row r="424" spans="1:6">
      <c r="A424" s="801" t="s">
        <v>1277</v>
      </c>
      <c r="B424" s="796">
        <v>4</v>
      </c>
      <c r="C424" s="793">
        <f>SUM(B424,-[1]cummul!$B$25,-[5]cummul!$B$15)</f>
        <v>0</v>
      </c>
      <c r="D424" s="793"/>
      <c r="E424" s="808">
        <v>20</v>
      </c>
      <c r="F424" s="808"/>
    </row>
    <row r="425" spans="1:6">
      <c r="A425" s="801" t="s">
        <v>1278</v>
      </c>
      <c r="B425" s="796">
        <v>105</v>
      </c>
      <c r="C425" s="793">
        <f>SUM(B425,-[1]cummul!$B$19,-[4]CUMMUL!$B$10,-[5]cummul!$B$14,-[6]CUMMUL!$B$16,-[3]Feuil1!$N$3)</f>
        <v>21</v>
      </c>
      <c r="D425" s="793"/>
      <c r="E425" s="808">
        <v>20</v>
      </c>
      <c r="F425" s="808"/>
    </row>
    <row r="426" spans="1:6">
      <c r="A426" s="801" t="s">
        <v>1295</v>
      </c>
      <c r="B426" s="796">
        <v>28</v>
      </c>
      <c r="C426" s="793">
        <f>SUM(B426,-[6]Coffre110!$H$22*2)</f>
        <v>28</v>
      </c>
      <c r="D426" s="793"/>
      <c r="E426" s="808">
        <v>20</v>
      </c>
      <c r="F426" s="808"/>
    </row>
    <row r="427" spans="1:6">
      <c r="A427" s="801" t="s">
        <v>1296</v>
      </c>
      <c r="B427" s="796">
        <v>300</v>
      </c>
      <c r="C427" s="793">
        <f>SUM(B427,-[6]STguides!$E$29*2,-[6]STguides!$J$29*2)</f>
        <v>38</v>
      </c>
      <c r="D427" s="793"/>
      <c r="E427" s="808">
        <v>20</v>
      </c>
      <c r="F427" s="808"/>
    </row>
    <row r="428" spans="1:6">
      <c r="A428" s="801" t="s">
        <v>1297</v>
      </c>
      <c r="B428" s="796">
        <v>18</v>
      </c>
      <c r="C428" s="793">
        <f>B428-E428</f>
        <v>8</v>
      </c>
      <c r="D428" s="793"/>
      <c r="E428" s="808">
        <v>10</v>
      </c>
      <c r="F428" s="808"/>
    </row>
    <row r="429" spans="1:6">
      <c r="A429" s="807" t="s">
        <v>1593</v>
      </c>
      <c r="B429" s="800">
        <v>440</v>
      </c>
      <c r="C429" s="793">
        <f>SUM(B429,-'[2]CUMMUL '!A285*2,-'[2]CUMMUL '!A288*4,-'[2]CUMMUL '!A291*6,-'[2]CUMMUL '!A294*8,-'[2]CUMMUL '!D285*2,-'[2]CUMMUL '!D288*4,-'[2]CUMMUL '!D291*6,-'[2]CUMMUL '!D294*8,-'[2]CUMMUL '!G285*2,-'[2]CUMMUL '!G288*4,-'[2]CUMMUL '!G291*6,-'[2]CUMMUL '!G294*8)</f>
        <v>440</v>
      </c>
      <c r="D429" s="808"/>
      <c r="E429" s="808">
        <v>60</v>
      </c>
      <c r="F429" s="808"/>
    </row>
    <row r="430" spans="1:6">
      <c r="A430" s="807" t="s">
        <v>1594</v>
      </c>
      <c r="B430" s="800">
        <v>282</v>
      </c>
      <c r="C430" s="793">
        <f>SUM(B430,-'[2]CUMMUL '!A285*2,-'[2]CUMMUL '!A288*4,-'[2]CUMMUL '!A291*6,-'[2]CUMMUL '!A294*8,-'[2]CUMMUL '!D285*2,-'[2]CUMMUL '!D288*4,-'[2]CUMMUL '!D291*6,-'[2]CUMMUL '!D294*8,-'[2]CUMMUL '!G285*2,-'[2]CUMMUL '!G288*4,-'[2]CUMMUL '!G291*6,-'[2]CUMMUL '!G294*8,-'[2]CUMMUL '!J284*2,-'[2]CUMMUL '!J287*2,-'[2]CUMMUL '!J290*2)</f>
        <v>282</v>
      </c>
      <c r="D430" s="808"/>
      <c r="E430" s="808">
        <v>60</v>
      </c>
      <c r="F430" s="808"/>
    </row>
    <row r="431" spans="1:6">
      <c r="A431" s="807" t="s">
        <v>1481</v>
      </c>
      <c r="B431" s="806">
        <v>753</v>
      </c>
      <c r="C431" s="793">
        <f>SUM(B431,-'[8]corbeille 35nat'!$B$48*3,-'[8]corbeille 45 nat'!$B$56*3,-'[8]corbeille 55 nat'!$B$69*3,-'[8]corbeille 35 blanc'!$B$48*3,-'[8]corbeille 45 blanc'!$B$56*3,-'[8]corbeille 55 blanc'!$B$69*3)</f>
        <v>705</v>
      </c>
      <c r="D431" s="808"/>
      <c r="E431" s="808">
        <v>50</v>
      </c>
      <c r="F431" s="808"/>
    </row>
  </sheetData>
  <protectedRanges>
    <protectedRange sqref="B13" name="Plage9"/>
    <protectedRange sqref="B3:B16" name="Plage1"/>
    <protectedRange sqref="B17:B23" name="Plage3"/>
    <protectedRange sqref="B24:B30" name="Plage5"/>
    <protectedRange sqref="B31" name="Plage1_1" securityDescriptor="O:WDG:WDD:(A;;CC;;;S-1-5-21-1179516191-1571144423-1302680078-1143)"/>
    <protectedRange sqref="B32:B39" name="Plage3_1"/>
    <protectedRange sqref="B40:B47" name="Plage5_1"/>
    <protectedRange sqref="B48:B55" name="Plage2" securityDescriptor="O:WDG:WDD:(A;;CC;;;S-1-5-21-1179516191-1571144423-1302680078-1143)"/>
    <protectedRange sqref="B58:B62" name="Plage4" securityDescriptor="O:WDG:WDD:(A;;CC;;;S-1-5-21-1179516191-1571144423-1302680078-1143)"/>
    <protectedRange sqref="B63:B92" name="Plage7" securityDescriptor="O:WDG:WDD:(A;;CC;;;S-1-5-21-1179516191-1571144423-1302680078-1143)"/>
    <protectedRange sqref="B92" name="Plage8"/>
    <protectedRange sqref="B95:B107" name="Plage2_1"/>
    <protectedRange sqref="B108" name="Plage4_1"/>
    <protectedRange sqref="B109:B117" name="Plage6" securityDescriptor="O:WDG:WDD:(A;;CC;;;S-1-5-21-1179516191-1571144423-1302680078-1143)"/>
    <protectedRange sqref="B118:B121" name="Plage1_2"/>
    <protectedRange sqref="B122:B123" name="Plage4_2"/>
    <protectedRange sqref="B122:B140" name="Plage2_2"/>
    <protectedRange sqref="B141:B159" name="Plage2_3" securityDescriptor="O:WDG:WDD:(A;;CC;;;S-1-5-21-1179516191-1571144423-1302680078-1143)"/>
    <protectedRange sqref="A141:A159" name="Plage1_3" securityDescriptor="O:WDG:WDD:(A;;CC;;;S-1-5-21-1179516191-1571144423-1302680078-1143)"/>
    <protectedRange sqref="B160:B168" name="Plage4_3" securityDescriptor="O:WDG:WDD:(A;;CC;;;S-1-5-21-1179516191-1571144423-1302680078-1143)"/>
    <protectedRange sqref="A163:A168" name="Plage3_2" securityDescriptor="O:WDG:WDD:(A;;CC;;;S-1-5-21-1179516191-1571144423-1302680078-1143)"/>
    <protectedRange sqref="A160:A162" name="Plage1_4" securityDescriptor="O:WDG:WDD:(A;;CC;;;S-1-5-21-1179516191-1571144423-1302680078-1143)"/>
    <protectedRange sqref="B169:B178" name="Plage7_1" securityDescriptor="O:WDG:WDD:(A;;CC;;;S-1-5-21-1179516191-1571144423-1302680078-1143)"/>
    <protectedRange sqref="B169:B178" name="Plage6_1" securityDescriptor="O:WDG:WDD:(A;;CC;;;S-1-5-21-1179516191-1571144423-1302680078-1143)"/>
    <protectedRange sqref="A173:A178" name="Plage5_3" securityDescriptor="O:WDG:WDD:(A;;CC;;;S-1-5-21-1179516191-1571144423-1302680078-1143)"/>
    <protectedRange sqref="A172" name="Plage3_3" securityDescriptor="O:WDG:WDD:(A;;CC;;;S-1-5-21-1179516191-1571144423-1302680078-1143)"/>
    <protectedRange sqref="A169:A171" name="Plage1_5" securityDescriptor="O:WDG:WDD:(A;;CC;;;S-1-5-21-1179516191-1571144423-1302680078-1143)"/>
    <protectedRange sqref="A179:A196" name="Plage1_1_1" securityDescriptor="O:WDG:WDD:(A;;CC;;;S-1-5-21-1179516191-1571144423-1302680078-1143)"/>
    <protectedRange sqref="B179:B196" name="Plage6_1_1" securityDescriptor="O:WDG:WDD:(A;;CC;;;S-1-5-21-1179516191-1571144423-1302680078-1143)"/>
    <protectedRange sqref="B179:B196" name="Plage7_1_1" securityDescriptor="O:WDG:WDD:(A;;CC;;;S-1-5-21-1179516191-1571144423-1302680078-1143)"/>
    <protectedRange sqref="B197:B200" name="Plage1_6"/>
    <protectedRange sqref="B201:B204" name="Plage2_4"/>
    <protectedRange sqref="B205" name="Plage1_2_1"/>
    <protectedRange sqref="B241:B276" name="Plage4_4"/>
    <protectedRange sqref="B277:B361" name="Plage2_5" securityDescriptor="O:WDG:WDD:(A;;CC;;;S-1-5-21-1179516191-1571144423-1302680078-1143)"/>
    <protectedRange sqref="B362:B368" name="Plage2_6" securityDescriptor="O:WDG:WDD:(A;;CC;;;S-1-5-21-1179516191-1571144423-1302680078-1143)"/>
    <protectedRange sqref="B388:B409" name="Plage2_7"/>
    <protectedRange sqref="B410:B431" name="Plage2_8"/>
  </protectedRanges>
  <autoFilter ref="A2:F431"/>
  <sortState ref="A3:F431">
    <sortCondition ref="A3"/>
  </sortState>
  <mergeCells count="1">
    <mergeCell ref="A1:C1"/>
  </mergeCells>
  <pageMargins left="0.23622047244094491" right="0.19685039370078741" top="0.74803149606299213" bottom="0.74803149606299213" header="0.31496062992125984" footer="0.31496062992125984"/>
  <pageSetup paperSize="9" scale="115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J2"/>
  <sheetViews>
    <sheetView zoomScale="130" zoomScaleNormal="130" workbookViewId="0">
      <selection activeCell="C1" sqref="C1:D1"/>
    </sheetView>
  </sheetViews>
  <sheetFormatPr baseColWidth="10" defaultRowHeight="13.2"/>
  <cols>
    <col min="1" max="1" width="12.88671875" bestFit="1" customWidth="1"/>
    <col min="2" max="3" width="14" bestFit="1" customWidth="1"/>
    <col min="4" max="4" width="7.5546875" bestFit="1" customWidth="1"/>
    <col min="5" max="5" width="7.6640625" bestFit="1" customWidth="1"/>
    <col min="6" max="6" width="19.33203125" bestFit="1" customWidth="1"/>
    <col min="7" max="7" width="6" bestFit="1" customWidth="1"/>
    <col min="8" max="8" width="12.33203125" bestFit="1" customWidth="1"/>
  </cols>
  <sheetData>
    <row r="1" spans="1:10" ht="21.6" thickBot="1">
      <c r="A1" s="15" t="s">
        <v>20</v>
      </c>
      <c r="B1" s="14" t="s">
        <v>16</v>
      </c>
      <c r="C1" s="831" t="s">
        <v>21</v>
      </c>
      <c r="D1" s="832"/>
      <c r="E1" s="833" t="s">
        <v>58</v>
      </c>
      <c r="F1" s="834"/>
      <c r="G1" s="834"/>
      <c r="H1" s="835"/>
      <c r="I1" s="9"/>
      <c r="J1" s="11"/>
    </row>
    <row r="2" spans="1:10" ht="13.8" thickBot="1">
      <c r="A2" s="2" t="s">
        <v>1</v>
      </c>
      <c r="B2" s="5" t="s">
        <v>2</v>
      </c>
      <c r="C2" s="2" t="s">
        <v>11</v>
      </c>
      <c r="D2" s="2" t="s">
        <v>3</v>
      </c>
      <c r="E2" s="2" t="s">
        <v>9</v>
      </c>
      <c r="F2" s="2" t="s">
        <v>4</v>
      </c>
      <c r="G2" s="2" t="s">
        <v>0</v>
      </c>
      <c r="H2" s="2" t="s">
        <v>10</v>
      </c>
      <c r="I2" s="9"/>
      <c r="J2" s="2"/>
    </row>
  </sheetData>
  <mergeCells count="2">
    <mergeCell ref="C1:D1"/>
    <mergeCell ref="E1:H1"/>
  </mergeCells>
  <pageMargins left="0.19685039370078741" right="0.19685039370078741" top="0.23622047244094491" bottom="0.74803149606299213" header="0.15748031496062992" footer="0.31496062992125984"/>
  <pageSetup paperSize="9" scale="120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I2"/>
  <sheetViews>
    <sheetView zoomScale="130" zoomScaleNormal="130" workbookViewId="0">
      <selection activeCell="K1" sqref="K1"/>
    </sheetView>
  </sheetViews>
  <sheetFormatPr baseColWidth="10" defaultRowHeight="13.2"/>
  <cols>
    <col min="1" max="1" width="12.5546875" bestFit="1" customWidth="1"/>
    <col min="2" max="2" width="16.44140625" bestFit="1" customWidth="1"/>
    <col min="3" max="3" width="7.5546875" bestFit="1" customWidth="1"/>
    <col min="4" max="4" width="7.6640625" bestFit="1" customWidth="1"/>
    <col min="5" max="5" width="17" bestFit="1" customWidth="1"/>
    <col min="6" max="6" width="6" bestFit="1" customWidth="1"/>
    <col min="7" max="7" width="12.33203125" bestFit="1" customWidth="1"/>
    <col min="8" max="8" width="8.5546875" bestFit="1" customWidth="1"/>
    <col min="9" max="9" width="10.6640625" bestFit="1" customWidth="1"/>
  </cols>
  <sheetData>
    <row r="1" spans="1:9" ht="21.6" thickBot="1">
      <c r="A1" s="833" t="s">
        <v>13</v>
      </c>
      <c r="B1" s="836"/>
      <c r="C1" s="836"/>
      <c r="D1" s="836"/>
      <c r="E1" s="836"/>
      <c r="F1" s="836"/>
      <c r="G1" s="836"/>
      <c r="H1" s="836"/>
      <c r="I1" s="837"/>
    </row>
    <row r="2" spans="1:9" ht="13.8" thickBot="1">
      <c r="A2" s="2" t="s">
        <v>1</v>
      </c>
      <c r="B2" s="5" t="s">
        <v>2</v>
      </c>
      <c r="C2" s="2" t="s">
        <v>3</v>
      </c>
      <c r="D2" s="2" t="s">
        <v>9</v>
      </c>
      <c r="E2" s="2" t="s">
        <v>4</v>
      </c>
      <c r="F2" s="2" t="s">
        <v>0</v>
      </c>
      <c r="G2" s="2" t="s">
        <v>10</v>
      </c>
      <c r="H2" s="9"/>
      <c r="I2" s="2"/>
    </row>
  </sheetData>
  <mergeCells count="1">
    <mergeCell ref="A1:I1"/>
  </mergeCells>
  <pageMargins left="0.70866141732283472" right="0.70866141732283472" top="0.74803149606299213" bottom="0.74803149606299213" header="0.31496062992125984" footer="0.31496062992125984"/>
  <pageSetup paperSize="9" scale="12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N37"/>
  <sheetViews>
    <sheetView zoomScale="130" zoomScaleNormal="130" workbookViewId="0">
      <pane ySplit="1" topLeftCell="A2" activePane="bottomLeft" state="frozen"/>
      <selection pane="bottomLeft" activeCell="B30" sqref="B30"/>
    </sheetView>
  </sheetViews>
  <sheetFormatPr baseColWidth="10" defaultRowHeight="13.2"/>
  <cols>
    <col min="1" max="1" width="8.5546875" bestFit="1" customWidth="1"/>
    <col min="2" max="2" width="14.6640625" bestFit="1" customWidth="1"/>
    <col min="3" max="3" width="5" bestFit="1" customWidth="1"/>
    <col min="4" max="4" width="8.5546875" bestFit="1" customWidth="1"/>
    <col min="5" max="5" width="13.5546875" bestFit="1" customWidth="1"/>
    <col min="6" max="6" width="3.5546875" customWidth="1"/>
    <col min="7" max="7" width="8.5546875" bestFit="1" customWidth="1"/>
    <col min="8" max="8" width="11.6640625" bestFit="1" customWidth="1"/>
    <col min="9" max="9" width="3.6640625" customWidth="1"/>
    <col min="10" max="10" width="8.5546875" bestFit="1" customWidth="1"/>
    <col min="11" max="11" width="21.5546875" bestFit="1" customWidth="1"/>
    <col min="12" max="12" width="17.88671875" bestFit="1" customWidth="1"/>
    <col min="13" max="13" width="22.33203125" customWidth="1"/>
  </cols>
  <sheetData>
    <row r="1" spans="1:14">
      <c r="A1" s="838" t="s">
        <v>131</v>
      </c>
      <c r="B1" s="838"/>
      <c r="D1" s="838" t="s">
        <v>136</v>
      </c>
      <c r="E1" s="838"/>
      <c r="G1" s="838" t="s">
        <v>58</v>
      </c>
      <c r="H1" s="838"/>
      <c r="J1" s="838" t="s">
        <v>172</v>
      </c>
      <c r="K1" s="838"/>
      <c r="M1" s="29" t="s">
        <v>267</v>
      </c>
      <c r="N1" s="29"/>
    </row>
    <row r="2" spans="1:14">
      <c r="A2" s="24">
        <v>41275</v>
      </c>
      <c r="B2" s="4" t="s">
        <v>137</v>
      </c>
      <c r="D2" s="24">
        <v>41275</v>
      </c>
      <c r="E2" s="4" t="s">
        <v>138</v>
      </c>
      <c r="G2" s="24">
        <v>41275</v>
      </c>
      <c r="H2" s="4" t="s">
        <v>154</v>
      </c>
      <c r="J2" s="24">
        <v>41275</v>
      </c>
      <c r="K2" t="s">
        <v>176</v>
      </c>
      <c r="M2">
        <v>2013</v>
      </c>
      <c r="N2">
        <v>217</v>
      </c>
    </row>
    <row r="3" spans="1:14">
      <c r="A3" s="23">
        <v>41640</v>
      </c>
      <c r="B3" s="4" t="s">
        <v>139</v>
      </c>
      <c r="C3" t="s">
        <v>229</v>
      </c>
      <c r="D3" s="23">
        <v>41640</v>
      </c>
      <c r="E3" s="4" t="s">
        <v>140</v>
      </c>
      <c r="F3" s="4" t="s">
        <v>230</v>
      </c>
      <c r="G3" s="23">
        <v>41640</v>
      </c>
      <c r="H3" s="4" t="s">
        <v>155</v>
      </c>
      <c r="I3" s="4" t="s">
        <v>228</v>
      </c>
      <c r="J3" s="23">
        <v>41640</v>
      </c>
      <c r="K3" t="s">
        <v>186</v>
      </c>
      <c r="L3" t="s">
        <v>252</v>
      </c>
      <c r="M3">
        <v>2014</v>
      </c>
      <c r="N3">
        <v>309</v>
      </c>
    </row>
    <row r="4" spans="1:14">
      <c r="A4" s="839"/>
      <c r="B4" s="839"/>
      <c r="C4" s="839"/>
      <c r="D4" s="839"/>
      <c r="E4" s="839"/>
      <c r="F4" s="839"/>
      <c r="G4" s="839"/>
      <c r="H4" s="839"/>
      <c r="I4" s="839"/>
      <c r="J4" s="839"/>
      <c r="K4" s="839"/>
    </row>
    <row r="5" spans="1:14">
      <c r="A5" s="24">
        <v>41306</v>
      </c>
      <c r="B5" s="4" t="s">
        <v>141</v>
      </c>
      <c r="D5" s="24">
        <v>41306</v>
      </c>
      <c r="E5" s="4" t="s">
        <v>142</v>
      </c>
      <c r="G5" s="24">
        <v>41306</v>
      </c>
      <c r="H5" s="4" t="s">
        <v>140</v>
      </c>
      <c r="J5" s="24">
        <v>41306</v>
      </c>
      <c r="K5" t="s">
        <v>177</v>
      </c>
    </row>
    <row r="6" spans="1:14">
      <c r="A6" s="24">
        <v>41671</v>
      </c>
      <c r="B6" s="25" t="s">
        <v>189</v>
      </c>
      <c r="C6" t="s">
        <v>232</v>
      </c>
      <c r="D6" s="24">
        <v>41671</v>
      </c>
      <c r="E6" s="4" t="s">
        <v>190</v>
      </c>
      <c r="F6" s="4" t="s">
        <v>233</v>
      </c>
      <c r="G6" s="24">
        <v>41671</v>
      </c>
      <c r="H6" s="4" t="s">
        <v>138</v>
      </c>
      <c r="I6" s="4" t="s">
        <v>234</v>
      </c>
      <c r="J6" s="24">
        <v>41671</v>
      </c>
      <c r="K6" s="4" t="s">
        <v>191</v>
      </c>
      <c r="L6" s="4" t="s">
        <v>235</v>
      </c>
    </row>
    <row r="7" spans="1:14">
      <c r="A7" s="839"/>
      <c r="B7" s="839"/>
      <c r="C7" s="839"/>
      <c r="D7" s="839"/>
      <c r="E7" s="839"/>
      <c r="F7" s="839"/>
      <c r="G7" s="839"/>
      <c r="H7" s="839"/>
      <c r="I7" s="839"/>
      <c r="J7" s="839"/>
      <c r="K7" s="839"/>
    </row>
    <row r="8" spans="1:14">
      <c r="A8" s="23">
        <v>41334</v>
      </c>
      <c r="B8" s="4" t="s">
        <v>144</v>
      </c>
      <c r="D8" s="23">
        <v>41334</v>
      </c>
      <c r="E8" s="4" t="s">
        <v>156</v>
      </c>
      <c r="G8" s="23">
        <v>41334</v>
      </c>
      <c r="H8" s="4" t="s">
        <v>165</v>
      </c>
      <c r="J8" s="23">
        <v>41334</v>
      </c>
      <c r="K8" t="s">
        <v>178</v>
      </c>
    </row>
    <row r="9" spans="1:14">
      <c r="A9" s="23">
        <v>41699</v>
      </c>
      <c r="B9" s="4" t="s">
        <v>205</v>
      </c>
      <c r="C9" t="s">
        <v>236</v>
      </c>
      <c r="D9" s="23">
        <v>41699</v>
      </c>
      <c r="E9" s="4" t="s">
        <v>151</v>
      </c>
      <c r="F9" s="4" t="s">
        <v>237</v>
      </c>
      <c r="G9" s="23">
        <v>41699</v>
      </c>
      <c r="H9" s="4" t="s">
        <v>206</v>
      </c>
      <c r="I9" s="4" t="s">
        <v>238</v>
      </c>
      <c r="J9" s="23">
        <v>41699</v>
      </c>
      <c r="K9" s="4" t="s">
        <v>207</v>
      </c>
      <c r="L9" s="4" t="s">
        <v>239</v>
      </c>
    </row>
    <row r="10" spans="1:14">
      <c r="A10" s="839"/>
      <c r="B10" s="839"/>
      <c r="C10" s="839"/>
      <c r="D10" s="839"/>
      <c r="E10" s="839"/>
      <c r="F10" s="839"/>
      <c r="G10" s="839"/>
      <c r="H10" s="839"/>
      <c r="I10" s="839"/>
      <c r="J10" s="839"/>
      <c r="K10" s="839"/>
    </row>
    <row r="11" spans="1:14">
      <c r="A11" s="23">
        <v>41365</v>
      </c>
      <c r="B11" s="4" t="s">
        <v>145</v>
      </c>
      <c r="D11" s="23">
        <v>41365</v>
      </c>
      <c r="E11" s="4" t="s">
        <v>157</v>
      </c>
      <c r="G11" s="23">
        <v>41365</v>
      </c>
      <c r="H11" s="4" t="s">
        <v>166</v>
      </c>
      <c r="J11" s="23">
        <v>41365</v>
      </c>
      <c r="K11" t="s">
        <v>179</v>
      </c>
    </row>
    <row r="12" spans="1:14">
      <c r="A12" s="23">
        <v>41730</v>
      </c>
      <c r="B12" s="4" t="s">
        <v>208</v>
      </c>
      <c r="C12" t="s">
        <v>240</v>
      </c>
      <c r="D12" s="23">
        <v>41730</v>
      </c>
      <c r="E12" s="4" t="s">
        <v>209</v>
      </c>
      <c r="F12" s="4" t="s">
        <v>241</v>
      </c>
      <c r="G12" s="23">
        <v>41730</v>
      </c>
      <c r="H12" s="4" t="s">
        <v>210</v>
      </c>
      <c r="I12" s="4" t="s">
        <v>238</v>
      </c>
      <c r="J12" s="23">
        <v>41730</v>
      </c>
      <c r="K12" s="4" t="s">
        <v>211</v>
      </c>
      <c r="L12" s="4" t="s">
        <v>242</v>
      </c>
    </row>
    <row r="13" spans="1:14">
      <c r="A13" s="839"/>
      <c r="B13" s="839"/>
      <c r="C13" s="839"/>
      <c r="D13" s="839"/>
      <c r="E13" s="839"/>
      <c r="F13" s="839"/>
      <c r="G13" s="839"/>
      <c r="H13" s="839"/>
      <c r="I13" s="839"/>
      <c r="J13" s="839"/>
      <c r="K13" s="839"/>
    </row>
    <row r="14" spans="1:14">
      <c r="A14" s="23">
        <v>41395</v>
      </c>
      <c r="B14" s="4" t="s">
        <v>146</v>
      </c>
      <c r="D14" s="23">
        <v>41395</v>
      </c>
      <c r="E14" s="4" t="s">
        <v>158</v>
      </c>
      <c r="G14" s="23">
        <v>41395</v>
      </c>
      <c r="H14" s="4" t="s">
        <v>156</v>
      </c>
      <c r="J14" s="23">
        <v>41395</v>
      </c>
      <c r="K14" t="s">
        <v>180</v>
      </c>
    </row>
    <row r="15" spans="1:14">
      <c r="A15" s="23">
        <v>41760</v>
      </c>
      <c r="B15" s="4" t="s">
        <v>215</v>
      </c>
      <c r="C15" t="s">
        <v>243</v>
      </c>
      <c r="D15" s="23">
        <v>41760</v>
      </c>
      <c r="E15" s="4" t="s">
        <v>212</v>
      </c>
      <c r="F15" s="4" t="s">
        <v>244</v>
      </c>
      <c r="G15" s="23">
        <v>41760</v>
      </c>
      <c r="H15" s="4" t="s">
        <v>214</v>
      </c>
      <c r="I15" s="4" t="s">
        <v>245</v>
      </c>
      <c r="J15" s="23">
        <v>41760</v>
      </c>
      <c r="K15" s="4" t="s">
        <v>213</v>
      </c>
      <c r="L15" s="4" t="s">
        <v>246</v>
      </c>
    </row>
    <row r="16" spans="1:14">
      <c r="A16" s="839"/>
      <c r="B16" s="839"/>
      <c r="C16" s="839"/>
      <c r="D16" s="839"/>
      <c r="E16" s="839"/>
      <c r="F16" s="839"/>
      <c r="G16" s="839"/>
      <c r="H16" s="839"/>
      <c r="I16" s="839"/>
      <c r="J16" s="839"/>
      <c r="K16" s="839"/>
    </row>
    <row r="17" spans="1:12">
      <c r="A17" s="23">
        <v>41426</v>
      </c>
      <c r="B17" s="4" t="s">
        <v>147</v>
      </c>
      <c r="D17" s="23">
        <v>41426</v>
      </c>
      <c r="E17" s="4" t="s">
        <v>159</v>
      </c>
      <c r="G17" s="23">
        <v>41426</v>
      </c>
      <c r="H17" s="4" t="s">
        <v>167</v>
      </c>
      <c r="J17" s="23">
        <v>41426</v>
      </c>
      <c r="K17" t="s">
        <v>181</v>
      </c>
    </row>
    <row r="18" spans="1:12">
      <c r="A18" s="23">
        <v>41791</v>
      </c>
      <c r="B18" s="4" t="s">
        <v>222</v>
      </c>
      <c r="C18" t="s">
        <v>226</v>
      </c>
      <c r="D18" s="23">
        <v>41791</v>
      </c>
      <c r="E18" s="4" t="s">
        <v>221</v>
      </c>
      <c r="F18" s="4" t="s">
        <v>227</v>
      </c>
      <c r="G18" s="23">
        <v>41791</v>
      </c>
      <c r="H18" s="4" t="s">
        <v>223</v>
      </c>
      <c r="I18" s="4" t="s">
        <v>228</v>
      </c>
      <c r="J18" s="23">
        <v>41791</v>
      </c>
      <c r="K18" t="s">
        <v>225</v>
      </c>
      <c r="L18" t="s">
        <v>231</v>
      </c>
    </row>
    <row r="19" spans="1:12">
      <c r="A19" s="839"/>
      <c r="B19" s="839"/>
      <c r="C19" s="839"/>
      <c r="D19" s="839"/>
      <c r="E19" s="839"/>
      <c r="F19" s="839"/>
      <c r="G19" s="839"/>
      <c r="H19" s="839"/>
      <c r="I19" s="839"/>
      <c r="J19" s="839"/>
      <c r="K19" s="839"/>
    </row>
    <row r="20" spans="1:12">
      <c r="A20" s="23">
        <v>41456</v>
      </c>
      <c r="B20" s="4" t="s">
        <v>148</v>
      </c>
      <c r="D20" s="23">
        <v>41456</v>
      </c>
      <c r="E20" s="4" t="s">
        <v>160</v>
      </c>
      <c r="G20" s="23">
        <v>41456</v>
      </c>
      <c r="H20" s="4" t="s">
        <v>168</v>
      </c>
      <c r="J20" s="23">
        <v>41456</v>
      </c>
      <c r="K20" t="s">
        <v>182</v>
      </c>
    </row>
    <row r="21" spans="1:12">
      <c r="A21" s="23">
        <v>41821</v>
      </c>
      <c r="B21" s="4" t="s">
        <v>249</v>
      </c>
      <c r="C21" t="s">
        <v>234</v>
      </c>
      <c r="D21" s="23">
        <v>41821</v>
      </c>
      <c r="E21" s="4" t="s">
        <v>162</v>
      </c>
      <c r="F21" s="4" t="s">
        <v>250</v>
      </c>
      <c r="G21" s="23">
        <v>41821</v>
      </c>
      <c r="H21" s="4" t="s">
        <v>140</v>
      </c>
      <c r="I21" s="4" t="s">
        <v>245</v>
      </c>
      <c r="J21" s="23">
        <v>41821</v>
      </c>
      <c r="K21" t="s">
        <v>224</v>
      </c>
      <c r="L21" t="s">
        <v>247</v>
      </c>
    </row>
    <row r="22" spans="1:12">
      <c r="A22" s="839"/>
      <c r="B22" s="839"/>
      <c r="C22" s="839"/>
      <c r="D22" s="839"/>
      <c r="E22" s="839"/>
      <c r="F22" s="839"/>
      <c r="G22" s="839"/>
      <c r="H22" s="839"/>
      <c r="I22" s="839"/>
      <c r="J22" s="839"/>
      <c r="K22" s="839"/>
    </row>
    <row r="23" spans="1:12">
      <c r="A23" s="24">
        <v>41487</v>
      </c>
      <c r="B23" s="4" t="s">
        <v>149</v>
      </c>
      <c r="D23" s="24">
        <v>41487</v>
      </c>
      <c r="E23" s="4" t="s">
        <v>154</v>
      </c>
      <c r="G23" s="24">
        <v>41487</v>
      </c>
      <c r="H23" s="4" t="s">
        <v>169</v>
      </c>
      <c r="J23" s="24">
        <v>41487</v>
      </c>
      <c r="K23" t="s">
        <v>183</v>
      </c>
    </row>
    <row r="24" spans="1:12">
      <c r="A24" s="24">
        <v>41852</v>
      </c>
      <c r="B24" s="4" t="s">
        <v>255</v>
      </c>
      <c r="C24" s="4" t="s">
        <v>263</v>
      </c>
      <c r="D24" s="24">
        <v>41852</v>
      </c>
      <c r="E24" s="4" t="s">
        <v>171</v>
      </c>
      <c r="F24" s="4" t="s">
        <v>238</v>
      </c>
      <c r="G24" s="24">
        <v>41852</v>
      </c>
      <c r="H24" s="4" t="s">
        <v>170</v>
      </c>
      <c r="I24" s="4" t="s">
        <v>264</v>
      </c>
      <c r="J24" s="24">
        <v>41852</v>
      </c>
      <c r="K24" s="4" t="s">
        <v>256</v>
      </c>
      <c r="L24" s="4" t="s">
        <v>261</v>
      </c>
    </row>
    <row r="25" spans="1:12">
      <c r="A25" s="839"/>
      <c r="B25" s="839"/>
      <c r="C25" s="839"/>
      <c r="D25" s="839"/>
      <c r="E25" s="839"/>
      <c r="F25" s="839"/>
      <c r="G25" s="839"/>
      <c r="H25" s="839"/>
      <c r="I25" s="839"/>
      <c r="J25" s="839"/>
      <c r="K25" s="839"/>
    </row>
    <row r="26" spans="1:12">
      <c r="A26" s="23">
        <v>41518</v>
      </c>
      <c r="B26" s="4" t="s">
        <v>150</v>
      </c>
      <c r="D26" s="23">
        <v>41518</v>
      </c>
      <c r="E26" s="4" t="s">
        <v>161</v>
      </c>
      <c r="G26" s="23">
        <v>41518</v>
      </c>
      <c r="H26" s="4" t="s">
        <v>170</v>
      </c>
      <c r="J26" s="23">
        <v>41518</v>
      </c>
      <c r="K26" t="s">
        <v>184</v>
      </c>
    </row>
    <row r="27" spans="1:12">
      <c r="A27" s="23">
        <v>41883</v>
      </c>
      <c r="B27" s="4" t="s">
        <v>257</v>
      </c>
      <c r="C27" s="4" t="s">
        <v>258</v>
      </c>
      <c r="D27" s="23">
        <v>41883</v>
      </c>
      <c r="E27" s="4" t="s">
        <v>143</v>
      </c>
      <c r="F27" s="4" t="s">
        <v>234</v>
      </c>
      <c r="G27" s="23">
        <v>41883</v>
      </c>
      <c r="H27" s="4" t="s">
        <v>143</v>
      </c>
      <c r="I27" s="4" t="s">
        <v>259</v>
      </c>
      <c r="J27" s="23">
        <v>41883</v>
      </c>
      <c r="K27" s="4" t="s">
        <v>260</v>
      </c>
      <c r="L27" s="4" t="s">
        <v>262</v>
      </c>
    </row>
    <row r="28" spans="1:12">
      <c r="A28" s="839"/>
      <c r="B28" s="839"/>
      <c r="C28" s="839"/>
      <c r="D28" s="839"/>
      <c r="E28" s="839"/>
      <c r="F28" s="839"/>
      <c r="G28" s="839"/>
      <c r="H28" s="839"/>
      <c r="I28" s="839"/>
      <c r="J28" s="839"/>
      <c r="K28" s="839"/>
    </row>
    <row r="29" spans="1:12">
      <c r="A29" s="23">
        <v>41548</v>
      </c>
      <c r="B29" s="4" t="s">
        <v>151</v>
      </c>
      <c r="D29" s="23">
        <v>41548</v>
      </c>
      <c r="E29" s="4" t="s">
        <v>162</v>
      </c>
      <c r="G29" s="23">
        <v>41548</v>
      </c>
      <c r="H29" s="4" t="s">
        <v>171</v>
      </c>
      <c r="J29" s="23">
        <v>41548</v>
      </c>
      <c r="K29" t="s">
        <v>185</v>
      </c>
    </row>
    <row r="30" spans="1:12">
      <c r="A30" s="23">
        <v>41913</v>
      </c>
      <c r="D30" s="23">
        <v>41913</v>
      </c>
      <c r="G30" s="23">
        <v>41913</v>
      </c>
      <c r="J30" s="23">
        <v>41913</v>
      </c>
    </row>
    <row r="31" spans="1:12">
      <c r="A31" s="839"/>
      <c r="B31" s="839"/>
      <c r="C31" s="839"/>
      <c r="D31" s="839"/>
      <c r="E31" s="839"/>
      <c r="F31" s="839"/>
      <c r="G31" s="839"/>
      <c r="H31" s="839"/>
      <c r="I31" s="839"/>
      <c r="J31" s="839"/>
      <c r="K31" s="839"/>
    </row>
    <row r="32" spans="1:12">
      <c r="A32" s="23">
        <v>41579</v>
      </c>
      <c r="B32" s="4" t="s">
        <v>152</v>
      </c>
      <c r="D32" s="23">
        <v>41579</v>
      </c>
      <c r="E32" s="4" t="s">
        <v>163</v>
      </c>
      <c r="G32" s="23">
        <v>41579</v>
      </c>
      <c r="H32" s="4" t="s">
        <v>169</v>
      </c>
      <c r="J32" s="23">
        <v>41579</v>
      </c>
      <c r="K32" s="4" t="s">
        <v>173</v>
      </c>
    </row>
    <row r="33" spans="1:11">
      <c r="A33" s="23">
        <v>41944</v>
      </c>
      <c r="D33" s="23">
        <v>41944</v>
      </c>
      <c r="G33" s="23">
        <v>41944</v>
      </c>
      <c r="J33" s="23">
        <v>41944</v>
      </c>
    </row>
    <row r="34" spans="1:11">
      <c r="A34" s="839"/>
      <c r="B34" s="839"/>
      <c r="C34" s="839"/>
      <c r="D34" s="839"/>
      <c r="E34" s="839"/>
      <c r="F34" s="839"/>
      <c r="G34" s="839"/>
      <c r="H34" s="839"/>
      <c r="I34" s="839"/>
      <c r="J34" s="839"/>
      <c r="K34" s="839"/>
    </row>
    <row r="35" spans="1:11">
      <c r="A35" s="26" t="s">
        <v>174</v>
      </c>
      <c r="B35" s="4" t="s">
        <v>162</v>
      </c>
      <c r="D35" s="26" t="s">
        <v>174</v>
      </c>
      <c r="E35" s="4" t="s">
        <v>169</v>
      </c>
      <c r="G35" s="26" t="s">
        <v>174</v>
      </c>
      <c r="H35" s="4" t="s">
        <v>138</v>
      </c>
      <c r="J35" s="26" t="s">
        <v>174</v>
      </c>
      <c r="K35" s="4" t="s">
        <v>175</v>
      </c>
    </row>
    <row r="36" spans="1:11">
      <c r="A36" s="23">
        <v>41609</v>
      </c>
      <c r="B36" s="4" t="s">
        <v>153</v>
      </c>
      <c r="D36" s="23">
        <v>41609</v>
      </c>
      <c r="E36" s="4" t="s">
        <v>164</v>
      </c>
      <c r="G36" s="23">
        <v>41609</v>
      </c>
      <c r="H36" s="4" t="s">
        <v>143</v>
      </c>
      <c r="J36" s="23">
        <v>41609</v>
      </c>
      <c r="K36" s="4" t="s">
        <v>184</v>
      </c>
    </row>
    <row r="37" spans="1:11">
      <c r="A37" s="23">
        <v>41974</v>
      </c>
      <c r="D37" s="23">
        <v>41974</v>
      </c>
      <c r="G37" s="23">
        <v>41974</v>
      </c>
      <c r="J37" s="23">
        <v>41974</v>
      </c>
    </row>
  </sheetData>
  <mergeCells count="15">
    <mergeCell ref="A22:K22"/>
    <mergeCell ref="A25:K25"/>
    <mergeCell ref="A28:K28"/>
    <mergeCell ref="A31:K31"/>
    <mergeCell ref="A34:K34"/>
    <mergeCell ref="A7:K7"/>
    <mergeCell ref="A10:K10"/>
    <mergeCell ref="A13:K13"/>
    <mergeCell ref="A16:K16"/>
    <mergeCell ref="A19:K19"/>
    <mergeCell ref="A1:B1"/>
    <mergeCell ref="D1:E1"/>
    <mergeCell ref="G1:H1"/>
    <mergeCell ref="J1:K1"/>
    <mergeCell ref="A4:K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/>
  <dimension ref="A1:J47"/>
  <sheetViews>
    <sheetView zoomScale="130" zoomScaleNormal="130" workbookViewId="0">
      <pane ySplit="1" topLeftCell="A2" activePane="bottomLeft" state="frozen"/>
      <selection pane="bottomLeft" activeCell="A14" sqref="A14"/>
    </sheetView>
  </sheetViews>
  <sheetFormatPr baseColWidth="10" defaultRowHeight="13.2"/>
  <cols>
    <col min="1" max="1" width="14.5546875" bestFit="1" customWidth="1"/>
    <col min="2" max="2" width="19.44140625" bestFit="1" customWidth="1"/>
    <col min="3" max="3" width="14" bestFit="1" customWidth="1"/>
    <col min="4" max="4" width="8" bestFit="1" customWidth="1"/>
    <col min="5" max="5" width="7.6640625" bestFit="1" customWidth="1"/>
    <col min="6" max="6" width="22.88671875" bestFit="1" customWidth="1"/>
    <col min="7" max="7" width="16.5546875" bestFit="1" customWidth="1"/>
    <col min="8" max="8" width="12.44140625" bestFit="1" customWidth="1"/>
    <col min="9" max="9" width="13.44140625" bestFit="1" customWidth="1"/>
    <col min="10" max="10" width="12.6640625" bestFit="1" customWidth="1"/>
  </cols>
  <sheetData>
    <row r="1" spans="1:10" ht="14.4" thickBot="1">
      <c r="A1" s="62" t="s">
        <v>1</v>
      </c>
      <c r="B1" s="43" t="s">
        <v>2</v>
      </c>
      <c r="C1" s="42" t="s">
        <v>11</v>
      </c>
      <c r="D1" s="42" t="s">
        <v>3</v>
      </c>
      <c r="E1" s="42" t="s">
        <v>9</v>
      </c>
      <c r="F1" s="42" t="s">
        <v>4</v>
      </c>
      <c r="G1" s="63" t="s">
        <v>0</v>
      </c>
      <c r="H1" s="64" t="s">
        <v>10</v>
      </c>
      <c r="I1" s="63">
        <v>178</v>
      </c>
      <c r="J1" s="42"/>
    </row>
    <row r="2" spans="1:10" ht="13.8">
      <c r="A2" s="537" t="s">
        <v>793</v>
      </c>
      <c r="B2" s="538" t="s">
        <v>794</v>
      </c>
      <c r="C2" s="539">
        <v>42120</v>
      </c>
      <c r="D2" s="540">
        <v>1</v>
      </c>
      <c r="E2" s="540">
        <v>1</v>
      </c>
      <c r="F2" s="538" t="s">
        <v>795</v>
      </c>
      <c r="G2" s="538" t="s">
        <v>55</v>
      </c>
      <c r="H2" s="539">
        <v>42124</v>
      </c>
      <c r="I2" s="541" t="s">
        <v>41</v>
      </c>
      <c r="J2" s="542" t="s">
        <v>35</v>
      </c>
    </row>
    <row r="3" spans="1:10" ht="13.8">
      <c r="A3" s="543" t="s">
        <v>692</v>
      </c>
      <c r="B3" s="388" t="s">
        <v>118</v>
      </c>
      <c r="C3" s="344">
        <v>42143</v>
      </c>
      <c r="D3" s="388">
        <v>1</v>
      </c>
      <c r="E3" s="388">
        <v>1</v>
      </c>
      <c r="F3" s="388" t="s">
        <v>693</v>
      </c>
      <c r="G3" s="388" t="s">
        <v>14</v>
      </c>
      <c r="H3" s="344">
        <v>42115</v>
      </c>
      <c r="I3" s="302" t="s">
        <v>41</v>
      </c>
      <c r="J3" s="544" t="s">
        <v>35</v>
      </c>
    </row>
    <row r="4" spans="1:10" ht="13.8">
      <c r="A4" s="545" t="s">
        <v>685</v>
      </c>
      <c r="B4" s="343" t="s">
        <v>56</v>
      </c>
      <c r="C4" s="344">
        <v>42136</v>
      </c>
      <c r="D4" s="343">
        <v>1</v>
      </c>
      <c r="E4" s="343">
        <v>1</v>
      </c>
      <c r="F4" s="343" t="s">
        <v>684</v>
      </c>
      <c r="G4" s="343" t="s">
        <v>55</v>
      </c>
      <c r="H4" s="344">
        <v>42115</v>
      </c>
      <c r="I4" s="71" t="s">
        <v>41</v>
      </c>
      <c r="J4" s="544" t="s">
        <v>34</v>
      </c>
    </row>
    <row r="5" spans="1:10" ht="13.8">
      <c r="A5" s="543" t="s">
        <v>681</v>
      </c>
      <c r="B5" s="388" t="s">
        <v>24</v>
      </c>
      <c r="C5" s="344">
        <v>42129</v>
      </c>
      <c r="D5" s="388">
        <v>1</v>
      </c>
      <c r="E5" s="388">
        <v>1</v>
      </c>
      <c r="F5" s="388" t="s">
        <v>611</v>
      </c>
      <c r="G5" s="388" t="s">
        <v>14</v>
      </c>
      <c r="H5" s="344">
        <v>42115</v>
      </c>
      <c r="I5" s="302" t="s">
        <v>41</v>
      </c>
      <c r="J5" s="544" t="s">
        <v>42</v>
      </c>
    </row>
    <row r="6" spans="1:10" ht="13.8">
      <c r="A6" s="543" t="s">
        <v>690</v>
      </c>
      <c r="B6" s="388" t="s">
        <v>39</v>
      </c>
      <c r="C6" s="344">
        <v>42149</v>
      </c>
      <c r="D6" s="388">
        <v>7</v>
      </c>
      <c r="E6" s="388">
        <v>7</v>
      </c>
      <c r="F6" s="388" t="s">
        <v>88</v>
      </c>
      <c r="G6" s="388" t="s">
        <v>14</v>
      </c>
      <c r="H6" s="344">
        <v>42116</v>
      </c>
      <c r="I6" s="302" t="s">
        <v>41</v>
      </c>
      <c r="J6" s="544" t="s">
        <v>35</v>
      </c>
    </row>
    <row r="7" spans="1:10" ht="13.8">
      <c r="A7" s="543" t="s">
        <v>695</v>
      </c>
      <c r="B7" s="388" t="s">
        <v>24</v>
      </c>
      <c r="C7" s="344">
        <v>42150</v>
      </c>
      <c r="D7" s="388">
        <v>1</v>
      </c>
      <c r="E7" s="388">
        <v>1</v>
      </c>
      <c r="F7" s="388" t="s">
        <v>97</v>
      </c>
      <c r="G7" s="388" t="s">
        <v>14</v>
      </c>
      <c r="H7" s="344">
        <v>42116</v>
      </c>
      <c r="I7" s="302" t="s">
        <v>41</v>
      </c>
      <c r="J7" s="544" t="s">
        <v>35</v>
      </c>
    </row>
    <row r="8" spans="1:10" ht="13.8">
      <c r="A8" s="546" t="s">
        <v>706</v>
      </c>
      <c r="B8" s="362" t="s">
        <v>56</v>
      </c>
      <c r="C8" s="363">
        <v>42134</v>
      </c>
      <c r="D8" s="362">
        <v>1</v>
      </c>
      <c r="E8" s="362">
        <v>1</v>
      </c>
      <c r="F8" s="362" t="s">
        <v>5</v>
      </c>
      <c r="G8" s="362" t="s">
        <v>55</v>
      </c>
      <c r="H8" s="363">
        <v>42116</v>
      </c>
      <c r="I8" s="71" t="s">
        <v>41</v>
      </c>
      <c r="J8" s="544" t="s">
        <v>34</v>
      </c>
    </row>
    <row r="9" spans="1:10" ht="13.8">
      <c r="A9" s="546" t="s">
        <v>712</v>
      </c>
      <c r="B9" s="389" t="s">
        <v>460</v>
      </c>
      <c r="C9" s="363">
        <v>42145</v>
      </c>
      <c r="D9" s="389">
        <v>1</v>
      </c>
      <c r="E9" s="389">
        <v>1</v>
      </c>
      <c r="F9" s="389" t="s">
        <v>713</v>
      </c>
      <c r="G9" s="389" t="s">
        <v>7</v>
      </c>
      <c r="H9" s="363">
        <v>42117</v>
      </c>
      <c r="I9" s="71" t="s">
        <v>41</v>
      </c>
      <c r="J9" s="544" t="s">
        <v>35</v>
      </c>
    </row>
    <row r="10" spans="1:10" ht="13.8">
      <c r="A10" s="546" t="s">
        <v>710</v>
      </c>
      <c r="B10" s="389" t="s">
        <v>460</v>
      </c>
      <c r="C10" s="363">
        <v>42144</v>
      </c>
      <c r="D10" s="389">
        <v>1</v>
      </c>
      <c r="E10" s="389">
        <v>1</v>
      </c>
      <c r="F10" s="389" t="s">
        <v>709</v>
      </c>
      <c r="G10" s="389" t="s">
        <v>14</v>
      </c>
      <c r="H10" s="363">
        <v>42117</v>
      </c>
      <c r="I10" s="71" t="s">
        <v>41</v>
      </c>
      <c r="J10" s="544" t="s">
        <v>35</v>
      </c>
    </row>
    <row r="11" spans="1:10" ht="13.8">
      <c r="A11" s="546" t="s">
        <v>711</v>
      </c>
      <c r="B11" s="362" t="s">
        <v>56</v>
      </c>
      <c r="C11" s="363">
        <v>42145</v>
      </c>
      <c r="D11" s="362">
        <v>1</v>
      </c>
      <c r="E11" s="362">
        <v>1</v>
      </c>
      <c r="F11" s="362" t="s">
        <v>705</v>
      </c>
      <c r="G11" s="362" t="s">
        <v>55</v>
      </c>
      <c r="H11" s="363">
        <v>42117</v>
      </c>
      <c r="I11" s="71" t="s">
        <v>588</v>
      </c>
      <c r="J11" s="544" t="s">
        <v>34</v>
      </c>
    </row>
    <row r="12" spans="1:10" ht="13.8">
      <c r="A12" s="547" t="s">
        <v>737</v>
      </c>
      <c r="B12" s="389" t="s">
        <v>24</v>
      </c>
      <c r="C12" s="363">
        <v>42163</v>
      </c>
      <c r="D12" s="389">
        <v>1</v>
      </c>
      <c r="E12" s="389">
        <v>1</v>
      </c>
      <c r="F12" s="389" t="s">
        <v>97</v>
      </c>
      <c r="G12" s="389" t="s">
        <v>14</v>
      </c>
      <c r="H12" s="363">
        <v>42117</v>
      </c>
      <c r="I12" s="302" t="s">
        <v>41</v>
      </c>
      <c r="J12" s="544" t="s">
        <v>35</v>
      </c>
    </row>
    <row r="13" spans="1:10" ht="13.8">
      <c r="A13" s="546" t="s">
        <v>714</v>
      </c>
      <c r="B13" s="389" t="s">
        <v>198</v>
      </c>
      <c r="C13" s="363">
        <v>42146</v>
      </c>
      <c r="D13" s="389">
        <v>1</v>
      </c>
      <c r="E13" s="389">
        <v>1</v>
      </c>
      <c r="F13" s="389" t="s">
        <v>715</v>
      </c>
      <c r="G13" s="389" t="s">
        <v>7</v>
      </c>
      <c r="H13" s="363">
        <v>42118</v>
      </c>
      <c r="I13" s="71" t="s">
        <v>41</v>
      </c>
      <c r="J13" s="544" t="s">
        <v>34</v>
      </c>
    </row>
    <row r="14" spans="1:10" ht="13.8">
      <c r="A14" s="546" t="s">
        <v>723</v>
      </c>
      <c r="B14" s="389" t="s">
        <v>39</v>
      </c>
      <c r="C14" s="363">
        <v>42150</v>
      </c>
      <c r="D14" s="389">
        <v>1</v>
      </c>
      <c r="E14" s="389">
        <v>1</v>
      </c>
      <c r="F14" s="389" t="s">
        <v>99</v>
      </c>
      <c r="G14" s="389" t="s">
        <v>14</v>
      </c>
      <c r="H14" s="363">
        <v>42121</v>
      </c>
      <c r="I14" s="302" t="s">
        <v>41</v>
      </c>
      <c r="J14" s="544" t="s">
        <v>35</v>
      </c>
    </row>
    <row r="15" spans="1:10" ht="13.8">
      <c r="A15" s="547" t="s">
        <v>736</v>
      </c>
      <c r="B15" s="362" t="s">
        <v>56</v>
      </c>
      <c r="C15" s="363">
        <v>42134</v>
      </c>
      <c r="D15" s="362">
        <v>1</v>
      </c>
      <c r="E15" s="362">
        <v>1</v>
      </c>
      <c r="F15" s="362" t="s">
        <v>547</v>
      </c>
      <c r="G15" s="362" t="s">
        <v>55</v>
      </c>
      <c r="H15" s="363">
        <v>42118</v>
      </c>
      <c r="I15" s="71" t="s">
        <v>588</v>
      </c>
      <c r="J15" s="544" t="s">
        <v>33</v>
      </c>
    </row>
    <row r="16" spans="1:10" ht="13.8">
      <c r="A16" s="546" t="s">
        <v>756</v>
      </c>
      <c r="B16" s="389" t="s">
        <v>24</v>
      </c>
      <c r="C16" s="363">
        <v>42150</v>
      </c>
      <c r="D16" s="389">
        <v>1</v>
      </c>
      <c r="E16" s="389">
        <v>1</v>
      </c>
      <c r="F16" s="389" t="s">
        <v>203</v>
      </c>
      <c r="G16" s="389" t="s">
        <v>14</v>
      </c>
      <c r="H16" s="363">
        <v>42122</v>
      </c>
      <c r="I16" s="302" t="s">
        <v>41</v>
      </c>
      <c r="J16" s="544" t="s">
        <v>35</v>
      </c>
    </row>
    <row r="17" spans="1:10" ht="13.8">
      <c r="A17" s="546" t="s">
        <v>743</v>
      </c>
      <c r="B17" s="389" t="s">
        <v>24</v>
      </c>
      <c r="C17" s="363">
        <v>42150</v>
      </c>
      <c r="D17" s="389">
        <v>1</v>
      </c>
      <c r="E17" s="389">
        <v>1</v>
      </c>
      <c r="F17" s="389" t="s">
        <v>704</v>
      </c>
      <c r="G17" s="389" t="s">
        <v>14</v>
      </c>
      <c r="H17" s="363">
        <v>42123</v>
      </c>
      <c r="I17" s="302" t="s">
        <v>41</v>
      </c>
      <c r="J17" s="544" t="s">
        <v>35</v>
      </c>
    </row>
    <row r="18" spans="1:10" ht="13.8">
      <c r="A18" s="546" t="s">
        <v>753</v>
      </c>
      <c r="B18" s="389" t="s">
        <v>24</v>
      </c>
      <c r="C18" s="363">
        <v>42150</v>
      </c>
      <c r="D18" s="389">
        <v>1</v>
      </c>
      <c r="E18" s="389">
        <v>1</v>
      </c>
      <c r="F18" s="389" t="s">
        <v>754</v>
      </c>
      <c r="G18" s="389" t="s">
        <v>14</v>
      </c>
      <c r="H18" s="363">
        <v>42123</v>
      </c>
      <c r="I18" s="302" t="s">
        <v>41</v>
      </c>
      <c r="J18" s="544" t="s">
        <v>35</v>
      </c>
    </row>
    <row r="19" spans="1:10" ht="13.8">
      <c r="A19" s="546" t="s">
        <v>744</v>
      </c>
      <c r="B19" s="362" t="s">
        <v>73</v>
      </c>
      <c r="C19" s="363">
        <v>42163</v>
      </c>
      <c r="D19" s="362">
        <v>1</v>
      </c>
      <c r="E19" s="362">
        <v>1</v>
      </c>
      <c r="F19" s="362" t="s">
        <v>745</v>
      </c>
      <c r="G19" s="362" t="s">
        <v>251</v>
      </c>
      <c r="H19" s="363">
        <v>42123</v>
      </c>
      <c r="I19" s="71" t="s">
        <v>588</v>
      </c>
      <c r="J19" s="544" t="s">
        <v>33</v>
      </c>
    </row>
    <row r="20" spans="1:10" ht="13.8">
      <c r="A20" s="551" t="s">
        <v>775</v>
      </c>
      <c r="B20" s="409" t="s">
        <v>24</v>
      </c>
      <c r="C20" s="405">
        <v>42150</v>
      </c>
      <c r="D20" s="409">
        <v>1</v>
      </c>
      <c r="E20" s="409">
        <v>1</v>
      </c>
      <c r="F20" s="409" t="s">
        <v>99</v>
      </c>
      <c r="G20" s="409" t="s">
        <v>14</v>
      </c>
      <c r="H20" s="405">
        <v>42123</v>
      </c>
      <c r="I20" s="302" t="s">
        <v>41</v>
      </c>
      <c r="J20" s="544" t="s">
        <v>35</v>
      </c>
    </row>
    <row r="21" spans="1:10" ht="13.8">
      <c r="A21" s="551" t="s">
        <v>764</v>
      </c>
      <c r="B21" s="404" t="s">
        <v>56</v>
      </c>
      <c r="C21" s="405">
        <v>42160</v>
      </c>
      <c r="D21" s="404">
        <v>2</v>
      </c>
      <c r="E21" s="404">
        <v>2</v>
      </c>
      <c r="F21" s="404" t="s">
        <v>765</v>
      </c>
      <c r="G21" s="404" t="s">
        <v>55</v>
      </c>
      <c r="H21" s="405">
        <v>42124</v>
      </c>
      <c r="I21" s="71" t="s">
        <v>588</v>
      </c>
      <c r="J21" s="544" t="s">
        <v>35</v>
      </c>
    </row>
    <row r="22" spans="1:10" ht="13.8">
      <c r="A22" s="551" t="s">
        <v>785</v>
      </c>
      <c r="B22" s="409" t="s">
        <v>194</v>
      </c>
      <c r="C22" s="405">
        <v>42139</v>
      </c>
      <c r="D22" s="409">
        <v>2</v>
      </c>
      <c r="E22" s="409">
        <v>2</v>
      </c>
      <c r="F22" s="409" t="s">
        <v>5</v>
      </c>
      <c r="G22" s="409" t="s">
        <v>7</v>
      </c>
      <c r="H22" s="405">
        <v>42124</v>
      </c>
      <c r="I22" s="71" t="s">
        <v>41</v>
      </c>
      <c r="J22" s="544" t="s">
        <v>34</v>
      </c>
    </row>
    <row r="23" spans="1:10" ht="13.8">
      <c r="A23" s="551" t="s">
        <v>762</v>
      </c>
      <c r="B23" s="404" t="s">
        <v>56</v>
      </c>
      <c r="C23" s="405">
        <v>42139</v>
      </c>
      <c r="D23" s="404">
        <v>1</v>
      </c>
      <c r="E23" s="404">
        <v>1</v>
      </c>
      <c r="F23" s="404" t="s">
        <v>5</v>
      </c>
      <c r="G23" s="404" t="s">
        <v>55</v>
      </c>
      <c r="H23" s="405">
        <v>42124</v>
      </c>
      <c r="I23" s="71" t="s">
        <v>41</v>
      </c>
      <c r="J23" s="544" t="s">
        <v>33</v>
      </c>
    </row>
    <row r="24" spans="1:10" ht="13.8">
      <c r="A24" s="551" t="s">
        <v>762</v>
      </c>
      <c r="B24" s="404" t="s">
        <v>56</v>
      </c>
      <c r="C24" s="405">
        <v>42139</v>
      </c>
      <c r="D24" s="404">
        <v>1</v>
      </c>
      <c r="E24" s="404">
        <v>1</v>
      </c>
      <c r="F24" s="404" t="s">
        <v>5</v>
      </c>
      <c r="G24" s="404" t="s">
        <v>55</v>
      </c>
      <c r="H24" s="405">
        <v>42124</v>
      </c>
      <c r="I24" s="71" t="s">
        <v>41</v>
      </c>
      <c r="J24" s="544" t="s">
        <v>33</v>
      </c>
    </row>
    <row r="25" spans="1:10" ht="13.8">
      <c r="A25" s="552" t="s">
        <v>759</v>
      </c>
      <c r="B25" s="409" t="s">
        <v>24</v>
      </c>
      <c r="C25" s="405">
        <v>42163</v>
      </c>
      <c r="D25" s="409">
        <v>1</v>
      </c>
      <c r="E25" s="409">
        <v>1</v>
      </c>
      <c r="F25" s="409" t="s">
        <v>195</v>
      </c>
      <c r="G25" s="409" t="s">
        <v>251</v>
      </c>
      <c r="H25" s="405">
        <v>42124</v>
      </c>
      <c r="I25" s="302" t="s">
        <v>41</v>
      </c>
      <c r="J25" s="544" t="s">
        <v>35</v>
      </c>
    </row>
    <row r="26" spans="1:10" ht="13.8">
      <c r="A26" s="551" t="s">
        <v>781</v>
      </c>
      <c r="B26" s="409" t="s">
        <v>198</v>
      </c>
      <c r="C26" s="405">
        <v>42139</v>
      </c>
      <c r="D26" s="409">
        <v>1</v>
      </c>
      <c r="E26" s="409">
        <v>1</v>
      </c>
      <c r="F26" s="409" t="s">
        <v>5</v>
      </c>
      <c r="G26" s="409" t="s">
        <v>7</v>
      </c>
      <c r="H26" s="405">
        <v>42124</v>
      </c>
      <c r="I26" s="71" t="s">
        <v>41</v>
      </c>
      <c r="J26" s="544" t="s">
        <v>35</v>
      </c>
    </row>
    <row r="27" spans="1:10" ht="13.8">
      <c r="A27" s="551" t="s">
        <v>777</v>
      </c>
      <c r="B27" s="409" t="s">
        <v>24</v>
      </c>
      <c r="C27" s="405">
        <v>42153</v>
      </c>
      <c r="D27" s="409">
        <v>2</v>
      </c>
      <c r="E27" s="409">
        <v>2</v>
      </c>
      <c r="F27" s="409" t="s">
        <v>97</v>
      </c>
      <c r="G27" s="409" t="s">
        <v>14</v>
      </c>
      <c r="H27" s="405">
        <v>42124</v>
      </c>
      <c r="I27" s="302" t="s">
        <v>41</v>
      </c>
      <c r="J27" s="544" t="s">
        <v>35</v>
      </c>
    </row>
    <row r="28" spans="1:10" ht="13.8">
      <c r="A28" s="551" t="s">
        <v>767</v>
      </c>
      <c r="B28" s="404" t="s">
        <v>51</v>
      </c>
      <c r="C28" s="405">
        <v>42153</v>
      </c>
      <c r="D28" s="404">
        <v>5</v>
      </c>
      <c r="E28" s="404">
        <v>5</v>
      </c>
      <c r="F28" s="404" t="s">
        <v>768</v>
      </c>
      <c r="G28" s="404" t="s">
        <v>23</v>
      </c>
      <c r="H28" s="405">
        <v>42124</v>
      </c>
      <c r="I28" s="71" t="s">
        <v>41</v>
      </c>
      <c r="J28" s="544" t="s">
        <v>34</v>
      </c>
    </row>
    <row r="29" spans="1:10" ht="13.8">
      <c r="A29" s="551" t="s">
        <v>779</v>
      </c>
      <c r="B29" s="409" t="s">
        <v>81</v>
      </c>
      <c r="C29" s="405">
        <v>42151</v>
      </c>
      <c r="D29" s="409">
        <v>4</v>
      </c>
      <c r="E29" s="409">
        <v>4</v>
      </c>
      <c r="F29" s="409" t="s">
        <v>477</v>
      </c>
      <c r="G29" s="409" t="s">
        <v>14</v>
      </c>
      <c r="H29" s="405">
        <v>42124</v>
      </c>
      <c r="I29" s="302" t="s">
        <v>41</v>
      </c>
      <c r="J29" s="544" t="s">
        <v>33</v>
      </c>
    </row>
    <row r="30" spans="1:10" ht="13.8">
      <c r="A30" s="551" t="s">
        <v>763</v>
      </c>
      <c r="B30" s="404" t="s">
        <v>56</v>
      </c>
      <c r="C30" s="405">
        <v>42144</v>
      </c>
      <c r="D30" s="404">
        <v>1</v>
      </c>
      <c r="E30" s="404">
        <v>1</v>
      </c>
      <c r="F30" s="404" t="s">
        <v>5</v>
      </c>
      <c r="G30" s="404" t="s">
        <v>55</v>
      </c>
      <c r="H30" s="405">
        <v>42124</v>
      </c>
      <c r="I30" s="71" t="s">
        <v>41</v>
      </c>
      <c r="J30" s="544" t="s">
        <v>34</v>
      </c>
    </row>
    <row r="31" spans="1:10" ht="13.8">
      <c r="A31" s="551" t="s">
        <v>763</v>
      </c>
      <c r="B31" s="404" t="s">
        <v>56</v>
      </c>
      <c r="C31" s="405">
        <v>42144</v>
      </c>
      <c r="D31" s="404">
        <v>1</v>
      </c>
      <c r="E31" s="404">
        <v>1</v>
      </c>
      <c r="F31" s="404" t="s">
        <v>5</v>
      </c>
      <c r="G31" s="404" t="s">
        <v>55</v>
      </c>
      <c r="H31" s="405">
        <v>42124</v>
      </c>
      <c r="I31" s="71" t="s">
        <v>41</v>
      </c>
      <c r="J31" s="544" t="s">
        <v>34</v>
      </c>
    </row>
    <row r="32" spans="1:10" ht="13.8">
      <c r="A32" s="551" t="s">
        <v>786</v>
      </c>
      <c r="B32" s="409" t="s">
        <v>194</v>
      </c>
      <c r="C32" s="405">
        <v>42144</v>
      </c>
      <c r="D32" s="409">
        <v>1</v>
      </c>
      <c r="E32" s="409">
        <v>1</v>
      </c>
      <c r="F32" s="409" t="s">
        <v>5</v>
      </c>
      <c r="G32" s="409" t="s">
        <v>7</v>
      </c>
      <c r="H32" s="405">
        <v>42124</v>
      </c>
      <c r="I32" s="71" t="s">
        <v>41</v>
      </c>
      <c r="J32" s="544" t="s">
        <v>33</v>
      </c>
    </row>
    <row r="33" spans="1:10" ht="13.8">
      <c r="A33" s="551" t="s">
        <v>830</v>
      </c>
      <c r="B33" s="529" t="s">
        <v>199</v>
      </c>
      <c r="C33" s="405">
        <v>42156</v>
      </c>
      <c r="D33" s="409">
        <v>1</v>
      </c>
      <c r="E33" s="409">
        <v>1</v>
      </c>
      <c r="F33" s="529" t="s">
        <v>831</v>
      </c>
      <c r="G33" s="529" t="s">
        <v>7</v>
      </c>
      <c r="H33" s="405">
        <v>42128</v>
      </c>
      <c r="I33" s="71" t="s">
        <v>41</v>
      </c>
      <c r="J33" s="544" t="s">
        <v>35</v>
      </c>
    </row>
    <row r="34" spans="1:10" ht="13.8">
      <c r="A34" s="551" t="s">
        <v>799</v>
      </c>
      <c r="B34" s="404" t="s">
        <v>39</v>
      </c>
      <c r="C34" s="405">
        <v>42144</v>
      </c>
      <c r="D34" s="404">
        <v>2</v>
      </c>
      <c r="E34" s="404">
        <v>2</v>
      </c>
      <c r="F34" s="404" t="s">
        <v>500</v>
      </c>
      <c r="G34" s="404" t="s">
        <v>14</v>
      </c>
      <c r="H34" s="405">
        <v>42128</v>
      </c>
      <c r="I34" s="302" t="s">
        <v>41</v>
      </c>
      <c r="J34" s="544" t="s">
        <v>35</v>
      </c>
    </row>
    <row r="35" spans="1:10" ht="13.8">
      <c r="A35" s="551" t="s">
        <v>800</v>
      </c>
      <c r="B35" s="404" t="s">
        <v>39</v>
      </c>
      <c r="C35" s="405">
        <v>42156</v>
      </c>
      <c r="D35" s="404">
        <v>1</v>
      </c>
      <c r="E35" s="404">
        <v>1</v>
      </c>
      <c r="F35" s="404" t="s">
        <v>99</v>
      </c>
      <c r="G35" s="404" t="s">
        <v>14</v>
      </c>
      <c r="H35" s="405">
        <v>42128</v>
      </c>
      <c r="I35" s="302" t="s">
        <v>41</v>
      </c>
      <c r="J35" s="544" t="s">
        <v>35</v>
      </c>
    </row>
    <row r="36" spans="1:10" ht="13.8">
      <c r="A36" s="551" t="s">
        <v>802</v>
      </c>
      <c r="B36" s="404" t="s">
        <v>73</v>
      </c>
      <c r="C36" s="405">
        <v>42156</v>
      </c>
      <c r="D36" s="404">
        <v>4</v>
      </c>
      <c r="E36" s="404">
        <v>4</v>
      </c>
      <c r="F36" s="404" t="s">
        <v>803</v>
      </c>
      <c r="G36" s="404" t="s">
        <v>55</v>
      </c>
      <c r="H36" s="405">
        <v>42128</v>
      </c>
      <c r="I36" s="71" t="s">
        <v>41</v>
      </c>
      <c r="J36" s="544" t="s">
        <v>35</v>
      </c>
    </row>
    <row r="37" spans="1:10" ht="13.8">
      <c r="A37" s="551" t="s">
        <v>805</v>
      </c>
      <c r="B37" s="404" t="s">
        <v>24</v>
      </c>
      <c r="C37" s="405">
        <v>42129</v>
      </c>
      <c r="D37" s="404">
        <v>1</v>
      </c>
      <c r="E37" s="404">
        <v>1</v>
      </c>
      <c r="F37" s="404" t="s">
        <v>268</v>
      </c>
      <c r="G37" s="404" t="s">
        <v>14</v>
      </c>
      <c r="H37" s="405">
        <v>42129</v>
      </c>
      <c r="I37" s="302" t="s">
        <v>41</v>
      </c>
      <c r="J37" s="544" t="s">
        <v>35</v>
      </c>
    </row>
    <row r="38" spans="1:10" ht="13.8">
      <c r="A38" s="551" t="s">
        <v>807</v>
      </c>
      <c r="B38" s="409" t="s">
        <v>26</v>
      </c>
      <c r="C38" s="405">
        <v>42149</v>
      </c>
      <c r="D38" s="409">
        <v>1</v>
      </c>
      <c r="E38" s="409">
        <v>1</v>
      </c>
      <c r="F38" s="409" t="s">
        <v>38</v>
      </c>
      <c r="G38" s="409" t="s">
        <v>7</v>
      </c>
      <c r="H38" s="405">
        <v>42129</v>
      </c>
      <c r="I38" s="71" t="s">
        <v>41</v>
      </c>
      <c r="J38" s="544" t="s">
        <v>34</v>
      </c>
    </row>
    <row r="39" spans="1:10" ht="13.8">
      <c r="A39" s="551" t="s">
        <v>808</v>
      </c>
      <c r="B39" s="404" t="s">
        <v>24</v>
      </c>
      <c r="C39" s="405">
        <v>42129</v>
      </c>
      <c r="D39" s="404">
        <v>1</v>
      </c>
      <c r="E39" s="404">
        <v>1</v>
      </c>
      <c r="F39" s="404" t="s">
        <v>97</v>
      </c>
      <c r="G39" s="404" t="s">
        <v>14</v>
      </c>
      <c r="H39" s="405">
        <v>42129</v>
      </c>
      <c r="I39" s="302" t="s">
        <v>41</v>
      </c>
      <c r="J39" s="544" t="s">
        <v>35</v>
      </c>
    </row>
    <row r="40" spans="1:10" ht="13.8">
      <c r="A40" s="551" t="s">
        <v>811</v>
      </c>
      <c r="B40" s="404" t="s">
        <v>24</v>
      </c>
      <c r="C40" s="405">
        <v>42129</v>
      </c>
      <c r="D40" s="404">
        <v>1</v>
      </c>
      <c r="E40" s="404">
        <v>1</v>
      </c>
      <c r="F40" s="404" t="s">
        <v>812</v>
      </c>
      <c r="G40" s="404" t="s">
        <v>14</v>
      </c>
      <c r="H40" s="405">
        <v>42129</v>
      </c>
      <c r="I40" s="302" t="s">
        <v>41</v>
      </c>
      <c r="J40" s="544" t="s">
        <v>35</v>
      </c>
    </row>
    <row r="41" spans="1:10" ht="13.8">
      <c r="A41" s="551" t="s">
        <v>817</v>
      </c>
      <c r="B41" s="409" t="s">
        <v>194</v>
      </c>
      <c r="C41" s="405">
        <v>42129</v>
      </c>
      <c r="D41" s="409">
        <v>1</v>
      </c>
      <c r="E41" s="409">
        <v>1</v>
      </c>
      <c r="F41" s="409" t="s">
        <v>818</v>
      </c>
      <c r="G41" s="409" t="s">
        <v>7</v>
      </c>
      <c r="H41" s="405">
        <v>42129</v>
      </c>
      <c r="I41" s="71" t="s">
        <v>41</v>
      </c>
      <c r="J41" s="544" t="s">
        <v>34</v>
      </c>
    </row>
    <row r="42" spans="1:10" ht="13.8">
      <c r="A42" s="551" t="s">
        <v>819</v>
      </c>
      <c r="B42" s="409" t="s">
        <v>198</v>
      </c>
      <c r="C42" s="405">
        <v>42144</v>
      </c>
      <c r="D42" s="409">
        <v>1</v>
      </c>
      <c r="E42" s="409">
        <v>1</v>
      </c>
      <c r="F42" s="409" t="s">
        <v>38</v>
      </c>
      <c r="G42" s="409" t="s">
        <v>7</v>
      </c>
      <c r="H42" s="405">
        <v>42129</v>
      </c>
      <c r="I42" s="71" t="s">
        <v>41</v>
      </c>
      <c r="J42" s="544" t="s">
        <v>35</v>
      </c>
    </row>
    <row r="43" spans="1:10" ht="13.8">
      <c r="A43" s="551" t="s">
        <v>820</v>
      </c>
      <c r="B43" s="404" t="s">
        <v>56</v>
      </c>
      <c r="C43" s="405">
        <v>42144</v>
      </c>
      <c r="D43" s="404">
        <v>1</v>
      </c>
      <c r="E43" s="404">
        <v>1</v>
      </c>
      <c r="F43" s="404" t="s">
        <v>821</v>
      </c>
      <c r="G43" s="404" t="s">
        <v>55</v>
      </c>
      <c r="H43" s="405">
        <v>42129</v>
      </c>
      <c r="I43" s="71" t="s">
        <v>41</v>
      </c>
      <c r="J43" s="544" t="s">
        <v>35</v>
      </c>
    </row>
    <row r="44" spans="1:10" ht="13.8">
      <c r="A44" s="551" t="s">
        <v>824</v>
      </c>
      <c r="B44" s="404" t="s">
        <v>39</v>
      </c>
      <c r="C44" s="405">
        <v>42144</v>
      </c>
      <c r="D44" s="404">
        <v>1</v>
      </c>
      <c r="E44" s="404">
        <v>1</v>
      </c>
      <c r="F44" s="404" t="s">
        <v>500</v>
      </c>
      <c r="G44" s="404" t="s">
        <v>14</v>
      </c>
      <c r="H44" s="405">
        <v>42130</v>
      </c>
      <c r="I44" s="302" t="s">
        <v>41</v>
      </c>
      <c r="J44" s="544" t="s">
        <v>35</v>
      </c>
    </row>
    <row r="45" spans="1:10" ht="13.8">
      <c r="A45" s="551" t="s">
        <v>825</v>
      </c>
      <c r="B45" s="404" t="s">
        <v>51</v>
      </c>
      <c r="C45" s="405">
        <v>42149</v>
      </c>
      <c r="D45" s="404">
        <v>1</v>
      </c>
      <c r="E45" s="404">
        <v>1</v>
      </c>
      <c r="F45" s="404" t="s">
        <v>38</v>
      </c>
      <c r="G45" s="404" t="s">
        <v>23</v>
      </c>
      <c r="H45" s="405">
        <v>42130</v>
      </c>
      <c r="I45" s="71" t="s">
        <v>41</v>
      </c>
      <c r="J45" s="544" t="s">
        <v>35</v>
      </c>
    </row>
    <row r="46" spans="1:10" ht="13.8">
      <c r="A46" s="551" t="s">
        <v>826</v>
      </c>
      <c r="B46" s="404" t="s">
        <v>24</v>
      </c>
      <c r="C46" s="405">
        <v>42156</v>
      </c>
      <c r="D46" s="404">
        <v>1</v>
      </c>
      <c r="E46" s="404">
        <v>1</v>
      </c>
      <c r="F46" s="404" t="s">
        <v>572</v>
      </c>
      <c r="G46" s="404" t="s">
        <v>14</v>
      </c>
      <c r="H46" s="405">
        <v>42130</v>
      </c>
      <c r="I46" s="302" t="s">
        <v>41</v>
      </c>
      <c r="J46" s="544" t="s">
        <v>35</v>
      </c>
    </row>
    <row r="47" spans="1:10" ht="14.4" thickBot="1">
      <c r="A47" s="553" t="s">
        <v>828</v>
      </c>
      <c r="B47" s="554" t="s">
        <v>56</v>
      </c>
      <c r="C47" s="555">
        <v>42146</v>
      </c>
      <c r="D47" s="554">
        <v>1</v>
      </c>
      <c r="E47" s="554">
        <v>1</v>
      </c>
      <c r="F47" s="554" t="s">
        <v>829</v>
      </c>
      <c r="G47" s="554" t="s">
        <v>55</v>
      </c>
      <c r="H47" s="555">
        <v>42130</v>
      </c>
      <c r="I47" s="556" t="s">
        <v>41</v>
      </c>
      <c r="J47" s="557" t="s">
        <v>35</v>
      </c>
    </row>
  </sheetData>
  <autoFilter ref="A1:J47">
    <sortState ref="A2:J61">
      <sortCondition ref="A2:A61"/>
      <sortCondition ref="H2:H61"/>
    </sortState>
  </autoFilter>
  <pageMargins left="0.2" right="0.19" top="0.19" bottom="0.2" header="0.17" footer="0.18"/>
  <pageSetup paperSize="9" orientation="landscape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/>
  <dimension ref="A1:J14"/>
  <sheetViews>
    <sheetView zoomScale="130" zoomScaleNormal="130" workbookViewId="0">
      <pane ySplit="1" topLeftCell="A2" activePane="bottomLeft" state="frozen"/>
      <selection pane="bottomLeft" activeCell="E16" sqref="E16"/>
    </sheetView>
  </sheetViews>
  <sheetFormatPr baseColWidth="10" defaultRowHeight="13.2"/>
  <cols>
    <col min="1" max="1" width="14.5546875" bestFit="1" customWidth="1"/>
    <col min="2" max="2" width="18.6640625" bestFit="1" customWidth="1"/>
    <col min="3" max="3" width="14" bestFit="1" customWidth="1"/>
    <col min="4" max="4" width="8" bestFit="1" customWidth="1"/>
    <col min="5" max="5" width="7.6640625" bestFit="1" customWidth="1"/>
    <col min="6" max="6" width="27.5546875" bestFit="1" customWidth="1"/>
    <col min="7" max="7" width="16.5546875" bestFit="1" customWidth="1"/>
    <col min="8" max="8" width="12.44140625" bestFit="1" customWidth="1"/>
    <col min="9" max="9" width="9.6640625" bestFit="1" customWidth="1"/>
  </cols>
  <sheetData>
    <row r="1" spans="1:10" ht="14.4" thickBot="1">
      <c r="A1" s="62" t="s">
        <v>1</v>
      </c>
      <c r="B1" s="43" t="s">
        <v>2</v>
      </c>
      <c r="C1" s="42" t="s">
        <v>11</v>
      </c>
      <c r="D1" s="42" t="s">
        <v>3</v>
      </c>
      <c r="E1" s="42" t="s">
        <v>9</v>
      </c>
      <c r="F1" s="42" t="s">
        <v>4</v>
      </c>
      <c r="G1" s="63" t="s">
        <v>0</v>
      </c>
      <c r="H1" s="64" t="s">
        <v>10</v>
      </c>
      <c r="I1" s="63">
        <v>178</v>
      </c>
      <c r="J1" s="42"/>
    </row>
    <row r="2" spans="1:10" ht="13.8">
      <c r="A2" s="547" t="s">
        <v>702</v>
      </c>
      <c r="B2" s="390" t="s">
        <v>204</v>
      </c>
      <c r="C2" s="360">
        <v>42146</v>
      </c>
      <c r="D2" s="390">
        <v>2</v>
      </c>
      <c r="E2" s="390">
        <v>2</v>
      </c>
      <c r="F2" s="390" t="s">
        <v>703</v>
      </c>
      <c r="G2" s="390" t="s">
        <v>6</v>
      </c>
      <c r="H2" s="360">
        <v>42118</v>
      </c>
      <c r="I2" s="75" t="s">
        <v>36</v>
      </c>
      <c r="J2" s="548"/>
    </row>
    <row r="3" spans="1:10" ht="13.8">
      <c r="A3" s="549" t="s">
        <v>739</v>
      </c>
      <c r="B3" s="390" t="s">
        <v>199</v>
      </c>
      <c r="C3" s="360">
        <v>42139</v>
      </c>
      <c r="D3" s="390">
        <v>1</v>
      </c>
      <c r="E3" s="390">
        <v>1</v>
      </c>
      <c r="F3" s="390" t="s">
        <v>740</v>
      </c>
      <c r="G3" s="390" t="s">
        <v>6</v>
      </c>
      <c r="H3" s="360">
        <v>42123</v>
      </c>
      <c r="I3" s="75" t="s">
        <v>36</v>
      </c>
      <c r="J3" s="548"/>
    </row>
    <row r="4" spans="1:10" ht="13.8">
      <c r="A4" s="547" t="s">
        <v>746</v>
      </c>
      <c r="B4" s="390" t="s">
        <v>199</v>
      </c>
      <c r="C4" s="360">
        <v>42163</v>
      </c>
      <c r="D4" s="390">
        <v>1</v>
      </c>
      <c r="E4" s="390">
        <v>1</v>
      </c>
      <c r="F4" s="390" t="s">
        <v>747</v>
      </c>
      <c r="G4" s="390" t="s">
        <v>6</v>
      </c>
      <c r="H4" s="360">
        <v>42123</v>
      </c>
      <c r="I4" s="75" t="s">
        <v>36</v>
      </c>
      <c r="J4" s="548"/>
    </row>
    <row r="5" spans="1:10" ht="13.8">
      <c r="A5" s="550" t="s">
        <v>766</v>
      </c>
      <c r="B5" s="401" t="s">
        <v>63</v>
      </c>
      <c r="C5" s="402">
        <v>42142</v>
      </c>
      <c r="D5" s="401">
        <v>1</v>
      </c>
      <c r="E5" s="401">
        <v>1</v>
      </c>
      <c r="F5" s="401" t="s">
        <v>572</v>
      </c>
      <c r="G5" s="401" t="s">
        <v>30</v>
      </c>
      <c r="H5" s="402">
        <v>42123</v>
      </c>
      <c r="I5" s="75" t="s">
        <v>36</v>
      </c>
      <c r="J5" s="548"/>
    </row>
    <row r="6" spans="1:10" ht="13.8">
      <c r="A6" s="550" t="s">
        <v>773</v>
      </c>
      <c r="B6" s="407" t="s">
        <v>78</v>
      </c>
      <c r="C6" s="402">
        <v>42150</v>
      </c>
      <c r="D6" s="407">
        <v>1</v>
      </c>
      <c r="E6" s="407">
        <v>1</v>
      </c>
      <c r="F6" s="407" t="s">
        <v>655</v>
      </c>
      <c r="G6" s="407" t="s">
        <v>79</v>
      </c>
      <c r="H6" s="402">
        <v>42123</v>
      </c>
      <c r="I6" s="399" t="s">
        <v>36</v>
      </c>
      <c r="J6" s="548"/>
    </row>
    <row r="7" spans="1:10" ht="13.8">
      <c r="A7" s="550" t="s">
        <v>760</v>
      </c>
      <c r="B7" s="407" t="s">
        <v>199</v>
      </c>
      <c r="C7" s="402">
        <v>42163</v>
      </c>
      <c r="D7" s="407">
        <v>1</v>
      </c>
      <c r="E7" s="407">
        <v>1</v>
      </c>
      <c r="F7" s="407" t="s">
        <v>117</v>
      </c>
      <c r="G7" s="407" t="s">
        <v>251</v>
      </c>
      <c r="H7" s="402">
        <v>42124</v>
      </c>
      <c r="I7" s="75" t="s">
        <v>36</v>
      </c>
      <c r="J7" s="548"/>
    </row>
    <row r="8" spans="1:10" ht="13.8">
      <c r="A8" s="550" t="s">
        <v>770</v>
      </c>
      <c r="B8" s="407" t="s">
        <v>78</v>
      </c>
      <c r="C8" s="402">
        <v>42139</v>
      </c>
      <c r="D8" s="407">
        <v>1</v>
      </c>
      <c r="E8" s="407">
        <v>1</v>
      </c>
      <c r="F8" s="407" t="s">
        <v>771</v>
      </c>
      <c r="G8" s="407" t="s">
        <v>79</v>
      </c>
      <c r="H8" s="402">
        <v>42124</v>
      </c>
      <c r="I8" s="399" t="s">
        <v>36</v>
      </c>
      <c r="J8" s="548"/>
    </row>
    <row r="9" spans="1:10" ht="13.8">
      <c r="A9" s="550" t="s">
        <v>787</v>
      </c>
      <c r="B9" s="401" t="s">
        <v>65</v>
      </c>
      <c r="C9" s="402">
        <v>42156</v>
      </c>
      <c r="D9" s="401">
        <v>2</v>
      </c>
      <c r="E9" s="401">
        <v>2</v>
      </c>
      <c r="F9" s="401" t="s">
        <v>86</v>
      </c>
      <c r="G9" s="401" t="s">
        <v>66</v>
      </c>
      <c r="H9" s="402">
        <v>42128</v>
      </c>
      <c r="I9" s="75" t="s">
        <v>36</v>
      </c>
      <c r="J9" s="548"/>
    </row>
    <row r="10" spans="1:10" ht="13.8">
      <c r="A10" s="550" t="s">
        <v>787</v>
      </c>
      <c r="B10" s="401" t="s">
        <v>65</v>
      </c>
      <c r="C10" s="402">
        <v>42156</v>
      </c>
      <c r="D10" s="401">
        <v>2</v>
      </c>
      <c r="E10" s="401">
        <v>2</v>
      </c>
      <c r="F10" s="401" t="s">
        <v>86</v>
      </c>
      <c r="G10" s="401" t="s">
        <v>66</v>
      </c>
      <c r="H10" s="402">
        <v>42128</v>
      </c>
      <c r="I10" s="75" t="s">
        <v>36</v>
      </c>
      <c r="J10" s="548"/>
    </row>
    <row r="11" spans="1:10" ht="13.8">
      <c r="A11" s="550" t="s">
        <v>798</v>
      </c>
      <c r="B11" s="401" t="s">
        <v>71</v>
      </c>
      <c r="C11" s="402">
        <v>42156</v>
      </c>
      <c r="D11" s="401">
        <v>2</v>
      </c>
      <c r="E11" s="401">
        <v>2</v>
      </c>
      <c r="F11" s="401" t="s">
        <v>771</v>
      </c>
      <c r="G11" s="401" t="s">
        <v>30</v>
      </c>
      <c r="H11" s="402">
        <v>42128</v>
      </c>
      <c r="I11" s="75" t="s">
        <v>36</v>
      </c>
      <c r="J11" s="548"/>
    </row>
    <row r="12" spans="1:10" ht="13.8">
      <c r="A12" s="550" t="s">
        <v>810</v>
      </c>
      <c r="B12" s="401" t="s">
        <v>60</v>
      </c>
      <c r="C12" s="402">
        <v>42129</v>
      </c>
      <c r="D12" s="401">
        <v>1</v>
      </c>
      <c r="E12" s="401">
        <v>1</v>
      </c>
      <c r="F12" s="401" t="s">
        <v>722</v>
      </c>
      <c r="G12" s="401" t="s">
        <v>30</v>
      </c>
      <c r="H12" s="402">
        <v>42129</v>
      </c>
      <c r="I12" s="75" t="s">
        <v>36</v>
      </c>
      <c r="J12" s="548"/>
    </row>
    <row r="13" spans="1:10" ht="13.8">
      <c r="A13" s="550" t="s">
        <v>814</v>
      </c>
      <c r="B13" s="401" t="s">
        <v>76</v>
      </c>
      <c r="C13" s="402">
        <v>42129</v>
      </c>
      <c r="D13" s="401">
        <v>1</v>
      </c>
      <c r="E13" s="401">
        <v>1</v>
      </c>
      <c r="F13" s="401" t="s">
        <v>815</v>
      </c>
      <c r="G13" s="401" t="s">
        <v>66</v>
      </c>
      <c r="H13" s="402">
        <v>42129</v>
      </c>
      <c r="I13" s="75" t="s">
        <v>36</v>
      </c>
      <c r="J13" s="548"/>
    </row>
    <row r="14" spans="1:10" ht="14.4" thickBot="1">
      <c r="A14" s="558" t="s">
        <v>822</v>
      </c>
      <c r="B14" s="559" t="s">
        <v>65</v>
      </c>
      <c r="C14" s="560">
        <v>42156</v>
      </c>
      <c r="D14" s="559">
        <v>1</v>
      </c>
      <c r="E14" s="559">
        <v>1</v>
      </c>
      <c r="F14" s="559" t="s">
        <v>547</v>
      </c>
      <c r="G14" s="559" t="s">
        <v>66</v>
      </c>
      <c r="H14" s="560">
        <v>42130</v>
      </c>
      <c r="I14" s="561" t="s">
        <v>36</v>
      </c>
      <c r="J14" s="562"/>
    </row>
  </sheetData>
  <pageMargins left="0.7" right="0.7" top="0.75" bottom="0.75" header="0.3" footer="0.3"/>
  <pageSetup paperSize="9" orientation="portrait" r:id="rId1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"/>
  <dimension ref="A1:F1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3.2"/>
  <cols>
    <col min="1" max="1" width="12.5546875" bestFit="1" customWidth="1"/>
    <col min="2" max="2" width="9.88671875" style="19" bestFit="1" customWidth="1"/>
    <col min="3" max="3" width="12.5546875" style="19" bestFit="1" customWidth="1"/>
    <col min="4" max="4" width="26" bestFit="1" customWidth="1"/>
    <col min="5" max="5" width="4.44140625" bestFit="1" customWidth="1"/>
    <col min="6" max="6" width="6.44140625" bestFit="1" customWidth="1"/>
    <col min="7" max="7" width="5" bestFit="1" customWidth="1"/>
    <col min="8" max="8" width="7" bestFit="1" customWidth="1"/>
    <col min="9" max="9" width="9.6640625" bestFit="1" customWidth="1"/>
  </cols>
  <sheetData>
    <row r="1" spans="1:6" ht="13.8" thickBot="1">
      <c r="A1" s="18" t="s">
        <v>1</v>
      </c>
      <c r="B1" s="18" t="s">
        <v>217</v>
      </c>
      <c r="C1" s="18" t="s">
        <v>218</v>
      </c>
      <c r="D1" s="2" t="s">
        <v>3</v>
      </c>
      <c r="E1" s="9">
        <v>2101</v>
      </c>
      <c r="F1" s="2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5</vt:i4>
      </vt:variant>
    </vt:vector>
  </HeadingPairs>
  <TitlesOfParts>
    <vt:vector size="22" baseType="lpstr">
      <vt:lpstr>Tableau de Bord</vt:lpstr>
      <vt:lpstr>Ordre de Fabrication</vt:lpstr>
      <vt:lpstr>ARM</vt:lpstr>
      <vt:lpstr>ABRIS DE TERRASSES</vt:lpstr>
      <vt:lpstr>VERANDAS</vt:lpstr>
      <vt:lpstr>CORBEILLES</vt:lpstr>
      <vt:lpstr>VELUMS</vt:lpstr>
      <vt:lpstr>Clients</vt:lpstr>
      <vt:lpstr>LITIGES</vt:lpstr>
      <vt:lpstr>TRI</vt:lpstr>
      <vt:lpstr>Stocks</vt:lpstr>
      <vt:lpstr>VERAN</vt:lpstr>
      <vt:lpstr>CORB</vt:lpstr>
      <vt:lpstr>Feuil1</vt:lpstr>
      <vt:lpstr>Feuil2</vt:lpstr>
      <vt:lpstr>Feuil3</vt:lpstr>
      <vt:lpstr>R TOILES</vt:lpstr>
      <vt:lpstr>entrees</vt:lpstr>
      <vt:lpstr>Identifiant</vt:lpstr>
      <vt:lpstr>identifiants</vt:lpstr>
      <vt:lpstr>references</vt:lpstr>
      <vt:lpstr>sorties</vt:lpstr>
    </vt:vector>
  </TitlesOfParts>
  <Company>PRIVE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 Parra Fernand</dc:creator>
  <cp:lastModifiedBy>La Maison</cp:lastModifiedBy>
  <cp:lastPrinted>2015-06-18T11:46:59Z</cp:lastPrinted>
  <dcterms:created xsi:type="dcterms:W3CDTF">2009-03-17T11:42:31Z</dcterms:created>
  <dcterms:modified xsi:type="dcterms:W3CDTF">2015-11-23T20:20:03Z</dcterms:modified>
</cp:coreProperties>
</file>