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1.xml" ContentType="application/vnd.openxmlformats-officedocument.spreadsheetml.pivotTable+xml"/>
  <Override PartName="/xl/drawings/drawing3.xml" ContentType="application/vnd.openxmlformats-officedocument.drawing+xml"/>
  <Override PartName="/xl/pivotTables/pivotTable2.xml" ContentType="application/vnd.openxmlformats-officedocument.spreadsheetml.pivotTab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ables/table2.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Plouplou\Dropbox\SOMASEC\2014-2015\"/>
    </mc:Choice>
  </mc:AlternateContent>
  <bookViews>
    <workbookView xWindow="0" yWindow="0" windowWidth="28800" windowHeight="11835" tabRatio="765"/>
  </bookViews>
  <sheets>
    <sheet name="Registre Global" sheetId="3" r:id="rId1"/>
    <sheet name="Registre de Séchage&amp;Ventilation" sheetId="4" r:id="rId2"/>
    <sheet name="Courbe des humidités" sheetId="5" r:id="rId3"/>
    <sheet name="C151" sheetId="7" r:id="rId4"/>
    <sheet name="C152" sheetId="8" r:id="rId5"/>
    <sheet name="Réglage théorique du séchoir" sheetId="9" r:id="rId6"/>
    <sheet name="Calcul fin séchage" sheetId="6" r:id="rId7"/>
    <sheet name="Livraison Gaz" sheetId="10" r:id="rId8"/>
    <sheet name="Facturation Croisée" sheetId="18" r:id="rId9"/>
    <sheet name="Facturation" sheetId="16" r:id="rId10"/>
    <sheet name="Stats" sheetId="19" r:id="rId11"/>
    <sheet name="Registre de Nettoyage" sheetId="11" r:id="rId12"/>
    <sheet name="Barème" sheetId="12" r:id="rId13"/>
  </sheets>
  <definedNames>
    <definedName name="_xlnm._FilterDatabase" localSheetId="0" hidden="1">'Registre Global'!$A$1:$P$74</definedName>
    <definedName name="Adresse1">OFFSET(#REF!,0,0,COUNTA(#REF!)-1)</definedName>
    <definedName name="Barème">Barème!$E$1:$O$1</definedName>
    <definedName name="Bareme_MAIS_Maïs" localSheetId="12" hidden="1">Barème!$A$1:$O$72</definedName>
    <definedName name="Clients">OFFSET(#REF!,0,0,COUNTA(#REF!)-1,1)</definedName>
    <definedName name="Code_Postal">OFFSET(#REF!,0,0,COUNTA(#REF!)-1)</definedName>
    <definedName name="N°_Client">OFFSET(#REF!,0,0,COUNTA(#REF!)-1)</definedName>
    <definedName name="Nom">OFFSET(#REF!,0,0,COUNTA(#REF!)-1)</definedName>
    <definedName name="Prénom">OFFSET(#REF!,0,0,COUNTA(#REF!)-1)</definedName>
    <definedName name="Societes">OFFSET(#REF!,0,0,COUNTA(#REF!)-1)</definedName>
    <definedName name="Ville">OFFSET(#REF!,0,0,COUNTA(#REF!)-1)</definedName>
    <definedName name="_xlnm.Print_Area" localSheetId="9">Facturation!$A$1:$H$33</definedName>
    <definedName name="_xlnm.Print_Area" localSheetId="0">'Registre Global'!$A$1:$P$74</definedName>
  </definedNames>
  <calcPr calcId="152511"/>
  <pivotCaches>
    <pivotCache cacheId="1" r:id="rId14"/>
  </pivotCaches>
</workbook>
</file>

<file path=xl/calcChain.xml><?xml version="1.0" encoding="utf-8"?>
<calcChain xmlns="http://schemas.openxmlformats.org/spreadsheetml/2006/main">
  <c r="AA74" i="3" l="1"/>
  <c r="Z74" i="3"/>
  <c r="Y74" i="3"/>
  <c r="P74" i="3"/>
  <c r="S74" i="3" s="1"/>
  <c r="AB74" i="3" l="1"/>
  <c r="Q74" i="3"/>
  <c r="V74" i="3"/>
  <c r="AE74" i="3" l="1"/>
  <c r="W74" i="3"/>
  <c r="D19" i="6"/>
  <c r="AD74" i="3"/>
  <c r="R74" i="3"/>
  <c r="AC74" i="3"/>
  <c r="T74" i="3"/>
  <c r="U74" i="3" l="1"/>
  <c r="X74" i="3"/>
  <c r="AA73" i="3" l="1"/>
  <c r="Z73" i="3"/>
  <c r="Y73" i="3"/>
  <c r="V73" i="3"/>
  <c r="S73" i="3"/>
  <c r="Q73" i="3"/>
  <c r="AE73" i="3" s="1"/>
  <c r="P73" i="3"/>
  <c r="AB73" i="3" s="1"/>
  <c r="AA72" i="3"/>
  <c r="Z72" i="3"/>
  <c r="Y72" i="3"/>
  <c r="V72" i="3"/>
  <c r="S72" i="3"/>
  <c r="Q72" i="3"/>
  <c r="W72" i="3" s="1"/>
  <c r="P72" i="3"/>
  <c r="AB72" i="3" s="1"/>
  <c r="Y71" i="3"/>
  <c r="X71" i="3"/>
  <c r="W71" i="3"/>
  <c r="V71" i="3"/>
  <c r="S71" i="3"/>
  <c r="Q71" i="3"/>
  <c r="AE71" i="3" s="1"/>
  <c r="P71" i="3"/>
  <c r="AB71" i="3" s="1"/>
  <c r="AD73" i="3" l="1"/>
  <c r="T73" i="3"/>
  <c r="AC73" i="3"/>
  <c r="R73" i="3"/>
  <c r="W73" i="3"/>
  <c r="AE72" i="3"/>
  <c r="T72" i="3"/>
  <c r="AC72" i="3"/>
  <c r="R72" i="3"/>
  <c r="AD72" i="3"/>
  <c r="T71" i="3"/>
  <c r="AC71" i="3"/>
  <c r="R71" i="3"/>
  <c r="Z71" i="3"/>
  <c r="AD71" i="3"/>
  <c r="U73" i="3" l="1"/>
  <c r="X73" i="3"/>
  <c r="U72" i="3"/>
  <c r="X72" i="3"/>
  <c r="AA71" i="3"/>
  <c r="U71" i="3"/>
  <c r="D15" i="6" l="1"/>
  <c r="D14" i="6" s="1"/>
  <c r="AA70" i="3"/>
  <c r="Z70" i="3"/>
  <c r="Y70" i="3"/>
  <c r="V70" i="3"/>
  <c r="S70" i="3"/>
  <c r="Q70" i="3"/>
  <c r="T70" i="3" s="1"/>
  <c r="P70" i="3"/>
  <c r="AB70" i="3" s="1"/>
  <c r="AC70" i="3" l="1"/>
  <c r="R70" i="3"/>
  <c r="AD70" i="3"/>
  <c r="W70" i="3"/>
  <c r="AE70" i="3"/>
  <c r="S69" i="3"/>
  <c r="Q69" i="3"/>
  <c r="P69" i="3"/>
  <c r="AB69" i="3" s="1"/>
  <c r="S68" i="3"/>
  <c r="Q68" i="3"/>
  <c r="P68" i="3"/>
  <c r="AB68" i="3" s="1"/>
  <c r="S67" i="3"/>
  <c r="Q67" i="3"/>
  <c r="P67" i="3"/>
  <c r="AB67" i="3" s="1"/>
  <c r="X70" i="3" l="1"/>
  <c r="U70" i="3"/>
  <c r="R69" i="3"/>
  <c r="R68" i="3"/>
  <c r="R67" i="3"/>
  <c r="P66" i="3" l="1"/>
  <c r="P65" i="3"/>
  <c r="P64" i="3"/>
  <c r="P63" i="3"/>
  <c r="Q63" i="3" l="1"/>
  <c r="R63" i="3" s="1"/>
  <c r="Q66" i="3"/>
  <c r="R66" i="3" s="1"/>
  <c r="Q65" i="3"/>
  <c r="Q64" i="3"/>
  <c r="R65" i="3" l="1"/>
  <c r="R64" i="3"/>
  <c r="P62" i="3" l="1"/>
  <c r="Q62" i="3" l="1"/>
  <c r="R62" i="3" l="1"/>
  <c r="P61" i="3" l="1"/>
  <c r="P60" i="3"/>
  <c r="Q60" i="3" s="1"/>
  <c r="P59" i="3"/>
  <c r="P58" i="3"/>
  <c r="Q58" i="3" s="1"/>
  <c r="P57" i="3"/>
  <c r="Q57" i="3" s="1"/>
  <c r="P56" i="3"/>
  <c r="P55" i="3"/>
  <c r="Q55" i="3" s="1"/>
  <c r="P54" i="3"/>
  <c r="P53" i="3"/>
  <c r="P52" i="3"/>
  <c r="P51" i="3"/>
  <c r="Q61" i="3" l="1"/>
  <c r="R61" i="3" s="1"/>
  <c r="Q51" i="3"/>
  <c r="R51" i="3" s="1"/>
  <c r="Q53" i="3"/>
  <c r="R53" i="3" s="1"/>
  <c r="Q56" i="3"/>
  <c r="R56" i="3" s="1"/>
  <c r="R60" i="3"/>
  <c r="Q59" i="3"/>
  <c r="R58" i="3"/>
  <c r="R57" i="3"/>
  <c r="R55" i="3"/>
  <c r="Q54" i="3"/>
  <c r="Q52" i="3"/>
  <c r="R59" i="3" l="1"/>
  <c r="R54" i="3"/>
  <c r="R52" i="3"/>
  <c r="P50" i="3" l="1"/>
  <c r="Q50" i="3" l="1"/>
  <c r="R50" i="3" s="1"/>
  <c r="P49" i="3" l="1"/>
  <c r="Q49" i="3" s="1"/>
  <c r="R49" i="3" l="1"/>
  <c r="P48" i="3" l="1"/>
  <c r="Q48" i="3" s="1"/>
  <c r="P47" i="3"/>
  <c r="R48" i="3" l="1"/>
  <c r="Q47" i="3"/>
  <c r="P46" i="3"/>
  <c r="Q46" i="3" l="1"/>
  <c r="D7" i="6" s="1"/>
  <c r="R47" i="3"/>
  <c r="P45" i="3"/>
  <c r="Q45" i="3" s="1"/>
  <c r="R46" i="3" l="1"/>
  <c r="R45" i="3"/>
  <c r="P44" i="3"/>
  <c r="Q44" i="3" s="1"/>
  <c r="R44" i="3" s="1"/>
  <c r="P43" i="3" l="1"/>
  <c r="Q43" i="3" l="1"/>
  <c r="R43" i="3" s="1"/>
  <c r="P42" i="3" l="1"/>
  <c r="Q42" i="3" l="1"/>
  <c r="R42" i="3" s="1"/>
  <c r="P41" i="3"/>
  <c r="Q41" i="3" l="1"/>
  <c r="R41" i="3" s="1"/>
  <c r="P40" i="3" l="1"/>
  <c r="P39" i="3"/>
  <c r="Q39" i="3" s="1"/>
  <c r="P38" i="3"/>
  <c r="Q38" i="3" s="1"/>
  <c r="P37" i="3"/>
  <c r="Q37" i="3" l="1"/>
  <c r="R37" i="3" s="1"/>
  <c r="Q40" i="3"/>
  <c r="R39" i="3"/>
  <c r="R38" i="3"/>
  <c r="P36" i="3"/>
  <c r="Q36" i="3" s="1"/>
  <c r="R40" i="3" l="1"/>
  <c r="R36" i="3"/>
  <c r="P35" i="3" l="1"/>
  <c r="P34" i="3"/>
  <c r="Q34" i="3" s="1"/>
  <c r="P33" i="3"/>
  <c r="Q35" i="3" l="1"/>
  <c r="R35" i="3" s="1"/>
  <c r="R34" i="3"/>
  <c r="Q33" i="3"/>
  <c r="R33" i="3" l="1"/>
  <c r="P32" i="3" l="1"/>
  <c r="P31" i="3"/>
  <c r="P30" i="3"/>
  <c r="P29" i="3"/>
  <c r="P28" i="3"/>
  <c r="Q32" i="3" l="1"/>
  <c r="R32" i="3" s="1"/>
  <c r="Q29" i="3"/>
  <c r="R29" i="3" s="1"/>
  <c r="Q31" i="3"/>
  <c r="Q30" i="3"/>
  <c r="Q28" i="3"/>
  <c r="R31" i="3" l="1"/>
  <c r="R30" i="3"/>
  <c r="R28" i="3"/>
  <c r="P27" i="3" l="1"/>
  <c r="Q27" i="3" l="1"/>
  <c r="R27" i="3" s="1"/>
  <c r="P26" i="3"/>
  <c r="Q26" i="3" s="1"/>
  <c r="P25" i="3"/>
  <c r="Q25" i="3" s="1"/>
  <c r="P24" i="3"/>
  <c r="P23" i="3"/>
  <c r="Q23" i="3" s="1"/>
  <c r="P22" i="3"/>
  <c r="P21" i="3"/>
  <c r="Q21" i="3" l="1"/>
  <c r="R21" i="3" s="1"/>
  <c r="R26" i="3"/>
  <c r="R25" i="3"/>
  <c r="Q24" i="3"/>
  <c r="R23" i="3"/>
  <c r="Q22" i="3"/>
  <c r="P20" i="3"/>
  <c r="Q20" i="3" s="1"/>
  <c r="P19" i="3"/>
  <c r="Q19" i="3" s="1"/>
  <c r="P18" i="3"/>
  <c r="Q18" i="3" s="1"/>
  <c r="P17" i="3"/>
  <c r="P16" i="3"/>
  <c r="Q16" i="3" s="1"/>
  <c r="Q17" i="3" l="1"/>
  <c r="R17" i="3" s="1"/>
  <c r="R24" i="3"/>
  <c r="R22" i="3"/>
  <c r="R20" i="3"/>
  <c r="R19" i="3"/>
  <c r="R18" i="3"/>
  <c r="R16" i="3"/>
  <c r="P15" i="3" l="1"/>
  <c r="Q15" i="3" l="1"/>
  <c r="R15" i="3" s="1"/>
  <c r="P14" i="3"/>
  <c r="Q14" i="3" l="1"/>
  <c r="R14" i="3" s="1"/>
  <c r="P13" i="3" l="1"/>
  <c r="Q13" i="3" l="1"/>
  <c r="P12" i="3"/>
  <c r="Q12" i="3" s="1"/>
  <c r="E2" i="8"/>
  <c r="E2" i="7"/>
  <c r="R13" i="3" l="1"/>
  <c r="R12" i="3"/>
  <c r="G15" i="6"/>
  <c r="J4" i="6"/>
  <c r="H14" i="6"/>
  <c r="I15" i="6" l="1"/>
  <c r="I14" i="6" s="1"/>
  <c r="H15" i="6"/>
  <c r="P11" i="3"/>
  <c r="P10" i="3"/>
  <c r="Q10" i="3" s="1"/>
  <c r="P9" i="3"/>
  <c r="P8" i="3"/>
  <c r="Q8" i="3" s="1"/>
  <c r="P7" i="3"/>
  <c r="Q7" i="3" s="1"/>
  <c r="J15" i="6" l="1"/>
  <c r="J16" i="6" s="1"/>
  <c r="J14" i="6" s="1"/>
  <c r="Q9" i="3"/>
  <c r="R9" i="3" s="1"/>
  <c r="Q11" i="3"/>
  <c r="R11" i="3" s="1"/>
  <c r="R10" i="3"/>
  <c r="R8" i="3"/>
  <c r="R7" i="3"/>
  <c r="P6" i="3"/>
  <c r="P5" i="3"/>
  <c r="Q5" i="3" l="1"/>
  <c r="R5" i="3" s="1"/>
  <c r="Q6" i="3"/>
  <c r="R6" i="3" s="1"/>
  <c r="F8" i="10"/>
  <c r="F9" i="10"/>
  <c r="F10" i="10"/>
  <c r="F11" i="10"/>
  <c r="F12" i="10"/>
  <c r="F13" i="10"/>
  <c r="F14" i="10"/>
  <c r="F15" i="10"/>
  <c r="F16" i="10"/>
  <c r="E8" i="10" l="1"/>
  <c r="E9" i="10"/>
  <c r="E10" i="10"/>
  <c r="E11" i="10"/>
  <c r="E12" i="10"/>
  <c r="E13" i="10"/>
  <c r="E19" i="16" l="1"/>
  <c r="H19" i="16" l="1"/>
  <c r="H16" i="16"/>
  <c r="H20" i="16"/>
  <c r="E24" i="16" l="1"/>
  <c r="H24" i="16" s="1"/>
  <c r="H28" i="16" s="1"/>
  <c r="H27" i="16"/>
  <c r="G8" i="16"/>
  <c r="E8" i="16"/>
  <c r="E7" i="16"/>
  <c r="G6" i="16"/>
  <c r="E6" i="16"/>
  <c r="E5" i="16"/>
  <c r="H26" i="16" l="1"/>
  <c r="B11" i="16"/>
  <c r="A23" i="16" s="1"/>
  <c r="A24" i="16" s="1"/>
  <c r="C24" i="16" s="1"/>
  <c r="H29" i="16" l="1"/>
  <c r="F11" i="16" s="1"/>
  <c r="W2" i="3" l="1"/>
  <c r="W3" i="3" s="1"/>
  <c r="W4" i="3" s="1"/>
  <c r="W5" i="3" s="1"/>
  <c r="W6" i="3" s="1"/>
  <c r="W7" i="3" s="1"/>
  <c r="W8" i="3" s="1"/>
  <c r="W9" i="3" s="1"/>
  <c r="W10" i="3" s="1"/>
  <c r="W11" i="3" s="1"/>
  <c r="W12" i="3" s="1"/>
  <c r="W13" i="3" s="1"/>
  <c r="W14" i="3" s="1"/>
  <c r="W15" i="3" s="1"/>
  <c r="W16" i="3" s="1"/>
  <c r="W17" i="3" s="1"/>
  <c r="W18" i="3" s="1"/>
  <c r="W19" i="3" s="1"/>
  <c r="W20" i="3" s="1"/>
  <c r="W21" i="3" s="1"/>
  <c r="W22" i="3" s="1"/>
  <c r="W23" i="3" s="1"/>
  <c r="W24" i="3" s="1"/>
  <c r="W25" i="3" s="1"/>
  <c r="W26" i="3" s="1"/>
  <c r="W27" i="3" s="1"/>
  <c r="W28" i="3" s="1"/>
  <c r="W29" i="3" s="1"/>
  <c r="W30" i="3" s="1"/>
  <c r="W31" i="3" s="1"/>
  <c r="W32" i="3" s="1"/>
  <c r="W33" i="3" s="1"/>
  <c r="W34" i="3" s="1"/>
  <c r="W35" i="3" s="1"/>
  <c r="W36" i="3" s="1"/>
  <c r="W37" i="3" s="1"/>
  <c r="W38" i="3" s="1"/>
  <c r="W39" i="3" s="1"/>
  <c r="W40" i="3" s="1"/>
  <c r="W41" i="3" s="1"/>
  <c r="W42" i="3" s="1"/>
  <c r="W43" i="3" s="1"/>
  <c r="W44" i="3" s="1"/>
  <c r="W45" i="3" s="1"/>
  <c r="W46" i="3" s="1"/>
  <c r="W47" i="3" s="1"/>
  <c r="W48" i="3" s="1"/>
  <c r="W49" i="3" s="1"/>
  <c r="W50" i="3" s="1"/>
  <c r="W51" i="3" s="1"/>
  <c r="W52" i="3" s="1"/>
  <c r="W53" i="3" s="1"/>
  <c r="W54" i="3" s="1"/>
  <c r="W55" i="3" s="1"/>
  <c r="W56" i="3" s="1"/>
  <c r="W57" i="3" s="1"/>
  <c r="W58" i="3" s="1"/>
  <c r="W59" i="3" s="1"/>
  <c r="W60" i="3" s="1"/>
  <c r="W61" i="3" s="1"/>
  <c r="W62" i="3" s="1"/>
  <c r="W63" i="3" s="1"/>
  <c r="W64" i="3" s="1"/>
  <c r="W65" i="3" s="1"/>
  <c r="W66" i="3" s="1"/>
  <c r="W67" i="3" s="1"/>
  <c r="W68" i="3" s="1"/>
  <c r="W69" i="3" s="1"/>
  <c r="X2" i="3"/>
  <c r="X3" i="3" s="1"/>
  <c r="X4" i="3" s="1"/>
  <c r="X5" i="3" s="1"/>
  <c r="X6" i="3" s="1"/>
  <c r="X7" i="3" s="1"/>
  <c r="X8" i="3" s="1"/>
  <c r="X9" i="3" s="1"/>
  <c r="X10" i="3" s="1"/>
  <c r="X11" i="3" s="1"/>
  <c r="X12" i="3" s="1"/>
  <c r="X13" i="3" s="1"/>
  <c r="X14" i="3" s="1"/>
  <c r="X15" i="3" s="1"/>
  <c r="X16" i="3" s="1"/>
  <c r="X17" i="3" s="1"/>
  <c r="X18" i="3" s="1"/>
  <c r="X19" i="3" s="1"/>
  <c r="X20" i="3" s="1"/>
  <c r="X21" i="3" s="1"/>
  <c r="X22" i="3" s="1"/>
  <c r="X23" i="3" s="1"/>
  <c r="X24" i="3" s="1"/>
  <c r="X25" i="3" s="1"/>
  <c r="X26" i="3" s="1"/>
  <c r="X27" i="3" s="1"/>
  <c r="X28" i="3" s="1"/>
  <c r="X29" i="3" s="1"/>
  <c r="X30" i="3" s="1"/>
  <c r="X31" i="3" s="1"/>
  <c r="X32" i="3" s="1"/>
  <c r="X33" i="3" s="1"/>
  <c r="X34" i="3" s="1"/>
  <c r="X35" i="3" s="1"/>
  <c r="X36" i="3" s="1"/>
  <c r="X37" i="3" s="1"/>
  <c r="X38" i="3" s="1"/>
  <c r="X39" i="3" s="1"/>
  <c r="X40" i="3" s="1"/>
  <c r="X41" i="3" s="1"/>
  <c r="X42" i="3" s="1"/>
  <c r="X43" i="3" s="1"/>
  <c r="X44" i="3" s="1"/>
  <c r="X45" i="3" s="1"/>
  <c r="X46" i="3" s="1"/>
  <c r="X47" i="3" s="1"/>
  <c r="X48" i="3" s="1"/>
  <c r="X49" i="3" s="1"/>
  <c r="X50" i="3" s="1"/>
  <c r="X51" i="3" s="1"/>
  <c r="X52" i="3" s="1"/>
  <c r="X53" i="3" s="1"/>
  <c r="X54" i="3" s="1"/>
  <c r="X55" i="3" s="1"/>
  <c r="X56" i="3" s="1"/>
  <c r="X57" i="3" s="1"/>
  <c r="X58" i="3" s="1"/>
  <c r="X59" i="3" s="1"/>
  <c r="X60" i="3" s="1"/>
  <c r="X61" i="3" s="1"/>
  <c r="X62" i="3" s="1"/>
  <c r="X63" i="3" s="1"/>
  <c r="X64" i="3" s="1"/>
  <c r="X65" i="3" s="1"/>
  <c r="X66" i="3" s="1"/>
  <c r="X67" i="3" s="1"/>
  <c r="X68" i="3" s="1"/>
  <c r="X69" i="3" s="1"/>
  <c r="P4" i="3"/>
  <c r="Q4" i="3" s="1"/>
  <c r="R4" i="3" s="1"/>
  <c r="E7" i="10"/>
  <c r="F7" i="10" s="1"/>
  <c r="E14" i="10"/>
  <c r="E15" i="10"/>
  <c r="E16" i="10"/>
  <c r="E17" i="10"/>
  <c r="F17" i="10" s="1"/>
  <c r="E18" i="10"/>
  <c r="F18" i="10" s="1"/>
  <c r="E19" i="10"/>
  <c r="F19" i="10" s="1"/>
  <c r="E20" i="10"/>
  <c r="F20" i="10" s="1"/>
  <c r="E21" i="10"/>
  <c r="F21" i="10" s="1"/>
  <c r="E22" i="10"/>
  <c r="F22" i="10" s="1"/>
  <c r="E23" i="10"/>
  <c r="F23" i="10" s="1"/>
  <c r="E24" i="10"/>
  <c r="F24" i="10" s="1"/>
  <c r="E25" i="10"/>
  <c r="F25" i="10" s="1"/>
  <c r="E26" i="10"/>
  <c r="F26" i="10" s="1"/>
  <c r="E27" i="10"/>
  <c r="F27" i="10" s="1"/>
  <c r="E28" i="10"/>
  <c r="F28" i="10" s="1"/>
  <c r="E29" i="10"/>
  <c r="F29" i="10" s="1"/>
  <c r="E30" i="10"/>
  <c r="F30" i="10" s="1"/>
  <c r="E31" i="10"/>
  <c r="F31" i="10" s="1"/>
  <c r="E32" i="10"/>
  <c r="F32" i="10" s="1"/>
  <c r="E5" i="9"/>
  <c r="I5" i="9" s="1"/>
  <c r="F5" i="9"/>
  <c r="G5" i="9"/>
  <c r="D6" i="9"/>
  <c r="E6" i="9" s="1"/>
  <c r="G6" i="9"/>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C4" i="6"/>
  <c r="E4" i="6"/>
  <c r="F4" i="6" s="1"/>
  <c r="G4" i="6"/>
  <c r="K4" i="6" s="1"/>
  <c r="G2" i="7"/>
  <c r="E3" i="7" s="1"/>
  <c r="P2" i="3"/>
  <c r="AB2" i="3" s="1"/>
  <c r="Y2" i="3"/>
  <c r="Y3" i="3" s="1"/>
  <c r="Y4" i="3" s="1"/>
  <c r="Y5" i="3" s="1"/>
  <c r="Y6" i="3" s="1"/>
  <c r="Y7" i="3" s="1"/>
  <c r="Y8" i="3" s="1"/>
  <c r="Y9" i="3" s="1"/>
  <c r="Y10" i="3" s="1"/>
  <c r="Y11" i="3" s="1"/>
  <c r="Y12" i="3" s="1"/>
  <c r="Y13" i="3" s="1"/>
  <c r="Y14" i="3" s="1"/>
  <c r="Y15" i="3" s="1"/>
  <c r="Y16" i="3" s="1"/>
  <c r="Y17" i="3" s="1"/>
  <c r="Y18" i="3" s="1"/>
  <c r="Y19" i="3" s="1"/>
  <c r="Y20" i="3" s="1"/>
  <c r="Y21" i="3" s="1"/>
  <c r="Y22" i="3" s="1"/>
  <c r="Y23" i="3" s="1"/>
  <c r="Y24" i="3" s="1"/>
  <c r="Y25" i="3" s="1"/>
  <c r="Y26" i="3" s="1"/>
  <c r="Y27" i="3" s="1"/>
  <c r="Y28" i="3" s="1"/>
  <c r="Y29" i="3" s="1"/>
  <c r="Y30" i="3" s="1"/>
  <c r="Y31" i="3" s="1"/>
  <c r="Y32" i="3" s="1"/>
  <c r="Y33" i="3" s="1"/>
  <c r="Y34" i="3" s="1"/>
  <c r="Y35" i="3" s="1"/>
  <c r="Y36" i="3" s="1"/>
  <c r="Y37" i="3" s="1"/>
  <c r="Y38" i="3" s="1"/>
  <c r="Y39" i="3" s="1"/>
  <c r="Y40" i="3" s="1"/>
  <c r="Y41" i="3" s="1"/>
  <c r="Y42" i="3" s="1"/>
  <c r="Y43" i="3" s="1"/>
  <c r="Y44" i="3" s="1"/>
  <c r="Y45" i="3" s="1"/>
  <c r="Y46" i="3" s="1"/>
  <c r="Y47" i="3" s="1"/>
  <c r="Y48" i="3" s="1"/>
  <c r="Y49" i="3" s="1"/>
  <c r="Y50" i="3" s="1"/>
  <c r="Y51" i="3" s="1"/>
  <c r="Y52" i="3" s="1"/>
  <c r="Y53" i="3" s="1"/>
  <c r="Y54" i="3" s="1"/>
  <c r="Y55" i="3" s="1"/>
  <c r="Y56" i="3" s="1"/>
  <c r="Y57" i="3" s="1"/>
  <c r="Y58" i="3" s="1"/>
  <c r="Y59" i="3" s="1"/>
  <c r="Y60" i="3" s="1"/>
  <c r="Y61" i="3" s="1"/>
  <c r="Y62" i="3" s="1"/>
  <c r="Y63" i="3" s="1"/>
  <c r="Y64" i="3" s="1"/>
  <c r="Y65" i="3" s="1"/>
  <c r="Y66" i="3" s="1"/>
  <c r="Y67" i="3" s="1"/>
  <c r="Y68" i="3" s="1"/>
  <c r="Y69" i="3" s="1"/>
  <c r="Z2" i="3"/>
  <c r="Z3" i="3" s="1"/>
  <c r="Z4" i="3" s="1"/>
  <c r="Z5" i="3" s="1"/>
  <c r="Z6" i="3" s="1"/>
  <c r="Z7" i="3" s="1"/>
  <c r="Z8" i="3" s="1"/>
  <c r="Z9" i="3" s="1"/>
  <c r="Z10" i="3" s="1"/>
  <c r="Z11" i="3" s="1"/>
  <c r="Z12" i="3" s="1"/>
  <c r="Z13" i="3" s="1"/>
  <c r="Z14" i="3" s="1"/>
  <c r="Z15" i="3" s="1"/>
  <c r="Z16" i="3" s="1"/>
  <c r="Z17" i="3" s="1"/>
  <c r="Z18" i="3" s="1"/>
  <c r="Z19" i="3" s="1"/>
  <c r="Z20" i="3" s="1"/>
  <c r="Z21" i="3" s="1"/>
  <c r="Z22" i="3" s="1"/>
  <c r="Z23" i="3" s="1"/>
  <c r="Z24" i="3" s="1"/>
  <c r="Z25" i="3" s="1"/>
  <c r="Z26" i="3" s="1"/>
  <c r="Z27" i="3" s="1"/>
  <c r="Z28" i="3" s="1"/>
  <c r="Z29" i="3" s="1"/>
  <c r="Z30" i="3" s="1"/>
  <c r="Z31" i="3" s="1"/>
  <c r="Z32" i="3" s="1"/>
  <c r="Z33" i="3" s="1"/>
  <c r="Z34" i="3" s="1"/>
  <c r="Z35" i="3" s="1"/>
  <c r="Z36" i="3" s="1"/>
  <c r="Z37" i="3" s="1"/>
  <c r="Z38" i="3" s="1"/>
  <c r="Z39" i="3" s="1"/>
  <c r="Z40" i="3" s="1"/>
  <c r="Z41" i="3" s="1"/>
  <c r="Z42" i="3" s="1"/>
  <c r="Z43" i="3" s="1"/>
  <c r="Z44" i="3" s="1"/>
  <c r="Z45" i="3" s="1"/>
  <c r="Z46" i="3" s="1"/>
  <c r="Z47" i="3" s="1"/>
  <c r="Z48" i="3" s="1"/>
  <c r="Z49" i="3" s="1"/>
  <c r="Z50" i="3" s="1"/>
  <c r="Z51" i="3" s="1"/>
  <c r="Z52" i="3" s="1"/>
  <c r="Z53" i="3" s="1"/>
  <c r="Z54" i="3" s="1"/>
  <c r="Z55" i="3" s="1"/>
  <c r="Z56" i="3" s="1"/>
  <c r="Z57" i="3" s="1"/>
  <c r="Z58" i="3" s="1"/>
  <c r="Z59" i="3" s="1"/>
  <c r="Z60" i="3" s="1"/>
  <c r="Z61" i="3" s="1"/>
  <c r="Z62" i="3" s="1"/>
  <c r="Z63" i="3" s="1"/>
  <c r="Z64" i="3" s="1"/>
  <c r="Z65" i="3" s="1"/>
  <c r="Z66" i="3" s="1"/>
  <c r="Z67" i="3" s="1"/>
  <c r="Z68" i="3" s="1"/>
  <c r="Z69" i="3" s="1"/>
  <c r="AA2" i="3"/>
  <c r="AA3" i="3" s="1"/>
  <c r="AA4" i="3" s="1"/>
  <c r="AA5" i="3" s="1"/>
  <c r="AA6" i="3" s="1"/>
  <c r="AA7" i="3" s="1"/>
  <c r="AA8" i="3" s="1"/>
  <c r="AA9" i="3" s="1"/>
  <c r="AA10" i="3" s="1"/>
  <c r="AA11" i="3" s="1"/>
  <c r="AA12" i="3" s="1"/>
  <c r="AA13" i="3" s="1"/>
  <c r="AA14" i="3" s="1"/>
  <c r="AA15" i="3" s="1"/>
  <c r="AA16" i="3" s="1"/>
  <c r="AA17" i="3" s="1"/>
  <c r="AA18" i="3" s="1"/>
  <c r="AA19" i="3" s="1"/>
  <c r="AA20" i="3" s="1"/>
  <c r="AA21" i="3" s="1"/>
  <c r="AA22" i="3" s="1"/>
  <c r="AA23" i="3" s="1"/>
  <c r="AA24" i="3" s="1"/>
  <c r="AA25" i="3" s="1"/>
  <c r="AA26" i="3" s="1"/>
  <c r="AA27" i="3" s="1"/>
  <c r="AA28" i="3" s="1"/>
  <c r="AA29" i="3" s="1"/>
  <c r="AA30" i="3" s="1"/>
  <c r="AA31" i="3" s="1"/>
  <c r="AA32" i="3" s="1"/>
  <c r="AA33" i="3" s="1"/>
  <c r="AA34" i="3" s="1"/>
  <c r="AA35" i="3" s="1"/>
  <c r="AA36" i="3" s="1"/>
  <c r="AA37" i="3" s="1"/>
  <c r="AA38" i="3" s="1"/>
  <c r="AA39" i="3" s="1"/>
  <c r="AA40" i="3" s="1"/>
  <c r="AA41" i="3" s="1"/>
  <c r="AA42" i="3" s="1"/>
  <c r="AA43" i="3" s="1"/>
  <c r="AA44" i="3" s="1"/>
  <c r="AA45" i="3" s="1"/>
  <c r="AA46" i="3" s="1"/>
  <c r="AA47" i="3" s="1"/>
  <c r="AA48" i="3" s="1"/>
  <c r="AA49" i="3" s="1"/>
  <c r="AA50" i="3" s="1"/>
  <c r="AA51" i="3" s="1"/>
  <c r="AA52" i="3" s="1"/>
  <c r="AA53" i="3" s="1"/>
  <c r="AA54" i="3" s="1"/>
  <c r="AA55" i="3" s="1"/>
  <c r="AA56" i="3" s="1"/>
  <c r="AA57" i="3" s="1"/>
  <c r="AA58" i="3" s="1"/>
  <c r="AA59" i="3" s="1"/>
  <c r="AA60" i="3" s="1"/>
  <c r="AA61" i="3" s="1"/>
  <c r="AA62" i="3" s="1"/>
  <c r="AA63" i="3" s="1"/>
  <c r="AA64" i="3" s="1"/>
  <c r="AA65" i="3" s="1"/>
  <c r="AA66" i="3" s="1"/>
  <c r="AA67" i="3" s="1"/>
  <c r="AA68" i="3" s="1"/>
  <c r="AA69" i="3" s="1"/>
  <c r="P3" i="3"/>
  <c r="V2" i="3"/>
  <c r="V3" i="3" s="1"/>
  <c r="V4" i="3" s="1"/>
  <c r="V5" i="3" s="1"/>
  <c r="V6" i="3" s="1"/>
  <c r="V7" i="3" s="1"/>
  <c r="V8" i="3" s="1"/>
  <c r="V9" i="3" s="1"/>
  <c r="V10" i="3" s="1"/>
  <c r="V11" i="3" s="1"/>
  <c r="V12" i="3" s="1"/>
  <c r="V13" i="3" s="1"/>
  <c r="V14" i="3" s="1"/>
  <c r="V15" i="3" s="1"/>
  <c r="V16" i="3" s="1"/>
  <c r="V17" i="3" s="1"/>
  <c r="V18" i="3" s="1"/>
  <c r="V19" i="3" s="1"/>
  <c r="V20" i="3" s="1"/>
  <c r="V21" i="3" s="1"/>
  <c r="V22" i="3" s="1"/>
  <c r="V23" i="3" s="1"/>
  <c r="V24" i="3" s="1"/>
  <c r="V25" i="3" s="1"/>
  <c r="V26" i="3" s="1"/>
  <c r="V27" i="3" s="1"/>
  <c r="V28" i="3" s="1"/>
  <c r="V29" i="3" s="1"/>
  <c r="V30" i="3" s="1"/>
  <c r="V31" i="3" s="1"/>
  <c r="V32" i="3" s="1"/>
  <c r="V33" i="3" s="1"/>
  <c r="V34" i="3" s="1"/>
  <c r="V35" i="3" s="1"/>
  <c r="V36" i="3" s="1"/>
  <c r="V37" i="3" s="1"/>
  <c r="V38" i="3" s="1"/>
  <c r="V39" i="3" s="1"/>
  <c r="V40" i="3" s="1"/>
  <c r="V41" i="3" s="1"/>
  <c r="V42" i="3" s="1"/>
  <c r="V43" i="3" s="1"/>
  <c r="V44" i="3" s="1"/>
  <c r="V45" i="3" s="1"/>
  <c r="V46" i="3" s="1"/>
  <c r="V47" i="3" s="1"/>
  <c r="V48" i="3" s="1"/>
  <c r="V49" i="3" s="1"/>
  <c r="V50" i="3" s="1"/>
  <c r="V51" i="3" s="1"/>
  <c r="V52" i="3" s="1"/>
  <c r="V53" i="3" s="1"/>
  <c r="V54" i="3" s="1"/>
  <c r="V55" i="3" s="1"/>
  <c r="V56" i="3" s="1"/>
  <c r="V57" i="3" s="1"/>
  <c r="V58" i="3" s="1"/>
  <c r="V59" i="3" s="1"/>
  <c r="V60" i="3" s="1"/>
  <c r="V61" i="3" s="1"/>
  <c r="V62" i="3" s="1"/>
  <c r="V63" i="3" s="1"/>
  <c r="V64" i="3" s="1"/>
  <c r="V65" i="3" s="1"/>
  <c r="V66" i="3" s="1"/>
  <c r="V67" i="3" s="1"/>
  <c r="V68" i="3" s="1"/>
  <c r="V69" i="3" s="1"/>
  <c r="D7" i="9"/>
  <c r="D8" i="9" s="1"/>
  <c r="D9" i="9" l="1"/>
  <c r="E8" i="9"/>
  <c r="F8" i="9" s="1"/>
  <c r="G3" i="7"/>
  <c r="E4" i="7" s="1"/>
  <c r="H2" i="7"/>
  <c r="E7" i="9"/>
  <c r="E33" i="10"/>
  <c r="G2" i="8"/>
  <c r="E3" i="8" s="1"/>
  <c r="E9" i="9"/>
  <c r="D10" i="9"/>
  <c r="Q2" i="3"/>
  <c r="R2" i="3" s="1"/>
  <c r="S2" i="3"/>
  <c r="S3" i="3" s="1"/>
  <c r="S4" i="3" s="1"/>
  <c r="S5" i="3" s="1"/>
  <c r="S6" i="3" s="1"/>
  <c r="S7" i="3" s="1"/>
  <c r="S8" i="3" s="1"/>
  <c r="S9" i="3" s="1"/>
  <c r="S10" i="3" s="1"/>
  <c r="S11" i="3" s="1"/>
  <c r="S12" i="3" s="1"/>
  <c r="S13" i="3" s="1"/>
  <c r="S14" i="3" s="1"/>
  <c r="S15" i="3" s="1"/>
  <c r="S16" i="3" s="1"/>
  <c r="S17" i="3" s="1"/>
  <c r="S18" i="3" s="1"/>
  <c r="S19" i="3" s="1"/>
  <c r="S20" i="3" s="1"/>
  <c r="S21" i="3" s="1"/>
  <c r="S22" i="3" s="1"/>
  <c r="S23" i="3" s="1"/>
  <c r="S24" i="3" s="1"/>
  <c r="S25" i="3" s="1"/>
  <c r="S26" i="3" s="1"/>
  <c r="S27" i="3" s="1"/>
  <c r="S28" i="3" s="1"/>
  <c r="S29" i="3" s="1"/>
  <c r="S30" i="3" s="1"/>
  <c r="S31" i="3" s="1"/>
  <c r="S32" i="3" s="1"/>
  <c r="S33" i="3" s="1"/>
  <c r="S34" i="3" s="1"/>
  <c r="S35" i="3" s="1"/>
  <c r="S36" i="3" s="1"/>
  <c r="S37" i="3" s="1"/>
  <c r="S38" i="3" s="1"/>
  <c r="S39" i="3" s="1"/>
  <c r="S40" i="3" s="1"/>
  <c r="S41" i="3" s="1"/>
  <c r="S42" i="3" s="1"/>
  <c r="S43" i="3" s="1"/>
  <c r="S44" i="3" s="1"/>
  <c r="S45" i="3" s="1"/>
  <c r="S46" i="3" s="1"/>
  <c r="S47" i="3" s="1"/>
  <c r="S48" i="3" s="1"/>
  <c r="S49" i="3" s="1"/>
  <c r="S50" i="3" s="1"/>
  <c r="S51" i="3" s="1"/>
  <c r="S52" i="3" s="1"/>
  <c r="S53" i="3" s="1"/>
  <c r="S54" i="3" s="1"/>
  <c r="S55" i="3" s="1"/>
  <c r="S56" i="3" s="1"/>
  <c r="S57" i="3" s="1"/>
  <c r="S58" i="3" s="1"/>
  <c r="S59" i="3" s="1"/>
  <c r="S60" i="3" s="1"/>
  <c r="S61" i="3" s="1"/>
  <c r="S62" i="3" s="1"/>
  <c r="S63" i="3" s="1"/>
  <c r="S64" i="3" s="1"/>
  <c r="S65" i="3" s="1"/>
  <c r="S66" i="3" s="1"/>
  <c r="AB3" i="3"/>
  <c r="AB4" i="3" s="1"/>
  <c r="AB5" i="3" s="1"/>
  <c r="AB6" i="3" s="1"/>
  <c r="AB7" i="3" s="1"/>
  <c r="AB8" i="3" s="1"/>
  <c r="AB9" i="3" s="1"/>
  <c r="AB10" i="3" s="1"/>
  <c r="AB11" i="3" s="1"/>
  <c r="AB12" i="3" s="1"/>
  <c r="AB13" i="3" s="1"/>
  <c r="AB14" i="3" s="1"/>
  <c r="AB15" i="3" s="1"/>
  <c r="AB16" i="3" s="1"/>
  <c r="AB17" i="3" s="1"/>
  <c r="AB18" i="3" s="1"/>
  <c r="AB19" i="3" s="1"/>
  <c r="AB20" i="3" s="1"/>
  <c r="AB21" i="3" s="1"/>
  <c r="AB22" i="3" s="1"/>
  <c r="AB23" i="3" s="1"/>
  <c r="AB24" i="3" s="1"/>
  <c r="AB25" i="3" s="1"/>
  <c r="AB26" i="3" s="1"/>
  <c r="AB27" i="3" s="1"/>
  <c r="AB28" i="3" s="1"/>
  <c r="AB29" i="3" s="1"/>
  <c r="AB30" i="3" s="1"/>
  <c r="AB31" i="3" s="1"/>
  <c r="AB32" i="3" s="1"/>
  <c r="AB33" i="3" s="1"/>
  <c r="AB34" i="3" s="1"/>
  <c r="AB35" i="3" s="1"/>
  <c r="AB36" i="3" s="1"/>
  <c r="AB37" i="3" s="1"/>
  <c r="AB38" i="3" s="1"/>
  <c r="AB39" i="3" s="1"/>
  <c r="AB40" i="3" s="1"/>
  <c r="AB41" i="3" s="1"/>
  <c r="AB42" i="3" s="1"/>
  <c r="AB43" i="3" s="1"/>
  <c r="AB44" i="3" s="1"/>
  <c r="AB45" i="3" s="1"/>
  <c r="AB46" i="3" s="1"/>
  <c r="AB47" i="3" s="1"/>
  <c r="AB48" i="3" s="1"/>
  <c r="AB49" i="3" s="1"/>
  <c r="AB50" i="3" s="1"/>
  <c r="AB51" i="3" s="1"/>
  <c r="AB52" i="3" s="1"/>
  <c r="AB53" i="3" s="1"/>
  <c r="AB54" i="3" s="1"/>
  <c r="AB55" i="3" s="1"/>
  <c r="AB56" i="3" s="1"/>
  <c r="AB57" i="3" s="1"/>
  <c r="AB58" i="3" s="1"/>
  <c r="AB59" i="3" s="1"/>
  <c r="AB60" i="3" s="1"/>
  <c r="AB61" i="3" s="1"/>
  <c r="AB62" i="3" s="1"/>
  <c r="AB63" i="3" s="1"/>
  <c r="AB64" i="3" s="1"/>
  <c r="AB65" i="3" s="1"/>
  <c r="AB66" i="3" s="1"/>
  <c r="L4" i="6"/>
  <c r="L8" i="6" s="1"/>
  <c r="L9" i="6" s="1"/>
  <c r="K6" i="6"/>
  <c r="F6" i="9"/>
  <c r="I6" i="9"/>
  <c r="F33" i="10"/>
  <c r="H4" i="6"/>
  <c r="I4" i="6" s="1"/>
  <c r="Q3" i="3"/>
  <c r="R3" i="3" s="1"/>
  <c r="I8" i="9" l="1"/>
  <c r="H3" i="7"/>
  <c r="G4" i="7"/>
  <c r="E5" i="7" s="1"/>
  <c r="F7" i="9"/>
  <c r="I7" i="9"/>
  <c r="H2" i="8"/>
  <c r="G3" i="8"/>
  <c r="E4" i="8" s="1"/>
  <c r="T2" i="3"/>
  <c r="T3" i="3" s="1"/>
  <c r="T4" i="3" s="1"/>
  <c r="T5" i="3" s="1"/>
  <c r="T6" i="3" s="1"/>
  <c r="T7" i="3" s="1"/>
  <c r="T8" i="3" s="1"/>
  <c r="T9" i="3" s="1"/>
  <c r="T10" i="3" s="1"/>
  <c r="T11" i="3" s="1"/>
  <c r="T12" i="3" s="1"/>
  <c r="T13" i="3" s="1"/>
  <c r="T14" i="3" s="1"/>
  <c r="T15" i="3" s="1"/>
  <c r="T16" i="3" s="1"/>
  <c r="T17" i="3" s="1"/>
  <c r="T18" i="3" s="1"/>
  <c r="T19" i="3" s="1"/>
  <c r="T20" i="3" s="1"/>
  <c r="T21" i="3" s="1"/>
  <c r="T22" i="3" s="1"/>
  <c r="T23" i="3" s="1"/>
  <c r="T24" i="3" s="1"/>
  <c r="T25" i="3" s="1"/>
  <c r="T26" i="3" s="1"/>
  <c r="T27" i="3" s="1"/>
  <c r="T28" i="3" s="1"/>
  <c r="T29" i="3" s="1"/>
  <c r="T30" i="3" s="1"/>
  <c r="T31" i="3" s="1"/>
  <c r="T32" i="3" s="1"/>
  <c r="T33" i="3" s="1"/>
  <c r="T34" i="3" s="1"/>
  <c r="T35" i="3" s="1"/>
  <c r="T36" i="3" s="1"/>
  <c r="T37" i="3" s="1"/>
  <c r="T38" i="3" s="1"/>
  <c r="T39" i="3" s="1"/>
  <c r="T40" i="3" s="1"/>
  <c r="T41" i="3" s="1"/>
  <c r="T42" i="3" s="1"/>
  <c r="T43" i="3" s="1"/>
  <c r="T44" i="3" s="1"/>
  <c r="T45" i="3" s="1"/>
  <c r="T46" i="3" s="1"/>
  <c r="T47" i="3" s="1"/>
  <c r="T48" i="3" s="1"/>
  <c r="T49" i="3" s="1"/>
  <c r="T50" i="3" s="1"/>
  <c r="T51" i="3" s="1"/>
  <c r="T52" i="3" s="1"/>
  <c r="T53" i="3" s="1"/>
  <c r="T54" i="3" s="1"/>
  <c r="T55" i="3" s="1"/>
  <c r="T56" i="3" s="1"/>
  <c r="T57" i="3" s="1"/>
  <c r="T58" i="3" s="1"/>
  <c r="T59" i="3" s="1"/>
  <c r="T60" i="3" s="1"/>
  <c r="T61" i="3" s="1"/>
  <c r="T62" i="3" s="1"/>
  <c r="T63" i="3" s="1"/>
  <c r="T64" i="3" s="1"/>
  <c r="T65" i="3" s="1"/>
  <c r="T66" i="3" s="1"/>
  <c r="T67" i="3" s="1"/>
  <c r="T68" i="3" s="1"/>
  <c r="T69" i="3" s="1"/>
  <c r="U2" i="3"/>
  <c r="U3" i="3" s="1"/>
  <c r="U4" i="3" s="1"/>
  <c r="U5" i="3" s="1"/>
  <c r="U6" i="3" s="1"/>
  <c r="U7" i="3" s="1"/>
  <c r="U8" i="3" s="1"/>
  <c r="U9" i="3" s="1"/>
  <c r="U10" i="3" s="1"/>
  <c r="U11" i="3" s="1"/>
  <c r="U12" i="3" s="1"/>
  <c r="U13" i="3" s="1"/>
  <c r="U14" i="3" s="1"/>
  <c r="U15" i="3" s="1"/>
  <c r="U16" i="3" s="1"/>
  <c r="U17" i="3" s="1"/>
  <c r="U18" i="3" s="1"/>
  <c r="U19" i="3" s="1"/>
  <c r="U20" i="3" s="1"/>
  <c r="U21" i="3" s="1"/>
  <c r="U22" i="3" s="1"/>
  <c r="U23" i="3" s="1"/>
  <c r="U24" i="3" s="1"/>
  <c r="U25" i="3" s="1"/>
  <c r="U26" i="3" s="1"/>
  <c r="U27" i="3" s="1"/>
  <c r="U28" i="3" s="1"/>
  <c r="U29" i="3" s="1"/>
  <c r="U30" i="3" s="1"/>
  <c r="U31" i="3" s="1"/>
  <c r="U32" i="3" s="1"/>
  <c r="U33" i="3" s="1"/>
  <c r="U34" i="3" s="1"/>
  <c r="U35" i="3" s="1"/>
  <c r="U36" i="3" s="1"/>
  <c r="U37" i="3" s="1"/>
  <c r="U38" i="3" s="1"/>
  <c r="U39" i="3" s="1"/>
  <c r="U40" i="3" s="1"/>
  <c r="U41" i="3" s="1"/>
  <c r="U42" i="3" s="1"/>
  <c r="U43" i="3" s="1"/>
  <c r="U44" i="3" s="1"/>
  <c r="U45" i="3" s="1"/>
  <c r="U46" i="3" s="1"/>
  <c r="U47" i="3" s="1"/>
  <c r="U48" i="3" s="1"/>
  <c r="U49" i="3" s="1"/>
  <c r="U50" i="3" s="1"/>
  <c r="U51" i="3" s="1"/>
  <c r="U52" i="3" s="1"/>
  <c r="U53" i="3" s="1"/>
  <c r="U54" i="3" s="1"/>
  <c r="U55" i="3" s="1"/>
  <c r="U56" i="3" s="1"/>
  <c r="U57" i="3" s="1"/>
  <c r="U58" i="3" s="1"/>
  <c r="U59" i="3" s="1"/>
  <c r="U60" i="3" s="1"/>
  <c r="U61" i="3" s="1"/>
  <c r="U62" i="3" s="1"/>
  <c r="U63" i="3" s="1"/>
  <c r="U64" i="3" s="1"/>
  <c r="U65" i="3" s="1"/>
  <c r="U66" i="3" s="1"/>
  <c r="U67" i="3" s="1"/>
  <c r="U68" i="3" s="1"/>
  <c r="U69" i="3" s="1"/>
  <c r="AE2" i="3"/>
  <c r="AE3" i="3" s="1"/>
  <c r="AE4" i="3" s="1"/>
  <c r="AE5" i="3" s="1"/>
  <c r="AE6" i="3" s="1"/>
  <c r="AE7" i="3" s="1"/>
  <c r="AE8" i="3" s="1"/>
  <c r="AE9" i="3" s="1"/>
  <c r="AE10" i="3" s="1"/>
  <c r="AE11" i="3" s="1"/>
  <c r="AE12" i="3" s="1"/>
  <c r="AE13" i="3" s="1"/>
  <c r="AE14" i="3" s="1"/>
  <c r="AE15" i="3" s="1"/>
  <c r="AE16" i="3" s="1"/>
  <c r="AE17" i="3" s="1"/>
  <c r="AE18" i="3" s="1"/>
  <c r="AE19" i="3" s="1"/>
  <c r="AE20" i="3" s="1"/>
  <c r="AE21" i="3" s="1"/>
  <c r="AE22" i="3" s="1"/>
  <c r="AE23" i="3" s="1"/>
  <c r="AE24" i="3" s="1"/>
  <c r="AE25" i="3" s="1"/>
  <c r="AE26" i="3" s="1"/>
  <c r="AE27" i="3" s="1"/>
  <c r="AE28" i="3" s="1"/>
  <c r="AE29" i="3" s="1"/>
  <c r="AE30" i="3" s="1"/>
  <c r="AE31" i="3" s="1"/>
  <c r="AE32" i="3" s="1"/>
  <c r="AE33" i="3" s="1"/>
  <c r="AE34" i="3" s="1"/>
  <c r="AE35" i="3" s="1"/>
  <c r="AE36" i="3" s="1"/>
  <c r="AE37" i="3" s="1"/>
  <c r="AE38" i="3" s="1"/>
  <c r="AE39" i="3" s="1"/>
  <c r="AE40" i="3" s="1"/>
  <c r="AE41" i="3" s="1"/>
  <c r="AE42" i="3" s="1"/>
  <c r="AE43" i="3" s="1"/>
  <c r="AE44" i="3" s="1"/>
  <c r="AE45" i="3" s="1"/>
  <c r="AE46" i="3" s="1"/>
  <c r="AE47" i="3" s="1"/>
  <c r="AE48" i="3" s="1"/>
  <c r="AE49" i="3" s="1"/>
  <c r="AE50" i="3" s="1"/>
  <c r="AE51" i="3" s="1"/>
  <c r="AE52" i="3" s="1"/>
  <c r="AE53" i="3" s="1"/>
  <c r="AE54" i="3" s="1"/>
  <c r="AE55" i="3" s="1"/>
  <c r="AE56" i="3" s="1"/>
  <c r="AE57" i="3" s="1"/>
  <c r="AE58" i="3" s="1"/>
  <c r="AE59" i="3" s="1"/>
  <c r="AE60" i="3" s="1"/>
  <c r="AE61" i="3" s="1"/>
  <c r="AE62" i="3" s="1"/>
  <c r="AE63" i="3" s="1"/>
  <c r="AE64" i="3" s="1"/>
  <c r="AE65" i="3" s="1"/>
  <c r="AE66" i="3" s="1"/>
  <c r="AE67" i="3" s="1"/>
  <c r="AE68" i="3" s="1"/>
  <c r="AE69" i="3" s="1"/>
  <c r="AD2" i="3"/>
  <c r="AD3" i="3" s="1"/>
  <c r="AD4" i="3" s="1"/>
  <c r="AD5" i="3" s="1"/>
  <c r="AD6" i="3" s="1"/>
  <c r="AD7" i="3" s="1"/>
  <c r="AD8" i="3" s="1"/>
  <c r="AD9" i="3" s="1"/>
  <c r="AD10" i="3" s="1"/>
  <c r="AD11" i="3" s="1"/>
  <c r="AD12" i="3" s="1"/>
  <c r="AD13" i="3" s="1"/>
  <c r="AD14" i="3" s="1"/>
  <c r="AD15" i="3" s="1"/>
  <c r="AD16" i="3" s="1"/>
  <c r="AD17" i="3" s="1"/>
  <c r="AD18" i="3" s="1"/>
  <c r="AD19" i="3" s="1"/>
  <c r="AD20" i="3" s="1"/>
  <c r="AD21" i="3" s="1"/>
  <c r="AD22" i="3" s="1"/>
  <c r="AD23" i="3" s="1"/>
  <c r="AD24" i="3" s="1"/>
  <c r="AD25" i="3" s="1"/>
  <c r="AD26" i="3" s="1"/>
  <c r="AD27" i="3" s="1"/>
  <c r="AD28" i="3" s="1"/>
  <c r="AD29" i="3" s="1"/>
  <c r="AD30" i="3" s="1"/>
  <c r="AD31" i="3" s="1"/>
  <c r="AD32" i="3" s="1"/>
  <c r="AD33" i="3" s="1"/>
  <c r="AD34" i="3" s="1"/>
  <c r="AD35" i="3" s="1"/>
  <c r="AD36" i="3" s="1"/>
  <c r="AD37" i="3" s="1"/>
  <c r="AD38" i="3" s="1"/>
  <c r="AD39" i="3" s="1"/>
  <c r="AD40" i="3" s="1"/>
  <c r="AD41" i="3" s="1"/>
  <c r="AD42" i="3" s="1"/>
  <c r="AD43" i="3" s="1"/>
  <c r="AD44" i="3" s="1"/>
  <c r="AD45" i="3" s="1"/>
  <c r="AD46" i="3" s="1"/>
  <c r="AD47" i="3" s="1"/>
  <c r="AD48" i="3" s="1"/>
  <c r="AD49" i="3" s="1"/>
  <c r="AD50" i="3" s="1"/>
  <c r="AD51" i="3" s="1"/>
  <c r="AD52" i="3" s="1"/>
  <c r="AD53" i="3" s="1"/>
  <c r="AD54" i="3" s="1"/>
  <c r="AD55" i="3" s="1"/>
  <c r="AD56" i="3" s="1"/>
  <c r="AD57" i="3" s="1"/>
  <c r="AD58" i="3" s="1"/>
  <c r="AD59" i="3" s="1"/>
  <c r="AD60" i="3" s="1"/>
  <c r="AD61" i="3" s="1"/>
  <c r="AD62" i="3" s="1"/>
  <c r="AD63" i="3" s="1"/>
  <c r="AD64" i="3" s="1"/>
  <c r="AD65" i="3" s="1"/>
  <c r="AD66" i="3" s="1"/>
  <c r="AD67" i="3" s="1"/>
  <c r="AD68" i="3" s="1"/>
  <c r="AD69" i="3" s="1"/>
  <c r="AC2" i="3"/>
  <c r="AC3" i="3" s="1"/>
  <c r="AC4" i="3" s="1"/>
  <c r="AC5" i="3" s="1"/>
  <c r="AC6" i="3" s="1"/>
  <c r="AC7" i="3" s="1"/>
  <c r="AC8" i="3" s="1"/>
  <c r="AC9" i="3" s="1"/>
  <c r="AC10" i="3" s="1"/>
  <c r="AC11" i="3" s="1"/>
  <c r="AC12" i="3" s="1"/>
  <c r="AC13" i="3" s="1"/>
  <c r="AC14" i="3" s="1"/>
  <c r="AC15" i="3" s="1"/>
  <c r="AC16" i="3" s="1"/>
  <c r="AC17" i="3" s="1"/>
  <c r="AC18" i="3" s="1"/>
  <c r="AC19" i="3" s="1"/>
  <c r="AC20" i="3" s="1"/>
  <c r="AC21" i="3" s="1"/>
  <c r="AC22" i="3" s="1"/>
  <c r="AC23" i="3" s="1"/>
  <c r="AC24" i="3" s="1"/>
  <c r="AC25" i="3" s="1"/>
  <c r="AC26" i="3" s="1"/>
  <c r="AC27" i="3" s="1"/>
  <c r="AC28" i="3" s="1"/>
  <c r="AC29" i="3" s="1"/>
  <c r="AC30" i="3" s="1"/>
  <c r="AC31" i="3" s="1"/>
  <c r="AC32" i="3" s="1"/>
  <c r="AC33" i="3" s="1"/>
  <c r="AC34" i="3" s="1"/>
  <c r="AC35" i="3" s="1"/>
  <c r="AC36" i="3" s="1"/>
  <c r="AC37" i="3" s="1"/>
  <c r="AC38" i="3" s="1"/>
  <c r="AC39" i="3" s="1"/>
  <c r="AC40" i="3" s="1"/>
  <c r="AC41" i="3" s="1"/>
  <c r="AC42" i="3" s="1"/>
  <c r="AC43" i="3" s="1"/>
  <c r="AC44" i="3" s="1"/>
  <c r="AC45" i="3" s="1"/>
  <c r="AC46" i="3" s="1"/>
  <c r="AC47" i="3" s="1"/>
  <c r="AC48" i="3" s="1"/>
  <c r="AC49" i="3" s="1"/>
  <c r="AC50" i="3" s="1"/>
  <c r="AC51" i="3" s="1"/>
  <c r="AC52" i="3" s="1"/>
  <c r="AC53" i="3" s="1"/>
  <c r="AC54" i="3" s="1"/>
  <c r="AC55" i="3" s="1"/>
  <c r="AC56" i="3" s="1"/>
  <c r="AC57" i="3" s="1"/>
  <c r="AC58" i="3" s="1"/>
  <c r="AC59" i="3" s="1"/>
  <c r="AC60" i="3" s="1"/>
  <c r="AC61" i="3" s="1"/>
  <c r="AC62" i="3" s="1"/>
  <c r="AC63" i="3" s="1"/>
  <c r="AC64" i="3" s="1"/>
  <c r="AC65" i="3" s="1"/>
  <c r="AC66" i="3" s="1"/>
  <c r="AC67" i="3" s="1"/>
  <c r="AC68" i="3" s="1"/>
  <c r="AC69" i="3" s="1"/>
  <c r="L5" i="6"/>
  <c r="G6" i="6"/>
  <c r="M4" i="6"/>
  <c r="D11" i="9"/>
  <c r="E10" i="9"/>
  <c r="F9" i="9"/>
  <c r="I9" i="9"/>
  <c r="L6" i="6" l="1"/>
  <c r="N5" i="6" s="1"/>
  <c r="M5" i="6"/>
  <c r="H4" i="7"/>
  <c r="G5" i="7"/>
  <c r="E6" i="7" s="1"/>
  <c r="H3" i="8"/>
  <c r="G4" i="8"/>
  <c r="E5" i="8" s="1"/>
  <c r="E11" i="9"/>
  <c r="D12" i="9"/>
  <c r="I10" i="9"/>
  <c r="F10" i="9"/>
  <c r="N4" i="6" l="1"/>
  <c r="H5" i="7"/>
  <c r="G6" i="7"/>
  <c r="E7" i="7" s="1"/>
  <c r="G5" i="8"/>
  <c r="E6" i="8" s="1"/>
  <c r="H4" i="8"/>
  <c r="I11" i="9"/>
  <c r="F11" i="9"/>
  <c r="E12" i="9"/>
  <c r="D13" i="9"/>
  <c r="O4" i="6" l="1"/>
  <c r="H6" i="7"/>
  <c r="G7" i="7"/>
  <c r="E8" i="7" s="1"/>
  <c r="G6" i="8"/>
  <c r="E7" i="8" s="1"/>
  <c r="H5" i="8"/>
  <c r="F12" i="9"/>
  <c r="I12" i="9"/>
  <c r="E13" i="9"/>
  <c r="D14" i="9"/>
  <c r="G8" i="7" l="1"/>
  <c r="E9" i="7" s="1"/>
  <c r="H7" i="7"/>
  <c r="H6" i="8"/>
  <c r="G7" i="8"/>
  <c r="E8" i="8" s="1"/>
  <c r="D15" i="9"/>
  <c r="E14" i="9"/>
  <c r="I13" i="9"/>
  <c r="F13" i="9"/>
  <c r="G9" i="7" l="1"/>
  <c r="E10" i="7" s="1"/>
  <c r="H8" i="7"/>
  <c r="H7" i="8"/>
  <c r="G8" i="8"/>
  <c r="E9" i="8" s="1"/>
  <c r="F14" i="9"/>
  <c r="I14" i="9"/>
  <c r="D16" i="9"/>
  <c r="E15" i="9"/>
  <c r="D17" i="9"/>
  <c r="G10" i="7" l="1"/>
  <c r="E11" i="7" s="1"/>
  <c r="H9" i="7"/>
  <c r="H8" i="8"/>
  <c r="G9" i="8"/>
  <c r="E10" i="8" s="1"/>
  <c r="E17" i="9"/>
  <c r="D19" i="9"/>
  <c r="F15" i="9"/>
  <c r="I15" i="9"/>
  <c r="E16" i="9"/>
  <c r="D18" i="9"/>
  <c r="H10" i="7" l="1"/>
  <c r="G11" i="7"/>
  <c r="E12" i="7" s="1"/>
  <c r="G10" i="8"/>
  <c r="E11" i="8" s="1"/>
  <c r="H9" i="8"/>
  <c r="F17" i="9"/>
  <c r="I17" i="9"/>
  <c r="F16" i="9"/>
  <c r="I16" i="9"/>
  <c r="D20" i="9"/>
  <c r="E18" i="9"/>
  <c r="D21" i="9"/>
  <c r="E19" i="9"/>
  <c r="H11" i="7" l="1"/>
  <c r="G12" i="7"/>
  <c r="E13" i="7" s="1"/>
  <c r="H10" i="8"/>
  <c r="G11" i="8"/>
  <c r="E12" i="8" s="1"/>
  <c r="F19" i="9"/>
  <c r="I19" i="9"/>
  <c r="I18" i="9"/>
  <c r="F18" i="9"/>
  <c r="D23" i="9"/>
  <c r="E21" i="9"/>
  <c r="E20" i="9"/>
  <c r="D22" i="9"/>
  <c r="H12" i="7" l="1"/>
  <c r="G13" i="7"/>
  <c r="E14" i="7" s="1"/>
  <c r="G12" i="8"/>
  <c r="E13" i="8" s="1"/>
  <c r="H11" i="8"/>
  <c r="F21" i="9"/>
  <c r="I21" i="9"/>
  <c r="F20" i="9"/>
  <c r="I20" i="9"/>
  <c r="D25" i="9"/>
  <c r="E23" i="9"/>
  <c r="D24" i="9"/>
  <c r="E22" i="9"/>
  <c r="H13" i="7" l="1"/>
  <c r="G14" i="7"/>
  <c r="E15" i="7" s="1"/>
  <c r="H12" i="8"/>
  <c r="G13" i="8"/>
  <c r="E14" i="8" s="1"/>
  <c r="I23" i="9"/>
  <c r="F23" i="9"/>
  <c r="E24" i="9"/>
  <c r="D26" i="9"/>
  <c r="E25" i="9"/>
  <c r="D27" i="9"/>
  <c r="I22" i="9"/>
  <c r="F22" i="9"/>
  <c r="G15" i="7" l="1"/>
  <c r="E16" i="7" s="1"/>
  <c r="H14" i="7"/>
  <c r="G14" i="8"/>
  <c r="E15" i="8" s="1"/>
  <c r="H13" i="8"/>
  <c r="E27" i="9"/>
  <c r="D29" i="9"/>
  <c r="E26" i="9"/>
  <c r="D28" i="9"/>
  <c r="F25" i="9"/>
  <c r="I25" i="9"/>
  <c r="F24" i="9"/>
  <c r="I24" i="9"/>
  <c r="H15" i="7" l="1"/>
  <c r="G16" i="7"/>
  <c r="E17" i="7" s="1"/>
  <c r="H14" i="8"/>
  <c r="G15" i="8"/>
  <c r="E16" i="8" s="1"/>
  <c r="E29" i="9"/>
  <c r="D31" i="9"/>
  <c r="F26" i="9"/>
  <c r="I26" i="9"/>
  <c r="F27" i="9"/>
  <c r="I27" i="9"/>
  <c r="E28" i="9"/>
  <c r="D30" i="9"/>
  <c r="G17" i="7" l="1"/>
  <c r="E18" i="7" s="1"/>
  <c r="H16" i="7"/>
  <c r="H15" i="8"/>
  <c r="G16" i="8"/>
  <c r="E17" i="8" s="1"/>
  <c r="E30" i="9"/>
  <c r="D32" i="9"/>
  <c r="D33" i="9"/>
  <c r="E31" i="9"/>
  <c r="F28" i="9"/>
  <c r="I28" i="9"/>
  <c r="F29" i="9"/>
  <c r="I29" i="9"/>
  <c r="H17" i="7" l="1"/>
  <c r="G18" i="7"/>
  <c r="E19" i="7" s="1"/>
  <c r="H16" i="8"/>
  <c r="G17" i="8"/>
  <c r="E18" i="8" s="1"/>
  <c r="D35" i="9"/>
  <c r="E33" i="9"/>
  <c r="I30" i="9"/>
  <c r="F30" i="9"/>
  <c r="F31" i="9"/>
  <c r="I31" i="9"/>
  <c r="E32" i="9"/>
  <c r="D34" i="9"/>
  <c r="H18" i="7" l="1"/>
  <c r="G19" i="7"/>
  <c r="E20" i="7" s="1"/>
  <c r="G18" i="8"/>
  <c r="E19" i="8" s="1"/>
  <c r="H17" i="8"/>
  <c r="D37" i="9"/>
  <c r="E37" i="9" s="1"/>
  <c r="E35" i="9"/>
  <c r="D36" i="9"/>
  <c r="E34" i="9"/>
  <c r="I32" i="9"/>
  <c r="F32" i="9"/>
  <c r="I33" i="9"/>
  <c r="F33" i="9"/>
  <c r="G20" i="7" l="1"/>
  <c r="E21" i="7" s="1"/>
  <c r="H19" i="7"/>
  <c r="H18" i="8"/>
  <c r="G19" i="8"/>
  <c r="E20" i="8" s="1"/>
  <c r="F35" i="9"/>
  <c r="I35" i="9"/>
  <c r="E36" i="9"/>
  <c r="D38" i="9"/>
  <c r="I37" i="9"/>
  <c r="F37" i="9"/>
  <c r="I34" i="9"/>
  <c r="F34" i="9"/>
  <c r="G21" i="7" l="1"/>
  <c r="E22" i="7" s="1"/>
  <c r="H20" i="7"/>
  <c r="H19" i="8"/>
  <c r="G20" i="8"/>
  <c r="E21" i="8" s="1"/>
  <c r="E38" i="9"/>
  <c r="D39" i="9"/>
  <c r="I36" i="9"/>
  <c r="F36" i="9"/>
  <c r="H21" i="7" l="1"/>
  <c r="G22" i="7"/>
  <c r="E23" i="7" s="1"/>
  <c r="H20" i="8"/>
  <c r="G21" i="8"/>
  <c r="E22" i="8" s="1"/>
  <c r="D40" i="9"/>
  <c r="E39" i="9"/>
  <c r="F38" i="9"/>
  <c r="I38" i="9"/>
  <c r="G23" i="7" l="1"/>
  <c r="E24" i="7" s="1"/>
  <c r="H22" i="7"/>
  <c r="H21" i="8"/>
  <c r="G22" i="8"/>
  <c r="E23" i="8" s="1"/>
  <c r="F39" i="9"/>
  <c r="I39" i="9"/>
  <c r="D41" i="9"/>
  <c r="E40" i="9"/>
  <c r="G24" i="7" l="1"/>
  <c r="E25" i="7" s="1"/>
  <c r="H23" i="7"/>
  <c r="G23" i="8"/>
  <c r="E24" i="8" s="1"/>
  <c r="H22" i="8"/>
  <c r="F40" i="9"/>
  <c r="I40" i="9"/>
  <c r="D42" i="9"/>
  <c r="E41" i="9"/>
  <c r="H24" i="7" l="1"/>
  <c r="G25" i="7"/>
  <c r="E26" i="7" s="1"/>
  <c r="H23" i="8"/>
  <c r="G24" i="8"/>
  <c r="E25" i="8" s="1"/>
  <c r="F41" i="9"/>
  <c r="I41" i="9"/>
  <c r="D43" i="9"/>
  <c r="E42" i="9"/>
  <c r="D44" i="9"/>
  <c r="H25" i="7" l="1"/>
  <c r="G26" i="7"/>
  <c r="E27" i="7" s="1"/>
  <c r="H24" i="8"/>
  <c r="G25" i="8"/>
  <c r="E26" i="8" s="1"/>
  <c r="I42" i="9"/>
  <c r="F42" i="9"/>
  <c r="E44" i="9"/>
  <c r="D46" i="9"/>
  <c r="D45" i="9"/>
  <c r="E43" i="9"/>
  <c r="G27" i="7" l="1"/>
  <c r="E28" i="7" s="1"/>
  <c r="H26" i="7"/>
  <c r="H25" i="8"/>
  <c r="G26" i="8"/>
  <c r="E27" i="8" s="1"/>
  <c r="E46" i="9"/>
  <c r="D48" i="9"/>
  <c r="F44" i="9"/>
  <c r="I44" i="9"/>
  <c r="I43" i="9"/>
  <c r="F43" i="9"/>
  <c r="D47" i="9"/>
  <c r="E47" i="9" s="1"/>
  <c r="E45" i="9"/>
  <c r="H27" i="7" l="1"/>
  <c r="G28" i="7"/>
  <c r="E29" i="7" s="1"/>
  <c r="H26" i="8"/>
  <c r="G27" i="8"/>
  <c r="E28" i="8" s="1"/>
  <c r="F45" i="9"/>
  <c r="I45" i="9"/>
  <c r="D49" i="9"/>
  <c r="E49" i="9" s="1"/>
  <c r="E48" i="9"/>
  <c r="F47" i="9"/>
  <c r="I47" i="9"/>
  <c r="I46" i="9"/>
  <c r="F46" i="9"/>
  <c r="H28" i="7" l="1"/>
  <c r="G29" i="7"/>
  <c r="E30" i="7" s="1"/>
  <c r="G28" i="8"/>
  <c r="E29" i="8" s="1"/>
  <c r="H27" i="8"/>
  <c r="F48" i="9"/>
  <c r="I48" i="9"/>
  <c r="I49" i="9"/>
  <c r="F49" i="9"/>
  <c r="H29" i="7" l="1"/>
  <c r="G30" i="7"/>
  <c r="H30" i="7" s="1"/>
  <c r="G29" i="8"/>
  <c r="E30" i="8" s="1"/>
  <c r="H28" i="8"/>
  <c r="H29" i="8" l="1"/>
  <c r="G30" i="8"/>
  <c r="H30" i="8" s="1"/>
</calcChain>
</file>

<file path=xl/connections.xml><?xml version="1.0" encoding="utf-8"?>
<connections xmlns="http://schemas.openxmlformats.org/spreadsheetml/2006/main">
  <connection id="1" sourceFile="C:\Users\Plouplou\Dropbox\SOMASEC\GBP\BDD\Bareme_MAIS.xls" keepAlive="1" name="Bareme_MAIS Maïs$" type="5" refreshedVersion="5" background="1" refreshOnLoad="1" saveData="1">
    <dbPr connection="Provider=Microsoft.ACE.OLEDB.12.0;User ID=Admin;Data Source=C:\Users\Plouplou\Dropbox\SOMASEC\GBP\BDD\Bareme_MAIS.xls;Mode=ReadWrite;Extended Properties=&quot;HDR=YES;&quot;;Jet OLEDB:System database=&quot;&quot;;Jet OLEDB:Registry Path=&quot;&quot;;Jet OLEDB:Engine Type=3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Jet OLEDB:Limited DB Caching=False;Jet OLEDB:Bypass ChoiceField Validation=False" command="Maïs$" commandType="3"/>
  </connection>
</connections>
</file>

<file path=xl/sharedStrings.xml><?xml version="1.0" encoding="utf-8"?>
<sst xmlns="http://schemas.openxmlformats.org/spreadsheetml/2006/main" count="660" uniqueCount="232">
  <si>
    <t>Date</t>
  </si>
  <si>
    <t>N° de ticket</t>
  </si>
  <si>
    <t>Céréale</t>
  </si>
  <si>
    <t>Transport</t>
  </si>
  <si>
    <t>Immatriculation</t>
  </si>
  <si>
    <t>PS</t>
  </si>
  <si>
    <t>Net</t>
  </si>
  <si>
    <t>Total</t>
  </si>
  <si>
    <t>Client,
Provenance,
Destination</t>
  </si>
  <si>
    <t>Heure</t>
  </si>
  <si>
    <t>%h2O</t>
  </si>
  <si>
    <t>n° d'extraction</t>
  </si>
  <si>
    <t>Cellule</t>
  </si>
  <si>
    <t>Remarques</t>
  </si>
  <si>
    <t>N° CMR ou Contract</t>
  </si>
  <si>
    <t>Consigne °C brûleur</t>
  </si>
  <si>
    <t>°C réel bruleur</t>
  </si>
  <si>
    <t xml:space="preserve">Consigne °C grain </t>
  </si>
  <si>
    <t>°C réel du grain</t>
  </si>
  <si>
    <t>Consigne minuterie</t>
  </si>
  <si>
    <t>Réel minuterie</t>
  </si>
  <si>
    <t>°C grain</t>
  </si>
  <si>
    <t>Maïs</t>
  </si>
  <si>
    <t>Casaus</t>
  </si>
  <si>
    <t>En cellule</t>
  </si>
  <si>
    <t>Reprise</t>
  </si>
  <si>
    <t>Solde</t>
  </si>
  <si>
    <t>début de remplissage extraction n°</t>
  </si>
  <si>
    <t>Fin de remplissage extraction n°</t>
  </si>
  <si>
    <t>Date fin</t>
  </si>
  <si>
    <t>place dispo</t>
  </si>
  <si>
    <t>Réglage théorique du séchoir avec un air ambiant à 10°C</t>
  </si>
  <si>
    <t>H²O</t>
  </si>
  <si>
    <t>Température brûleur</t>
  </si>
  <si>
    <t>Débit en sec</t>
  </si>
  <si>
    <t>Débit par jour</t>
  </si>
  <si>
    <t>Poids d'une extraction</t>
  </si>
  <si>
    <t>Nbr d'extractions par heure</t>
  </si>
  <si>
    <t>Temps théorique entre 2 extractions</t>
  </si>
  <si>
    <t>Conso de Gaz par h</t>
  </si>
  <si>
    <t>Conso de Gaz par T</t>
  </si>
  <si>
    <t>Référence de 636kg/extraction</t>
  </si>
  <si>
    <t>Livraison du Gaz Propane</t>
  </si>
  <si>
    <t>Température référence</t>
  </si>
  <si>
    <t>Soit en KG</t>
  </si>
  <si>
    <t>T °C</t>
  </si>
  <si>
    <t>Livré en litre</t>
  </si>
  <si>
    <t>Prix</t>
  </si>
  <si>
    <t>Prix Campagne</t>
  </si>
  <si>
    <t>Masse</t>
  </si>
  <si>
    <t>Apport,
Transfert,
Sortie</t>
  </si>
  <si>
    <t>Démarrage</t>
  </si>
  <si>
    <t>N° d'extraction de départ</t>
  </si>
  <si>
    <t>T sec séchés</t>
  </si>
  <si>
    <t>T sec reçus</t>
  </si>
  <si>
    <t>Heure de départ</t>
  </si>
  <si>
    <t>Heure actuelle</t>
  </si>
  <si>
    <t>Nombre d'extrations faites</t>
  </si>
  <si>
    <t>Nombre d'heures écoulées</t>
  </si>
  <si>
    <t>Moyenne T séché / Heure</t>
  </si>
  <si>
    <t>Heure de fin prévue</t>
  </si>
  <si>
    <t>N° d'extraction actuel</t>
  </si>
  <si>
    <t>T restant à sécher</t>
  </si>
  <si>
    <t>Heure décimale</t>
  </si>
  <si>
    <t>Heure décimale de fin prévue</t>
  </si>
  <si>
    <t>base d'extraction</t>
  </si>
  <si>
    <t>calcul d'extraction</t>
  </si>
  <si>
    <t>Moyenne S entre extraction</t>
  </si>
  <si>
    <t>Der calcul théorique</t>
  </si>
  <si>
    <t>Infos</t>
  </si>
  <si>
    <t>min 160</t>
  </si>
  <si>
    <t>Historique extraction</t>
  </si>
  <si>
    <t>Poids extrait</t>
  </si>
  <si>
    <t>Recirculation</t>
  </si>
  <si>
    <t>Extractions à exclure</t>
  </si>
  <si>
    <t>GAEC de Péhau</t>
  </si>
  <si>
    <t>Euralis</t>
  </si>
  <si>
    <t>Coulom</t>
  </si>
  <si>
    <t>Maïsadour</t>
  </si>
  <si>
    <t>Stock cellule verte</t>
  </si>
  <si>
    <t>EARL du Bazana</t>
  </si>
  <si>
    <t>Vivadour</t>
  </si>
  <si>
    <t>Ventilation</t>
  </si>
  <si>
    <t>Lieu</t>
  </si>
  <si>
    <t>Action</t>
  </si>
  <si>
    <t>Fosse de réception</t>
  </si>
  <si>
    <t>Passe entre les grilles d'une raclette</t>
  </si>
  <si>
    <t>Dalle de Préstockage</t>
  </si>
  <si>
    <t>Passe d'un coup de balais</t>
  </si>
  <si>
    <t>Cellule de vert</t>
  </si>
  <si>
    <t>nettoyage du dessous du cône</t>
  </si>
  <si>
    <t>Cellule de sec</t>
  </si>
  <si>
    <t xml:space="preserve">nettoyage extérieur </t>
  </si>
  <si>
    <t>Sechoir</t>
  </si>
  <si>
    <t>nettoyage du bas des poussières</t>
  </si>
  <si>
    <t>Fosse des élévateurs</t>
  </si>
  <si>
    <t>nettoyage des poussières</t>
  </si>
  <si>
    <t>Tunnel sous les cellules de sec</t>
  </si>
  <si>
    <t>passage de la debrousailleuse</t>
  </si>
  <si>
    <t>nettoyage du cône</t>
  </si>
  <si>
    <t>Nettoyeur rotatif</t>
  </si>
  <si>
    <t>nettoyage</t>
  </si>
  <si>
    <t>Abords du silo</t>
  </si>
  <si>
    <t>passage du balais sur les dalles bêton</t>
  </si>
  <si>
    <t>Contrôle du pont bascule</t>
  </si>
  <si>
    <t>Contrôle périodique</t>
  </si>
  <si>
    <t>Nettoyages/Contrôles</t>
  </si>
  <si>
    <t>nettoyage des toits</t>
  </si>
  <si>
    <t>nettoyage des sols (balai)</t>
  </si>
  <si>
    <t>Désinsectisation (produit - dosage ?)</t>
  </si>
  <si>
    <t>% d'imp</t>
  </si>
  <si>
    <t>Mais</t>
  </si>
  <si>
    <t>Coefficiants</t>
  </si>
  <si>
    <t>Vitivista</t>
  </si>
  <si>
    <t>Agralia</t>
  </si>
  <si>
    <t>Presta 1</t>
  </si>
  <si>
    <t>Presta 2</t>
  </si>
  <si>
    <t>Presta 3</t>
  </si>
  <si>
    <t>Presta 4</t>
  </si>
  <si>
    <t>CA
Casaus</t>
  </si>
  <si>
    <t>CA
Global</t>
  </si>
  <si>
    <t>Barème</t>
  </si>
  <si>
    <t>Abadie</t>
  </si>
  <si>
    <t>CASAUS SAS</t>
  </si>
  <si>
    <t>EARL Domaine de Tailleurguet</t>
  </si>
  <si>
    <t>SCEA DE MONTFORT</t>
  </si>
  <si>
    <t>F2</t>
  </si>
  <si>
    <t>Tx de réfaction</t>
  </si>
  <si>
    <t>SOMaSec</t>
  </si>
  <si>
    <t>Fact</t>
  </si>
  <si>
    <r>
      <t>% H</t>
    </r>
    <r>
      <rPr>
        <b/>
        <vertAlign val="subscript"/>
        <sz val="11"/>
        <rFont val="Calibri"/>
        <family val="2"/>
      </rPr>
      <t>2</t>
    </r>
    <r>
      <rPr>
        <b/>
        <sz val="11"/>
        <rFont val="Calibri"/>
        <family val="2"/>
      </rPr>
      <t>O</t>
    </r>
  </si>
  <si>
    <r>
      <t xml:space="preserve">Brut
</t>
    </r>
    <r>
      <rPr>
        <i/>
        <sz val="10"/>
        <rFont val="Calibri"/>
        <family val="2"/>
      </rPr>
      <t>(poids d'entrée)</t>
    </r>
  </si>
  <si>
    <r>
      <t xml:space="preserve">Tare
</t>
    </r>
    <r>
      <rPr>
        <i/>
        <sz val="10"/>
        <rFont val="Calibri"/>
        <family val="2"/>
      </rPr>
      <t>(poids de sortie)</t>
    </r>
  </si>
  <si>
    <r>
      <t xml:space="preserve">Poids recalculé
</t>
    </r>
    <r>
      <rPr>
        <i/>
        <sz val="10"/>
        <rFont val="Calibri"/>
        <family val="2"/>
      </rPr>
      <t>(sans imp)</t>
    </r>
  </si>
  <si>
    <r>
      <t xml:space="preserve">Prix du séchage
</t>
    </r>
    <r>
      <rPr>
        <i/>
        <sz val="10"/>
        <rFont val="Calibri"/>
        <family val="2"/>
      </rPr>
      <t>(sans E/S)</t>
    </r>
  </si>
  <si>
    <r>
      <t xml:space="preserve">Total
Brut
</t>
    </r>
    <r>
      <rPr>
        <i/>
        <sz val="10"/>
        <rFont val="Calibri"/>
        <family val="2"/>
      </rPr>
      <t>(en stock)</t>
    </r>
  </si>
  <si>
    <r>
      <t xml:space="preserve">Total
Sec
</t>
    </r>
    <r>
      <rPr>
        <i/>
        <sz val="10"/>
        <rFont val="Calibri"/>
        <family val="2"/>
      </rPr>
      <t>(en stock)</t>
    </r>
  </si>
  <si>
    <r>
      <t xml:space="preserve">Casaus
Brut
</t>
    </r>
    <r>
      <rPr>
        <i/>
        <sz val="10"/>
        <rFont val="Calibri"/>
        <family val="2"/>
      </rPr>
      <t>(en stock)</t>
    </r>
  </si>
  <si>
    <r>
      <t xml:space="preserve">Casaus
Sec
</t>
    </r>
    <r>
      <rPr>
        <i/>
        <sz val="10"/>
        <rFont val="Calibri"/>
        <family val="2"/>
      </rPr>
      <t>(en stock)</t>
    </r>
  </si>
  <si>
    <r>
      <t xml:space="preserve">Total
Brut
</t>
    </r>
    <r>
      <rPr>
        <i/>
        <sz val="10"/>
        <rFont val="Calibri"/>
        <family val="2"/>
      </rPr>
      <t>(saison)</t>
    </r>
  </si>
  <si>
    <r>
      <t xml:space="preserve">Total
Sec
</t>
    </r>
    <r>
      <rPr>
        <i/>
        <sz val="10"/>
        <rFont val="Calibri"/>
        <family val="2"/>
      </rPr>
      <t>(saison)</t>
    </r>
  </si>
  <si>
    <r>
      <t xml:space="preserve">Casaus
Sec
</t>
    </r>
    <r>
      <rPr>
        <i/>
        <sz val="10"/>
        <rFont val="Calibri"/>
        <family val="2"/>
      </rPr>
      <t>(saison)</t>
    </r>
  </si>
  <si>
    <t>Transfert E</t>
  </si>
  <si>
    <t>SOMaSec
Brut
(en stock)</t>
  </si>
  <si>
    <t>SOMaSec
Sec
(en stock)</t>
  </si>
  <si>
    <t>CA
SOMaSec</t>
  </si>
  <si>
    <t>SARL SO.Ma.Sec</t>
  </si>
  <si>
    <t>Sud-Ouest Maïs Séchage</t>
  </si>
  <si>
    <t>Au "Claux"</t>
  </si>
  <si>
    <t>Facturé à :</t>
  </si>
  <si>
    <t>32400 Lelin Lapujolle</t>
  </si>
  <si>
    <t>06 77 08 90 87</t>
  </si>
  <si>
    <t>Mail :</t>
  </si>
  <si>
    <t>sarl.somasec@orange.fr</t>
  </si>
  <si>
    <t>Facture</t>
  </si>
  <si>
    <t>Date :</t>
  </si>
  <si>
    <t>Total TTC :</t>
  </si>
  <si>
    <t>Description</t>
  </si>
  <si>
    <t>Poids Net</t>
  </si>
  <si>
    <t>Poids aux normes</t>
  </si>
  <si>
    <t>Total HT</t>
  </si>
  <si>
    <t>Total HT (TVA à 10%)</t>
  </si>
  <si>
    <t>Tonnage</t>
  </si>
  <si>
    <t>Remise</t>
  </si>
  <si>
    <t>Frais d'entrée/sortie</t>
  </si>
  <si>
    <t>Remise dégagement</t>
  </si>
  <si>
    <t>Stock à date</t>
  </si>
  <si>
    <t>Maïs retiré à date</t>
  </si>
  <si>
    <t>TVA à</t>
  </si>
  <si>
    <t>TOTAL TTC</t>
  </si>
  <si>
    <t>Rèf client</t>
  </si>
  <si>
    <t>PERUCHES</t>
  </si>
  <si>
    <t>Étiquettes de lignes</t>
  </si>
  <si>
    <t>Somme de Prix du séchage
(sans E/S)</t>
  </si>
  <si>
    <t>Total général</t>
  </si>
  <si>
    <t>Somme de Poids recalculé
(sans imp)</t>
  </si>
  <si>
    <t>(Tous)</t>
  </si>
  <si>
    <t>Somme de Net</t>
  </si>
  <si>
    <t>Clients</t>
  </si>
  <si>
    <t>Poids Recalculé</t>
  </si>
  <si>
    <t>Séchage</t>
  </si>
  <si>
    <t>TOTAL HT</t>
  </si>
  <si>
    <t>1415-</t>
  </si>
  <si>
    <t>Transp.</t>
  </si>
  <si>
    <t>%H²O</t>
  </si>
  <si>
    <t>Tél. :</t>
  </si>
  <si>
    <t>Port. :</t>
  </si>
  <si>
    <t>Fact. n° :</t>
  </si>
  <si>
    <t>Termes de paiement : Solde à payer à réception de la facture</t>
  </si>
  <si>
    <t>Aucun escompte consenti pour règlement anticipé.
Tout incident de paiement est passible d'intérêt de retard. Le montant des pénalités résulte de l'application aux sommes restant dues d'un taux d'intérêt légal en vigueur au moment de l'incident. Indemnité forfaitaire pour frais de recouvrement due au créancier en cas de retard de paiement : 40€.
Acceptant le règlement des sommes dues par chèques libellés à son nom en sa qualité de membre d'un centre de gestion agréé par l'administration fiscale. Décret n° 79-638 du 27 juillet 1979</t>
  </si>
  <si>
    <t>29/09/2014</t>
  </si>
  <si>
    <t>(vide)</t>
  </si>
  <si>
    <t>30/09/2014</t>
  </si>
  <si>
    <t>T sec reçu</t>
  </si>
  <si>
    <t>Coef extraction</t>
  </si>
  <si>
    <t>T/H</t>
  </si>
  <si>
    <t>H début</t>
  </si>
  <si>
    <t>Tempo</t>
  </si>
  <si>
    <t>H fin prévu</t>
  </si>
  <si>
    <t>H prévu</t>
  </si>
  <si>
    <t>Coef</t>
  </si>
  <si>
    <t>C1</t>
  </si>
  <si>
    <t>Min Auto</t>
  </si>
  <si>
    <t>Min 170</t>
  </si>
  <si>
    <t>cou</t>
  </si>
  <si>
    <t>008</t>
  </si>
  <si>
    <t>Arrêt</t>
  </si>
  <si>
    <t>Apport</t>
  </si>
  <si>
    <t>Min 180 à 243 ext</t>
  </si>
  <si>
    <t>Min 180 / Temp 50</t>
  </si>
  <si>
    <t>Min 175</t>
  </si>
  <si>
    <t>Moyenne de % H2O</t>
  </si>
  <si>
    <t>Min de Transport</t>
  </si>
  <si>
    <t>Min 177</t>
  </si>
  <si>
    <t>Base transport</t>
  </si>
  <si>
    <t>Déclanchement détente cuve de gaz</t>
  </si>
  <si>
    <t>Min 165 / Temp 50</t>
  </si>
  <si>
    <r>
      <t xml:space="preserve">SOMaSec
Sec
</t>
    </r>
    <r>
      <rPr>
        <i/>
        <sz val="11"/>
        <rFont val="Calibri"/>
        <family val="2"/>
      </rPr>
      <t>(saison)</t>
    </r>
  </si>
  <si>
    <t>min 167</t>
  </si>
  <si>
    <t>Min 185 /Temp 51</t>
  </si>
  <si>
    <t>Blé</t>
  </si>
  <si>
    <t>Min 185 / Temp 49</t>
  </si>
  <si>
    <t>CC-058-CG</t>
  </si>
  <si>
    <t>9126 MH 32</t>
  </si>
  <si>
    <t>Extraction Fin Prévue</t>
  </si>
  <si>
    <t>Min 175 / Temp 51</t>
  </si>
  <si>
    <t>min 175 à ext 1536</t>
  </si>
  <si>
    <t>C2</t>
  </si>
  <si>
    <t>Hypothèse de ce qui doit arriver en plus</t>
  </si>
  <si>
    <t>Ligne début</t>
  </si>
  <si>
    <t>Ligne fin</t>
  </si>
  <si>
    <t>RIS102175</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</si>
</sst>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6" formatCode="#,##0\ &quot;€&quot;;[Red]\-#,##0\ &quot;€&quot;"/>
    <numFmt numFmtId="44" formatCode="_-* #,##0.00\ &quot;€&quot;_-;\-* #,##0.00\ &quot;€&quot;_-;_-* &quot;-&quot;??\ &quot;€&quot;_-;_-@_-"/>
    <numFmt numFmtId="164" formatCode="#,##0&quot; kg&quot;"/>
    <numFmt numFmtId="165" formatCode="0.0"/>
    <numFmt numFmtId="166" formatCode="#,##0&quot;°C&quot;"/>
    <numFmt numFmtId="167" formatCode="#,##0&quot; l&quot;"/>
    <numFmt numFmtId="168" formatCode="#,##0.00&quot; kg&quot;"/>
    <numFmt numFmtId="169" formatCode="0.000"/>
    <numFmt numFmtId="170" formatCode="[$-F400]h:mm:ss\ AM/PM"/>
    <numFmt numFmtId="171" formatCode="d/m/yy\ h:mm;@"/>
    <numFmt numFmtId="172" formatCode="[h]:mm:ss;@"/>
    <numFmt numFmtId="173" formatCode="#,##0.00\ &quot;€&quot;"/>
    <numFmt numFmtId="174" formatCode="0#&quot; &quot;##&quot; &quot;##&quot; &quot;##&quot; &quot;##"/>
    <numFmt numFmtId="175" formatCode="[$-40C]d\ mmmm\ yyyy;@"/>
    <numFmt numFmtId="176" formatCode="yyyy/mm/dd"/>
    <numFmt numFmtId="177" formatCode="#,###&quot; kg&quot;"/>
    <numFmt numFmtId="178" formatCode="_(@"/>
    <numFmt numFmtId="179" formatCode="_(* #,##0.00_)&quot;€&quot;;_(* \(#,##0.00\)&quot;€&quot;;_(* &quot;-&quot;??_)&quot;€&quot;;_(@_)"/>
    <numFmt numFmtId="180" formatCode="#,###.00&quot; kg&quot;"/>
  </numFmts>
  <fonts count="41" x14ac:knownFonts="1">
    <font>
      <sz val="11"/>
      <color theme="1"/>
      <name val="Calibri"/>
      <family val="2"/>
      <scheme val="minor"/>
    </font>
    <font>
      <b/>
      <sz val="11"/>
      <color indexed="8"/>
      <name val="Calibri"/>
      <family val="2"/>
    </font>
    <font>
      <b/>
      <vertAlign val="subscript"/>
      <sz val="11"/>
      <name val="Calibri"/>
      <family val="2"/>
    </font>
    <font>
      <b/>
      <sz val="11"/>
      <name val="Calibri"/>
      <family val="2"/>
    </font>
    <font>
      <i/>
      <sz val="10"/>
      <name val="Calibri"/>
      <family val="2"/>
    </font>
    <font>
      <b/>
      <sz val="11"/>
      <color indexed="8"/>
      <name val="Calibri"/>
      <family val="2"/>
    </font>
    <font>
      <sz val="12"/>
      <color indexed="8"/>
      <name val="Calibri"/>
      <family val="2"/>
    </font>
    <font>
      <b/>
      <sz val="12"/>
      <color indexed="8"/>
      <name val="Calibri"/>
      <family val="2"/>
    </font>
    <font>
      <i/>
      <sz val="11"/>
      <color indexed="8"/>
      <name val="Calibri"/>
      <family val="2"/>
    </font>
    <font>
      <i/>
      <sz val="10"/>
      <color indexed="8"/>
      <name val="Calibri"/>
      <family val="2"/>
    </font>
    <font>
      <b/>
      <sz val="12"/>
      <color indexed="10"/>
      <name val="Calibri"/>
      <family val="2"/>
    </font>
    <font>
      <i/>
      <sz val="10"/>
      <color indexed="10"/>
      <name val="Calibri"/>
      <family val="2"/>
    </font>
    <font>
      <b/>
      <i/>
      <sz val="10"/>
      <color indexed="8"/>
      <name val="Calibri"/>
      <family val="2"/>
    </font>
    <font>
      <b/>
      <sz val="14"/>
      <color indexed="8"/>
      <name val="Calibri"/>
      <family val="2"/>
    </font>
    <font>
      <b/>
      <sz val="11"/>
      <name val="Calibri"/>
      <family val="2"/>
    </font>
    <font>
      <sz val="11"/>
      <name val="Calibri"/>
      <family val="2"/>
    </font>
    <font>
      <b/>
      <sz val="18"/>
      <color indexed="8"/>
      <name val="Calibri"/>
      <family val="2"/>
    </font>
    <font>
      <sz val="8"/>
      <name val="Calibri"/>
      <family val="2"/>
    </font>
    <font>
      <b/>
      <sz val="16"/>
      <color rgb="FFFF0000"/>
      <name val="Calibri"/>
      <family val="2"/>
    </font>
    <font>
      <sz val="11"/>
      <color indexed="8"/>
      <name val="Calibri"/>
      <family val="2"/>
    </font>
    <font>
      <b/>
      <sz val="20"/>
      <color rgb="FF000000"/>
      <name val="Calibri"/>
      <family val="2"/>
    </font>
    <font>
      <sz val="10"/>
      <color rgb="FF000000"/>
      <name val="Calibri"/>
      <family val="2"/>
    </font>
    <font>
      <i/>
      <sz val="12"/>
      <color rgb="FF000000"/>
      <name val="Calibri"/>
      <family val="2"/>
    </font>
    <font>
      <sz val="12"/>
      <color rgb="FF000000"/>
      <name val="Calibri"/>
      <family val="2"/>
    </font>
    <font>
      <b/>
      <sz val="12"/>
      <color rgb="FF7F7F7F"/>
      <name val="Calibri"/>
      <family val="2"/>
    </font>
    <font>
      <b/>
      <sz val="12"/>
      <color rgb="FF000000"/>
      <name val="Calibri"/>
      <family val="2"/>
    </font>
    <font>
      <i/>
      <sz val="10"/>
      <color rgb="FF000000"/>
      <name val="Calibri"/>
      <family val="2"/>
    </font>
    <font>
      <b/>
      <u/>
      <sz val="18"/>
      <name val="Calibri"/>
      <family val="2"/>
    </font>
    <font>
      <sz val="20"/>
      <color rgb="FFFFFFFF"/>
      <name val="Calibri"/>
      <family val="2"/>
    </font>
    <font>
      <sz val="20"/>
      <color rgb="FF000000"/>
      <name val="Calibri"/>
      <family val="2"/>
    </font>
    <font>
      <sz val="20"/>
      <color theme="1"/>
      <name val="Calibri"/>
      <family val="2"/>
      <scheme val="minor"/>
    </font>
    <font>
      <i/>
      <sz val="9"/>
      <color rgb="FF000000"/>
      <name val="Calibri"/>
      <family val="2"/>
    </font>
    <font>
      <b/>
      <sz val="11"/>
      <color theme="1"/>
      <name val="Calibri"/>
      <family val="2"/>
      <scheme val="minor"/>
    </font>
    <font>
      <b/>
      <sz val="14"/>
      <color theme="1"/>
      <name val="Calibri"/>
      <family val="2"/>
      <scheme val="minor"/>
    </font>
    <font>
      <sz val="11"/>
      <color indexed="8"/>
      <name val="Calibri"/>
      <family val="2"/>
    </font>
    <font>
      <i/>
      <sz val="11"/>
      <color theme="1"/>
      <name val="Calibri"/>
      <family val="2"/>
      <scheme val="minor"/>
    </font>
    <font>
      <i/>
      <sz val="11"/>
      <name val="Calibri"/>
      <family val="2"/>
    </font>
    <font>
      <sz val="11"/>
      <color indexed="8"/>
      <name val="Calibri"/>
      <family val="2"/>
    </font>
    <font>
      <i/>
      <sz val="10"/>
      <color theme="1"/>
      <name val="Calibri"/>
      <family val="2"/>
      <scheme val="minor"/>
    </font>
    <font>
      <b/>
      <i/>
      <sz val="11"/>
      <color theme="1"/>
      <name val="Calibri"/>
      <family val="2"/>
      <scheme val="minor"/>
    </font>
    <font>
      <b/>
      <i/>
      <sz val="12"/>
      <color theme="1"/>
      <name val="Calibri"/>
      <family val="2"/>
      <scheme val="minor"/>
    </font>
  </fonts>
  <fills count="8">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50"/>
        <bgColor indexed="64"/>
      </patternFill>
    </fill>
    <fill>
      <patternFill patternType="solid">
        <fgColor indexed="51"/>
        <bgColor indexed="64"/>
      </patternFill>
    </fill>
    <fill>
      <patternFill patternType="solid">
        <fgColor rgb="FFFBD4B4"/>
      </patternFill>
    </fill>
    <fill>
      <patternFill patternType="solid">
        <fgColor rgb="FFFDE9D9"/>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ck">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ck">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top style="thin">
        <color indexed="64"/>
      </top>
      <bottom/>
      <diagonal/>
    </border>
    <border>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ck">
        <color indexed="64"/>
      </left>
      <right style="thick">
        <color indexed="64"/>
      </right>
      <top/>
      <bottom style="thick">
        <color indexed="64"/>
      </bottom>
      <diagonal/>
    </border>
    <border>
      <left style="thin">
        <color indexed="64"/>
      </left>
      <right/>
      <top/>
      <bottom style="thick">
        <color indexed="64"/>
      </bottom>
      <diagonal/>
    </border>
    <border>
      <left style="thick">
        <color indexed="64"/>
      </left>
      <right style="thin">
        <color indexed="64"/>
      </right>
      <top/>
      <bottom style="thick">
        <color indexed="64"/>
      </bottom>
      <diagonal/>
    </border>
    <border>
      <left/>
      <right/>
      <top/>
      <bottom style="thick">
        <color indexed="64"/>
      </bottom>
      <diagonal/>
    </border>
    <border>
      <left style="thin">
        <color rgb="FF000000"/>
      </left>
      <right style="thin">
        <color rgb="FF000000"/>
      </right>
      <top style="thin">
        <color rgb="FF000000"/>
      </top>
      <bottom style="medium">
        <color rgb="FF000000"/>
      </bottom>
      <diagonal/>
    </border>
    <border>
      <left style="thin">
        <color rgb="FF000000"/>
      </left>
      <right style="hair">
        <color rgb="FF000000"/>
      </right>
      <top/>
      <bottom/>
      <diagonal/>
    </border>
    <border>
      <left style="hair">
        <color rgb="FF000000"/>
      </left>
      <right style="hair">
        <color rgb="FF000000"/>
      </right>
      <top/>
      <bottom/>
      <diagonal/>
    </border>
    <border>
      <left style="hair">
        <color rgb="FF000000"/>
      </left>
      <right style="thin">
        <color rgb="FF000000"/>
      </right>
      <top/>
      <bottom/>
      <diagonal/>
    </border>
    <border>
      <left style="hair">
        <color rgb="FF000000"/>
      </left>
      <right/>
      <top/>
      <bottom/>
      <diagonal/>
    </border>
    <border>
      <left style="thin">
        <color rgb="FF000000"/>
      </left>
      <right style="hair">
        <color rgb="FF000000"/>
      </right>
      <top/>
      <bottom style="thin">
        <color rgb="FF000000"/>
      </bottom>
      <diagonal/>
    </border>
    <border>
      <left style="hair">
        <color rgb="FF000000"/>
      </left>
      <right style="hair">
        <color rgb="FF000000"/>
      </right>
      <top/>
      <bottom style="thin">
        <color rgb="FF000000"/>
      </bottom>
      <diagonal/>
    </border>
    <border>
      <left style="hair">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ck">
        <color rgb="FFFF0000"/>
      </right>
      <top style="thick">
        <color rgb="FFFF0000"/>
      </top>
      <bottom/>
      <diagonal/>
    </border>
    <border>
      <left/>
      <right style="thick">
        <color rgb="FFFF0000"/>
      </right>
      <top/>
      <bottom style="thick">
        <color rgb="FFFF0000"/>
      </bottom>
      <diagonal/>
    </border>
    <border>
      <left/>
      <right/>
      <top style="thin">
        <color rgb="FF000000"/>
      </top>
      <bottom/>
      <diagonal/>
    </border>
  </borders>
  <cellStyleXfs count="1">
    <xf numFmtId="0" fontId="0" fillId="0" borderId="0"/>
  </cellStyleXfs>
  <cellXfs count="253">
    <xf numFmtId="0" fontId="0" fillId="0" borderId="0" xfId="0"/>
    <xf numFmtId="0" fontId="0" fillId="0" borderId="0" xfId="0" applyAlignment="1">
      <alignment horizontal="center"/>
    </xf>
    <xf numFmtId="14" fontId="0" fillId="0" borderId="0" xfId="0" applyNumberFormat="1" applyAlignment="1">
      <alignment horizontal="center"/>
    </xf>
    <xf numFmtId="20" fontId="0" fillId="0" borderId="0" xfId="0" applyNumberFormat="1" applyAlignment="1">
      <alignment horizontal="center"/>
    </xf>
    <xf numFmtId="0" fontId="0" fillId="0" borderId="0" xfId="0" applyAlignment="1">
      <alignment horizontal="center" wrapText="1"/>
    </xf>
    <xf numFmtId="14" fontId="0" fillId="0" borderId="0" xfId="0" applyNumberFormat="1"/>
    <xf numFmtId="0" fontId="0" fillId="0" borderId="0" xfId="0" applyAlignment="1">
      <alignment wrapText="1"/>
    </xf>
    <xf numFmtId="0" fontId="0" fillId="0" borderId="0" xfId="0" applyAlignment="1"/>
    <xf numFmtId="14" fontId="0" fillId="0" borderId="0" xfId="0" applyNumberFormat="1" applyAlignment="1">
      <alignment wrapText="1"/>
    </xf>
    <xf numFmtId="0" fontId="6" fillId="0" borderId="0" xfId="0" applyFont="1" applyAlignment="1">
      <alignment horizontal="center"/>
    </xf>
    <xf numFmtId="0" fontId="7" fillId="0" borderId="1" xfId="0" applyFont="1" applyBorder="1" applyAlignment="1">
      <alignment horizontal="center"/>
    </xf>
    <xf numFmtId="0" fontId="7" fillId="0" borderId="1" xfId="0" applyFont="1" applyBorder="1" applyAlignment="1">
      <alignment horizontal="center" wrapText="1"/>
    </xf>
    <xf numFmtId="0" fontId="6" fillId="0" borderId="1" xfId="0" applyFont="1" applyBorder="1" applyAlignment="1">
      <alignment horizontal="center"/>
    </xf>
    <xf numFmtId="2" fontId="6" fillId="0" borderId="1" xfId="0" applyNumberFormat="1" applyFont="1" applyBorder="1" applyAlignment="1">
      <alignment horizontal="center"/>
    </xf>
    <xf numFmtId="165" fontId="7" fillId="0" borderId="1" xfId="0" applyNumberFormat="1" applyFont="1" applyBorder="1" applyAlignment="1">
      <alignment horizontal="center"/>
    </xf>
    <xf numFmtId="0" fontId="6" fillId="2" borderId="1" xfId="0" applyFont="1" applyFill="1" applyBorder="1" applyAlignment="1">
      <alignment horizontal="center"/>
    </xf>
    <xf numFmtId="2" fontId="6" fillId="2" borderId="1" xfId="0" applyNumberFormat="1" applyFont="1" applyFill="1" applyBorder="1" applyAlignment="1">
      <alignment horizontal="center"/>
    </xf>
    <xf numFmtId="165" fontId="7" fillId="2" borderId="1" xfId="0" applyNumberFormat="1" applyFont="1" applyFill="1" applyBorder="1" applyAlignment="1">
      <alignment horizontal="center"/>
    </xf>
    <xf numFmtId="14" fontId="0" fillId="0" borderId="0" xfId="0" applyNumberFormat="1" applyAlignment="1">
      <alignment horizontal="center" wrapText="1"/>
    </xf>
    <xf numFmtId="20" fontId="0" fillId="0" borderId="0" xfId="0" applyNumberFormat="1"/>
    <xf numFmtId="166" fontId="8" fillId="0" borderId="0" xfId="0" applyNumberFormat="1" applyFont="1" applyAlignment="1">
      <alignment horizontal="left"/>
    </xf>
    <xf numFmtId="0" fontId="8" fillId="0" borderId="0" xfId="0" applyFont="1" applyAlignment="1">
      <alignment horizontal="right"/>
    </xf>
    <xf numFmtId="168" fontId="8" fillId="0" borderId="0" xfId="0" applyNumberFormat="1" applyFont="1" applyAlignment="1">
      <alignment horizontal="left"/>
    </xf>
    <xf numFmtId="44" fontId="5" fillId="0" borderId="0" xfId="0" applyNumberFormat="1" applyFont="1" applyAlignment="1">
      <alignment horizontal="center"/>
    </xf>
    <xf numFmtId="0" fontId="5" fillId="0" borderId="1" xfId="0" applyFont="1" applyBorder="1" applyAlignment="1">
      <alignment horizontal="center"/>
    </xf>
    <xf numFmtId="14" fontId="0" fillId="0" borderId="1" xfId="0" applyNumberFormat="1" applyBorder="1" applyAlignment="1">
      <alignment horizontal="center"/>
    </xf>
    <xf numFmtId="166" fontId="0" fillId="0" borderId="1" xfId="0" applyNumberFormat="1" applyBorder="1"/>
    <xf numFmtId="167" fontId="0" fillId="0" borderId="1" xfId="0" applyNumberFormat="1" applyBorder="1"/>
    <xf numFmtId="44" fontId="0" fillId="0" borderId="1" xfId="0" applyNumberFormat="1" applyBorder="1"/>
    <xf numFmtId="0" fontId="0" fillId="0" borderId="0" xfId="0" applyFont="1" applyFill="1" applyAlignment="1">
      <alignment horizontal="center"/>
    </xf>
    <xf numFmtId="14" fontId="0" fillId="0" borderId="0" xfId="0" applyNumberFormat="1" applyFont="1" applyFill="1" applyAlignment="1">
      <alignment horizontal="center"/>
    </xf>
    <xf numFmtId="1" fontId="0" fillId="0" borderId="0" xfId="0" applyNumberFormat="1" applyFont="1" applyFill="1" applyAlignment="1">
      <alignment horizontal="center"/>
    </xf>
    <xf numFmtId="164" fontId="0" fillId="0" borderId="0" xfId="0" applyNumberFormat="1" applyFont="1" applyFill="1" applyAlignment="1">
      <alignment horizontal="center"/>
    </xf>
    <xf numFmtId="169" fontId="0" fillId="0" borderId="1" xfId="0" applyNumberFormat="1" applyBorder="1"/>
    <xf numFmtId="44" fontId="5" fillId="0" borderId="1" xfId="0" applyNumberFormat="1" applyFont="1" applyBorder="1"/>
    <xf numFmtId="164" fontId="8" fillId="0" borderId="1" xfId="0" applyNumberFormat="1" applyFont="1" applyBorder="1"/>
    <xf numFmtId="0" fontId="6" fillId="0" borderId="0" xfId="0" applyFont="1" applyAlignment="1">
      <alignment horizontal="center" vertical="center" wrapText="1"/>
    </xf>
    <xf numFmtId="0" fontId="6" fillId="0" borderId="0" xfId="0" applyFont="1" applyAlignment="1">
      <alignment horizontal="center" vertical="center"/>
    </xf>
    <xf numFmtId="171" fontId="6" fillId="0" borderId="0" xfId="0" applyNumberFormat="1" applyFont="1" applyAlignment="1">
      <alignment horizontal="center" vertical="center"/>
    </xf>
    <xf numFmtId="2" fontId="6" fillId="0" borderId="0" xfId="0" applyNumberFormat="1" applyFont="1" applyAlignment="1">
      <alignment horizontal="center"/>
    </xf>
    <xf numFmtId="0" fontId="7" fillId="0" borderId="0" xfId="0" applyFont="1" applyAlignment="1">
      <alignment horizontal="center" vertical="center" wrapText="1"/>
    </xf>
    <xf numFmtId="0" fontId="9" fillId="0" borderId="0" xfId="0" applyFont="1" applyAlignment="1">
      <alignment horizontal="center" vertical="center" wrapText="1"/>
    </xf>
    <xf numFmtId="2" fontId="9" fillId="0" borderId="0" xfId="0" applyNumberFormat="1" applyFont="1" applyAlignment="1">
      <alignment horizontal="center"/>
    </xf>
    <xf numFmtId="2" fontId="9" fillId="0" borderId="0" xfId="0" applyNumberFormat="1" applyFont="1" applyAlignment="1">
      <alignment horizontal="center" vertical="center"/>
    </xf>
    <xf numFmtId="0" fontId="7" fillId="0" borderId="0" xfId="0" applyFont="1" applyAlignment="1">
      <alignment horizontal="center" vertical="center"/>
    </xf>
    <xf numFmtId="169" fontId="7" fillId="0" borderId="0" xfId="0" applyNumberFormat="1" applyFont="1" applyAlignment="1">
      <alignment horizontal="center" vertical="center"/>
    </xf>
    <xf numFmtId="0" fontId="10" fillId="3" borderId="0" xfId="0" applyFont="1" applyFill="1" applyAlignment="1">
      <alignment horizontal="center" vertical="center" wrapText="1"/>
    </xf>
    <xf numFmtId="170" fontId="10" fillId="3" borderId="0" xfId="0" applyNumberFormat="1" applyFont="1" applyFill="1" applyAlignment="1">
      <alignment horizontal="center"/>
    </xf>
    <xf numFmtId="169" fontId="7" fillId="0" borderId="0" xfId="0" applyNumberFormat="1" applyFont="1" applyAlignment="1">
      <alignment horizontal="center"/>
    </xf>
    <xf numFmtId="0" fontId="9" fillId="0" borderId="0" xfId="0" applyFont="1" applyAlignment="1">
      <alignment horizontal="center"/>
    </xf>
    <xf numFmtId="169" fontId="11" fillId="0" borderId="0" xfId="0" applyNumberFormat="1" applyFont="1" applyAlignment="1">
      <alignment horizontal="center"/>
    </xf>
    <xf numFmtId="0" fontId="7" fillId="0" borderId="0" xfId="0" applyFont="1" applyAlignment="1">
      <alignment horizontal="center"/>
    </xf>
    <xf numFmtId="171" fontId="7" fillId="0" borderId="0" xfId="0" applyNumberFormat="1" applyFont="1" applyAlignment="1">
      <alignment horizontal="center"/>
    </xf>
    <xf numFmtId="2" fontId="0" fillId="0" borderId="0" xfId="0" applyNumberFormat="1"/>
    <xf numFmtId="0" fontId="12" fillId="0" borderId="0" xfId="0" applyFont="1" applyAlignment="1">
      <alignment horizontal="center" vertical="center" wrapText="1"/>
    </xf>
    <xf numFmtId="0" fontId="12" fillId="0" borderId="0" xfId="0" applyFont="1" applyAlignment="1">
      <alignment horizontal="center" vertical="center"/>
    </xf>
    <xf numFmtId="1" fontId="12" fillId="0" borderId="0" xfId="0" applyNumberFormat="1" applyFont="1" applyAlignment="1">
      <alignment horizontal="center"/>
    </xf>
    <xf numFmtId="0" fontId="11" fillId="0" borderId="0" xfId="0" applyFont="1" applyAlignment="1">
      <alignment horizontal="center"/>
    </xf>
    <xf numFmtId="10" fontId="8" fillId="0" borderId="0" xfId="0" applyNumberFormat="1" applyFont="1" applyAlignment="1">
      <alignment horizontal="center"/>
    </xf>
    <xf numFmtId="0" fontId="7" fillId="3" borderId="0" xfId="0" applyFont="1" applyFill="1" applyAlignment="1">
      <alignment horizontal="center" vertical="center" wrapText="1"/>
    </xf>
    <xf numFmtId="0" fontId="7" fillId="3" borderId="0" xfId="0" applyFont="1" applyFill="1" applyAlignment="1">
      <alignment horizontal="center" vertical="center"/>
    </xf>
    <xf numFmtId="0" fontId="0" fillId="4" borderId="0" xfId="0" applyFill="1" applyAlignment="1">
      <alignment horizontal="center"/>
    </xf>
    <xf numFmtId="169" fontId="0" fillId="4" borderId="0" xfId="0" applyNumberFormat="1" applyFill="1" applyAlignment="1">
      <alignment horizontal="center"/>
    </xf>
    <xf numFmtId="10" fontId="0" fillId="4" borderId="0" xfId="0" applyNumberFormat="1" applyFill="1" applyAlignment="1">
      <alignment horizontal="center"/>
    </xf>
    <xf numFmtId="9" fontId="0" fillId="4" borderId="0" xfId="0" applyNumberFormat="1" applyFill="1" applyAlignment="1">
      <alignment horizontal="center"/>
    </xf>
    <xf numFmtId="172" fontId="6" fillId="0" borderId="0" xfId="0" applyNumberFormat="1" applyFont="1" applyAlignment="1">
      <alignment horizontal="center" vertical="center"/>
    </xf>
    <xf numFmtId="2" fontId="8" fillId="0" borderId="0" xfId="0" applyNumberFormat="1" applyFont="1" applyAlignment="1">
      <alignment horizontal="center"/>
    </xf>
    <xf numFmtId="0" fontId="13" fillId="0" borderId="0" xfId="0" applyFont="1" applyAlignment="1">
      <alignment horizontal="center"/>
    </xf>
    <xf numFmtId="0" fontId="5" fillId="0" borderId="0" xfId="0" applyFont="1" applyAlignment="1">
      <alignment horizontal="center"/>
    </xf>
    <xf numFmtId="14" fontId="5" fillId="0" borderId="0" xfId="0" applyNumberFormat="1" applyFont="1" applyAlignment="1">
      <alignment horizontal="center"/>
    </xf>
    <xf numFmtId="0" fontId="1" fillId="0" borderId="0" xfId="0" applyFont="1"/>
    <xf numFmtId="173" fontId="0" fillId="0" borderId="0" xfId="0" applyNumberFormat="1" applyFont="1" applyFill="1" applyAlignment="1">
      <alignment horizontal="center"/>
    </xf>
    <xf numFmtId="0" fontId="0" fillId="0" borderId="2" xfId="0" applyFill="1" applyBorder="1" applyAlignment="1">
      <alignment horizontal="center"/>
    </xf>
    <xf numFmtId="164" fontId="0" fillId="4" borderId="2" xfId="0" applyNumberFormat="1" applyFont="1" applyFill="1" applyBorder="1" applyAlignment="1">
      <alignment horizontal="center"/>
    </xf>
    <xf numFmtId="164" fontId="0" fillId="4" borderId="1" xfId="0" applyNumberFormat="1" applyFont="1" applyFill="1" applyBorder="1" applyAlignment="1">
      <alignment horizontal="center"/>
    </xf>
    <xf numFmtId="164" fontId="0" fillId="5" borderId="2" xfId="0" applyNumberFormat="1" applyFont="1" applyFill="1" applyBorder="1" applyAlignment="1" applyProtection="1">
      <alignment horizontal="center"/>
    </xf>
    <xf numFmtId="173" fontId="0" fillId="2" borderId="2" xfId="0" applyNumberFormat="1" applyFont="1" applyFill="1" applyBorder="1" applyAlignment="1" applyProtection="1">
      <alignment horizontal="center"/>
    </xf>
    <xf numFmtId="164" fontId="0" fillId="4" borderId="2" xfId="0" applyNumberFormat="1" applyFont="1" applyFill="1" applyBorder="1" applyAlignment="1" applyProtection="1">
      <alignment horizontal="center"/>
    </xf>
    <xf numFmtId="164" fontId="0" fillId="5" borderId="3" xfId="0" applyNumberFormat="1" applyFont="1" applyFill="1" applyBorder="1" applyAlignment="1" applyProtection="1">
      <alignment horizontal="center"/>
    </xf>
    <xf numFmtId="173" fontId="0" fillId="2" borderId="4" xfId="0" applyNumberFormat="1" applyFont="1" applyFill="1" applyBorder="1" applyAlignment="1" applyProtection="1">
      <alignment horizontal="center"/>
    </xf>
    <xf numFmtId="164" fontId="0" fillId="4" borderId="5" xfId="0" applyNumberFormat="1" applyFont="1" applyFill="1" applyBorder="1" applyAlignment="1" applyProtection="1">
      <alignment horizontal="center"/>
    </xf>
    <xf numFmtId="173" fontId="0" fillId="2" borderId="3" xfId="0" applyNumberFormat="1" applyFont="1" applyFill="1" applyBorder="1" applyAlignment="1" applyProtection="1">
      <alignment horizontal="center"/>
    </xf>
    <xf numFmtId="173" fontId="0" fillId="2" borderId="6" xfId="0" applyNumberFormat="1" applyFont="1" applyFill="1" applyBorder="1" applyAlignment="1" applyProtection="1">
      <alignment horizontal="center"/>
    </xf>
    <xf numFmtId="164" fontId="0" fillId="4" borderId="7" xfId="0" applyNumberFormat="1" applyFont="1" applyFill="1" applyBorder="1" applyAlignment="1" applyProtection="1">
      <alignment horizontal="center"/>
    </xf>
    <xf numFmtId="164" fontId="0" fillId="5" borderId="4" xfId="0" applyNumberFormat="1" applyFont="1" applyFill="1" applyBorder="1" applyAlignment="1" applyProtection="1">
      <alignment horizontal="center"/>
    </xf>
    <xf numFmtId="0" fontId="0" fillId="0" borderId="2" xfId="0" applyFill="1" applyBorder="1" applyAlignment="1" applyProtection="1">
      <alignment horizontal="center"/>
      <protection locked="0"/>
    </xf>
    <xf numFmtId="0" fontId="0" fillId="0" borderId="2" xfId="0" applyFont="1" applyFill="1" applyBorder="1" applyAlignment="1" applyProtection="1">
      <alignment horizontal="center"/>
      <protection locked="0"/>
    </xf>
    <xf numFmtId="164" fontId="0" fillId="0" borderId="2" xfId="0" applyNumberFormat="1" applyFont="1" applyFill="1" applyBorder="1" applyAlignment="1" applyProtection="1">
      <alignment horizontal="center"/>
      <protection locked="0"/>
    </xf>
    <xf numFmtId="0" fontId="0" fillId="0" borderId="1" xfId="0" applyFill="1" applyBorder="1" applyAlignment="1" applyProtection="1">
      <alignment horizontal="center"/>
      <protection locked="0"/>
    </xf>
    <xf numFmtId="0" fontId="0" fillId="0" borderId="1" xfId="0" applyFont="1" applyFill="1" applyBorder="1" applyAlignment="1" applyProtection="1">
      <alignment horizontal="center"/>
      <protection locked="0"/>
    </xf>
    <xf numFmtId="164" fontId="0" fillId="0" borderId="1" xfId="0" applyNumberFormat="1" applyFont="1" applyFill="1" applyBorder="1" applyAlignment="1" applyProtection="1">
      <alignment horizontal="center"/>
      <protection locked="0"/>
    </xf>
    <xf numFmtId="1" fontId="0" fillId="0" borderId="2" xfId="0" applyNumberFormat="1" applyFont="1" applyFill="1" applyBorder="1" applyAlignment="1" applyProtection="1">
      <alignment horizontal="center"/>
      <protection locked="0"/>
    </xf>
    <xf numFmtId="1" fontId="0" fillId="0" borderId="1" xfId="0" applyNumberFormat="1" applyFont="1" applyFill="1" applyBorder="1" applyAlignment="1" applyProtection="1">
      <alignment horizontal="center"/>
      <protection locked="0"/>
    </xf>
    <xf numFmtId="14" fontId="0" fillId="0" borderId="2" xfId="0" applyNumberFormat="1" applyFill="1" applyBorder="1" applyAlignment="1" applyProtection="1">
      <alignment horizontal="center"/>
      <protection locked="0"/>
    </xf>
    <xf numFmtId="14" fontId="0" fillId="0" borderId="1" xfId="0" applyNumberFormat="1" applyFill="1" applyBorder="1" applyAlignment="1" applyProtection="1">
      <alignment horizontal="center"/>
      <protection locked="0"/>
    </xf>
    <xf numFmtId="14" fontId="0" fillId="0" borderId="5" xfId="0" applyNumberFormat="1" applyFont="1" applyFill="1" applyBorder="1" applyAlignment="1" applyProtection="1">
      <alignment horizontal="center"/>
      <protection locked="0"/>
    </xf>
    <xf numFmtId="14" fontId="0" fillId="0" borderId="8" xfId="0" applyNumberFormat="1" applyFont="1" applyFill="1" applyBorder="1" applyAlignment="1" applyProtection="1">
      <alignment horizontal="center"/>
      <protection locked="0"/>
    </xf>
    <xf numFmtId="164" fontId="0" fillId="5" borderId="9" xfId="0" applyNumberFormat="1" applyFont="1" applyFill="1" applyBorder="1" applyAlignment="1" applyProtection="1">
      <alignment horizontal="center"/>
    </xf>
    <xf numFmtId="164" fontId="0" fillId="5" borderId="11" xfId="0" applyNumberFormat="1" applyFont="1" applyFill="1" applyBorder="1" applyAlignment="1" applyProtection="1">
      <alignment horizontal="center"/>
    </xf>
    <xf numFmtId="164" fontId="0" fillId="4" borderId="11" xfId="0" applyNumberFormat="1" applyFont="1" applyFill="1" applyBorder="1" applyAlignment="1" applyProtection="1">
      <alignment horizontal="center"/>
    </xf>
    <xf numFmtId="164" fontId="0" fillId="5" borderId="12" xfId="0" applyNumberFormat="1" applyFont="1" applyFill="1" applyBorder="1" applyAlignment="1" applyProtection="1">
      <alignment horizontal="center"/>
    </xf>
    <xf numFmtId="173" fontId="0" fillId="2" borderId="13" xfId="0" applyNumberFormat="1" applyFont="1" applyFill="1" applyBorder="1" applyAlignment="1" applyProtection="1">
      <alignment horizontal="center"/>
    </xf>
    <xf numFmtId="164" fontId="0" fillId="4" borderId="10" xfId="0" applyNumberFormat="1" applyFont="1" applyFill="1" applyBorder="1" applyAlignment="1" applyProtection="1">
      <alignment horizontal="center"/>
    </xf>
    <xf numFmtId="173" fontId="0" fillId="2" borderId="12" xfId="0" applyNumberFormat="1" applyFont="1" applyFill="1" applyBorder="1" applyAlignment="1" applyProtection="1">
      <alignment horizontal="center"/>
    </xf>
    <xf numFmtId="173" fontId="0" fillId="2" borderId="14" xfId="0" applyNumberFormat="1" applyFont="1" applyFill="1" applyBorder="1" applyAlignment="1" applyProtection="1">
      <alignment horizontal="center"/>
    </xf>
    <xf numFmtId="164" fontId="0" fillId="4" borderId="15" xfId="0" applyNumberFormat="1" applyFont="1" applyFill="1" applyBorder="1" applyAlignment="1" applyProtection="1">
      <alignment horizontal="center"/>
    </xf>
    <xf numFmtId="164" fontId="0" fillId="5" borderId="13" xfId="0" applyNumberFormat="1" applyFont="1" applyFill="1" applyBorder="1" applyAlignment="1" applyProtection="1">
      <alignment horizontal="center"/>
    </xf>
    <xf numFmtId="164" fontId="0" fillId="5" borderId="16" xfId="0" applyNumberFormat="1" applyFont="1" applyFill="1" applyBorder="1" applyAlignment="1" applyProtection="1">
      <alignment horizontal="center"/>
    </xf>
    <xf numFmtId="14" fontId="14" fillId="0" borderId="17" xfId="0" applyNumberFormat="1" applyFont="1" applyFill="1" applyBorder="1" applyAlignment="1" applyProtection="1">
      <alignment horizontal="center" vertical="center"/>
      <protection locked="0"/>
    </xf>
    <xf numFmtId="14" fontId="14" fillId="0" borderId="18" xfId="0" applyNumberFormat="1" applyFont="1" applyFill="1" applyBorder="1" applyAlignment="1" applyProtection="1">
      <alignment horizontal="center" vertical="center" wrapText="1"/>
      <protection locked="0"/>
    </xf>
    <xf numFmtId="0" fontId="14" fillId="0" borderId="18" xfId="0" applyFont="1" applyFill="1" applyBorder="1" applyAlignment="1" applyProtection="1">
      <alignment horizontal="center" vertical="center"/>
      <protection locked="0"/>
    </xf>
    <xf numFmtId="1" fontId="14" fillId="0" borderId="18" xfId="0" applyNumberFormat="1" applyFont="1" applyFill="1" applyBorder="1" applyAlignment="1" applyProtection="1">
      <alignment horizontal="center" vertical="center" wrapText="1"/>
      <protection locked="0"/>
    </xf>
    <xf numFmtId="0" fontId="14" fillId="0" borderId="18" xfId="0" applyFont="1" applyFill="1" applyBorder="1" applyAlignment="1" applyProtection="1">
      <alignment horizontal="center" vertical="center" wrapText="1"/>
      <protection locked="0"/>
    </xf>
    <xf numFmtId="0" fontId="14" fillId="0" borderId="18" xfId="0" applyFont="1" applyFill="1" applyBorder="1" applyAlignment="1" applyProtection="1">
      <alignment horizontal="center" vertical="center" textRotation="180" wrapText="1"/>
      <protection locked="0"/>
    </xf>
    <xf numFmtId="0" fontId="14" fillId="0" borderId="18" xfId="0" applyFont="1" applyFill="1" applyBorder="1" applyAlignment="1">
      <alignment horizontal="center" vertical="center"/>
    </xf>
    <xf numFmtId="164" fontId="14" fillId="0" borderId="18" xfId="0" applyNumberFormat="1" applyFont="1" applyFill="1" applyBorder="1" applyAlignment="1" applyProtection="1">
      <alignment horizontal="center" vertical="center" wrapText="1"/>
      <protection locked="0"/>
    </xf>
    <xf numFmtId="164" fontId="14" fillId="4" borderId="18" xfId="0" applyNumberFormat="1" applyFont="1" applyFill="1" applyBorder="1" applyAlignment="1">
      <alignment horizontal="center" vertical="center"/>
    </xf>
    <xf numFmtId="164" fontId="14" fillId="5" borderId="18" xfId="0" applyNumberFormat="1" applyFont="1" applyFill="1" applyBorder="1" applyAlignment="1" applyProtection="1">
      <alignment horizontal="center" vertical="center" wrapText="1"/>
    </xf>
    <xf numFmtId="173" fontId="14" fillId="2" borderId="18" xfId="0" applyNumberFormat="1" applyFont="1" applyFill="1" applyBorder="1" applyAlignment="1" applyProtection="1">
      <alignment horizontal="center" vertical="center" wrapText="1"/>
    </xf>
    <xf numFmtId="164" fontId="14" fillId="4" borderId="18" xfId="0" applyNumberFormat="1" applyFont="1" applyFill="1" applyBorder="1" applyAlignment="1" applyProtection="1">
      <alignment horizontal="center" vertical="center" wrapText="1"/>
    </xf>
    <xf numFmtId="164" fontId="14" fillId="5" borderId="19" xfId="0" applyNumberFormat="1" applyFont="1" applyFill="1" applyBorder="1" applyAlignment="1" applyProtection="1">
      <alignment horizontal="center" vertical="center" wrapText="1"/>
    </xf>
    <xf numFmtId="173" fontId="14" fillId="2" borderId="20" xfId="0" applyNumberFormat="1" applyFont="1" applyFill="1" applyBorder="1" applyAlignment="1" applyProtection="1">
      <alignment horizontal="center" vertical="center" wrapText="1"/>
    </xf>
    <xf numFmtId="164" fontId="14" fillId="4" borderId="17" xfId="0" applyNumberFormat="1" applyFont="1" applyFill="1" applyBorder="1" applyAlignment="1" applyProtection="1">
      <alignment horizontal="center" vertical="center" wrapText="1"/>
    </xf>
    <xf numFmtId="173" fontId="14" fillId="2" borderId="19" xfId="0" applyNumberFormat="1" applyFont="1" applyFill="1" applyBorder="1" applyAlignment="1" applyProtection="1">
      <alignment horizontal="center" vertical="center" wrapText="1"/>
    </xf>
    <xf numFmtId="173" fontId="14" fillId="2" borderId="21" xfId="0" applyNumberFormat="1" applyFont="1" applyFill="1" applyBorder="1" applyAlignment="1" applyProtection="1">
      <alignment horizontal="center" vertical="center" wrapText="1"/>
    </xf>
    <xf numFmtId="164" fontId="14" fillId="4" borderId="22" xfId="0" applyNumberFormat="1" applyFont="1" applyFill="1" applyBorder="1" applyAlignment="1" applyProtection="1">
      <alignment horizontal="center" vertical="center" wrapText="1"/>
    </xf>
    <xf numFmtId="164" fontId="14" fillId="5" borderId="20" xfId="0" applyNumberFormat="1" applyFont="1" applyFill="1" applyBorder="1" applyAlignment="1" applyProtection="1">
      <alignment horizontal="center" vertical="center" wrapText="1"/>
    </xf>
    <xf numFmtId="0" fontId="15" fillId="0" borderId="0" xfId="0" applyFont="1" applyFill="1" applyAlignment="1">
      <alignment horizontal="center" vertical="center"/>
    </xf>
    <xf numFmtId="14" fontId="19" fillId="0" borderId="10" xfId="0" applyNumberFormat="1" applyFont="1" applyFill="1" applyBorder="1" applyAlignment="1" applyProtection="1">
      <alignment horizontal="center"/>
      <protection locked="0"/>
    </xf>
    <xf numFmtId="14" fontId="19" fillId="0" borderId="11" xfId="0" applyNumberFormat="1" applyFont="1" applyFill="1" applyBorder="1" applyAlignment="1" applyProtection="1">
      <alignment horizontal="center"/>
      <protection locked="0"/>
    </xf>
    <xf numFmtId="0" fontId="19" fillId="0" borderId="11" xfId="0" applyFont="1" applyFill="1" applyBorder="1" applyAlignment="1" applyProtection="1">
      <alignment horizontal="center"/>
      <protection locked="0"/>
    </xf>
    <xf numFmtId="1" fontId="19" fillId="0" borderId="11" xfId="0" applyNumberFormat="1" applyFont="1" applyFill="1" applyBorder="1" applyAlignment="1" applyProtection="1">
      <alignment horizontal="center"/>
      <protection locked="0"/>
    </xf>
    <xf numFmtId="0" fontId="19" fillId="0" borderId="11" xfId="0" applyFont="1" applyFill="1" applyBorder="1" applyAlignment="1">
      <alignment horizontal="center"/>
    </xf>
    <xf numFmtId="164" fontId="19" fillId="0" borderId="11" xfId="0" applyNumberFormat="1" applyFont="1" applyFill="1" applyBorder="1" applyAlignment="1" applyProtection="1">
      <alignment horizontal="center"/>
      <protection locked="0"/>
    </xf>
    <xf numFmtId="0" fontId="21" fillId="0" borderId="0" xfId="0" applyFont="1" applyAlignment="1"/>
    <xf numFmtId="0" fontId="23" fillId="0" borderId="0" xfId="0" applyFont="1" applyAlignment="1"/>
    <xf numFmtId="0" fontId="24" fillId="0" borderId="0" xfId="0" applyFont="1" applyAlignment="1">
      <alignment horizontal="left"/>
    </xf>
    <xf numFmtId="49" fontId="23" fillId="0" borderId="0" xfId="0" applyNumberFormat="1" applyFont="1" applyAlignment="1">
      <alignment horizontal="left"/>
    </xf>
    <xf numFmtId="0" fontId="25" fillId="6" borderId="24" xfId="0" applyFont="1" applyFill="1" applyBorder="1" applyAlignment="1">
      <alignment horizontal="center" vertical="center"/>
    </xf>
    <xf numFmtId="0" fontId="25" fillId="6" borderId="24" xfId="0" applyFont="1" applyFill="1" applyBorder="1" applyAlignment="1">
      <alignment horizontal="center" vertical="center" wrapText="1"/>
    </xf>
    <xf numFmtId="176" fontId="23" fillId="0" borderId="25" xfId="0" applyNumberFormat="1" applyFont="1" applyBorder="1" applyAlignment="1">
      <alignment horizontal="center" vertical="center"/>
    </xf>
    <xf numFmtId="1" fontId="23" fillId="0" borderId="26" xfId="0" applyNumberFormat="1" applyFont="1" applyBorder="1" applyAlignment="1">
      <alignment horizontal="center" vertical="center"/>
    </xf>
    <xf numFmtId="49" fontId="23" fillId="0" borderId="26" xfId="0" applyNumberFormat="1" applyFont="1" applyBorder="1" applyAlignment="1">
      <alignment horizontal="center" vertical="center" wrapText="1"/>
    </xf>
    <xf numFmtId="177" fontId="23" fillId="0" borderId="26" xfId="0" applyNumberFormat="1" applyFont="1" applyBorder="1" applyAlignment="1">
      <alignment horizontal="center" vertical="center"/>
    </xf>
    <xf numFmtId="0" fontId="23" fillId="0" borderId="26" xfId="0" applyNumberFormat="1" applyFont="1" applyBorder="1" applyAlignment="1">
      <alignment horizontal="center" vertical="center" wrapText="1"/>
    </xf>
    <xf numFmtId="173" fontId="23" fillId="0" borderId="27" xfId="0" applyNumberFormat="1" applyFont="1" applyBorder="1" applyAlignment="1">
      <alignment horizontal="center" vertical="center"/>
    </xf>
    <xf numFmtId="14" fontId="23" fillId="0" borderId="25" xfId="0" applyNumberFormat="1" applyFont="1" applyBorder="1" applyAlignment="1">
      <alignment horizontal="center" vertical="center"/>
    </xf>
    <xf numFmtId="49" fontId="22" fillId="0" borderId="28" xfId="0" applyNumberFormat="1" applyFont="1" applyBorder="1" applyAlignment="1">
      <alignment horizontal="center" vertical="center" wrapText="1"/>
    </xf>
    <xf numFmtId="173" fontId="22" fillId="0" borderId="27" xfId="0" applyNumberFormat="1" applyFont="1" applyBorder="1" applyAlignment="1">
      <alignment horizontal="center" vertical="center"/>
    </xf>
    <xf numFmtId="49" fontId="23" fillId="0" borderId="26" xfId="0" applyNumberFormat="1" applyFont="1" applyBorder="1" applyAlignment="1">
      <alignment horizontal="center" vertical="center"/>
    </xf>
    <xf numFmtId="1" fontId="25" fillId="6" borderId="26" xfId="0" applyNumberFormat="1" applyFont="1" applyFill="1" applyBorder="1" applyAlignment="1">
      <alignment horizontal="center" vertical="center"/>
    </xf>
    <xf numFmtId="165" fontId="25" fillId="6" borderId="26" xfId="0" applyNumberFormat="1" applyFont="1" applyFill="1" applyBorder="1" applyAlignment="1">
      <alignment horizontal="center" vertical="center"/>
    </xf>
    <xf numFmtId="173" fontId="23" fillId="0" borderId="26" xfId="0" applyNumberFormat="1" applyFont="1" applyBorder="1" applyAlignment="1">
      <alignment horizontal="center" vertical="center"/>
    </xf>
    <xf numFmtId="10" fontId="23" fillId="0" borderId="26" xfId="0" applyNumberFormat="1" applyFont="1" applyBorder="1" applyAlignment="1">
      <alignment horizontal="center" vertical="center"/>
    </xf>
    <xf numFmtId="14" fontId="22" fillId="0" borderId="25" xfId="0" applyNumberFormat="1" applyFont="1" applyBorder="1" applyAlignment="1">
      <alignment horizontal="center" vertical="center"/>
    </xf>
    <xf numFmtId="1" fontId="22" fillId="0" borderId="26" xfId="0" applyNumberFormat="1" applyFont="1" applyBorder="1" applyAlignment="1">
      <alignment horizontal="center" vertical="center"/>
    </xf>
    <xf numFmtId="49" fontId="22" fillId="0" borderId="26" xfId="0" applyNumberFormat="1" applyFont="1" applyBorder="1" applyAlignment="1">
      <alignment horizontal="center" vertical="center"/>
    </xf>
    <xf numFmtId="177" fontId="22" fillId="0" borderId="26" xfId="0" applyNumberFormat="1" applyFont="1" applyBorder="1" applyAlignment="1">
      <alignment horizontal="center" vertical="center"/>
    </xf>
    <xf numFmtId="0" fontId="23" fillId="0" borderId="26" xfId="0" quotePrefix="1" applyNumberFormat="1" applyFont="1" applyBorder="1" applyAlignment="1">
      <alignment horizontal="center" vertical="center"/>
    </xf>
    <xf numFmtId="176" fontId="23" fillId="0" borderId="29" xfId="0" applyNumberFormat="1" applyFont="1" applyBorder="1" applyAlignment="1">
      <alignment horizontal="center" vertical="center"/>
    </xf>
    <xf numFmtId="1" fontId="23" fillId="0" borderId="30" xfId="0" applyNumberFormat="1" applyFont="1" applyBorder="1" applyAlignment="1">
      <alignment horizontal="center" vertical="center"/>
    </xf>
    <xf numFmtId="49" fontId="23" fillId="0" borderId="30" xfId="0" applyNumberFormat="1" applyFont="1" applyBorder="1" applyAlignment="1">
      <alignment horizontal="center" vertical="center"/>
    </xf>
    <xf numFmtId="165" fontId="23" fillId="0" borderId="30" xfId="0" applyNumberFormat="1" applyFont="1" applyBorder="1" applyAlignment="1">
      <alignment horizontal="center" vertical="center"/>
    </xf>
    <xf numFmtId="173" fontId="23" fillId="0" borderId="31" xfId="0" applyNumberFormat="1" applyFont="1" applyBorder="1" applyAlignment="1">
      <alignment horizontal="center" vertical="center"/>
    </xf>
    <xf numFmtId="176" fontId="23" fillId="0" borderId="0" xfId="0" applyNumberFormat="1" applyFont="1" applyBorder="1" applyAlignment="1">
      <alignment horizontal="left" vertical="center"/>
    </xf>
    <xf numFmtId="49" fontId="23" fillId="0" borderId="32" xfId="0" applyNumberFormat="1" applyFont="1" applyBorder="1" applyAlignment="1">
      <alignment horizontal="left" vertical="center"/>
    </xf>
    <xf numFmtId="173" fontId="23" fillId="7" borderId="34" xfId="0" applyNumberFormat="1" applyFont="1" applyFill="1" applyBorder="1" applyAlignment="1">
      <alignment vertical="center"/>
    </xf>
    <xf numFmtId="49" fontId="22" fillId="0" borderId="36" xfId="0" applyNumberFormat="1" applyFont="1" applyBorder="1" applyAlignment="1">
      <alignment horizontal="right" vertical="center"/>
    </xf>
    <xf numFmtId="10" fontId="22" fillId="0" borderId="37" xfId="0" applyNumberFormat="1" applyFont="1" applyBorder="1" applyAlignment="1">
      <alignment horizontal="center" vertical="center"/>
    </xf>
    <xf numFmtId="173" fontId="22" fillId="0" borderId="38" xfId="0" applyNumberFormat="1" applyFont="1" applyBorder="1" applyAlignment="1">
      <alignment vertical="center"/>
    </xf>
    <xf numFmtId="49" fontId="23" fillId="0" borderId="0" xfId="0" applyNumberFormat="1" applyFont="1" applyBorder="1" applyAlignment="1">
      <alignment horizontal="left" vertical="center"/>
    </xf>
    <xf numFmtId="179" fontId="25" fillId="6" borderId="38" xfId="0" applyNumberFormat="1" applyFont="1" applyFill="1" applyBorder="1" applyAlignment="1">
      <alignment horizontal="right" vertical="center"/>
    </xf>
    <xf numFmtId="173" fontId="25" fillId="0" borderId="38" xfId="0" applyNumberFormat="1" applyFont="1" applyBorder="1" applyAlignment="1">
      <alignment vertical="center"/>
    </xf>
    <xf numFmtId="0" fontId="25" fillId="0" borderId="39" xfId="0" applyFont="1" applyBorder="1" applyAlignment="1">
      <alignment horizontal="center"/>
    </xf>
    <xf numFmtId="0" fontId="25" fillId="0" borderId="40" xfId="0" applyFont="1" applyBorder="1" applyAlignment="1">
      <alignment horizontal="center"/>
    </xf>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xf numFmtId="0" fontId="0" fillId="0" borderId="0" xfId="0" applyAlignment="1">
      <alignment horizontal="left" indent="2"/>
    </xf>
    <xf numFmtId="177" fontId="0" fillId="0" borderId="0" xfId="0" applyNumberFormat="1"/>
    <xf numFmtId="173" fontId="0" fillId="0" borderId="0" xfId="0" applyNumberFormat="1"/>
    <xf numFmtId="49" fontId="0" fillId="0" borderId="0" xfId="0" applyNumberFormat="1"/>
    <xf numFmtId="0" fontId="0" fillId="0" borderId="0" xfId="0" pivotButton="1" applyAlignment="1">
      <alignment horizontal="center" vertical="center"/>
    </xf>
    <xf numFmtId="0" fontId="0" fillId="0" borderId="0" xfId="0" applyAlignment="1">
      <alignment horizontal="center" vertical="center"/>
    </xf>
    <xf numFmtId="178" fontId="25" fillId="6" borderId="33" xfId="0" applyNumberFormat="1" applyFont="1" applyFill="1" applyBorder="1" applyAlignment="1">
      <alignment horizontal="center" vertical="center"/>
    </xf>
    <xf numFmtId="176" fontId="23" fillId="0" borderId="0" xfId="0" applyNumberFormat="1" applyFont="1" applyBorder="1" applyAlignment="1">
      <alignment vertical="center"/>
    </xf>
    <xf numFmtId="176" fontId="23" fillId="0" borderId="35" xfId="0" applyNumberFormat="1" applyFont="1" applyBorder="1" applyAlignment="1">
      <alignment vertical="center"/>
    </xf>
    <xf numFmtId="49" fontId="23" fillId="0" borderId="41" xfId="0" applyNumberFormat="1" applyFont="1" applyBorder="1" applyAlignment="1">
      <alignment vertical="center"/>
    </xf>
    <xf numFmtId="175" fontId="23" fillId="0" borderId="0" xfId="0" applyNumberFormat="1" applyFont="1" applyAlignment="1">
      <alignment horizontal="left"/>
    </xf>
    <xf numFmtId="0" fontId="20" fillId="0" borderId="0" xfId="0" applyFont="1" applyAlignment="1">
      <alignment vertical="center"/>
    </xf>
    <xf numFmtId="0" fontId="22" fillId="0" borderId="0" xfId="0" applyFont="1" applyAlignment="1">
      <alignment horizontal="left"/>
    </xf>
    <xf numFmtId="0" fontId="23" fillId="0" borderId="0" xfId="0" applyFont="1" applyAlignment="1">
      <alignment horizontal="left"/>
    </xf>
    <xf numFmtId="174" fontId="23" fillId="0" borderId="0" xfId="0" applyNumberFormat="1" applyFont="1" applyAlignment="1">
      <alignment horizontal="left"/>
    </xf>
    <xf numFmtId="0" fontId="23" fillId="0" borderId="0" xfId="0" applyFont="1" applyAlignment="1">
      <alignment horizontal="right"/>
    </xf>
    <xf numFmtId="14" fontId="23" fillId="0" borderId="25" xfId="0" applyNumberFormat="1" applyFont="1" applyBorder="1" applyAlignment="1"/>
    <xf numFmtId="0" fontId="26" fillId="0" borderId="0" xfId="0" applyFont="1" applyAlignment="1">
      <alignment wrapText="1"/>
    </xf>
    <xf numFmtId="0" fontId="28" fillId="0" borderId="0" xfId="0" applyFont="1" applyAlignment="1"/>
    <xf numFmtId="0" fontId="29" fillId="0" borderId="0" xfId="0" applyFont="1" applyAlignment="1"/>
    <xf numFmtId="0" fontId="30" fillId="0" borderId="0" xfId="0" applyFont="1"/>
    <xf numFmtId="177" fontId="0" fillId="0" borderId="0" xfId="0" applyNumberFormat="1" applyAlignment="1">
      <alignment horizontal="center" vertical="center"/>
    </xf>
    <xf numFmtId="173" fontId="0" fillId="0" borderId="0" xfId="0" applyNumberFormat="1" applyAlignment="1">
      <alignment horizontal="center" vertical="center"/>
    </xf>
    <xf numFmtId="2" fontId="0" fillId="0" borderId="0" xfId="0" applyNumberFormat="1" applyAlignment="1">
      <alignment horizontal="center"/>
    </xf>
    <xf numFmtId="0" fontId="32" fillId="0" borderId="0" xfId="0" applyFont="1" applyAlignment="1">
      <alignment horizontal="center"/>
    </xf>
    <xf numFmtId="0" fontId="33" fillId="0" borderId="0" xfId="0" applyFont="1" applyAlignment="1">
      <alignment horizontal="center"/>
    </xf>
    <xf numFmtId="2" fontId="33" fillId="0" borderId="0" xfId="0" applyNumberFormat="1" applyFont="1" applyAlignment="1">
      <alignment horizontal="center"/>
    </xf>
    <xf numFmtId="20" fontId="33" fillId="0" borderId="0" xfId="0" applyNumberFormat="1" applyFont="1" applyAlignment="1">
      <alignment horizontal="center"/>
    </xf>
    <xf numFmtId="169" fontId="0" fillId="0" borderId="0" xfId="0" applyNumberFormat="1" applyAlignment="1">
      <alignment horizontal="center"/>
    </xf>
    <xf numFmtId="14" fontId="34" fillId="0" borderId="10" xfId="0" applyNumberFormat="1" applyFont="1" applyFill="1" applyBorder="1" applyAlignment="1" applyProtection="1">
      <alignment horizontal="center"/>
      <protection locked="0"/>
    </xf>
    <xf numFmtId="14" fontId="34" fillId="0" borderId="11" xfId="0" applyNumberFormat="1" applyFont="1" applyFill="1" applyBorder="1" applyAlignment="1" applyProtection="1">
      <alignment horizontal="center"/>
      <protection locked="0"/>
    </xf>
    <xf numFmtId="0" fontId="34" fillId="0" borderId="11" xfId="0" applyFont="1" applyFill="1" applyBorder="1" applyAlignment="1" applyProtection="1">
      <alignment horizontal="center"/>
      <protection locked="0"/>
    </xf>
    <xf numFmtId="1" fontId="34" fillId="0" borderId="11" xfId="0" applyNumberFormat="1" applyFont="1" applyFill="1" applyBorder="1" applyAlignment="1" applyProtection="1">
      <alignment horizontal="center"/>
      <protection locked="0"/>
    </xf>
    <xf numFmtId="0" fontId="34" fillId="0" borderId="11" xfId="0" applyFont="1" applyFill="1" applyBorder="1" applyAlignment="1">
      <alignment horizontal="center"/>
    </xf>
    <xf numFmtId="164" fontId="34" fillId="0" borderId="11" xfId="0" applyNumberFormat="1" applyFont="1" applyFill="1" applyBorder="1" applyAlignment="1" applyProtection="1">
      <alignment horizontal="center"/>
      <protection locked="0"/>
    </xf>
    <xf numFmtId="2" fontId="35" fillId="0" borderId="0" xfId="0" applyNumberFormat="1" applyFont="1" applyAlignment="1">
      <alignment horizontal="center"/>
    </xf>
    <xf numFmtId="14" fontId="0" fillId="0" borderId="0" xfId="0" applyNumberFormat="1" applyAlignment="1">
      <alignment horizontal="left"/>
    </xf>
    <xf numFmtId="6" fontId="0" fillId="0" borderId="0" xfId="0" applyNumberFormat="1"/>
    <xf numFmtId="164" fontId="3" fillId="5" borderId="23" xfId="0" applyNumberFormat="1" applyFont="1" applyFill="1" applyBorder="1" applyAlignment="1" applyProtection="1">
      <alignment horizontal="center" vertical="center" wrapText="1"/>
    </xf>
    <xf numFmtId="169" fontId="33" fillId="0" borderId="0" xfId="0" applyNumberFormat="1" applyFont="1" applyAlignment="1">
      <alignment horizontal="center"/>
    </xf>
    <xf numFmtId="180" fontId="0" fillId="0" borderId="0" xfId="0" applyNumberFormat="1"/>
    <xf numFmtId="180" fontId="0" fillId="0" borderId="0" xfId="0" applyNumberFormat="1" applyAlignment="1">
      <alignment horizontal="center" vertical="center"/>
    </xf>
    <xf numFmtId="14" fontId="37" fillId="0" borderId="10" xfId="0" applyNumberFormat="1" applyFont="1" applyFill="1" applyBorder="1" applyAlignment="1" applyProtection="1">
      <alignment horizontal="center"/>
      <protection locked="0"/>
    </xf>
    <xf numFmtId="14" fontId="37" fillId="0" borderId="11" xfId="0" applyNumberFormat="1" applyFont="1" applyFill="1" applyBorder="1" applyAlignment="1" applyProtection="1">
      <alignment horizontal="center"/>
      <protection locked="0"/>
    </xf>
    <xf numFmtId="0" fontId="37" fillId="0" borderId="11" xfId="0" applyFont="1" applyFill="1" applyBorder="1" applyAlignment="1" applyProtection="1">
      <alignment horizontal="center"/>
      <protection locked="0"/>
    </xf>
    <xf numFmtId="1" fontId="37" fillId="0" borderId="11" xfId="0" applyNumberFormat="1" applyFont="1" applyFill="1" applyBorder="1" applyAlignment="1" applyProtection="1">
      <alignment horizontal="center"/>
      <protection locked="0"/>
    </xf>
    <xf numFmtId="0" fontId="37" fillId="0" borderId="11" xfId="0" applyFont="1" applyFill="1" applyBorder="1" applyAlignment="1">
      <alignment horizontal="center"/>
    </xf>
    <xf numFmtId="164" fontId="37" fillId="0" borderId="11" xfId="0" applyNumberFormat="1" applyFont="1" applyFill="1" applyBorder="1" applyAlignment="1" applyProtection="1">
      <alignment horizontal="center"/>
      <protection locked="0"/>
    </xf>
    <xf numFmtId="0" fontId="38" fillId="0" borderId="0" xfId="0" applyFont="1" applyAlignment="1">
      <alignment horizontal="center"/>
    </xf>
    <xf numFmtId="1" fontId="39" fillId="0" borderId="0" xfId="0" applyNumberFormat="1" applyFont="1" applyAlignment="1">
      <alignment horizontal="center"/>
    </xf>
    <xf numFmtId="0" fontId="0" fillId="0" borderId="0" xfId="0"/>
    <xf numFmtId="0" fontId="0" fillId="0" borderId="0" xfId="0"/>
    <xf numFmtId="0" fontId="40" fillId="0" borderId="0" xfId="0" applyFont="1" applyAlignment="1">
      <alignment horizontal="center"/>
    </xf>
    <xf numFmtId="0" fontId="16" fillId="0" borderId="0" xfId="0" applyFont="1" applyAlignment="1">
      <alignment horizontal="center"/>
    </xf>
    <xf numFmtId="0" fontId="9" fillId="0" borderId="0" xfId="0" applyFont="1" applyAlignment="1">
      <alignment horizontal="center"/>
    </xf>
    <xf numFmtId="0" fontId="0" fillId="4" borderId="0" xfId="0" applyFill="1" applyAlignment="1">
      <alignment horizontal="center"/>
    </xf>
    <xf numFmtId="0" fontId="40" fillId="0" borderId="0" xfId="0" applyFont="1" applyAlignment="1">
      <alignment horizontal="right"/>
    </xf>
    <xf numFmtId="0" fontId="8" fillId="0" borderId="0" xfId="0" applyFont="1" applyAlignment="1">
      <alignment horizontal="right"/>
    </xf>
    <xf numFmtId="0" fontId="13" fillId="0" borderId="0" xfId="0" applyFont="1" applyAlignment="1">
      <alignment horizontal="center"/>
    </xf>
    <xf numFmtId="0" fontId="20" fillId="0" borderId="0" xfId="0" applyFont="1" applyAlignment="1">
      <alignment vertical="center"/>
    </xf>
    <xf numFmtId="0" fontId="22" fillId="0" borderId="0" xfId="0" applyFont="1" applyAlignment="1">
      <alignment horizontal="left"/>
    </xf>
    <xf numFmtId="0" fontId="23" fillId="0" borderId="0" xfId="0" applyFont="1" applyAlignment="1">
      <alignment horizontal="left"/>
    </xf>
    <xf numFmtId="0" fontId="24" fillId="0" borderId="0" xfId="0" applyFont="1" applyAlignment="1">
      <alignment horizontal="center"/>
    </xf>
    <xf numFmtId="0" fontId="25" fillId="0" borderId="0" xfId="0" applyFont="1" applyAlignment="1">
      <alignment horizontal="left"/>
    </xf>
    <xf numFmtId="174" fontId="23" fillId="0" borderId="0" xfId="0" applyNumberFormat="1" applyFont="1" applyAlignment="1">
      <alignment horizontal="left"/>
    </xf>
    <xf numFmtId="0" fontId="31" fillId="0" borderId="0" xfId="0" applyFont="1" applyAlignment="1">
      <alignment horizontal="left" wrapText="1"/>
    </xf>
    <xf numFmtId="0" fontId="0" fillId="0" borderId="0" xfId="0"/>
    <xf numFmtId="175" fontId="23" fillId="0" borderId="0" xfId="0" applyNumberFormat="1" applyFont="1" applyAlignment="1">
      <alignment horizontal="left"/>
    </xf>
    <xf numFmtId="173" fontId="25" fillId="0" borderId="0" xfId="0" applyNumberFormat="1" applyFont="1" applyAlignment="1">
      <alignment horizontal="center"/>
    </xf>
    <xf numFmtId="0" fontId="25" fillId="0" borderId="0" xfId="0" applyFont="1" applyAlignment="1">
      <alignment horizontal="center"/>
    </xf>
    <xf numFmtId="0" fontId="23" fillId="0" borderId="0" xfId="0" applyFont="1" applyAlignment="1">
      <alignment horizontal="right"/>
    </xf>
    <xf numFmtId="0" fontId="27" fillId="0" borderId="0" xfId="0" applyFont="1" applyAlignment="1">
      <alignment horizontal="center"/>
    </xf>
    <xf numFmtId="0" fontId="23" fillId="0" borderId="0" xfId="0" applyFont="1" applyAlignment="1">
      <alignment horizontal="center"/>
    </xf>
    <xf numFmtId="0" fontId="23" fillId="0" borderId="0" xfId="0" applyFont="1" applyBorder="1" applyAlignment="1">
      <alignment horizontal="center"/>
    </xf>
  </cellXfs>
  <cellStyles count="1">
    <cellStyle name="Normal" xfId="0" builtinId="0"/>
  </cellStyles>
  <dxfs count="156">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73" formatCode="#,##0.00\ &quot;€&quot;"/>
    </dxf>
    <dxf>
      <numFmt numFmtId="173" formatCode="#,##0.00\ &quot;€&quot;"/>
    </dxf>
    <dxf>
      <numFmt numFmtId="177" formatCode="#,###&quot; kg&quot;"/>
    </dxf>
    <dxf>
      <numFmt numFmtId="177" formatCode="#,###&quot; kg&quot;"/>
    </dxf>
    <dxf>
      <numFmt numFmtId="177" formatCode="#,###&quot; kg&quot;"/>
    </dxf>
    <dxf>
      <numFmt numFmtId="177" formatCode="#,###&quot; kg&quot;"/>
    </dxf>
    <dxf>
      <numFmt numFmtId="180" formatCode="#,###.00&quot; kg&quot;"/>
    </dxf>
    <dxf>
      <numFmt numFmtId="180" formatCode="#,###.00&quot; kg&quot;"/>
    </dxf>
    <dxf>
      <numFmt numFmtId="2" formatCode="0.00"/>
    </dxf>
    <dxf>
      <numFmt numFmtId="2" formatCode="0.00"/>
    </dxf>
    <dxf>
      <alignment vertical="center" readingOrder="0"/>
    </dxf>
    <dxf>
      <alignment horizontal="center" readingOrder="0"/>
    </dxf>
    <dxf>
      <alignment horizontal="center" readingOrder="0"/>
    </dxf>
    <dxf>
      <alignment horizontal="center" readingOrder="0"/>
    </dxf>
    <dxf>
      <alignment vertical="center" readingOrder="0"/>
    </dxf>
    <dxf>
      <alignment vertical="center" readingOrder="0"/>
    </dxf>
    <dxf>
      <numFmt numFmtId="173" formatCode="#,##0.00\ &quot;€&quot;"/>
    </dxf>
    <dxf>
      <numFmt numFmtId="173" formatCode="#,##0.00\ &quot;€&quot;"/>
    </dxf>
    <dxf>
      <numFmt numFmtId="177" formatCode="#,###&quot; kg&quot;"/>
    </dxf>
    <dxf>
      <numFmt numFmtId="177" formatCode="#,###&quot; kg&quot;"/>
    </dxf>
    <dxf>
      <numFmt numFmtId="177" formatCode="#,###&quot; kg&quot;"/>
    </dxf>
    <dxf>
      <numFmt numFmtId="177" formatCode="#,###&quot; kg&quot;"/>
    </dxf>
    <dxf>
      <numFmt numFmtId="181" formatCode="0.00000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wrapText="1" readingOrder="0"/>
    </dxf>
    <dxf>
      <alignment wrapText="1" readingOrder="0"/>
    </dxf>
    <dxf>
      <alignment wrapText="1" readingOrder="0"/>
    </dxf>
    <dxf>
      <alignment wrapText="1" readingOrder="0"/>
    </dxf>
    <dxf>
      <alignment horizontal="center" readingOrder="0"/>
    </dxf>
    <dxf>
      <alignment horizontal="center" readingOrder="0"/>
    </dxf>
    <dxf>
      <alignment wrapText="1" readingOrder="0"/>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justifyLastLine="0" shrinkToFit="0" readingOrder="0"/>
      <border diagonalUp="0" diagonalDown="0" outline="0">
        <left/>
        <right/>
        <top style="thin">
          <color indexed="64"/>
        </top>
        <bottom style="thin">
          <color indexed="64"/>
        </bottom>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justifyLastLine="0" shrinkToFit="0" readingOrder="0"/>
      <border diagonalUp="0" diagonalDown="0">
        <left style="thick">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justifyLastLine="0" shrinkToFit="0" readingOrder="0"/>
      <border diagonalUp="0" diagonalDown="0">
        <left style="thin">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0"/>
        </patternFill>
      </fill>
      <alignment horizontal="center" vertical="bottom" textRotation="0" wrapText="0" indent="0" justifyLastLine="0" shrinkToFit="0" readingOrder="0"/>
      <border diagonalUp="0" diagonalDown="0">
        <left style="thick">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73" formatCode="#,##0.00\ &quot;€&quo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indexed="8"/>
        <name val="Calibri"/>
        <scheme val="none"/>
      </font>
      <numFmt numFmtId="173" formatCode="#,##0.00\ &quot;€&quot;"/>
      <fill>
        <patternFill patternType="solid">
          <fgColor indexed="64"/>
          <bgColor indexed="43"/>
        </patternFill>
      </fill>
      <alignment horizontal="center" vertical="bottom" textRotation="0" wrapText="0" indent="0" justifyLastLine="0" shrinkToFit="0" readingOrder="0"/>
      <border diagonalUp="0" diagonalDown="0">
        <left style="thin">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0"/>
        </patternFill>
      </fill>
      <alignment horizontal="center" vertical="bottom" textRotation="0" wrapText="0" indent="0" justifyLastLine="0" shrinkToFit="0" readingOrder="0"/>
      <border diagonalUp="0" diagonalDown="0">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73" formatCode="#,##0.00\ &quot;€&quot;"/>
      <fill>
        <patternFill patternType="solid">
          <fgColor indexed="64"/>
          <bgColor indexed="43"/>
        </patternFill>
      </fill>
      <alignment horizontal="center" vertical="bottom" textRotation="0" wrapText="0" indent="0" justifyLastLine="0" shrinkToFit="0" readingOrder="0"/>
      <border diagonalUp="0" diagonalDown="0">
        <left style="thick">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justifyLastLine="0" shrinkToFit="0" readingOrder="0"/>
      <border diagonalUp="0" diagonalDown="0">
        <left style="thin">
          <color indexed="64"/>
        </left>
        <right style="thick">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73" formatCode="#,##0.00\ &quot;€&quot;"/>
      <fill>
        <patternFill patternType="solid">
          <fgColor indexed="64"/>
          <bgColor indexed="43"/>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indexed="8"/>
        <name val="Calibri"/>
        <scheme val="none"/>
      </font>
      <numFmt numFmtId="164" formatCode="#,##0&quot; kg&quot;"/>
      <fill>
        <patternFill patternType="solid">
          <fgColor indexed="64"/>
          <bgColor indexed="5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numFmt numFmtId="164" formatCode="#,##0&quot; kg&quo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numFmt numFmtId="1" formatCode="0"/>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Calibri"/>
        <scheme val="none"/>
      </font>
      <numFmt numFmtId="19" formatCode="dd/mm/yyyy"/>
      <fill>
        <patternFill patternType="none">
          <fgColor indexed="64"/>
          <bgColor indexed="65"/>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bottom style="thick">
          <color indexed="64"/>
        </bottom>
      </border>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13" Type="http://schemas.openxmlformats.org/officeDocument/2006/relationships/worksheet" Target="worksheets/sheet12.xml"/><Relationship Id="rId18" Type="http://schemas.openxmlformats.org/officeDocument/2006/relationships/sharedStrings" Target="sharedStrings.xml"/><Relationship Id="rId3" Type="http://schemas.openxmlformats.org/officeDocument/2006/relationships/chartsheet" Target="chartsheets/sheet1.xml"/><Relationship Id="rId7" Type="http://schemas.openxmlformats.org/officeDocument/2006/relationships/worksheet" Target="worksheets/sheet6.xml"/><Relationship Id="rId12" Type="http://schemas.openxmlformats.org/officeDocument/2006/relationships/worksheet" Target="worksheets/sheet1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5" Type="http://schemas.openxmlformats.org/officeDocument/2006/relationships/worksheet" Target="worksheets/sheet4.xml"/><Relationship Id="rId15" Type="http://schemas.openxmlformats.org/officeDocument/2006/relationships/theme" Target="theme/theme1.xml"/><Relationship Id="rId10" Type="http://schemas.openxmlformats.org/officeDocument/2006/relationships/worksheet" Target="worksheets/sheet9.xml"/><Relationship Id="rId19" Type="http://schemas.openxmlformats.org/officeDocument/2006/relationships/calcChain" Target="calcChain.xml"/><Relationship Id="rId4" Type="http://schemas.openxmlformats.org/officeDocument/2006/relationships/worksheet" Target="worksheets/sheet3.xml"/><Relationship Id="rId9" Type="http://schemas.openxmlformats.org/officeDocument/2006/relationships/worksheet" Target="worksheets/sheet8.xml"/><Relationship Id="rId14" Type="http://schemas.openxmlformats.org/officeDocument/2006/relationships/pivotCacheDefinition" Target="pivotCache/pivotCacheDefinition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'Registre de Séchage&amp;Ventilation'!$C$3</c:f>
              <c:strCache>
                <c:ptCount val="1"/>
                <c:pt idx="0">
                  <c:v>%h2O</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val>
            <c:numRef>
              <c:f>'Registre de Séchage&amp;Ventilation'!$C$4:$C$200</c:f>
              <c:numCache>
                <c:formatCode>General</c:formatCode>
                <c:ptCount val="197"/>
                <c:pt idx="0">
                  <c:v>27.2</c:v>
                </c:pt>
                <c:pt idx="1">
                  <c:v>26.9</c:v>
                </c:pt>
                <c:pt idx="2">
                  <c:v>27</c:v>
                </c:pt>
                <c:pt idx="3">
                  <c:v>23.4</c:v>
                </c:pt>
                <c:pt idx="4">
                  <c:v>20.5</c:v>
                </c:pt>
                <c:pt idx="5">
                  <c:v>18.899999999999999</c:v>
                </c:pt>
                <c:pt idx="6">
                  <c:v>17.600000000000001</c:v>
                </c:pt>
                <c:pt idx="7">
                  <c:v>17</c:v>
                </c:pt>
                <c:pt idx="9">
                  <c:v>15.8</c:v>
                </c:pt>
                <c:pt idx="10">
                  <c:v>14</c:v>
                </c:pt>
                <c:pt idx="11">
                  <c:v>12</c:v>
                </c:pt>
                <c:pt idx="12">
                  <c:v>13.9</c:v>
                </c:pt>
                <c:pt idx="13">
                  <c:v>17</c:v>
                </c:pt>
                <c:pt idx="14">
                  <c:v>17.399999999999999</c:v>
                </c:pt>
                <c:pt idx="15">
                  <c:v>16.8</c:v>
                </c:pt>
                <c:pt idx="16">
                  <c:v>16.100000000000001</c:v>
                </c:pt>
                <c:pt idx="17">
                  <c:v>17</c:v>
                </c:pt>
                <c:pt idx="18">
                  <c:v>17.100000000000001</c:v>
                </c:pt>
                <c:pt idx="21">
                  <c:v>17</c:v>
                </c:pt>
                <c:pt idx="22">
                  <c:v>18.2</c:v>
                </c:pt>
                <c:pt idx="23">
                  <c:v>18</c:v>
                </c:pt>
                <c:pt idx="24">
                  <c:v>17.7</c:v>
                </c:pt>
                <c:pt idx="25">
                  <c:v>16.100000000000001</c:v>
                </c:pt>
                <c:pt idx="26">
                  <c:v>14.4</c:v>
                </c:pt>
                <c:pt idx="27">
                  <c:v>15</c:v>
                </c:pt>
                <c:pt idx="28">
                  <c:v>15.4</c:v>
                </c:pt>
                <c:pt idx="29">
                  <c:v>16.5</c:v>
                </c:pt>
                <c:pt idx="30">
                  <c:v>16.899999999999999</c:v>
                </c:pt>
                <c:pt idx="31">
                  <c:v>16.600000000000001</c:v>
                </c:pt>
                <c:pt idx="32">
                  <c:v>15.9</c:v>
                </c:pt>
                <c:pt idx="33">
                  <c:v>15.8</c:v>
                </c:pt>
                <c:pt idx="34">
                  <c:v>16.3</c:v>
                </c:pt>
                <c:pt idx="37">
                  <c:v>15.1</c:v>
                </c:pt>
                <c:pt idx="38">
                  <c:v>14.8</c:v>
                </c:pt>
                <c:pt idx="39">
                  <c:v>14.3</c:v>
                </c:pt>
                <c:pt idx="40">
                  <c:v>14.9</c:v>
                </c:pt>
                <c:pt idx="41">
                  <c:v>15.5</c:v>
                </c:pt>
                <c:pt idx="42">
                  <c:v>14.9</c:v>
                </c:pt>
                <c:pt idx="43">
                  <c:v>15.7</c:v>
                </c:pt>
                <c:pt idx="44">
                  <c:v>16.100000000000001</c:v>
                </c:pt>
                <c:pt idx="45">
                  <c:v>16</c:v>
                </c:pt>
                <c:pt idx="46">
                  <c:v>16.600000000000001</c:v>
                </c:pt>
                <c:pt idx="47">
                  <c:v>16.399999999999999</c:v>
                </c:pt>
                <c:pt idx="48">
                  <c:v>17.100000000000001</c:v>
                </c:pt>
                <c:pt idx="49">
                  <c:v>18.3</c:v>
                </c:pt>
                <c:pt idx="50">
                  <c:v>17.7</c:v>
                </c:pt>
                <c:pt idx="51">
                  <c:v>17.600000000000001</c:v>
                </c:pt>
                <c:pt idx="52">
                  <c:v>16.899999999999999</c:v>
                </c:pt>
                <c:pt idx="55">
                  <c:v>16.8</c:v>
                </c:pt>
                <c:pt idx="56">
                  <c:v>15.2</c:v>
                </c:pt>
                <c:pt idx="57">
                  <c:v>14.4</c:v>
                </c:pt>
                <c:pt idx="58">
                  <c:v>13.8</c:v>
                </c:pt>
                <c:pt idx="59">
                  <c:v>13.8</c:v>
                </c:pt>
                <c:pt idx="60">
                  <c:v>13.6</c:v>
                </c:pt>
                <c:pt idx="61">
                  <c:v>16.399999999999999</c:v>
                </c:pt>
                <c:pt idx="62">
                  <c:v>16</c:v>
                </c:pt>
                <c:pt idx="63">
                  <c:v>15.4</c:v>
                </c:pt>
                <c:pt idx="64">
                  <c:v>15.5</c:v>
                </c:pt>
                <c:pt idx="65">
                  <c:v>15.2</c:v>
                </c:pt>
                <c:pt idx="66">
                  <c:v>15.3</c:v>
                </c:pt>
                <c:pt idx="67">
                  <c:v>14.7</c:v>
                </c:pt>
                <c:pt idx="70">
                  <c:v>15</c:v>
                </c:pt>
                <c:pt idx="71">
                  <c:v>15.2</c:v>
                </c:pt>
                <c:pt idx="72">
                  <c:v>16.100000000000001</c:v>
                </c:pt>
                <c:pt idx="73">
                  <c:v>16.8</c:v>
                </c:pt>
                <c:pt idx="74">
                  <c:v>16.5</c:v>
                </c:pt>
                <c:pt idx="75">
                  <c:v>16.899999999999999</c:v>
                </c:pt>
                <c:pt idx="76">
                  <c:v>16.3</c:v>
                </c:pt>
                <c:pt idx="77">
                  <c:v>16</c:v>
                </c:pt>
                <c:pt idx="78">
                  <c:v>17</c:v>
                </c:pt>
                <c:pt idx="79">
                  <c:v>17</c:v>
                </c:pt>
                <c:pt idx="80">
                  <c:v>15.4</c:v>
                </c:pt>
                <c:pt idx="81">
                  <c:v>15.7</c:v>
                </c:pt>
                <c:pt idx="82">
                  <c:v>16.399999999999999</c:v>
                </c:pt>
                <c:pt idx="83">
                  <c:v>15</c:v>
                </c:pt>
                <c:pt idx="84">
                  <c:v>16.7</c:v>
                </c:pt>
                <c:pt idx="85">
                  <c:v>15.7</c:v>
                </c:pt>
                <c:pt idx="86">
                  <c:v>16.2</c:v>
                </c:pt>
                <c:pt idx="87">
                  <c:v>15.8</c:v>
                </c:pt>
                <c:pt idx="89">
                  <c:v>16.5</c:v>
                </c:pt>
                <c:pt idx="90">
                  <c:v>16.8</c:v>
                </c:pt>
                <c:pt idx="91">
                  <c:v>17.100000000000001</c:v>
                </c:pt>
                <c:pt idx="92">
                  <c:v>16</c:v>
                </c:pt>
                <c:pt idx="93">
                  <c:v>15.5</c:v>
                </c:pt>
                <c:pt idx="94">
                  <c:v>15.5</c:v>
                </c:pt>
                <c:pt idx="95">
                  <c:v>17.600000000000001</c:v>
                </c:pt>
                <c:pt idx="96">
                  <c:v>17.5</c:v>
                </c:pt>
                <c:pt idx="97">
                  <c:v>16.600000000000001</c:v>
                </c:pt>
                <c:pt idx="98">
                  <c:v>16.899999999999999</c:v>
                </c:pt>
                <c:pt idx="99">
                  <c:v>15.3</c:v>
                </c:pt>
                <c:pt idx="102">
                  <c:v>15.1</c:v>
                </c:pt>
                <c:pt idx="103">
                  <c:v>14.4</c:v>
                </c:pt>
                <c:pt idx="104">
                  <c:v>14</c:v>
                </c:pt>
                <c:pt idx="105">
                  <c:v>14</c:v>
                </c:pt>
                <c:pt idx="106">
                  <c:v>15.7</c:v>
                </c:pt>
                <c:pt idx="107">
                  <c:v>15.1</c:v>
                </c:pt>
                <c:pt idx="108">
                  <c:v>14.7</c:v>
                </c:pt>
              </c:numCache>
            </c:numRef>
          </c:val>
        </c:ser>
        <c:dLbls>
          <c:showLegendKey val="0"/>
          <c:showVal val="0"/>
          <c:showCatName val="0"/>
          <c:showSerName val="0"/>
          <c:showPercent val="0"/>
          <c:showBubbleSize val="0"/>
        </c:dLbls>
        <c:gapWidth val="0"/>
        <c:axId val="496865568"/>
        <c:axId val="496867248"/>
      </c:barChart>
      <c:lineChart>
        <c:grouping val="standard"/>
        <c:varyColors val="0"/>
        <c:ser>
          <c:idx val="1"/>
          <c:order val="1"/>
          <c:tx>
            <c:strRef>
              <c:f>'Registre de Séchage&amp;Ventilation'!$D$3</c:f>
              <c:strCache>
                <c:ptCount val="1"/>
                <c:pt idx="0">
                  <c:v>°C grain</c:v>
                </c:pt>
              </c:strCache>
            </c:strRef>
          </c:tx>
          <c:spPr>
            <a:ln w="15875" cap="rnd">
              <a:solidFill>
                <a:schemeClr val="accent2"/>
              </a:solidFill>
              <a:round/>
            </a:ln>
            <a:effectLst>
              <a:outerShdw blurRad="40000" dist="20000" dir="5400000" rotWithShape="0">
                <a:srgbClr val="000000">
                  <a:alpha val="38000"/>
                </a:srgbClr>
              </a:outerShdw>
            </a:effectLst>
          </c:spPr>
          <c:marker>
            <c:symbol val="none"/>
          </c:marker>
          <c:val>
            <c:numRef>
              <c:f>'Registre de Séchage&amp;Ventilation'!$D$4:$D$200</c:f>
              <c:numCache>
                <c:formatCode>General</c:formatCode>
                <c:ptCount val="197"/>
                <c:pt idx="0">
                  <c:v>19.5</c:v>
                </c:pt>
                <c:pt idx="1">
                  <c:v>18.3</c:v>
                </c:pt>
                <c:pt idx="2">
                  <c:v>18.3</c:v>
                </c:pt>
                <c:pt idx="3">
                  <c:v>20.399999999999999</c:v>
                </c:pt>
                <c:pt idx="4">
                  <c:v>24.2</c:v>
                </c:pt>
                <c:pt idx="5">
                  <c:v>25.7</c:v>
                </c:pt>
                <c:pt idx="6">
                  <c:v>27.3</c:v>
                </c:pt>
                <c:pt idx="7">
                  <c:v>30.3</c:v>
                </c:pt>
                <c:pt idx="9">
                  <c:v>35</c:v>
                </c:pt>
                <c:pt idx="10">
                  <c:v>38.1</c:v>
                </c:pt>
                <c:pt idx="11">
                  <c:v>33.799999999999997</c:v>
                </c:pt>
                <c:pt idx="12">
                  <c:v>32.299999999999997</c:v>
                </c:pt>
                <c:pt idx="13">
                  <c:v>31</c:v>
                </c:pt>
                <c:pt idx="14">
                  <c:v>31.5</c:v>
                </c:pt>
                <c:pt idx="15">
                  <c:v>31.1</c:v>
                </c:pt>
                <c:pt idx="16">
                  <c:v>31.1</c:v>
                </c:pt>
                <c:pt idx="17">
                  <c:v>30.4</c:v>
                </c:pt>
                <c:pt idx="18">
                  <c:v>29.7</c:v>
                </c:pt>
                <c:pt idx="21">
                  <c:v>21.9</c:v>
                </c:pt>
                <c:pt idx="22">
                  <c:v>25</c:v>
                </c:pt>
                <c:pt idx="23">
                  <c:v>27.5</c:v>
                </c:pt>
                <c:pt idx="24">
                  <c:v>29.1</c:v>
                </c:pt>
                <c:pt idx="25">
                  <c:v>30.6</c:v>
                </c:pt>
                <c:pt idx="26">
                  <c:v>32.299999999999997</c:v>
                </c:pt>
                <c:pt idx="27">
                  <c:v>31.4</c:v>
                </c:pt>
                <c:pt idx="28">
                  <c:v>31.2</c:v>
                </c:pt>
                <c:pt idx="29">
                  <c:v>28.5</c:v>
                </c:pt>
                <c:pt idx="30">
                  <c:v>26.6</c:v>
                </c:pt>
                <c:pt idx="31">
                  <c:v>25.1</c:v>
                </c:pt>
                <c:pt idx="32">
                  <c:v>24.5</c:v>
                </c:pt>
                <c:pt idx="33">
                  <c:v>22</c:v>
                </c:pt>
                <c:pt idx="34">
                  <c:v>21.6</c:v>
                </c:pt>
                <c:pt idx="37">
                  <c:v>15.5</c:v>
                </c:pt>
                <c:pt idx="38">
                  <c:v>19.100000000000001</c:v>
                </c:pt>
                <c:pt idx="39">
                  <c:v>23.4</c:v>
                </c:pt>
                <c:pt idx="40">
                  <c:v>26.5</c:v>
                </c:pt>
                <c:pt idx="41">
                  <c:v>30.6</c:v>
                </c:pt>
                <c:pt idx="42">
                  <c:v>34.5</c:v>
                </c:pt>
                <c:pt idx="43">
                  <c:v>31.8</c:v>
                </c:pt>
                <c:pt idx="44">
                  <c:v>30.8</c:v>
                </c:pt>
                <c:pt idx="45">
                  <c:v>31.8</c:v>
                </c:pt>
                <c:pt idx="46">
                  <c:v>30.3</c:v>
                </c:pt>
                <c:pt idx="47">
                  <c:v>29.9</c:v>
                </c:pt>
                <c:pt idx="48">
                  <c:v>27.3</c:v>
                </c:pt>
                <c:pt idx="49">
                  <c:v>27.2</c:v>
                </c:pt>
                <c:pt idx="50">
                  <c:v>27.5</c:v>
                </c:pt>
                <c:pt idx="51">
                  <c:v>26.8</c:v>
                </c:pt>
                <c:pt idx="52">
                  <c:v>26.7</c:v>
                </c:pt>
                <c:pt idx="55">
                  <c:v>23.4</c:v>
                </c:pt>
                <c:pt idx="56">
                  <c:v>22.7</c:v>
                </c:pt>
                <c:pt idx="57">
                  <c:v>25.3</c:v>
                </c:pt>
                <c:pt idx="58">
                  <c:v>30.6</c:v>
                </c:pt>
                <c:pt idx="59">
                  <c:v>32.700000000000003</c:v>
                </c:pt>
                <c:pt idx="60">
                  <c:v>29.9</c:v>
                </c:pt>
                <c:pt idx="61">
                  <c:v>29.4</c:v>
                </c:pt>
                <c:pt idx="62">
                  <c:v>31.5</c:v>
                </c:pt>
                <c:pt idx="63">
                  <c:v>31.6</c:v>
                </c:pt>
                <c:pt idx="64">
                  <c:v>29.7</c:v>
                </c:pt>
                <c:pt idx="65">
                  <c:v>30.2</c:v>
                </c:pt>
                <c:pt idx="66">
                  <c:v>29.9</c:v>
                </c:pt>
                <c:pt idx="67">
                  <c:v>29.9</c:v>
                </c:pt>
                <c:pt idx="70">
                  <c:v>20.3</c:v>
                </c:pt>
                <c:pt idx="71">
                  <c:v>21.8</c:v>
                </c:pt>
                <c:pt idx="72">
                  <c:v>27.3</c:v>
                </c:pt>
                <c:pt idx="73">
                  <c:v>27</c:v>
                </c:pt>
                <c:pt idx="74">
                  <c:v>30.6</c:v>
                </c:pt>
                <c:pt idx="75">
                  <c:v>30.5</c:v>
                </c:pt>
                <c:pt idx="76">
                  <c:v>32.299999999999997</c:v>
                </c:pt>
                <c:pt idx="77">
                  <c:v>32.299999999999997</c:v>
                </c:pt>
                <c:pt idx="78">
                  <c:v>33.799999999999997</c:v>
                </c:pt>
                <c:pt idx="79">
                  <c:v>33.6</c:v>
                </c:pt>
                <c:pt idx="80">
                  <c:v>33.5</c:v>
                </c:pt>
                <c:pt idx="81">
                  <c:v>31.5</c:v>
                </c:pt>
                <c:pt idx="82">
                  <c:v>32.4</c:v>
                </c:pt>
                <c:pt idx="83">
                  <c:v>32.1</c:v>
                </c:pt>
                <c:pt idx="84">
                  <c:v>31</c:v>
                </c:pt>
                <c:pt idx="85">
                  <c:v>32</c:v>
                </c:pt>
                <c:pt idx="86">
                  <c:v>28.3</c:v>
                </c:pt>
                <c:pt idx="87">
                  <c:v>28.9</c:v>
                </c:pt>
                <c:pt idx="89">
                  <c:v>22</c:v>
                </c:pt>
                <c:pt idx="90">
                  <c:v>24.2</c:v>
                </c:pt>
                <c:pt idx="91">
                  <c:v>27.3</c:v>
                </c:pt>
                <c:pt idx="92">
                  <c:v>27.7</c:v>
                </c:pt>
                <c:pt idx="93">
                  <c:v>31.4</c:v>
                </c:pt>
                <c:pt idx="94">
                  <c:v>29.6</c:v>
                </c:pt>
                <c:pt idx="95">
                  <c:v>27.8</c:v>
                </c:pt>
                <c:pt idx="96">
                  <c:v>28.4</c:v>
                </c:pt>
                <c:pt idx="97">
                  <c:v>28.2</c:v>
                </c:pt>
                <c:pt idx="98">
                  <c:v>28.4</c:v>
                </c:pt>
                <c:pt idx="99">
                  <c:v>28.6</c:v>
                </c:pt>
                <c:pt idx="102">
                  <c:v>21.1</c:v>
                </c:pt>
                <c:pt idx="103">
                  <c:v>27.1</c:v>
                </c:pt>
                <c:pt idx="104">
                  <c:v>30.9</c:v>
                </c:pt>
                <c:pt idx="105">
                  <c:v>31.4</c:v>
                </c:pt>
                <c:pt idx="106">
                  <c:v>31.7</c:v>
                </c:pt>
                <c:pt idx="107">
                  <c:v>31.8</c:v>
                </c:pt>
                <c:pt idx="108">
                  <c:v>30.8</c:v>
                </c:pt>
              </c:numCache>
            </c:numRef>
          </c:val>
          <c:smooth val="0"/>
        </c:ser>
        <c:ser>
          <c:idx val="2"/>
          <c:order val="2"/>
          <c:tx>
            <c:strRef>
              <c:f>'Registre de Séchage&amp;Ventilation'!$I$3</c:f>
              <c:strCache>
                <c:ptCount val="1"/>
                <c:pt idx="0">
                  <c:v>°C réel du grain</c:v>
                </c:pt>
              </c:strCache>
            </c:strRef>
          </c:tx>
          <c:spPr>
            <a:ln w="15875" cap="rnd">
              <a:solidFill>
                <a:schemeClr val="accent3"/>
              </a:solidFill>
              <a:round/>
            </a:ln>
            <a:effectLst>
              <a:outerShdw blurRad="40000" dist="20000" dir="5400000" rotWithShape="0">
                <a:srgbClr val="000000">
                  <a:alpha val="38000"/>
                </a:srgbClr>
              </a:outerShdw>
            </a:effectLst>
          </c:spPr>
          <c:marker>
            <c:symbol val="none"/>
          </c:marker>
          <c:val>
            <c:numRef>
              <c:f>'Registre de Séchage&amp;Ventilation'!$I$4:$I$200</c:f>
              <c:numCache>
                <c:formatCode>General</c:formatCode>
                <c:ptCount val="197"/>
                <c:pt idx="0">
                  <c:v>24.9</c:v>
                </c:pt>
                <c:pt idx="1">
                  <c:v>33.6</c:v>
                </c:pt>
                <c:pt idx="2">
                  <c:v>39.299999999999997</c:v>
                </c:pt>
                <c:pt idx="3">
                  <c:v>44.3</c:v>
                </c:pt>
                <c:pt idx="4">
                  <c:v>48.2</c:v>
                </c:pt>
                <c:pt idx="5">
                  <c:v>49.6</c:v>
                </c:pt>
                <c:pt idx="6">
                  <c:v>52.2</c:v>
                </c:pt>
                <c:pt idx="7">
                  <c:v>53.8</c:v>
                </c:pt>
                <c:pt idx="9">
                  <c:v>61.2</c:v>
                </c:pt>
                <c:pt idx="10">
                  <c:v>52.4</c:v>
                </c:pt>
                <c:pt idx="11">
                  <c:v>44</c:v>
                </c:pt>
                <c:pt idx="12">
                  <c:v>46</c:v>
                </c:pt>
                <c:pt idx="13">
                  <c:v>47.7</c:v>
                </c:pt>
                <c:pt idx="14">
                  <c:v>47.8</c:v>
                </c:pt>
                <c:pt idx="15">
                  <c:v>47.3</c:v>
                </c:pt>
                <c:pt idx="16">
                  <c:v>47.2</c:v>
                </c:pt>
                <c:pt idx="17">
                  <c:v>45.7</c:v>
                </c:pt>
                <c:pt idx="18">
                  <c:v>45.2</c:v>
                </c:pt>
                <c:pt idx="21">
                  <c:v>36.700000000000003</c:v>
                </c:pt>
                <c:pt idx="22">
                  <c:v>43.8</c:v>
                </c:pt>
                <c:pt idx="23">
                  <c:v>48.2</c:v>
                </c:pt>
                <c:pt idx="24">
                  <c:v>49.8</c:v>
                </c:pt>
                <c:pt idx="25">
                  <c:v>48.9</c:v>
                </c:pt>
                <c:pt idx="26">
                  <c:v>48.3</c:v>
                </c:pt>
                <c:pt idx="27">
                  <c:v>47.9</c:v>
                </c:pt>
                <c:pt idx="28">
                  <c:v>47.3</c:v>
                </c:pt>
                <c:pt idx="29">
                  <c:v>47</c:v>
                </c:pt>
                <c:pt idx="30">
                  <c:v>47.1</c:v>
                </c:pt>
                <c:pt idx="31">
                  <c:v>47.8</c:v>
                </c:pt>
                <c:pt idx="32">
                  <c:v>48.2</c:v>
                </c:pt>
                <c:pt idx="33">
                  <c:v>42.4</c:v>
                </c:pt>
                <c:pt idx="34">
                  <c:v>47</c:v>
                </c:pt>
                <c:pt idx="37">
                  <c:v>35.1</c:v>
                </c:pt>
                <c:pt idx="38">
                  <c:v>43.6</c:v>
                </c:pt>
                <c:pt idx="39">
                  <c:v>48.5</c:v>
                </c:pt>
                <c:pt idx="40">
                  <c:v>50.4</c:v>
                </c:pt>
                <c:pt idx="41">
                  <c:v>52.9</c:v>
                </c:pt>
                <c:pt idx="42">
                  <c:v>48.9</c:v>
                </c:pt>
                <c:pt idx="43">
                  <c:v>47.6</c:v>
                </c:pt>
                <c:pt idx="44">
                  <c:v>46.8</c:v>
                </c:pt>
                <c:pt idx="45">
                  <c:v>45.9</c:v>
                </c:pt>
                <c:pt idx="46">
                  <c:v>47.2</c:v>
                </c:pt>
                <c:pt idx="47">
                  <c:v>46.5</c:v>
                </c:pt>
                <c:pt idx="48">
                  <c:v>45.9</c:v>
                </c:pt>
                <c:pt idx="49">
                  <c:v>46.2</c:v>
                </c:pt>
                <c:pt idx="50">
                  <c:v>46.9</c:v>
                </c:pt>
                <c:pt idx="51">
                  <c:v>47.3</c:v>
                </c:pt>
                <c:pt idx="52">
                  <c:v>47.5</c:v>
                </c:pt>
                <c:pt idx="55">
                  <c:v>35.4</c:v>
                </c:pt>
                <c:pt idx="56">
                  <c:v>43.3</c:v>
                </c:pt>
                <c:pt idx="57">
                  <c:v>49.8</c:v>
                </c:pt>
                <c:pt idx="58">
                  <c:v>54.5</c:v>
                </c:pt>
                <c:pt idx="59">
                  <c:v>48.4</c:v>
                </c:pt>
                <c:pt idx="60">
                  <c:v>46.9</c:v>
                </c:pt>
                <c:pt idx="61">
                  <c:v>48.3</c:v>
                </c:pt>
                <c:pt idx="62">
                  <c:v>48.7</c:v>
                </c:pt>
                <c:pt idx="63">
                  <c:v>48.1</c:v>
                </c:pt>
                <c:pt idx="64">
                  <c:v>47.8</c:v>
                </c:pt>
                <c:pt idx="65">
                  <c:v>49.6</c:v>
                </c:pt>
                <c:pt idx="66">
                  <c:v>50.5</c:v>
                </c:pt>
                <c:pt idx="67">
                  <c:v>50.9</c:v>
                </c:pt>
                <c:pt idx="70">
                  <c:v>33.200000000000003</c:v>
                </c:pt>
                <c:pt idx="71">
                  <c:v>43</c:v>
                </c:pt>
                <c:pt idx="72">
                  <c:v>48.6</c:v>
                </c:pt>
                <c:pt idx="73">
                  <c:v>48</c:v>
                </c:pt>
                <c:pt idx="74">
                  <c:v>48.7</c:v>
                </c:pt>
                <c:pt idx="75">
                  <c:v>48.8</c:v>
                </c:pt>
                <c:pt idx="76">
                  <c:v>47.6</c:v>
                </c:pt>
                <c:pt idx="77">
                  <c:v>47.3</c:v>
                </c:pt>
                <c:pt idx="78">
                  <c:v>48.5</c:v>
                </c:pt>
                <c:pt idx="79">
                  <c:v>49.9</c:v>
                </c:pt>
                <c:pt idx="80">
                  <c:v>49.1</c:v>
                </c:pt>
                <c:pt idx="81">
                  <c:v>49.4</c:v>
                </c:pt>
                <c:pt idx="82">
                  <c:v>52.9</c:v>
                </c:pt>
                <c:pt idx="83">
                  <c:v>50.1</c:v>
                </c:pt>
                <c:pt idx="84">
                  <c:v>49.6</c:v>
                </c:pt>
                <c:pt idx="85">
                  <c:v>49.8</c:v>
                </c:pt>
                <c:pt idx="86">
                  <c:v>50</c:v>
                </c:pt>
                <c:pt idx="87">
                  <c:v>47.9</c:v>
                </c:pt>
                <c:pt idx="89">
                  <c:v>34.6</c:v>
                </c:pt>
                <c:pt idx="90">
                  <c:v>42.8</c:v>
                </c:pt>
                <c:pt idx="91">
                  <c:v>48.6</c:v>
                </c:pt>
                <c:pt idx="92">
                  <c:v>51.3</c:v>
                </c:pt>
                <c:pt idx="93">
                  <c:v>52</c:v>
                </c:pt>
                <c:pt idx="94">
                  <c:v>48.3</c:v>
                </c:pt>
                <c:pt idx="95">
                  <c:v>48.9</c:v>
                </c:pt>
                <c:pt idx="96">
                  <c:v>48.7</c:v>
                </c:pt>
                <c:pt idx="97">
                  <c:v>49.3</c:v>
                </c:pt>
                <c:pt idx="98">
                  <c:v>51.3</c:v>
                </c:pt>
                <c:pt idx="99">
                  <c:v>50.2</c:v>
                </c:pt>
                <c:pt idx="102">
                  <c:v>36</c:v>
                </c:pt>
                <c:pt idx="103">
                  <c:v>46.6</c:v>
                </c:pt>
                <c:pt idx="104">
                  <c:v>51.8</c:v>
                </c:pt>
                <c:pt idx="105">
                  <c:v>48.4</c:v>
                </c:pt>
                <c:pt idx="106">
                  <c:v>50.9</c:v>
                </c:pt>
                <c:pt idx="107">
                  <c:v>51.1</c:v>
                </c:pt>
                <c:pt idx="108">
                  <c:v>51.7</c:v>
                </c:pt>
              </c:numCache>
            </c:numRef>
          </c:val>
          <c:smooth val="0"/>
        </c:ser>
        <c:dLbls>
          <c:showLegendKey val="0"/>
          <c:showVal val="0"/>
          <c:showCatName val="0"/>
          <c:showSerName val="0"/>
          <c:showPercent val="0"/>
          <c:showBubbleSize val="0"/>
        </c:dLbls>
        <c:marker val="1"/>
        <c:smooth val="0"/>
        <c:axId val="496861648"/>
        <c:axId val="496870048"/>
      </c:lineChart>
      <c:catAx>
        <c:axId val="49686556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96867248"/>
        <c:crosses val="autoZero"/>
        <c:auto val="1"/>
        <c:lblAlgn val="ctr"/>
        <c:lblOffset val="100"/>
        <c:tickMarkSkip val="1"/>
        <c:noMultiLvlLbl val="0"/>
      </c:catAx>
      <c:valAx>
        <c:axId val="496867248"/>
        <c:scaling>
          <c:orientation val="minMax"/>
          <c:max val="30"/>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96865568"/>
        <c:crosses val="autoZero"/>
        <c:crossBetween val="between"/>
        <c:majorUnit val="1"/>
        <c:minorUnit val="0.5"/>
      </c:valAx>
      <c:catAx>
        <c:axId val="496861648"/>
        <c:scaling>
          <c:orientation val="minMax"/>
        </c:scaling>
        <c:delete val="1"/>
        <c:axPos val="b"/>
        <c:majorTickMark val="none"/>
        <c:minorTickMark val="none"/>
        <c:tickLblPos val="nextTo"/>
        <c:crossAx val="496870048"/>
        <c:crosses val="autoZero"/>
        <c:auto val="1"/>
        <c:lblAlgn val="ctr"/>
        <c:lblOffset val="100"/>
        <c:noMultiLvlLbl val="0"/>
      </c:catAx>
      <c:valAx>
        <c:axId val="496870048"/>
        <c:scaling>
          <c:orientation val="minMax"/>
          <c:max val="60"/>
        </c:scaling>
        <c:delete val="0"/>
        <c:axPos val="r"/>
        <c:numFmt formatCode="General"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crossAx val="496861648"/>
        <c:crosses val="max"/>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[Enregistrements BRUT 2014-2015 - Copie.xlsm]Stats!Tableau croisé dynamique5</c:name>
    <c:fmtId val="0"/>
  </c:pivotSource>
  <c:chart>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ln w="28575" cap="rnd">
            <a:solidFill>
              <a:schemeClr val="accent1"/>
            </a:solidFill>
            <a:round/>
          </a:ln>
          <a:effectLst/>
        </c:spPr>
        <c:marker>
          <c:symbol val="circle"/>
          <c:size val="5"/>
          <c:spPr>
            <a:solidFill>
              <a:schemeClr val="accent3"/>
            </a:solidFill>
            <a:ln w="9525">
              <a:solidFill>
                <a:schemeClr val="accent3"/>
              </a:solidFill>
            </a:ln>
            <a:effectLst/>
          </c:spPr>
        </c:marker>
      </c:pivotFmt>
    </c:pivotFmts>
    <c:plotArea>
      <c:layout/>
      <c:barChart>
        <c:barDir val="col"/>
        <c:grouping val="clustered"/>
        <c:varyColors val="0"/>
        <c:ser>
          <c:idx val="0"/>
          <c:order val="0"/>
          <c:tx>
            <c:strRef>
              <c:f>Stats!$B$4</c:f>
              <c:strCache>
                <c:ptCount val="1"/>
                <c:pt idx="0">
                  <c:v>Poids Net</c:v>
                </c:pt>
              </c:strCache>
            </c:strRef>
          </c:tx>
          <c:spPr>
            <a:solidFill>
              <a:schemeClr val="accent1"/>
            </a:solidFill>
            <a:ln>
              <a:noFill/>
            </a:ln>
            <a:effectLst/>
          </c:spPr>
          <c:invertIfNegative val="0"/>
          <c:cat>
            <c:strRef>
              <c:f>Stats!$A$5:$A$6</c:f>
              <c:strCache>
                <c:ptCount val="1"/>
                <c:pt idx="0">
                  <c:v>Casaus</c:v>
                </c:pt>
              </c:strCache>
            </c:strRef>
          </c:cat>
          <c:val>
            <c:numRef>
              <c:f>Stats!$B$5:$B$6</c:f>
              <c:numCache>
                <c:formatCode>#\ ###" kg"</c:formatCode>
                <c:ptCount val="1"/>
                <c:pt idx="0">
                  <c:v>243620</c:v>
                </c:pt>
              </c:numCache>
            </c:numRef>
          </c:val>
        </c:ser>
        <c:ser>
          <c:idx val="1"/>
          <c:order val="1"/>
          <c:tx>
            <c:strRef>
              <c:f>Stats!$C$4</c:f>
              <c:strCache>
                <c:ptCount val="1"/>
                <c:pt idx="0">
                  <c:v>Poids Recalculé</c:v>
                </c:pt>
              </c:strCache>
            </c:strRef>
          </c:tx>
          <c:spPr>
            <a:solidFill>
              <a:schemeClr val="accent2"/>
            </a:solidFill>
            <a:ln>
              <a:noFill/>
            </a:ln>
            <a:effectLst/>
          </c:spPr>
          <c:invertIfNegative val="0"/>
          <c:cat>
            <c:strRef>
              <c:f>Stats!$A$5:$A$6</c:f>
              <c:strCache>
                <c:ptCount val="1"/>
                <c:pt idx="0">
                  <c:v>Casaus</c:v>
                </c:pt>
              </c:strCache>
            </c:strRef>
          </c:cat>
          <c:val>
            <c:numRef>
              <c:f>Stats!$C$5:$C$6</c:f>
              <c:numCache>
                <c:formatCode>#\ ###" kg"</c:formatCode>
                <c:ptCount val="1"/>
                <c:pt idx="0">
                  <c:v>203264.37799999997</c:v>
                </c:pt>
              </c:numCache>
            </c:numRef>
          </c:val>
        </c:ser>
        <c:dLbls>
          <c:showLegendKey val="0"/>
          <c:showVal val="0"/>
          <c:showCatName val="0"/>
          <c:showSerName val="0"/>
          <c:showPercent val="0"/>
          <c:showBubbleSize val="0"/>
        </c:dLbls>
        <c:gapWidth val="150"/>
        <c:axId val="387331824"/>
        <c:axId val="387322304"/>
      </c:barChart>
      <c:lineChart>
        <c:grouping val="stacked"/>
        <c:varyColors val="0"/>
        <c:ser>
          <c:idx val="2"/>
          <c:order val="2"/>
          <c:tx>
            <c:strRef>
              <c:f>Stats!$D$4</c:f>
              <c:strCache>
                <c:ptCount val="1"/>
                <c:pt idx="0">
                  <c:v>Séchage</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Stats!$A$5:$A$6</c:f>
              <c:strCache>
                <c:ptCount val="1"/>
                <c:pt idx="0">
                  <c:v>Casaus</c:v>
                </c:pt>
              </c:strCache>
            </c:strRef>
          </c:cat>
          <c:val>
            <c:numRef>
              <c:f>Stats!$D$5:$D$6</c:f>
              <c:numCache>
                <c:formatCode>#\ ##0.00\ "€"</c:formatCode>
                <c:ptCount val="1"/>
                <c:pt idx="0">
                  <c:v>5112.9419252199987</c:v>
                </c:pt>
              </c:numCache>
            </c:numRef>
          </c:val>
          <c:smooth val="0"/>
        </c:ser>
        <c:dLbls>
          <c:showLegendKey val="0"/>
          <c:showVal val="0"/>
          <c:showCatName val="0"/>
          <c:showSerName val="0"/>
          <c:showPercent val="0"/>
          <c:showBubbleSize val="0"/>
        </c:dLbls>
        <c:marker val="1"/>
        <c:smooth val="0"/>
        <c:axId val="387322864"/>
        <c:axId val="387320624"/>
      </c:lineChart>
      <c:catAx>
        <c:axId val="387331824"/>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87322304"/>
        <c:crosses val="autoZero"/>
        <c:auto val="1"/>
        <c:lblAlgn val="ctr"/>
        <c:lblOffset val="100"/>
        <c:noMultiLvlLbl val="0"/>
      </c:catAx>
      <c:valAx>
        <c:axId val="387322304"/>
        <c:scaling>
          <c:orientation val="minMax"/>
        </c:scaling>
        <c:delete val="0"/>
        <c:axPos val="l"/>
        <c:majorGridlines>
          <c:spPr>
            <a:ln w="9525" cap="flat" cmpd="sng" algn="ctr">
              <a:solidFill>
                <a:schemeClr val="tx1">
                  <a:lumMod val="15000"/>
                  <a:lumOff val="85000"/>
                </a:schemeClr>
              </a:solidFill>
              <a:round/>
            </a:ln>
            <a:effectLst/>
          </c:spPr>
        </c:majorGridlines>
        <c:numFmt formatCode="#\ ###&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87331824"/>
        <c:crosses val="autoZero"/>
        <c:crossBetween val="between"/>
      </c:valAx>
      <c:valAx>
        <c:axId val="387320624"/>
        <c:scaling>
          <c:orientation val="minMax"/>
        </c:scaling>
        <c:delete val="0"/>
        <c:axPos val="r"/>
        <c:numFmt formatCode="#\ ##0.00\ &quot;€&quot;"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87322864"/>
        <c:crosses val="max"/>
        <c:crossBetween val="between"/>
      </c:valAx>
      <c:catAx>
        <c:axId val="387322864"/>
        <c:scaling>
          <c:orientation val="minMax"/>
        </c:scaling>
        <c:delete val="1"/>
        <c:axPos val="b"/>
        <c:numFmt formatCode="General" sourceLinked="1"/>
        <c:majorTickMark val="out"/>
        <c:minorTickMark val="none"/>
        <c:tickLblPos val="nextTo"/>
        <c:crossAx val="387320624"/>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5">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75000"/>
            <a:lumOff val="25000"/>
          </a:schemeClr>
        </a:solidFill>
      </a:ln>
    </cs:spPr>
  </cs:downBar>
  <cs:dropLine>
    <cs:lnRef idx="0"/>
    <cs:fillRef idx="0"/>
    <cs:effectRef idx="0"/>
    <cs:fontRef idx="minor">
      <a:schemeClr val="dk1"/>
    </cs:fontRef>
    <cs:spPr>
      <a:ln w="9525">
        <a:solidFill>
          <a:schemeClr val="tx1">
            <a:lumMod val="75000"/>
            <a:lumOff val="25000"/>
          </a:schemeClr>
        </a:solidFill>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75000"/>
            <a:lumOff val="2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sheetPr codeName="Graphique6"/>
  <sheetViews>
    <sheetView zoomScale="120" workbookViewId="0"/>
  </sheetViews>
  <pageMargins left="0.7" right="0.7" top="0.75" bottom="0.75" header="0.3" footer="0.3"/>
  <drawing r:id="rId1"/>
</chartsheet>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304800</xdr:colOff>
          <xdr:row>1</xdr:row>
          <xdr:rowOff>47625</xdr:rowOff>
        </xdr:from>
        <xdr:to>
          <xdr:col>6</xdr:col>
          <xdr:colOff>276225</xdr:colOff>
          <xdr:row>3</xdr:row>
          <xdr:rowOff>152400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rPr>
                <a:t>Ajouter un mouvement (E ; S ; Transfert...)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absoluteAnchor>
    <xdr:pos x="0" y="0"/>
    <xdr:ext cx="9302750" cy="6080125"/>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xdr:from>
      <xdr:col>2</xdr:col>
      <xdr:colOff>818830</xdr:colOff>
      <xdr:row>0</xdr:row>
      <xdr:rowOff>9525</xdr:rowOff>
    </xdr:from>
    <xdr:to>
      <xdr:col>2</xdr:col>
      <xdr:colOff>2217862</xdr:colOff>
      <xdr:row>7</xdr:row>
      <xdr:rowOff>188810</xdr:rowOff>
    </xdr:to>
    <xdr:pic>
      <xdr:nvPicPr>
        <xdr:cNvPr id="2" name="Image 1"/>
        <xdr:cNvPicPr>
          <a:picLocks noChangeAspect="1"/>
        </xdr:cNvPicPr>
      </xdr:nvPicPr>
      <xdr:blipFill>
        <a:blip xmlns:r="http://schemas.openxmlformats.org/officeDocument/2006/relationships" r:embed="rId1" cstate="print"/>
        <a:stretch>
          <a:fillRect/>
        </a:stretch>
      </xdr:blipFill>
      <xdr:spPr>
        <a:xfrm>
          <a:off x="2819080" y="9525"/>
          <a:ext cx="1399032" cy="1750910"/>
        </a:xfrm>
        <a:prstGeom prst="rect">
          <a:avLst/>
        </a:prstGeom>
        <a:noFill/>
        <a:ln w="4445">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571499</xdr:colOff>
      <xdr:row>0</xdr:row>
      <xdr:rowOff>138111</xdr:rowOff>
    </xdr:from>
    <xdr:to>
      <xdr:col>17</xdr:col>
      <xdr:colOff>381000</xdr:colOff>
      <xdr:row>34</xdr:row>
      <xdr:rowOff>66674</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louplou" refreshedDate="41921.852279513892" createdVersion="5" refreshedVersion="5" minRefreshableVersion="3" recordCount="68">
  <cacheSource type="worksheet">
    <worksheetSource name="Global"/>
  </cacheSource>
  <cacheFields count="31">
    <cacheField name="Date" numFmtId="14">
      <sharedItems containsDate="1" containsBlank="1" containsMixedTypes="1" minDate="2013-10-23T00:00:00" maxDate="2014-10-10T00:00:00" count="98">
        <m/>
        <s v="29/09/2014"/>
        <s v="30/09/2014"/>
        <d v="2014-10-01T00:00:00"/>
        <d v="2014-10-02T00:00:00"/>
        <d v="2014-10-03T00:00:00"/>
        <d v="2014-10-04T00:00:00"/>
        <d v="2014-10-06T00:00:00"/>
        <d v="2014-10-07T00:00:00"/>
        <d v="2014-10-08T00:00:00"/>
        <d v="2014-10-09T00:00:00"/>
        <d v="2013-10-24T00:00:00" u="1"/>
        <d v="2014-04-16T00:00:00" u="1"/>
        <d v="2013-11-01T00:00:00" u="1"/>
        <d v="2014-04-08T00:00:00" u="1"/>
        <d v="2014-01-02T00:00:00" u="1"/>
        <d v="2014-03-19T00:00:00" u="1"/>
        <d v="2013-12-21T00:00:00" u="1"/>
        <d v="2014-06-13T00:00:00" u="1"/>
        <d v="2013-12-17T00:00:00" u="1"/>
        <d v="2014-03-07T00:00:00" u="1"/>
        <d v="2013-12-13T00:00:00" u="1"/>
        <d v="2014-03-03T00:00:00" u="1"/>
        <d v="2013-11-28T00:00:00" u="1"/>
        <d v="2013-12-09T00:00:00" u="1"/>
        <d v="2013-12-05T00:00:00" u="1"/>
        <d v="2013-11-20T00:00:00" u="1"/>
        <d v="2013-12-01T00:00:00" u="1"/>
        <d v="2013-11-16T00:00:00" u="1"/>
        <d v="2013-10-31T00:00:00" u="1"/>
        <d v="2014-01-21T00:00:00" u="1"/>
        <d v="2013-11-12T00:00:00" u="1"/>
        <d v="2014-04-23T00:00:00" u="1"/>
        <d v="2014-07-25T00:00:00" u="1"/>
        <d v="2013-11-08T00:00:00" u="1"/>
        <d v="2013-10-23T00:00:00" u="1"/>
        <d v="2013-11-04T00:00:00" u="1"/>
        <d v="2014-04-15T00:00:00" u="1"/>
        <d v="2014-04-07T00:00:00" u="1"/>
        <d v="2014-03-18T00:00:00" u="1"/>
        <d v="2013-12-20T00:00:00" u="1"/>
        <d v="2014-03-10T00:00:00" u="1"/>
        <d v="2013-12-16T00:00:00" u="1"/>
        <d v="2014-03-06T00:00:00" u="1"/>
        <d v="2013-12-12T00:00:00" u="1"/>
        <d v="2013-11-27T00:00:00" u="1"/>
        <d v="2014-05-19T00:00:00" u="1"/>
        <d v="2014-02-13T00:00:00" u="1"/>
        <d v="2013-12-04T00:00:00" u="1"/>
        <d v="2013-11-19T00:00:00" u="1"/>
        <d v="2013-11-15T00:00:00" u="1"/>
        <d v="2014-07-28T00:00:00" u="1"/>
        <d v="2013-10-30T00:00:00" u="1"/>
        <d v="2014-01-20T00:00:00" u="1"/>
        <d v="2013-10-26T00:00:00" u="1"/>
        <d v="2014-05-03T00:00:00" u="1"/>
        <d v="2013-11-03T00:00:00" u="1"/>
        <d v="2014-01-08T00:00:00" u="1"/>
        <d v="2014-04-10T00:00:00" u="1"/>
        <d v="2014-01-04T00:00:00" u="1"/>
        <d v="2014-03-21T00:00:00" u="1"/>
        <s v="31/07/2014" u="1"/>
        <d v="2013-12-19T00:00:00" u="1"/>
        <d v="2014-03-05T00:00:00" u="1"/>
        <d v="2013-11-30T00:00:00" u="1"/>
        <s v="29/07/2014" u="1"/>
        <d v="2013-12-11T00:00:00" u="1"/>
        <d v="2013-11-26T00:00:00" u="1"/>
        <d v="2013-12-07T00:00:00" u="1"/>
        <d v="2014-02-12T00:00:00" u="1"/>
        <d v="2013-12-03T00:00:00" u="1"/>
        <d v="2013-11-18T00:00:00" u="1"/>
        <d v="2013-11-14T00:00:00" u="1"/>
        <d v="2014-07-23T00:00:00" u="1"/>
        <d v="2014-04-17T00:00:00" u="1"/>
        <d v="2013-11-02T00:00:00" u="1"/>
        <d v="2014-04-09T00:00:00" u="1"/>
        <d v="2014-07-11T00:00:00" u="1"/>
        <d v="2014-01-03T00:00:00" u="1"/>
        <d v="2013-12-30T00:00:00" u="1"/>
        <d v="2014-03-20T00:00:00" u="1"/>
        <d v="2014-02-27T00:00:00" u="1"/>
        <d v="2013-12-18T00:00:00" u="1"/>
        <d v="2013-12-14T00:00:00" u="1"/>
        <d v="2014-03-04T00:00:00" u="1"/>
        <d v="2013-11-29T00:00:00" u="1"/>
        <d v="2014-02-19T00:00:00" u="1"/>
        <d v="2013-12-10T00:00:00" u="1"/>
        <d v="2014-05-21T00:00:00" u="1"/>
        <d v="2013-11-25T00:00:00" u="1"/>
        <d v="2013-12-06T00:00:00" u="1"/>
        <d v="2013-11-21T00:00:00" u="1"/>
        <d v="2013-12-02T00:00:00" u="1"/>
        <d v="2013-11-17T00:00:00" u="1"/>
        <d v="2014-02-03T00:00:00" u="1"/>
        <d v="2013-10-28T00:00:00" u="1"/>
        <d v="2013-11-09T00:00:00" u="1"/>
        <d v="2014-07-22T00:00:00" u="1"/>
      </sharedItems>
    </cacheField>
    <cacheField name="Apport,_x000a_Transfert,_x000a_Sortie" numFmtId="14">
      <sharedItems containsBlank="1" count="5">
        <m/>
        <s v="Transfert E"/>
        <s v="Apport"/>
        <s v="Sortie" u="1"/>
        <s v="Transfert" u="1"/>
      </sharedItems>
    </cacheField>
    <cacheField name="N° de ticket" numFmtId="0">
      <sharedItems containsString="0" containsBlank="1" containsNumber="1" containsInteger="1" minValue="13" maxValue="16590" count="593">
        <m/>
        <n v="13"/>
        <n v="14"/>
        <n v="15"/>
        <n v="17"/>
        <n v="18"/>
        <n v="19"/>
        <n v="20"/>
        <n v="21"/>
        <n v="22"/>
        <n v="16584"/>
        <n v="16585"/>
        <n v="16586"/>
        <n v="16587"/>
        <n v="16588"/>
        <n v="16589"/>
        <n v="16590"/>
        <n v="31"/>
        <n v="32"/>
        <n v="33"/>
        <n v="34"/>
        <n v="35"/>
        <n v="36"/>
        <n v="37"/>
        <n v="38"/>
        <n v="39"/>
        <n v="40"/>
        <n v="41"/>
        <n v="42"/>
        <n v="43"/>
        <n v="44"/>
        <n v="45"/>
        <n v="46"/>
        <n v="47"/>
        <n v="48"/>
        <n v="49"/>
        <n v="50"/>
        <n v="53"/>
        <n v="54"/>
        <n v="56"/>
        <n v="57"/>
        <n v="58"/>
        <n v="59"/>
        <n v="60"/>
        <n v="61"/>
        <n v="63"/>
        <n v="64"/>
        <n v="65"/>
        <n v="67"/>
        <n v="9947"/>
        <n v="69"/>
        <n v="70"/>
        <n v="72"/>
        <n v="9948"/>
        <n v="9949"/>
        <n v="75"/>
        <n v="76"/>
        <n v="77"/>
        <n v="79"/>
        <n v="80"/>
        <n v="82"/>
        <n v="83"/>
        <n v="84"/>
        <n v="85"/>
        <n v="86"/>
        <n v="87"/>
        <n v="1962" u="1"/>
        <n v="1897" u="1"/>
        <n v="1832" u="1"/>
        <n v="1767" u="1"/>
        <n v="1702" u="1"/>
        <n v="1637" u="1"/>
        <n v="1572" u="1"/>
        <n v="2073" u="1"/>
        <n v="1834" u="1"/>
        <n v="1769" u="1"/>
        <n v="1704" u="1"/>
        <n v="1639" u="1"/>
        <n v="1574" u="1"/>
        <n v="1509" u="1"/>
        <n v="2077" u="1"/>
        <n v="2031" u="1"/>
        <n v="1966" u="1"/>
        <n v="1901" u="1"/>
        <n v="1836" u="1"/>
        <n v="1771" u="1"/>
        <n v="1706" u="1"/>
        <n v="1641" u="1"/>
        <n v="1511" u="1"/>
        <n v="2081" u="1"/>
        <n v="2033" u="1"/>
        <n v="1968" u="1"/>
        <n v="1903" u="1"/>
        <n v="1838" u="1"/>
        <n v="1773" u="1"/>
        <n v="1708" u="1"/>
        <n v="1643" u="1"/>
        <n v="1578" u="1"/>
        <n v="1513" u="1"/>
        <n v="2085" u="1"/>
        <n v="2035" u="1"/>
        <n v="1970" u="1"/>
        <n v="1905" u="1"/>
        <n v="1840" u="1"/>
        <n v="1775" u="1"/>
        <n v="1710" u="1"/>
        <n v="1645" u="1"/>
        <n v="1580" u="1"/>
        <n v="1515" u="1"/>
        <n v="2089" u="1"/>
        <n v="1907" u="1"/>
        <n v="1842" u="1"/>
        <n v="1777" u="1"/>
        <n v="1712" u="1"/>
        <n v="1647" u="1"/>
        <n v="1582" u="1"/>
        <n v="1517" u="1"/>
        <n v="2093" u="1"/>
        <n v="2039" u="1"/>
        <n v="1974" u="1"/>
        <n v="1909" u="1"/>
        <n v="1844" u="1"/>
        <n v="1779" u="1"/>
        <n v="1714" u="1"/>
        <n v="1649" u="1"/>
        <n v="1584" u="1"/>
        <n v="1519" u="1"/>
        <n v="1976" u="1"/>
        <n v="1911" u="1"/>
        <n v="1846" u="1"/>
        <n v="1781" u="1"/>
        <n v="1716" u="1"/>
        <n v="1651" u="1"/>
        <n v="1586" u="1"/>
        <n v="1521" u="1"/>
        <n v="1978" u="1"/>
        <n v="1913" u="1"/>
        <n v="1848" u="1"/>
        <n v="1783" u="1"/>
        <n v="1718" u="1"/>
        <n v="1653" u="1"/>
        <n v="1588" u="1"/>
        <n v="1523" u="1"/>
        <n v="1980" u="1"/>
        <n v="1915" u="1"/>
        <n v="1850" u="1"/>
        <n v="1785" u="1"/>
        <n v="1720" u="1"/>
        <n v="1655" u="1"/>
        <n v="1590" u="1"/>
        <n v="1525" u="1"/>
        <n v="2047" u="1"/>
        <n v="1982" u="1"/>
        <n v="1917" u="1"/>
        <n v="1852" u="1"/>
        <n v="1787" u="1"/>
        <n v="1722" u="1"/>
        <n v="1657" u="1"/>
        <n v="1592" u="1"/>
        <n v="1527" u="1"/>
        <n v="1984" u="1"/>
        <n v="1919" u="1"/>
        <n v="1854" u="1"/>
        <n v="1789" u="1"/>
        <n v="1724" u="1"/>
        <n v="1659" u="1"/>
        <n v="1594" u="1"/>
        <n v="1529" u="1"/>
        <n v="1464" u="1"/>
        <n v="2054" u="1"/>
        <n v="1986" u="1"/>
        <n v="1921" u="1"/>
        <n v="1856" u="1"/>
        <n v="1791" u="1"/>
        <n v="1726" u="1"/>
        <n v="1661" u="1"/>
        <n v="1596" u="1"/>
        <n v="1531" u="1"/>
        <n v="1466" u="1"/>
        <n v="2058" u="1"/>
        <n v="1988" u="1"/>
        <n v="1923" u="1"/>
        <n v="1858" u="1"/>
        <n v="1728" u="1"/>
        <n v="1663" u="1"/>
        <n v="1598" u="1"/>
        <n v="1468" u="1"/>
        <n v="2062" u="1"/>
        <n v="1990" u="1"/>
        <n v="1925" u="1"/>
        <n v="1860" u="1"/>
        <n v="1795" u="1"/>
        <n v="1730" u="1"/>
        <n v="1665" u="1"/>
        <n v="1600" u="1"/>
        <n v="2066" u="1"/>
        <n v="1927" u="1"/>
        <n v="1732" u="1"/>
        <n v="1667" u="1"/>
        <n v="1602" u="1"/>
        <n v="1472" u="1"/>
        <n v="2070" u="1"/>
        <n v="1994" u="1"/>
        <n v="1929" u="1"/>
        <n v="1864" u="1"/>
        <n v="1734" u="1"/>
        <n v="1669" u="1"/>
        <n v="1604" u="1"/>
        <n v="1474" u="1"/>
        <n v="2074" u="1"/>
        <n v="1996" u="1"/>
        <n v="1931" u="1"/>
        <n v="1866" u="1"/>
        <n v="1801" u="1"/>
        <n v="1736" u="1"/>
        <n v="1671" u="1"/>
        <n v="1606" u="1"/>
        <n v="1476" u="1"/>
        <n v="2078" u="1"/>
        <n v="1933" u="1"/>
        <n v="1868" u="1"/>
        <n v="1803" u="1"/>
        <n v="1738" u="1"/>
        <n v="1673" u="1"/>
        <n v="1608" u="1"/>
        <n v="1478" u="1"/>
        <n v="2082" u="1"/>
        <n v="1935" u="1"/>
        <n v="1870" u="1"/>
        <n v="1805" u="1"/>
        <n v="1740" u="1"/>
        <n v="1675" u="1"/>
        <n v="1610" u="1"/>
        <n v="1480" u="1"/>
        <n v="2086" u="1"/>
        <n v="1937" u="1"/>
        <n v="1872" u="1"/>
        <n v="1807" u="1"/>
        <n v="1742" u="1"/>
        <n v="1677" u="1"/>
        <n v="1612" u="1"/>
        <n v="1547" u="1"/>
        <n v="1482" u="1"/>
        <n v="2090" u="1"/>
        <n v="1874" u="1"/>
        <n v="1809" u="1"/>
        <n v="1744" u="1"/>
        <n v="1679" u="1"/>
        <n v="1614" u="1"/>
        <n v="1549" u="1"/>
        <n v="1484" u="1"/>
        <n v="1876" u="1"/>
        <n v="1811" u="1"/>
        <n v="1746" u="1"/>
        <n v="1681" u="1"/>
        <n v="1616" u="1"/>
        <n v="1551" u="1"/>
        <n v="1486" u="1"/>
        <n v="1813" u="1"/>
        <n v="1748" u="1"/>
        <n v="1683" u="1"/>
        <n v="1618" u="1"/>
        <n v="1553" u="1"/>
        <n v="1488" u="1"/>
        <n v="1945" u="1"/>
        <n v="1880" u="1"/>
        <n v="1815" u="1"/>
        <n v="1750" u="1"/>
        <n v="1685" u="1"/>
        <n v="1620" u="1"/>
        <n v="1555" u="1"/>
        <n v="1490" u="1"/>
        <n v="1947" u="1"/>
        <n v="1882" u="1"/>
        <n v="1817" u="1"/>
        <n v="1752" u="1"/>
        <n v="1687" u="1"/>
        <n v="1622" u="1"/>
        <n v="1557" u="1"/>
        <n v="1949" u="1"/>
        <n v="1884" u="1"/>
        <n v="1754" u="1"/>
        <n v="1689" u="1"/>
        <n v="1624" u="1"/>
        <n v="1559" u="1"/>
        <n v="1494" u="1"/>
        <n v="1886" u="1"/>
        <n v="1821" u="1"/>
        <n v="1756" u="1"/>
        <n v="1691" u="1"/>
        <n v="1626" u="1"/>
        <n v="1561" u="1"/>
        <n v="1496" u="1"/>
        <n v="2051" u="1"/>
        <n v="1953" u="1"/>
        <n v="1888" u="1"/>
        <n v="1823" u="1"/>
        <n v="1758" u="1"/>
        <n v="1693" u="1"/>
        <n v="1563" u="1"/>
        <n v="1498" u="1"/>
        <n v="2055" u="1"/>
        <n v="1955" u="1"/>
        <n v="1890" u="1"/>
        <n v="1825" u="1"/>
        <n v="1760" u="1"/>
        <n v="1695" u="1"/>
        <n v="1630" u="1"/>
        <n v="1565" u="1"/>
        <n v="1500" u="1"/>
        <n v="2059" u="1"/>
        <n v="1827" u="1"/>
        <n v="1762" u="1"/>
        <n v="1697" u="1"/>
        <n v="1632" u="1"/>
        <n v="1567" u="1"/>
        <n v="1502" u="1"/>
        <n v="2063" u="1"/>
        <n v="1959" u="1"/>
        <n v="1894" u="1"/>
        <n v="1829" u="1"/>
        <n v="1764" u="1"/>
        <n v="1699" u="1"/>
        <n v="1634" u="1"/>
        <n v="1569" u="1"/>
        <n v="1504" u="1"/>
        <n v="2067" u="1"/>
        <n v="1961" u="1"/>
        <n v="1896" u="1"/>
        <n v="1831" u="1"/>
        <n v="1766" u="1"/>
        <n v="1701" u="1"/>
        <n v="1636" u="1"/>
        <n v="1571" u="1"/>
        <n v="1506" u="1"/>
        <n v="2071" u="1"/>
        <n v="2028" u="1"/>
        <n v="1898" u="1"/>
        <n v="1833" u="1"/>
        <n v="1768" u="1"/>
        <n v="1703" u="1"/>
        <n v="1638" u="1"/>
        <n v="1573" u="1"/>
        <n v="1508" u="1"/>
        <n v="2075" u="1"/>
        <n v="1965" u="1"/>
        <n v="1835" u="1"/>
        <n v="1770" u="1"/>
        <n v="1705" u="1"/>
        <n v="1640" u="1"/>
        <n v="1575" u="1"/>
        <n v="1510" u="1"/>
        <n v="2079" u="1"/>
        <n v="2032" u="1"/>
        <n v="1967" u="1"/>
        <n v="1902" u="1"/>
        <n v="1837" u="1"/>
        <n v="1772" u="1"/>
        <n v="1707" u="1"/>
        <n v="1642" u="1"/>
        <n v="1577" u="1"/>
        <n v="2083" u="1"/>
        <n v="2034" u="1"/>
        <n v="1969" u="1"/>
        <n v="1904" u="1"/>
        <n v="1839" u="1"/>
        <n v="1774" u="1"/>
        <n v="1709" u="1"/>
        <n v="1644" u="1"/>
        <n v="1579" u="1"/>
        <n v="1514" u="1"/>
        <n v="2087" u="1"/>
        <n v="2036" u="1"/>
        <n v="1971" u="1"/>
        <n v="1906" u="1"/>
        <n v="1841" u="1"/>
        <n v="1776" u="1"/>
        <n v="1711" u="1"/>
        <n v="1646" u="1"/>
        <n v="1581" u="1"/>
        <n v="1516" u="1"/>
        <n v="2091" u="1"/>
        <n v="2038" u="1"/>
        <n v="1973" u="1"/>
        <n v="1908" u="1"/>
        <n v="1778" u="1"/>
        <n v="1713" u="1"/>
        <n v="1648" u="1"/>
        <n v="1583" u="1"/>
        <n v="1518" u="1"/>
        <n v="1910" u="1"/>
        <n v="1845" u="1"/>
        <n v="1780" u="1"/>
        <n v="1715" u="1"/>
        <n v="1650" u="1"/>
        <n v="1585" u="1"/>
        <n v="1912" u="1"/>
        <n v="1847" u="1"/>
        <n v="1782" u="1"/>
        <n v="1717" u="1"/>
        <n v="1652" u="1"/>
        <n v="1587" u="1"/>
        <n v="1522" u="1"/>
        <n v="2560" u="1"/>
        <n v="1979" u="1"/>
        <n v="1914" u="1"/>
        <n v="1849" u="1"/>
        <n v="1784" u="1"/>
        <n v="1719" u="1"/>
        <n v="1654" u="1"/>
        <n v="1589" u="1"/>
        <n v="1524" u="1"/>
        <n v="1916" u="1"/>
        <n v="1851" u="1"/>
        <n v="1786" u="1"/>
        <n v="1721" u="1"/>
        <n v="1656" u="1"/>
        <n v="1591" u="1"/>
        <n v="1526" u="1"/>
        <n v="2048" u="1"/>
        <n v="1918" u="1"/>
        <n v="1853" u="1"/>
        <n v="1788" u="1"/>
        <n v="1723" u="1"/>
        <n v="1658" u="1"/>
        <n v="1593" u="1"/>
        <n v="1528" u="1"/>
        <n v="2052" u="1"/>
        <n v="1920" u="1"/>
        <n v="1855" u="1"/>
        <n v="1725" u="1"/>
        <n v="1660" u="1"/>
        <n v="1595" u="1"/>
        <n v="1530" u="1"/>
        <n v="1465" u="1"/>
        <n v="2056" u="1"/>
        <n v="1922" u="1"/>
        <n v="1857" u="1"/>
        <n v="1727" u="1"/>
        <n v="1662" u="1"/>
        <n v="1597" u="1"/>
        <n v="1467" u="1"/>
        <n v="2060" u="1"/>
        <n v="1924" u="1"/>
        <n v="1859" u="1"/>
        <n v="1794" u="1"/>
        <n v="1729" u="1"/>
        <n v="1664" u="1"/>
        <n v="1599" u="1"/>
        <n v="1469" u="1"/>
        <n v="2064" u="1"/>
        <n v="1991" u="1"/>
        <n v="1926" u="1"/>
        <n v="1796" u="1"/>
        <n v="1731" u="1"/>
        <n v="1666" u="1"/>
        <n v="1601" u="1"/>
        <n v="1471" u="1"/>
        <n v="2068" u="1"/>
        <n v="1993" u="1"/>
        <n v="1928" u="1"/>
        <n v="1863" u="1"/>
        <n v="1733" u="1"/>
        <n v="1668" u="1"/>
        <n v="1603" u="1"/>
        <n v="1473" u="1"/>
        <n v="2072" u="1"/>
        <n v="1995" u="1"/>
        <n v="1930" u="1"/>
        <n v="1865" u="1"/>
        <n v="1800" u="1"/>
        <n v="1735" u="1"/>
        <n v="1670" u="1"/>
        <n v="1605" u="1"/>
        <n v="2076" u="1"/>
        <n v="1997" u="1"/>
        <n v="1867" u="1"/>
        <n v="1802" u="1"/>
        <n v="1737" u="1"/>
        <n v="1672" u="1"/>
        <n v="1607" u="1"/>
        <n v="1477" u="1"/>
        <n v="2080" u="1"/>
        <n v="1999" u="1"/>
        <n v="1934" u="1"/>
        <n v="1869" u="1"/>
        <n v="1804" u="1"/>
        <n v="1674" u="1"/>
        <n v="1609" u="1"/>
        <n v="2084" u="1"/>
        <n v="2001" u="1"/>
        <n v="1936" u="1"/>
        <n v="1871" u="1"/>
        <n v="1806" u="1"/>
        <n v="1741" u="1"/>
        <n v="1676" u="1"/>
        <n v="1611" u="1"/>
        <n v="1546" u="1"/>
        <n v="1481" u="1"/>
        <n v="2088" u="1"/>
        <n v="1938" u="1"/>
        <n v="1873" u="1"/>
        <n v="1808" u="1"/>
        <n v="1743" u="1"/>
        <n v="1678" u="1"/>
        <n v="1613" u="1"/>
        <n v="1548" u="1"/>
        <n v="1483" u="1"/>
        <n v="1875" u="1"/>
        <n v="1810" u="1"/>
        <n v="1745" u="1"/>
        <n v="1680" u="1"/>
        <n v="1615" u="1"/>
        <n v="1550" u="1"/>
        <n v="1485" u="1"/>
        <n v="1942" u="1"/>
        <n v="1877" u="1"/>
        <n v="1812" u="1"/>
        <n v="1747" u="1"/>
        <n v="1682" u="1"/>
        <n v="1617" u="1"/>
        <n v="1552" u="1"/>
        <n v="1487" u="1"/>
        <n v="1944" u="1"/>
        <n v="1814" u="1"/>
        <n v="1749" u="1"/>
        <n v="1684" u="1"/>
        <n v="1619" u="1"/>
        <n v="1554" u="1"/>
        <n v="1489" u="1"/>
        <n v="1881" u="1"/>
        <n v="1816" u="1"/>
        <n v="1751" u="1"/>
        <n v="1686" u="1"/>
        <n v="1621" u="1"/>
        <n v="1556" u="1"/>
        <n v="1491" u="1"/>
        <n v="1818" u="1"/>
        <n v="1753" u="1"/>
        <n v="1688" u="1"/>
        <n v="1623" u="1"/>
        <n v="1558" u="1"/>
        <n v="1493" u="1"/>
        <n v="1950" u="1"/>
        <n v="1885" u="1"/>
        <n v="1820" u="1"/>
        <n v="1755" u="1"/>
        <n v="1690" u="1"/>
        <n v="1560" u="1"/>
        <n v="1495" u="1"/>
        <n v="2049" u="1"/>
        <n v="1952" u="1"/>
        <n v="1887" u="1"/>
        <n v="1822" u="1"/>
        <n v="1757" u="1"/>
        <n v="1692" u="1"/>
        <n v="1562" u="1"/>
        <n v="1497" u="1"/>
        <n v="1432" u="1"/>
        <n v="2053" u="1"/>
        <n v="1889" u="1"/>
        <n v="1824" u="1"/>
        <n v="1759" u="1"/>
        <n v="1694" u="1"/>
        <n v="1564" u="1"/>
        <n v="1499" u="1"/>
        <n v="2057" u="1"/>
        <n v="1956" u="1"/>
        <n v="1891" u="1"/>
        <n v="1826" u="1"/>
        <n v="1761" u="1"/>
        <n v="1696" u="1"/>
        <n v="1631" u="1"/>
        <n v="1566" u="1"/>
        <n v="1501" u="1"/>
        <n v="2061" u="1"/>
        <n v="1958" u="1"/>
        <n v="1893" u="1"/>
        <n v="1828" u="1"/>
        <n v="1763" u="1"/>
        <n v="1698" u="1"/>
        <n v="1633" u="1"/>
        <n v="1568" u="1"/>
        <n v="1503" u="1"/>
        <n v="2065" u="1"/>
        <n v="1895" u="1"/>
        <n v="1830" u="1"/>
        <n v="1765" u="1"/>
        <n v="1700" u="1"/>
        <n v="1635" u="1"/>
        <n v="1570" u="1"/>
        <n v="1505" u="1"/>
        <n v="2069" u="1"/>
      </sharedItems>
    </cacheField>
    <cacheField name="N° CMR ou Contract" numFmtId="1">
      <sharedItems containsString="0" containsBlank="1" containsNumber="1" containsInteger="1" minValue="7031" maxValue="24357"/>
    </cacheField>
    <cacheField name="Barème" numFmtId="0">
      <sharedItems containsBlank="1" count="5">
        <m/>
        <s v="Casaus"/>
        <s v="SOMaSec"/>
        <s v="Vitivista" u="1"/>
        <s v="Euralis" u="1"/>
      </sharedItems>
    </cacheField>
    <cacheField name="Fact" numFmtId="0">
      <sharedItems containsBlank="1"/>
    </cacheField>
    <cacheField name="Céréale" numFmtId="0">
      <sharedItems containsBlank="1"/>
    </cacheField>
    <cacheField name="Client,_x000a_Provenance,_x000a_Destination" numFmtId="0">
      <sharedItems containsBlank="1" count="35">
        <m/>
        <s v="CASAUS SAS"/>
        <s v="SCEA DE MONTFORT"/>
        <s v="EARL Domaine de Tailleurguet"/>
        <s v="EARL du Bazana"/>
        <s v="GAEC de Péhau"/>
        <s v="Calvo y Salcines" u="1"/>
        <s v="Terrade Véronique" u="1"/>
        <s v="Touton Frabrice" u="1"/>
        <s v="Bazillac" u="1"/>
        <s v="EARL Garros" u="1"/>
        <s v="SCEA Capmartin" u="1"/>
        <s v="EARL Dabadie" u="1"/>
        <s v="EARL du Gendrou" u="1"/>
        <s v="EARL Plouvier" u="1"/>
        <s v="GAEC Lacrouts" u="1"/>
        <s v="Maubourguet" u="1"/>
        <s v="Hartmann Serge" u="1"/>
        <s v="EARL du Sarthou" u="1"/>
        <s v="EARL Bouby" u="1"/>
        <s v="EARL de Doumengeat" u="1"/>
        <s v="Riscle" u="1"/>
        <s v="SCEA de Gerlande" u="1"/>
        <s v="EARL de la Buscasse" u="1"/>
        <s v="Casaus Riscle" u="1"/>
        <s v="Roca Trull" u="1"/>
        <s v="Pomiès David" u="1"/>
        <s v="SCEA Montaran" u="1"/>
        <s v="Buffalan Jean-Luc" u="1"/>
        <s v="EARL du Laurier" u="1"/>
        <s v="EARL Pédebernade" u="1"/>
        <s v="Capdevielle Richard" u="1"/>
        <s v="EARL de Toumiou" u="1"/>
        <s v="EARL Ducos" u="1"/>
        <s v="EARL Darros" u="1"/>
      </sharedItems>
    </cacheField>
    <cacheField name="Transport" numFmtId="0">
      <sharedItems containsBlank="1" containsMixedTypes="1" containsNumber="1" containsInteger="1" minValue="59" maxValue="71"/>
    </cacheField>
    <cacheField name="Immatriculation" numFmtId="0">
      <sharedItems containsBlank="1" containsMixedTypes="1" containsNumber="1" containsInteger="1" minValue="55" maxValue="55"/>
    </cacheField>
    <cacheField name="% H2O" numFmtId="0">
      <sharedItems containsString="0" containsBlank="1" containsNumber="1" minValue="24.9" maxValue="34.200000000000003"/>
    </cacheField>
    <cacheField name="% d'imp" numFmtId="0">
      <sharedItems containsNonDate="0" containsString="0" containsBlank="1"/>
    </cacheField>
    <cacheField name="PS" numFmtId="0">
      <sharedItems containsNonDate="0" containsString="0" containsBlank="1"/>
    </cacheField>
    <cacheField name="Brut_x000a_(poids d'entrée)" numFmtId="164">
      <sharedItems containsString="0" containsBlank="1" containsNumber="1" containsInteger="1" minValue="17140" maxValue="41720"/>
    </cacheField>
    <cacheField name="Tare_x000a_(poids de sortie)" numFmtId="164">
      <sharedItems containsString="0" containsBlank="1" containsNumber="1" containsInteger="1" minValue="10100" maxValue="16880"/>
    </cacheField>
    <cacheField name="Net" numFmtId="164">
      <sharedItems containsSemiMixedTypes="0" containsString="0" containsNumber="1" containsInteger="1" minValue="0" maxValue="27800"/>
    </cacheField>
    <cacheField name="Poids recalculé_x000a_(sans imp)" numFmtId="164">
      <sharedItems containsSemiMixedTypes="0" containsString="0" containsNumber="1" minValue="0" maxValue="23029.775999999998"/>
    </cacheField>
    <cacheField name="Prix du séchage_x000a_(sans E/S)" numFmtId="173">
      <sharedItems containsSemiMixedTypes="0" containsString="0" containsNumber="1" minValue="0" maxValue="618.57512639999993"/>
    </cacheField>
    <cacheField name="Total_x000a_Brut_x000a_(en stock)" numFmtId="164">
      <sharedItems containsSemiMixedTypes="0" containsString="0" containsNumber="1" containsInteger="1" minValue="0" maxValue="1210100"/>
    </cacheField>
    <cacheField name="Total_x000a_Sec_x000a_(en stock)" numFmtId="164">
      <sharedItems containsSemiMixedTypes="0" containsString="0" containsNumber="1" minValue="0" maxValue="1001463.9799999997"/>
    </cacheField>
    <cacheField name="CA_x000a_Global" numFmtId="173">
      <sharedItems containsSemiMixedTypes="0" containsString="0" containsNumber="1" minValue="0" maxValue="24250.861705989995"/>
    </cacheField>
    <cacheField name="Casaus_x000a_Brut_x000a_(en stock)" numFmtId="164">
      <sharedItems containsSemiMixedTypes="0" containsString="0" containsNumber="1" containsInteger="1" minValue="0" maxValue="405940"/>
    </cacheField>
    <cacheField name="Casaus_x000a_Sec_x000a_(en stock)" numFmtId="164">
      <sharedItems containsSemiMixedTypes="0" containsString="0" containsNumber="1" minValue="0" maxValue="335817.99099999998"/>
    </cacheField>
    <cacheField name="CA_x000a_Casaus" numFmtId="173">
      <sharedItems containsSemiMixedTypes="0" containsString="0" containsNumber="1" minValue="0" maxValue="8660.7369709599989"/>
    </cacheField>
    <cacheField name="SOMaSec_x000a_Brut_x000a_(en stock)" numFmtId="164">
      <sharedItems containsSemiMixedTypes="0" containsString="0" containsNumber="1" containsInteger="1" minValue="0" maxValue="804160"/>
    </cacheField>
    <cacheField name="SOMaSec_x000a_Sec_x000a_(en stock)" numFmtId="164">
      <sharedItems containsSemiMixedTypes="0" containsString="0" containsNumber="1" minValue="0" maxValue="665645.98899999994"/>
    </cacheField>
    <cacheField name="CA_x000a_SOMaSec" numFmtId="173">
      <sharedItems containsSemiMixedTypes="0" containsString="0" containsNumber="1" minValue="0" maxValue="15590.124735030004"/>
    </cacheField>
    <cacheField name="Total_x000a_Brut_x000a_(saison)" numFmtId="164">
      <sharedItems containsSemiMixedTypes="0" containsString="0" containsNumber="1" containsInteger="1" minValue="0" maxValue="1210100"/>
    </cacheField>
    <cacheField name="Total_x000a_Sec_x000a_(saison)" numFmtId="164">
      <sharedItems containsSemiMixedTypes="0" containsString="0" containsNumber="1" minValue="0" maxValue="1001463.9799999997"/>
    </cacheField>
    <cacheField name="Casaus_x000a_Sec_x000a_(saison)" numFmtId="164">
      <sharedItems containsSemiMixedTypes="0" containsString="0" containsNumber="1" minValue="0" maxValue="335817.99099999998"/>
    </cacheField>
    <cacheField name="SOMaSec_x000a_Sec_x000a_(saison)" numFmtId="164">
      <sharedItems containsSemiMixedTypes="0" containsString="0" containsNumber="1" minValue="0" maxValue="665645.9889999999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8">
  <r>
    <x v="0"/>
    <x v="0"/>
    <x v="0"/>
    <m/>
    <x v="0"/>
    <m/>
    <m/>
    <x v="0"/>
    <m/>
    <m/>
    <m/>
    <m/>
    <m/>
    <m/>
    <m/>
    <n v="0"/>
    <n v="0"/>
    <n v="0"/>
    <n v="0"/>
    <n v="0"/>
    <n v="0"/>
    <n v="0"/>
    <n v="0"/>
    <n v="0"/>
    <n v="0"/>
    <n v="0"/>
    <n v="0"/>
    <n v="0"/>
    <n v="0"/>
    <n v="0"/>
    <n v="0"/>
  </r>
  <r>
    <x v="0"/>
    <x v="0"/>
    <x v="0"/>
    <m/>
    <x v="0"/>
    <m/>
    <m/>
    <x v="0"/>
    <m/>
    <m/>
    <m/>
    <m/>
    <m/>
    <m/>
    <m/>
    <n v="0"/>
    <n v="0"/>
    <n v="0"/>
    <n v="0"/>
    <n v="0"/>
    <n v="0"/>
    <n v="0"/>
    <n v="0"/>
    <n v="0"/>
    <n v="0"/>
    <n v="0"/>
    <n v="0"/>
    <n v="0"/>
    <n v="0"/>
    <n v="0"/>
    <n v="0"/>
  </r>
  <r>
    <x v="0"/>
    <x v="0"/>
    <x v="0"/>
    <m/>
    <x v="0"/>
    <m/>
    <m/>
    <x v="0"/>
    <m/>
    <m/>
    <m/>
    <m/>
    <m/>
    <m/>
    <m/>
    <n v="0"/>
    <n v="0"/>
    <n v="0"/>
    <n v="0"/>
    <n v="0"/>
    <n v="0"/>
    <n v="0"/>
    <n v="0"/>
    <n v="0"/>
    <n v="0"/>
    <n v="0"/>
    <n v="0"/>
    <n v="0"/>
    <n v="0"/>
    <n v="0"/>
    <n v="0"/>
  </r>
  <r>
    <x v="1"/>
    <x v="1"/>
    <x v="1"/>
    <n v="7058"/>
    <x v="1"/>
    <s v="Casaus"/>
    <s v="Maïs"/>
    <x v="1"/>
    <n v="71"/>
    <n v="55"/>
    <n v="26.5"/>
    <m/>
    <m/>
    <n v="33000"/>
    <n v="14040"/>
    <n v="18960"/>
    <n v="16334.987999999999"/>
    <n v="372.92777603999997"/>
    <n v="18960"/>
    <n v="16334.987999999999"/>
    <n v="372.92777603999997"/>
    <n v="18960"/>
    <n v="16334.987999999999"/>
    <n v="372.92777603999997"/>
    <n v="0"/>
    <n v="0"/>
    <n v="0"/>
    <n v="18960"/>
    <n v="16334.987999999999"/>
    <n v="16334.987999999999"/>
    <n v="0"/>
  </r>
  <r>
    <x v="1"/>
    <x v="1"/>
    <x v="2"/>
    <n v="7059"/>
    <x v="1"/>
    <s v="Casaus"/>
    <s v="Maïs"/>
    <x v="1"/>
    <n v="71"/>
    <n v="55"/>
    <n v="26.5"/>
    <m/>
    <m/>
    <n v="33340"/>
    <n v="14040"/>
    <n v="19300"/>
    <n v="16627.914999999997"/>
    <n v="379.61529944999995"/>
    <n v="38260"/>
    <n v="32962.902999999998"/>
    <n v="752.54307548999986"/>
    <n v="38260"/>
    <n v="32962.902999999998"/>
    <n v="752.54307548999986"/>
    <n v="0"/>
    <n v="0"/>
    <n v="0"/>
    <n v="38260"/>
    <n v="32962.902999999998"/>
    <n v="32962.902999999998"/>
    <n v="0"/>
  </r>
  <r>
    <x v="2"/>
    <x v="1"/>
    <x v="3"/>
    <n v="7060"/>
    <x v="1"/>
    <s v="Casaus"/>
    <s v="Maïs"/>
    <x v="1"/>
    <n v="71"/>
    <n v="55"/>
    <n v="28.2"/>
    <m/>
    <m/>
    <n v="33060"/>
    <n v="14040"/>
    <n v="19020"/>
    <n v="15918.789000000001"/>
    <n v="398.28810078000004"/>
    <n v="57280"/>
    <n v="48881.691999999995"/>
    <n v="1150.83117627"/>
    <n v="57280"/>
    <n v="48881.691999999995"/>
    <n v="1150.83117627"/>
    <n v="0"/>
    <n v="0"/>
    <n v="0"/>
    <n v="57280"/>
    <n v="48881.691999999995"/>
    <n v="48881.691999999995"/>
    <n v="0"/>
  </r>
  <r>
    <x v="2"/>
    <x v="1"/>
    <x v="4"/>
    <n v="7031"/>
    <x v="1"/>
    <s v="Casaus"/>
    <s v="Maïs"/>
    <x v="1"/>
    <n v="71"/>
    <n v="55"/>
    <n v="25.2"/>
    <m/>
    <m/>
    <n v="33000"/>
    <n v="14020"/>
    <n v="18980"/>
    <n v="16585.672999999999"/>
    <n v="360.40667429000001"/>
    <n v="76260"/>
    <n v="65467.364999999991"/>
    <n v="1511.23785056"/>
    <n v="76260"/>
    <n v="65467.364999999991"/>
    <n v="1511.23785056"/>
    <n v="0"/>
    <n v="0"/>
    <n v="0"/>
    <n v="76260"/>
    <n v="65467.364999999991"/>
    <n v="65467.364999999991"/>
    <n v="0"/>
  </r>
  <r>
    <x v="2"/>
    <x v="1"/>
    <x v="5"/>
    <n v="9940"/>
    <x v="1"/>
    <s v="Casaus"/>
    <s v="Maïs"/>
    <x v="1"/>
    <n v="71"/>
    <n v="55"/>
    <n v="26"/>
    <m/>
    <m/>
    <n v="32640"/>
    <n v="14020"/>
    <n v="18620"/>
    <n v="16156.574000000001"/>
    <n v="360.45316593999996"/>
    <n v="94880"/>
    <n v="81623.938999999984"/>
    <n v="1871.6910164999999"/>
    <n v="94880"/>
    <n v="81623.938999999984"/>
    <n v="1871.6910164999999"/>
    <n v="0"/>
    <n v="0"/>
    <n v="0"/>
    <n v="94880"/>
    <n v="81623.938999999984"/>
    <n v="81623.938999999984"/>
    <n v="0"/>
  </r>
  <r>
    <x v="2"/>
    <x v="1"/>
    <x v="6"/>
    <n v="9941"/>
    <x v="1"/>
    <s v="Casaus"/>
    <s v="Maïs"/>
    <x v="1"/>
    <n v="71"/>
    <n v="55"/>
    <n v="26"/>
    <m/>
    <m/>
    <n v="33020"/>
    <n v="14020"/>
    <n v="19000"/>
    <n v="16486.3"/>
    <n v="367.80935299999993"/>
    <n v="113880"/>
    <n v="98110.238999999987"/>
    <n v="2239.5003695"/>
    <n v="113880"/>
    <n v="98110.238999999987"/>
    <n v="2239.5003695"/>
    <n v="0"/>
    <n v="0"/>
    <n v="0"/>
    <n v="113880"/>
    <n v="98110.238999999987"/>
    <n v="98110.238999999987"/>
    <n v="0"/>
  </r>
  <r>
    <x v="2"/>
    <x v="1"/>
    <x v="7"/>
    <n v="9942"/>
    <x v="1"/>
    <s v="Casaus"/>
    <s v="Maïs"/>
    <x v="1"/>
    <n v="71"/>
    <n v="55"/>
    <n v="26"/>
    <m/>
    <m/>
    <n v="29640"/>
    <n v="14000"/>
    <n v="15640"/>
    <n v="13570.828"/>
    <n v="302.76517267999998"/>
    <n v="129520"/>
    <n v="111681.06699999998"/>
    <n v="2542.26554218"/>
    <n v="129520"/>
    <n v="111681.06699999998"/>
    <n v="2542.26554218"/>
    <n v="0"/>
    <n v="0"/>
    <n v="0"/>
    <n v="129520"/>
    <n v="111681.06699999998"/>
    <n v="111681.06699999998"/>
    <n v="0"/>
  </r>
  <r>
    <x v="3"/>
    <x v="1"/>
    <x v="8"/>
    <n v="9943"/>
    <x v="1"/>
    <s v="Casaus"/>
    <s v="Maïs"/>
    <x v="1"/>
    <n v="71"/>
    <n v="55"/>
    <n v="34.200000000000003"/>
    <m/>
    <m/>
    <n v="36540"/>
    <n v="15000"/>
    <n v="21540"/>
    <n v="16380.093000000001"/>
    <n v="527.43899460000011"/>
    <n v="151060"/>
    <n v="128061.15999999997"/>
    <n v="3069.7045367800001"/>
    <n v="151060"/>
    <n v="128061.15999999997"/>
    <n v="3069.7045367800001"/>
    <n v="0"/>
    <n v="0"/>
    <n v="0"/>
    <n v="151060"/>
    <n v="128061.15999999997"/>
    <n v="128061.15999999997"/>
    <n v="0"/>
  </r>
  <r>
    <x v="3"/>
    <x v="1"/>
    <x v="9"/>
    <n v="9944"/>
    <x v="1"/>
    <s v="Casaus"/>
    <s v="Maïs"/>
    <x v="1"/>
    <n v="71"/>
    <n v="55"/>
    <n v="33"/>
    <m/>
    <m/>
    <n v="24340"/>
    <n v="15000"/>
    <n v="9340"/>
    <n v="7283.3319999999994"/>
    <n v="222.43295927999998"/>
    <n v="160400"/>
    <n v="135344.49199999997"/>
    <n v="3292.1374960600001"/>
    <n v="160400"/>
    <n v="135344.49199999997"/>
    <n v="3292.1374960600001"/>
    <n v="0"/>
    <n v="0"/>
    <n v="0"/>
    <n v="160400"/>
    <n v="135344.49199999997"/>
    <n v="135344.49199999997"/>
    <n v="0"/>
  </r>
  <r>
    <x v="4"/>
    <x v="2"/>
    <x v="10"/>
    <n v="24351"/>
    <x v="1"/>
    <s v="Casaus"/>
    <s v="Maïs"/>
    <x v="2"/>
    <n v="59"/>
    <m/>
    <n v="29.7"/>
    <m/>
    <m/>
    <n v="40880"/>
    <n v="16880"/>
    <n v="24000"/>
    <n v="19644"/>
    <n v="523.51260000000002"/>
    <n v="184400"/>
    <n v="154988.49199999997"/>
    <n v="3815.6500960600001"/>
    <n v="184400"/>
    <n v="154988.49199999997"/>
    <n v="3815.6500960600001"/>
    <n v="0"/>
    <n v="0"/>
    <n v="0"/>
    <n v="184400"/>
    <n v="154988.49199999997"/>
    <n v="154988.49199999997"/>
    <n v="0"/>
  </r>
  <r>
    <x v="5"/>
    <x v="2"/>
    <x v="11"/>
    <n v="24352"/>
    <x v="1"/>
    <s v="Casaus"/>
    <s v="Maïs"/>
    <x v="2"/>
    <n v="59"/>
    <m/>
    <n v="28.3"/>
    <m/>
    <m/>
    <n v="41720"/>
    <n v="16100"/>
    <n v="25620"/>
    <n v="21442.659000000003"/>
    <n v="536.49532818000012"/>
    <n v="210020"/>
    <n v="176431.15099999998"/>
    <n v="4352.1454242400005"/>
    <n v="210020"/>
    <n v="176431.15099999998"/>
    <n v="4352.1454242400005"/>
    <n v="0"/>
    <n v="0"/>
    <n v="0"/>
    <n v="210020"/>
    <n v="176431.15099999998"/>
    <n v="176431.15099999998"/>
    <n v="0"/>
  </r>
  <r>
    <x v="5"/>
    <x v="2"/>
    <x v="12"/>
    <n v="24353"/>
    <x v="1"/>
    <s v="Casaus"/>
    <s v="Maïs"/>
    <x v="2"/>
    <n v="59"/>
    <m/>
    <n v="30.1"/>
    <m/>
    <m/>
    <n v="36260"/>
    <n v="14620"/>
    <n v="21640"/>
    <n v="17572.761999999999"/>
    <n v="477.62767115999998"/>
    <n v="231660"/>
    <n v="194003.91299999997"/>
    <n v="4829.7730954000008"/>
    <n v="231660"/>
    <n v="194003.91299999997"/>
    <n v="4829.7730954000008"/>
    <n v="0"/>
    <n v="0"/>
    <n v="0"/>
    <n v="231660"/>
    <n v="194003.91299999997"/>
    <n v="194003.91299999997"/>
    <n v="0"/>
  </r>
  <r>
    <x v="5"/>
    <x v="2"/>
    <x v="13"/>
    <n v="24354"/>
    <x v="1"/>
    <s v="Casaus"/>
    <s v="Maïs"/>
    <x v="2"/>
    <n v="59"/>
    <m/>
    <n v="30.6"/>
    <m/>
    <m/>
    <n v="40600"/>
    <n v="16200"/>
    <n v="24400"/>
    <n v="19656.64"/>
    <n v="544.88206079999998"/>
    <n v="256060"/>
    <n v="213660.55299999996"/>
    <n v="5374.6551562000004"/>
    <n v="256060"/>
    <n v="213660.55299999996"/>
    <n v="5374.6551562000004"/>
    <n v="0"/>
    <n v="0"/>
    <n v="0"/>
    <n v="256060"/>
    <n v="213660.55299999996"/>
    <n v="213660.55299999996"/>
    <n v="0"/>
  </r>
  <r>
    <x v="5"/>
    <x v="2"/>
    <x v="14"/>
    <n v="24355"/>
    <x v="1"/>
    <s v="Casaus"/>
    <s v="Maïs"/>
    <x v="2"/>
    <n v="59"/>
    <m/>
    <n v="28.8"/>
    <m/>
    <m/>
    <n v="35880"/>
    <n v="14600"/>
    <n v="21280"/>
    <n v="17679.423999999999"/>
    <n v="451.88607743999995"/>
    <n v="277340"/>
    <n v="231339.97699999996"/>
    <n v="5826.5412336400004"/>
    <n v="277340"/>
    <n v="231339.97699999996"/>
    <n v="5826.5412336400004"/>
    <n v="0"/>
    <n v="0"/>
    <n v="0"/>
    <n v="277340"/>
    <n v="231339.97699999996"/>
    <n v="231339.97699999996"/>
    <n v="0"/>
  </r>
  <r>
    <x v="5"/>
    <x v="2"/>
    <x v="15"/>
    <n v="24356"/>
    <x v="1"/>
    <s v="Casaus"/>
    <s v="Maïs"/>
    <x v="2"/>
    <n v="59"/>
    <m/>
    <n v="30.6"/>
    <m/>
    <m/>
    <n v="40340"/>
    <n v="16180"/>
    <n v="24160"/>
    <n v="19463.295999999998"/>
    <n v="539.52256511999997"/>
    <n v="301500"/>
    <n v="250803.27299999996"/>
    <n v="6366.0637987600003"/>
    <n v="301500"/>
    <n v="250803.27299999996"/>
    <n v="6366.0637987600003"/>
    <n v="0"/>
    <n v="0"/>
    <n v="0"/>
    <n v="301500"/>
    <n v="250803.27299999996"/>
    <n v="250803.27299999996"/>
    <n v="0"/>
  </r>
  <r>
    <x v="5"/>
    <x v="2"/>
    <x v="16"/>
    <n v="24357"/>
    <x v="1"/>
    <s v="Casaus"/>
    <s v="Maïs"/>
    <x v="2"/>
    <n v="59"/>
    <m/>
    <n v="31"/>
    <m/>
    <m/>
    <n v="35800"/>
    <n v="14580"/>
    <n v="21220"/>
    <n v="17094.831999999999"/>
    <n v="473.86874303999991"/>
    <n v="322720"/>
    <n v="267898.10499999998"/>
    <n v="6839.9325417999999"/>
    <n v="322720"/>
    <n v="267898.10499999998"/>
    <n v="6839.9325417999999"/>
    <n v="0"/>
    <n v="0"/>
    <n v="0"/>
    <n v="322720"/>
    <n v="267898.10499999998"/>
    <n v="267898.10499999998"/>
    <n v="0"/>
  </r>
  <r>
    <x v="6"/>
    <x v="2"/>
    <x v="17"/>
    <m/>
    <x v="2"/>
    <s v="SOMaSec"/>
    <s v="Maïs"/>
    <x v="3"/>
    <s v="Coulom"/>
    <m/>
    <n v="26.8"/>
    <m/>
    <m/>
    <n v="27700"/>
    <n v="14980"/>
    <n v="12720"/>
    <n v="10880.688"/>
    <n v="230.34416496000003"/>
    <n v="335440"/>
    <n v="278778.79300000001"/>
    <n v="7070.2767067599998"/>
    <n v="322720"/>
    <n v="267898.10499999998"/>
    <n v="6839.9325417999999"/>
    <n v="12720"/>
    <n v="10880.688"/>
    <n v="230.34416496000003"/>
    <n v="335440"/>
    <n v="278778.79300000001"/>
    <n v="267898.10499999998"/>
    <n v="10880.688"/>
  </r>
  <r>
    <x v="6"/>
    <x v="2"/>
    <x v="18"/>
    <m/>
    <x v="2"/>
    <s v="SOMaSec"/>
    <s v="Maïs"/>
    <x v="3"/>
    <s v="Coulom"/>
    <m/>
    <n v="28.3"/>
    <m/>
    <m/>
    <n v="27860"/>
    <n v="14920"/>
    <n v="12940"/>
    <n v="10830.133000000002"/>
    <n v="246.38552575000003"/>
    <n v="348380"/>
    <n v="289608.92599999998"/>
    <n v="7316.6622325099997"/>
    <n v="322720"/>
    <n v="267898.10499999998"/>
    <n v="6839.9325417999999"/>
    <n v="25660"/>
    <n v="21710.821000000004"/>
    <n v="476.72969071000006"/>
    <n v="348380"/>
    <n v="289608.92599999998"/>
    <n v="267898.10499999998"/>
    <n v="21710.821000000004"/>
  </r>
  <r>
    <x v="6"/>
    <x v="2"/>
    <x v="19"/>
    <m/>
    <x v="2"/>
    <s v="SOMaSec"/>
    <s v="Maïs"/>
    <x v="3"/>
    <s v="Coulom"/>
    <m/>
    <n v="26.1"/>
    <m/>
    <m/>
    <n v="25760"/>
    <n v="13340"/>
    <n v="12420"/>
    <n v="10700.450999999999"/>
    <n v="222.14136275999999"/>
    <n v="360800"/>
    <n v="300309.37699999998"/>
    <n v="7538.8035952699993"/>
    <n v="322720"/>
    <n v="267898.10499999998"/>
    <n v="6839.9325417999999"/>
    <n v="38080"/>
    <n v="32411.272000000004"/>
    <n v="698.87105347000011"/>
    <n v="360800"/>
    <n v="300309.37699999998"/>
    <n v="267898.10499999998"/>
    <n v="32411.272000000004"/>
  </r>
  <r>
    <x v="6"/>
    <x v="2"/>
    <x v="20"/>
    <m/>
    <x v="2"/>
    <s v="SOMaSec"/>
    <s v="Maïs"/>
    <x v="3"/>
    <s v="Coulom"/>
    <m/>
    <n v="27.2"/>
    <m/>
    <m/>
    <n v="28320"/>
    <n v="14900"/>
    <n v="13420"/>
    <n v="11396.934999999999"/>
    <n v="247.9973056"/>
    <n v="374220"/>
    <n v="311706.31199999998"/>
    <n v="7786.8009008699992"/>
    <n v="322720"/>
    <n v="267898.10499999998"/>
    <n v="6839.9325417999999"/>
    <n v="51500"/>
    <n v="43808.207000000002"/>
    <n v="946.86835907000011"/>
    <n v="374220"/>
    <n v="311706.31199999998"/>
    <n v="267898.10499999998"/>
    <n v="43808.207000000002"/>
  </r>
  <r>
    <x v="6"/>
    <x v="2"/>
    <x v="21"/>
    <m/>
    <x v="2"/>
    <s v="SOMaSec"/>
    <s v="Maïs"/>
    <x v="3"/>
    <s v="Coulom"/>
    <m/>
    <n v="27.3"/>
    <m/>
    <m/>
    <n v="25960"/>
    <n v="13200"/>
    <n v="12760"/>
    <n v="10836.429999999998"/>
    <n v="235.8007168"/>
    <n v="386980"/>
    <n v="322542.74199999997"/>
    <n v="8022.6016176699995"/>
    <n v="322720"/>
    <n v="267898.10499999998"/>
    <n v="6839.9325417999999"/>
    <n v="64260"/>
    <n v="54644.637000000002"/>
    <n v="1182.6690758700001"/>
    <n v="386980"/>
    <n v="322542.74199999997"/>
    <n v="267898.10499999998"/>
    <n v="54644.637000000002"/>
  </r>
  <r>
    <x v="6"/>
    <x v="2"/>
    <x v="22"/>
    <m/>
    <x v="2"/>
    <s v="SOMaSec"/>
    <s v="Maïs"/>
    <x v="3"/>
    <s v="Coulom"/>
    <m/>
    <n v="27.8"/>
    <m/>
    <m/>
    <n v="23340"/>
    <n v="14940"/>
    <n v="8400"/>
    <n v="7082.0400000000009"/>
    <n v="157.57539000000003"/>
    <n v="395380"/>
    <n v="329624.78199999995"/>
    <n v="8180.1770076699995"/>
    <n v="322720"/>
    <n v="267898.10499999998"/>
    <n v="6839.9325417999999"/>
    <n v="72660"/>
    <n v="61726.677000000003"/>
    <n v="1340.2444658700001"/>
    <n v="395380"/>
    <n v="329624.78199999995"/>
    <n v="267898.10499999998"/>
    <n v="61726.677000000003"/>
  </r>
  <r>
    <x v="7"/>
    <x v="2"/>
    <x v="23"/>
    <m/>
    <x v="2"/>
    <s v="SOMaSec"/>
    <s v="Maïs"/>
    <x v="4"/>
    <s v="Coulom"/>
    <m/>
    <n v="26.1"/>
    <m/>
    <m/>
    <n v="27500"/>
    <n v="14880"/>
    <n v="12620"/>
    <n v="10872.760999999999"/>
    <n v="225.71851835999999"/>
    <n v="408000"/>
    <n v="340497.54299999995"/>
    <n v="8405.895526029999"/>
    <n v="322720"/>
    <n v="267898.10499999998"/>
    <n v="6839.9325417999999"/>
    <n v="85280"/>
    <n v="72599.437999999995"/>
    <n v="1565.9629842300001"/>
    <n v="408000"/>
    <n v="340497.54299999995"/>
    <n v="267898.10499999998"/>
    <n v="72599.437999999995"/>
  </r>
  <r>
    <x v="7"/>
    <x v="2"/>
    <x v="24"/>
    <m/>
    <x v="2"/>
    <s v="SOMaSec"/>
    <s v="Maïs"/>
    <x v="3"/>
    <s v="Coulom"/>
    <m/>
    <n v="24.9"/>
    <m/>
    <m/>
    <n v="23560"/>
    <n v="14980"/>
    <n v="8580"/>
    <n v="7550.4"/>
    <n v="145.496208"/>
    <n v="416580"/>
    <n v="348047.94299999997"/>
    <n v="8551.3917340299995"/>
    <n v="322720"/>
    <n v="267898.10499999998"/>
    <n v="6839.9325417999999"/>
    <n v="93860"/>
    <n v="80149.837999999989"/>
    <n v="1711.4591922300001"/>
    <n v="416580"/>
    <n v="348047.94299999997"/>
    <n v="267898.10499999998"/>
    <n v="80149.837999999989"/>
  </r>
  <r>
    <x v="7"/>
    <x v="2"/>
    <x v="25"/>
    <m/>
    <x v="2"/>
    <s v="SOMaSec"/>
    <s v="Maïs"/>
    <x v="2"/>
    <m/>
    <m/>
    <n v="30.4"/>
    <m/>
    <m/>
    <n v="36560"/>
    <n v="14980"/>
    <n v="21580"/>
    <n v="17524.038999999997"/>
    <n v="433.01900368999992"/>
    <n v="438160"/>
    <n v="365571.98199999996"/>
    <n v="8984.4107377199998"/>
    <n v="322720"/>
    <n v="267898.10499999998"/>
    <n v="6839.9325417999999"/>
    <n v="115440"/>
    <n v="97673.876999999979"/>
    <n v="2144.47819592"/>
    <n v="438160"/>
    <n v="365571.98199999996"/>
    <n v="267898.10499999998"/>
    <n v="97673.876999999979"/>
  </r>
  <r>
    <x v="7"/>
    <x v="2"/>
    <x v="26"/>
    <m/>
    <x v="2"/>
    <s v="SOMaSec"/>
    <s v="Maïs"/>
    <x v="2"/>
    <m/>
    <m/>
    <n v="29.9"/>
    <m/>
    <m/>
    <n v="31840"/>
    <n v="14040"/>
    <n v="17800"/>
    <n v="14569.3"/>
    <n v="353.01413899999994"/>
    <n v="455960"/>
    <n v="380141.28199999995"/>
    <n v="9337.4248767200006"/>
    <n v="322720"/>
    <n v="267898.10499999998"/>
    <n v="6839.9325417999999"/>
    <n v="133240"/>
    <n v="112243.17699999998"/>
    <n v="2497.4923349199998"/>
    <n v="455960"/>
    <n v="380141.28199999995"/>
    <n v="267898.10499999998"/>
    <n v="112243.17699999998"/>
  </r>
  <r>
    <x v="7"/>
    <x v="2"/>
    <x v="27"/>
    <m/>
    <x v="2"/>
    <s v="SOMaSec"/>
    <s v="Maïs"/>
    <x v="2"/>
    <m/>
    <m/>
    <n v="30.4"/>
    <m/>
    <m/>
    <n v="36920"/>
    <n v="14960"/>
    <n v="21960"/>
    <n v="17832.617999999999"/>
    <n v="440.64399077999997"/>
    <n v="477920"/>
    <n v="397973.89999999997"/>
    <n v="9778.0688675000001"/>
    <n v="322720"/>
    <n v="267898.10499999998"/>
    <n v="6839.9325417999999"/>
    <n v="155200"/>
    <n v="130075.79499999998"/>
    <n v="2938.1363256999998"/>
    <n v="477920"/>
    <n v="397973.89999999997"/>
    <n v="267898.10499999998"/>
    <n v="130075.79499999998"/>
  </r>
  <r>
    <x v="7"/>
    <x v="2"/>
    <x v="28"/>
    <m/>
    <x v="2"/>
    <s v="SOMaSec"/>
    <s v="Maïs"/>
    <x v="2"/>
    <m/>
    <m/>
    <n v="29.1"/>
    <m/>
    <m/>
    <n v="32240"/>
    <n v="14040"/>
    <n v="18200"/>
    <n v="15008.63"/>
    <n v="356.30487619999997"/>
    <n v="496120"/>
    <n v="412982.52999999997"/>
    <n v="10134.3737437"/>
    <n v="322720"/>
    <n v="267898.10499999998"/>
    <n v="6839.9325417999999"/>
    <n v="173400"/>
    <n v="145084.42499999999"/>
    <n v="3294.4412018999997"/>
    <n v="496120"/>
    <n v="412982.52999999997"/>
    <n v="267898.10499999998"/>
    <n v="145084.42499999999"/>
  </r>
  <r>
    <x v="7"/>
    <x v="2"/>
    <x v="29"/>
    <m/>
    <x v="2"/>
    <s v="SOMaSec"/>
    <s v="Maïs"/>
    <x v="2"/>
    <m/>
    <m/>
    <n v="30.4"/>
    <m/>
    <m/>
    <n v="36700"/>
    <n v="14940"/>
    <n v="21760"/>
    <n v="17670.207999999999"/>
    <n v="436.63083967999995"/>
    <n v="517880"/>
    <n v="430652.73799999995"/>
    <n v="10571.00458338"/>
    <n v="322720"/>
    <n v="267898.10499999998"/>
    <n v="6839.9325417999999"/>
    <n v="195160"/>
    <n v="162754.63299999997"/>
    <n v="3731.0720415799997"/>
    <n v="517880"/>
    <n v="430652.73799999995"/>
    <n v="267898.10499999998"/>
    <n v="162754.63299999997"/>
  </r>
  <r>
    <x v="7"/>
    <x v="2"/>
    <x v="30"/>
    <m/>
    <x v="2"/>
    <s v="SOMaSec"/>
    <s v="Maïs"/>
    <x v="5"/>
    <m/>
    <m/>
    <n v="32.700000000000003"/>
    <m/>
    <m/>
    <n v="29120"/>
    <n v="13520"/>
    <n v="15600"/>
    <n v="12164.88"/>
    <n v="337.81871759999996"/>
    <n v="533480"/>
    <n v="442817.61799999996"/>
    <n v="10908.823300979999"/>
    <n v="322720"/>
    <n v="267898.10499999998"/>
    <n v="6839.9325417999999"/>
    <n v="210760"/>
    <n v="174919.51299999998"/>
    <n v="4068.8907591799998"/>
    <n v="533480"/>
    <n v="442817.61799999996"/>
    <n v="267898.10499999998"/>
    <n v="174919.51299999998"/>
  </r>
  <r>
    <x v="7"/>
    <x v="2"/>
    <x v="31"/>
    <m/>
    <x v="2"/>
    <s v="SOMaSec"/>
    <s v="Maïs"/>
    <x v="2"/>
    <m/>
    <m/>
    <n v="30.1"/>
    <m/>
    <m/>
    <n v="32060"/>
    <n v="14140"/>
    <n v="17920"/>
    <n v="14551.936"/>
    <n v="359.57833856000002"/>
    <n v="551400"/>
    <n v="457369.55399999995"/>
    <n v="11268.401639539999"/>
    <n v="322720"/>
    <n v="267898.10499999998"/>
    <n v="6839.9325417999999"/>
    <n v="228680"/>
    <n v="189471.44899999996"/>
    <n v="4428.4690977399996"/>
    <n v="551400"/>
    <n v="457369.55399999995"/>
    <n v="267898.10499999998"/>
    <n v="189471.44899999996"/>
  </r>
  <r>
    <x v="7"/>
    <x v="2"/>
    <x v="32"/>
    <m/>
    <x v="2"/>
    <s v="SOMaSec"/>
    <s v="Maïs"/>
    <x v="2"/>
    <m/>
    <m/>
    <n v="29.9"/>
    <m/>
    <m/>
    <n v="35560"/>
    <n v="14920"/>
    <n v="20640"/>
    <n v="16893.84"/>
    <n v="409.33774320000003"/>
    <n v="572040"/>
    <n v="474263.39399999997"/>
    <n v="11677.739382739999"/>
    <n v="322720"/>
    <n v="267898.10499999998"/>
    <n v="6839.9325417999999"/>
    <n v="249320"/>
    <n v="206365.28899999996"/>
    <n v="4837.8068409399993"/>
    <n v="572040"/>
    <n v="474263.39399999997"/>
    <n v="267898.10499999998"/>
    <n v="206365.28899999996"/>
  </r>
  <r>
    <x v="8"/>
    <x v="2"/>
    <x v="33"/>
    <m/>
    <x v="2"/>
    <s v="SOMaSec"/>
    <s v="Maïs"/>
    <x v="5"/>
    <m/>
    <m/>
    <n v="30.3"/>
    <m/>
    <m/>
    <n v="27400"/>
    <n v="13440"/>
    <n v="13960"/>
    <n v="11336.217999999999"/>
    <n v="280.11794678000001"/>
    <n v="586000"/>
    <n v="485599.61199999996"/>
    <n v="11957.857329519999"/>
    <n v="322720"/>
    <n v="267898.10499999998"/>
    <n v="6839.9325417999999"/>
    <n v="263280"/>
    <n v="217701.50699999995"/>
    <n v="5117.9247877199996"/>
    <n v="586000"/>
    <n v="485599.61199999996"/>
    <n v="267898.10499999998"/>
    <n v="217701.50699999995"/>
  </r>
  <r>
    <x v="8"/>
    <x v="2"/>
    <x v="34"/>
    <m/>
    <x v="2"/>
    <s v="SOMaSec"/>
    <s v="Maïs"/>
    <x v="5"/>
    <m/>
    <m/>
    <n v="30.9"/>
    <m/>
    <m/>
    <n v="17140"/>
    <n v="10120"/>
    <n v="7020"/>
    <n v="5655.3119999999999"/>
    <n v="142.51386239999999"/>
    <n v="593020"/>
    <n v="491254.92399999994"/>
    <n v="12100.371191919998"/>
    <n v="322720"/>
    <n v="267898.10499999998"/>
    <n v="6839.9325417999999"/>
    <n v="270300"/>
    <n v="223356.81899999996"/>
    <n v="5260.4386501199997"/>
    <n v="593020"/>
    <n v="491254.92399999994"/>
    <n v="267898.10499999998"/>
    <n v="223356.81899999996"/>
  </r>
  <r>
    <x v="8"/>
    <x v="2"/>
    <x v="35"/>
    <m/>
    <x v="2"/>
    <s v="SOMaSec"/>
    <s v="Maïs"/>
    <x v="2"/>
    <m/>
    <m/>
    <n v="29.5"/>
    <m/>
    <m/>
    <n v="32260"/>
    <n v="14120"/>
    <n v="18140"/>
    <n v="14959.151"/>
    <n v="355.13024473999997"/>
    <n v="611160"/>
    <n v="506214.07499999995"/>
    <n v="12455.501436659997"/>
    <n v="322720"/>
    <n v="267898.10499999998"/>
    <n v="6839.9325417999999"/>
    <n v="288440"/>
    <n v="238315.96999999997"/>
    <n v="5615.56889486"/>
    <n v="611160"/>
    <n v="506214.07499999995"/>
    <n v="267898.10499999998"/>
    <n v="238315.96999999997"/>
  </r>
  <r>
    <x v="8"/>
    <x v="2"/>
    <x v="36"/>
    <m/>
    <x v="2"/>
    <s v="SOMaSec"/>
    <s v="Maïs"/>
    <x v="2"/>
    <m/>
    <m/>
    <n v="30.5"/>
    <m/>
    <m/>
    <n v="35240"/>
    <n v="14900"/>
    <n v="20340"/>
    <n v="16517.096999999998"/>
    <n v="408.13746686999997"/>
    <n v="631500"/>
    <n v="522731.17199999996"/>
    <n v="12863.638903529996"/>
    <n v="322720"/>
    <n v="267898.10499999998"/>
    <n v="6839.9325417999999"/>
    <n v="308780"/>
    <n v="254833.06699999998"/>
    <n v="6023.70636173"/>
    <n v="631500"/>
    <n v="522731.17199999996"/>
    <n v="267898.10499999998"/>
    <n v="254833.06699999998"/>
  </r>
  <r>
    <x v="8"/>
    <x v="2"/>
    <x v="37"/>
    <m/>
    <x v="2"/>
    <s v="SOMaSec"/>
    <s v="Maïs"/>
    <x v="2"/>
    <m/>
    <m/>
    <n v="30.4"/>
    <m/>
    <m/>
    <n v="36000"/>
    <n v="14900"/>
    <n v="21100"/>
    <n v="17134.254999999997"/>
    <n v="423.38744104999995"/>
    <n v="652600"/>
    <n v="539865.42699999991"/>
    <n v="13287.026344579996"/>
    <n v="322720"/>
    <n v="267898.10499999998"/>
    <n v="6839.9325417999999"/>
    <n v="329880"/>
    <n v="271967.32199999999"/>
    <n v="6447.0938027800003"/>
    <n v="652600"/>
    <n v="539865.42699999991"/>
    <n v="267898.10499999998"/>
    <n v="271967.32199999999"/>
  </r>
  <r>
    <x v="8"/>
    <x v="2"/>
    <x v="38"/>
    <m/>
    <x v="2"/>
    <s v="SOMaSec"/>
    <s v="Blé"/>
    <x v="2"/>
    <m/>
    <m/>
    <n v="30.1"/>
    <m/>
    <m/>
    <n v="31780"/>
    <n v="14120"/>
    <n v="17660"/>
    <n v="14340.802999999998"/>
    <n v="354.36124212999999"/>
    <n v="670260"/>
    <n v="554206.22999999986"/>
    <n v="13641.387586709996"/>
    <n v="322720"/>
    <n v="267898.10499999998"/>
    <n v="6839.9325417999999"/>
    <n v="347540"/>
    <n v="286308.125"/>
    <n v="6801.4550449100007"/>
    <n v="670260"/>
    <n v="554206.22999999986"/>
    <n v="267898.10499999998"/>
    <n v="286308.125"/>
  </r>
  <r>
    <x v="8"/>
    <x v="2"/>
    <x v="39"/>
    <m/>
    <x v="2"/>
    <s v="SOMaSec"/>
    <s v="Maïs"/>
    <x v="2"/>
    <m/>
    <m/>
    <n v="28.3"/>
    <m/>
    <m/>
    <n v="35820"/>
    <n v="15020"/>
    <n v="20800"/>
    <n v="17408.560000000001"/>
    <n v="396.04474000000005"/>
    <n v="691060"/>
    <n v="571614.78999999992"/>
    <n v="14037.432326709995"/>
    <n v="322720"/>
    <n v="267898.10499999998"/>
    <n v="6839.9325417999999"/>
    <n v="368340"/>
    <n v="303716.685"/>
    <n v="7197.4997849100009"/>
    <n v="691060"/>
    <n v="571614.78999999992"/>
    <n v="267898.10499999998"/>
    <n v="303716.685"/>
  </r>
  <r>
    <x v="8"/>
    <x v="2"/>
    <x v="40"/>
    <m/>
    <x v="2"/>
    <s v="SOMaSec"/>
    <s v="Maïs"/>
    <x v="2"/>
    <m/>
    <m/>
    <n v="29.6"/>
    <m/>
    <m/>
    <n v="32320"/>
    <n v="14100"/>
    <n v="18220"/>
    <n v="14913.07"/>
    <n v="361.34368610000001"/>
    <n v="709280"/>
    <n v="586527.85999999987"/>
    <n v="14398.776012809994"/>
    <n v="322720"/>
    <n v="267898.10499999998"/>
    <n v="6839.9325417999999"/>
    <n v="386560"/>
    <n v="318629.755"/>
    <n v="7558.8434710100009"/>
    <n v="709280"/>
    <n v="586527.85999999987"/>
    <n v="267898.10499999998"/>
    <n v="318629.755"/>
  </r>
  <r>
    <x v="8"/>
    <x v="2"/>
    <x v="41"/>
    <m/>
    <x v="2"/>
    <s v="SOMaSec"/>
    <s v="Maïs"/>
    <x v="2"/>
    <m/>
    <m/>
    <n v="29.2"/>
    <m/>
    <m/>
    <n v="35960"/>
    <n v="15000"/>
    <n v="20960"/>
    <n v="17284.664000000001"/>
    <n v="410.33792335999999"/>
    <n v="730240"/>
    <n v="603812.52399999986"/>
    <n v="14809.113936169995"/>
    <n v="322720"/>
    <n v="267898.10499999998"/>
    <n v="6839.9325417999999"/>
    <n v="407520"/>
    <n v="335914.41899999999"/>
    <n v="7969.1813943700008"/>
    <n v="730240"/>
    <n v="603812.52399999986"/>
    <n v="267898.10499999998"/>
    <n v="335914.41899999999"/>
  </r>
  <r>
    <x v="9"/>
    <x v="2"/>
    <x v="42"/>
    <m/>
    <x v="2"/>
    <s v="SOMaSec"/>
    <s v="Maïs"/>
    <x v="5"/>
    <m/>
    <m/>
    <n v="28.5"/>
    <m/>
    <m/>
    <n v="23620"/>
    <n v="13500"/>
    <n v="10120"/>
    <n v="8469.9340000000011"/>
    <n v="192.69099850000001"/>
    <n v="740360"/>
    <n v="612282.45799999987"/>
    <n v="15001.804934669995"/>
    <n v="322720"/>
    <n v="267898.10499999998"/>
    <n v="6839.9325417999999"/>
    <n v="417640"/>
    <n v="344384.353"/>
    <n v="8161.872392870001"/>
    <n v="740360"/>
    <n v="612282.45799999987"/>
    <n v="267898.10499999998"/>
    <n v="344384.353"/>
  </r>
  <r>
    <x v="9"/>
    <x v="2"/>
    <x v="43"/>
    <m/>
    <x v="2"/>
    <s v="SOMaSec"/>
    <s v="Maïs"/>
    <x v="5"/>
    <m/>
    <m/>
    <n v="29.5"/>
    <m/>
    <m/>
    <n v="27320"/>
    <n v="13420"/>
    <n v="13900"/>
    <n v="11462.635"/>
    <n v="272.12295490000002"/>
    <n v="754260"/>
    <n v="623745.09299999988"/>
    <n v="15273.927889569995"/>
    <n v="322720"/>
    <n v="267898.10499999998"/>
    <n v="6839.9325417999999"/>
    <n v="431540"/>
    <n v="355846.98800000001"/>
    <n v="8433.9953477700019"/>
    <n v="754260"/>
    <n v="623745.09299999988"/>
    <n v="267898.10499999998"/>
    <n v="355846.98800000001"/>
  </r>
  <r>
    <x v="9"/>
    <x v="2"/>
    <x v="44"/>
    <m/>
    <x v="2"/>
    <s v="SOMaSec"/>
    <s v="Maïs"/>
    <x v="2"/>
    <m/>
    <m/>
    <n v="29.9"/>
    <m/>
    <m/>
    <n v="33420"/>
    <n v="14100"/>
    <n v="19320"/>
    <n v="15813.42"/>
    <n v="383.15916659999999"/>
    <n v="773580"/>
    <n v="639558.51299999992"/>
    <n v="15657.087056169996"/>
    <n v="322720"/>
    <n v="267898.10499999998"/>
    <n v="6839.9325417999999"/>
    <n v="450860"/>
    <n v="371660.408"/>
    <n v="8817.1545143700023"/>
    <n v="773580"/>
    <n v="639558.51299999992"/>
    <n v="267898.10499999998"/>
    <n v="371660.408"/>
  </r>
  <r>
    <x v="9"/>
    <x v="2"/>
    <x v="45"/>
    <m/>
    <x v="2"/>
    <s v="SOMaSec"/>
    <s v="Maïs"/>
    <x v="2"/>
    <m/>
    <m/>
    <n v="31.4"/>
    <m/>
    <m/>
    <n v="37020"/>
    <n v="15000"/>
    <n v="22020"/>
    <n v="17597.282999999999"/>
    <n v="452.25017309999998"/>
    <n v="795600"/>
    <n v="657155.79599999997"/>
    <n v="16109.337229269995"/>
    <n v="322720"/>
    <n v="267898.10499999998"/>
    <n v="6839.9325417999999"/>
    <n v="472880"/>
    <n v="389257.69099999999"/>
    <n v="9269.4046874700016"/>
    <n v="795600"/>
    <n v="657155.79599999997"/>
    <n v="267898.10499999998"/>
    <n v="389257.69099999999"/>
  </r>
  <r>
    <x v="9"/>
    <x v="2"/>
    <x v="46"/>
    <m/>
    <x v="2"/>
    <s v="SOMaSec"/>
    <s v="Maïs"/>
    <x v="5"/>
    <m/>
    <m/>
    <n v="30"/>
    <m/>
    <m/>
    <n v="25380"/>
    <n v="10100"/>
    <n v="15280"/>
    <n v="12506.68"/>
    <n v="303.03685639999998"/>
    <n v="810880"/>
    <n v="669662.47600000002"/>
    <n v="16412.374085669995"/>
    <n v="322720"/>
    <n v="267898.10499999998"/>
    <n v="6839.9325417999999"/>
    <n v="488160"/>
    <n v="401764.37099999998"/>
    <n v="9572.4415438700016"/>
    <n v="810880"/>
    <n v="669662.47600000002"/>
    <n v="267898.10499999998"/>
    <n v="401764.37099999998"/>
  </r>
  <r>
    <x v="9"/>
    <x v="2"/>
    <x v="47"/>
    <m/>
    <x v="2"/>
    <s v="SOMaSec"/>
    <s v="Maïs"/>
    <x v="2"/>
    <m/>
    <m/>
    <n v="31.5"/>
    <m/>
    <m/>
    <n v="36800"/>
    <n v="14980"/>
    <n v="21820"/>
    <n v="17437.453000000001"/>
    <n v="448.14254210000001"/>
    <n v="832700"/>
    <n v="687099.929"/>
    <n v="16860.516627769994"/>
    <n v="322720"/>
    <n v="267898.10499999998"/>
    <n v="6839.9325417999999"/>
    <n v="509980"/>
    <n v="419201.82399999996"/>
    <n v="10020.584085970002"/>
    <n v="832700"/>
    <n v="687099.929"/>
    <n v="267898.10499999998"/>
    <n v="419201.82399999996"/>
  </r>
  <r>
    <x v="9"/>
    <x v="2"/>
    <x v="48"/>
    <m/>
    <x v="2"/>
    <s v="SOMaSec"/>
    <s v="Maïs"/>
    <x v="2"/>
    <m/>
    <m/>
    <n v="29.8"/>
    <m/>
    <m/>
    <n v="32620"/>
    <n v="14080"/>
    <n v="18540"/>
    <n v="15174.99"/>
    <n v="367.69000770000002"/>
    <n v="851240"/>
    <n v="702274.91899999999"/>
    <n v="17228.206635469993"/>
    <n v="322720"/>
    <n v="267898.10499999998"/>
    <n v="6839.9325417999999"/>
    <n v="528520"/>
    <n v="434376.81399999995"/>
    <n v="10388.274093670003"/>
    <n v="851240"/>
    <n v="702274.91899999999"/>
    <n v="267898.10499999998"/>
    <n v="434376.81399999995"/>
  </r>
  <r>
    <x v="9"/>
    <x v="1"/>
    <x v="49"/>
    <n v="11718"/>
    <x v="1"/>
    <s v="Casaus"/>
    <s v="Maïs"/>
    <x v="1"/>
    <m/>
    <s v="CC-058-CG"/>
    <n v="28.6"/>
    <m/>
    <m/>
    <n v="40620"/>
    <n v="12900"/>
    <n v="27720"/>
    <n v="23029.775999999998"/>
    <n v="588.64107455999988"/>
    <n v="878960"/>
    <n v="725304.69499999995"/>
    <n v="17816.847710029993"/>
    <n v="350440"/>
    <n v="290927.88099999999"/>
    <n v="7428.5736163599995"/>
    <n v="528520"/>
    <n v="434376.81399999995"/>
    <n v="10388.274093670003"/>
    <n v="878960"/>
    <n v="725304.69499999995"/>
    <n v="290927.88099999999"/>
    <n v="434376.81399999995"/>
  </r>
  <r>
    <x v="9"/>
    <x v="2"/>
    <x v="50"/>
    <m/>
    <x v="2"/>
    <s v="SOMaSec"/>
    <s v="Maïs"/>
    <x v="2"/>
    <m/>
    <m/>
    <n v="29.7"/>
    <m/>
    <m/>
    <n v="36120"/>
    <n v="14960"/>
    <n v="21160"/>
    <n v="17319.46"/>
    <n v="419.65051579999999"/>
    <n v="900120"/>
    <n v="742624.15499999991"/>
    <n v="18236.498225829993"/>
    <n v="350440"/>
    <n v="290927.88099999999"/>
    <n v="7428.5736163599995"/>
    <n v="549680"/>
    <n v="451696.27399999998"/>
    <n v="10807.924609470003"/>
    <n v="900120"/>
    <n v="742624.15499999991"/>
    <n v="290927.88099999999"/>
    <n v="451696.27399999998"/>
  </r>
  <r>
    <x v="9"/>
    <x v="2"/>
    <x v="51"/>
    <m/>
    <x v="2"/>
    <s v="SOMaSec"/>
    <s v="Maïs"/>
    <x v="2"/>
    <m/>
    <m/>
    <n v="26.7"/>
    <m/>
    <m/>
    <n v="32880"/>
    <n v="14080"/>
    <n v="18800"/>
    <n v="16081.519999999999"/>
    <n v="340.44577839999999"/>
    <n v="918920"/>
    <n v="758705.67499999993"/>
    <n v="18576.944004229994"/>
    <n v="350440"/>
    <n v="290927.88099999999"/>
    <n v="7428.5736163599995"/>
    <n v="568480"/>
    <n v="467777.79399999999"/>
    <n v="11148.370387870003"/>
    <n v="918920"/>
    <n v="758705.67499999993"/>
    <n v="290927.88099999999"/>
    <n v="467777.79399999999"/>
  </r>
  <r>
    <x v="9"/>
    <x v="2"/>
    <x v="52"/>
    <m/>
    <x v="2"/>
    <s v="SOMaSec"/>
    <s v="Maïs"/>
    <x v="2"/>
    <m/>
    <m/>
    <n v="27"/>
    <m/>
    <m/>
    <n v="37000"/>
    <n v="14940"/>
    <n v="22060"/>
    <n v="18870.124"/>
    <n v="399.48052508000006"/>
    <n v="940980"/>
    <n v="777575.79899999988"/>
    <n v="18976.424529309996"/>
    <n v="350440"/>
    <n v="290927.88099999999"/>
    <n v="7428.5736163599995"/>
    <n v="590540"/>
    <n v="486647.91800000001"/>
    <n v="11547.850912950003"/>
    <n v="940980"/>
    <n v="777575.79899999988"/>
    <n v="290927.88099999999"/>
    <n v="486647.91800000001"/>
  </r>
  <r>
    <x v="9"/>
    <x v="1"/>
    <x v="53"/>
    <n v="11721"/>
    <x v="1"/>
    <s v="Casaus"/>
    <s v="Maïs"/>
    <x v="1"/>
    <m/>
    <s v="CC-058-CG"/>
    <n v="30.3"/>
    <m/>
    <m/>
    <n v="40700"/>
    <n v="12900"/>
    <n v="27800"/>
    <n v="22574.989999999998"/>
    <n v="613.58822819999989"/>
    <n v="968780"/>
    <n v="800150.78899999987"/>
    <n v="19590.012757509994"/>
    <n v="378240"/>
    <n v="313502.87099999998"/>
    <n v="8042.1618445599997"/>
    <n v="590540"/>
    <n v="486647.91800000001"/>
    <n v="11547.850912950003"/>
    <n v="968780"/>
    <n v="800150.78899999987"/>
    <n v="313502.87099999998"/>
    <n v="486647.91800000001"/>
  </r>
  <r>
    <x v="9"/>
    <x v="1"/>
    <x v="54"/>
    <n v="11759"/>
    <x v="1"/>
    <s v="Casaus"/>
    <s v="Maïs"/>
    <x v="1"/>
    <s v="Abadie"/>
    <s v="9126 MH 32"/>
    <n v="30.7"/>
    <m/>
    <m/>
    <n v="41160"/>
    <n v="13460"/>
    <n v="27700"/>
    <n v="22315.119999999999"/>
    <n v="618.57512639999993"/>
    <n v="996480"/>
    <n v="822465.90899999987"/>
    <n v="20208.587883909993"/>
    <n v="405940"/>
    <n v="335817.99099999998"/>
    <n v="8660.7369709599989"/>
    <n v="590540"/>
    <n v="486647.91800000001"/>
    <n v="11547.850912950003"/>
    <n v="996480"/>
    <n v="822465.90899999987"/>
    <n v="335817.99099999998"/>
    <n v="486647.91800000001"/>
  </r>
  <r>
    <x v="9"/>
    <x v="2"/>
    <x v="55"/>
    <m/>
    <x v="2"/>
    <s v="SOMaSec"/>
    <s v="Maïs"/>
    <x v="2"/>
    <m/>
    <m/>
    <n v="25.3"/>
    <m/>
    <m/>
    <n v="33000"/>
    <n v="14040"/>
    <n v="18960"/>
    <n v="16568.196"/>
    <n v="327.38755295999999"/>
    <n v="1015440"/>
    <n v="839034.10499999986"/>
    <n v="20535.975436869994"/>
    <n v="405940"/>
    <n v="335817.99099999998"/>
    <n v="8660.7369709599989"/>
    <n v="609500"/>
    <n v="503216.114"/>
    <n v="11875.238465910003"/>
    <n v="1015440"/>
    <n v="839034.10499999986"/>
    <n v="335817.99099999998"/>
    <n v="503216.114"/>
  </r>
  <r>
    <x v="9"/>
    <x v="2"/>
    <x v="56"/>
    <m/>
    <x v="2"/>
    <s v="SOMaSec"/>
    <s v="Maïs"/>
    <x v="2"/>
    <m/>
    <m/>
    <n v="25.1"/>
    <m/>
    <m/>
    <n v="36880"/>
    <n v="14940"/>
    <n v="21940"/>
    <n v="19172.269"/>
    <n v="378.84403544000003"/>
    <n v="1037380"/>
    <n v="858206.37399999984"/>
    <n v="20914.819472309995"/>
    <n v="405940"/>
    <n v="335817.99099999998"/>
    <n v="8660.7369709599989"/>
    <n v="631440"/>
    <n v="522388.38300000003"/>
    <n v="12254.082501350003"/>
    <n v="1037380"/>
    <n v="858206.37399999984"/>
    <n v="335817.99099999998"/>
    <n v="522388.38300000003"/>
  </r>
  <r>
    <x v="9"/>
    <x v="2"/>
    <x v="57"/>
    <m/>
    <x v="2"/>
    <s v="SOMaSec"/>
    <s v="Maïs"/>
    <x v="5"/>
    <m/>
    <m/>
    <n v="29.3"/>
    <m/>
    <m/>
    <n v="28380"/>
    <n v="13500"/>
    <n v="14880"/>
    <n v="12270.791999999999"/>
    <n v="291.30860207999996"/>
    <n v="1052260"/>
    <n v="870477.16599999985"/>
    <n v="21206.128074389995"/>
    <n v="405940"/>
    <n v="335817.99099999998"/>
    <n v="8660.7369709599989"/>
    <n v="646320"/>
    <n v="534659.17500000005"/>
    <n v="12545.391103430004"/>
    <n v="1052260"/>
    <n v="870477.16599999985"/>
    <n v="335817.99099999998"/>
    <n v="534659.17500000005"/>
  </r>
  <r>
    <x v="10"/>
    <x v="2"/>
    <x v="58"/>
    <m/>
    <x v="2"/>
    <s v="SOMaSec"/>
    <s v="Maïs"/>
    <x v="2"/>
    <m/>
    <m/>
    <n v="27.7"/>
    <m/>
    <m/>
    <n v="32900"/>
    <n v="14060"/>
    <n v="18840"/>
    <n v="15884.004000000001"/>
    <n v="353.41908900000004"/>
    <n v="1071100"/>
    <n v="886361.16999999981"/>
    <n v="21559.547163389994"/>
    <n v="405940"/>
    <n v="335817.99099999998"/>
    <n v="8660.7369709599989"/>
    <n v="665160"/>
    <n v="550543.179"/>
    <n v="12898.810192430004"/>
    <n v="1071100"/>
    <n v="886361.16999999981"/>
    <n v="335817.99099999998"/>
    <n v="550543.179"/>
  </r>
  <r>
    <x v="10"/>
    <x v="2"/>
    <x v="59"/>
    <m/>
    <x v="2"/>
    <s v="SOMaSec"/>
    <s v="Maïs"/>
    <x v="2"/>
    <m/>
    <m/>
    <n v="28"/>
    <m/>
    <m/>
    <n v="36840"/>
    <n v="14940"/>
    <n v="21900"/>
    <n v="18463.890000000003"/>
    <n v="410.82155250000005"/>
    <n v="1093000"/>
    <n v="904825.05999999982"/>
    <n v="21970.368715889996"/>
    <n v="405940"/>
    <n v="335817.99099999998"/>
    <n v="8660.7369709599989"/>
    <n v="687060"/>
    <n v="569007.06900000002"/>
    <n v="13309.631744930004"/>
    <n v="1093000"/>
    <n v="904825.05999999982"/>
    <n v="335817.99099999998"/>
    <n v="569007.06900000002"/>
  </r>
  <r>
    <x v="10"/>
    <x v="2"/>
    <x v="60"/>
    <m/>
    <x v="2"/>
    <s v="SOMaSec"/>
    <s v="Maïs"/>
    <x v="2"/>
    <m/>
    <m/>
    <n v="28.4"/>
    <m/>
    <m/>
    <n v="32080"/>
    <n v="14140"/>
    <n v="17940"/>
    <n v="15014.883000000002"/>
    <n v="341.58858825000004"/>
    <n v="1110940"/>
    <n v="919839.94299999985"/>
    <n v="22311.957304139996"/>
    <n v="405940"/>
    <n v="335817.99099999998"/>
    <n v="8660.7369709599989"/>
    <n v="705000"/>
    <n v="584021.95200000005"/>
    <n v="13651.220333180005"/>
    <n v="1110940"/>
    <n v="919839.94299999985"/>
    <n v="335817.99099999998"/>
    <n v="584021.95200000005"/>
  </r>
  <r>
    <x v="10"/>
    <x v="2"/>
    <x v="61"/>
    <m/>
    <x v="2"/>
    <s v="SOMaSec"/>
    <s v="Maïs"/>
    <x v="2"/>
    <m/>
    <m/>
    <n v="26.6"/>
    <m/>
    <m/>
    <n v="36200"/>
    <n v="14900"/>
    <n v="21300"/>
    <n v="18220.02"/>
    <n v="385.71782340000004"/>
    <n v="1132240"/>
    <n v="938059.96299999987"/>
    <n v="22697.675127539995"/>
    <n v="405940"/>
    <n v="335817.99099999998"/>
    <n v="8660.7369709599989"/>
    <n v="726300"/>
    <n v="602241.97200000007"/>
    <n v="14036.938156580005"/>
    <n v="1132240"/>
    <n v="938059.96299999987"/>
    <n v="335817.99099999998"/>
    <n v="602241.97200000007"/>
  </r>
  <r>
    <x v="10"/>
    <x v="2"/>
    <x v="62"/>
    <m/>
    <x v="2"/>
    <s v="SOMaSec"/>
    <s v="Maïs"/>
    <x v="2"/>
    <m/>
    <m/>
    <n v="28.5"/>
    <m/>
    <m/>
    <n v="32780"/>
    <n v="14120"/>
    <n v="18660"/>
    <n v="15617.487000000001"/>
    <n v="355.29782925000001"/>
    <n v="1150900"/>
    <n v="953677.44999999984"/>
    <n v="23052.972956789996"/>
    <n v="405940"/>
    <n v="335817.99099999998"/>
    <n v="8660.7369709599989"/>
    <n v="744960"/>
    <n v="617859.45900000003"/>
    <n v="14392.235985830004"/>
    <n v="1150900"/>
    <n v="953677.44999999984"/>
    <n v="335817.99099999998"/>
    <n v="617859.45900000003"/>
  </r>
  <r>
    <x v="10"/>
    <x v="2"/>
    <x v="63"/>
    <m/>
    <x v="2"/>
    <s v="SOMaSec"/>
    <s v="Maïs"/>
    <x v="2"/>
    <m/>
    <m/>
    <n v="31.1"/>
    <m/>
    <m/>
    <n v="37000"/>
    <n v="14900"/>
    <n v="22100"/>
    <n v="17661.215"/>
    <n v="453.89322550000003"/>
    <n v="1173000"/>
    <n v="971338.6649999998"/>
    <n v="23506.866182289996"/>
    <n v="405940"/>
    <n v="335817.99099999998"/>
    <n v="8660.7369709599989"/>
    <n v="767060"/>
    <n v="635520.674"/>
    <n v="14846.129211330004"/>
    <n v="1173000"/>
    <n v="971338.6649999998"/>
    <n v="335817.99099999998"/>
    <n v="635520.674"/>
  </r>
  <r>
    <x v="10"/>
    <x v="2"/>
    <x v="64"/>
    <m/>
    <x v="2"/>
    <s v="SOMaSec"/>
    <s v="Maïs"/>
    <x v="2"/>
    <m/>
    <m/>
    <n v="29.5"/>
    <m/>
    <m/>
    <n v="32800"/>
    <n v="14100"/>
    <n v="18700"/>
    <n v="15420.955"/>
    <n v="366.09347170000001"/>
    <n v="1191700"/>
    <n v="986759.61999999976"/>
    <n v="23872.959653989994"/>
    <n v="405940"/>
    <n v="335817.99099999998"/>
    <n v="8660.7369709599989"/>
    <n v="785760"/>
    <n v="650941.62899999996"/>
    <n v="15212.222683030004"/>
    <n v="1191700"/>
    <n v="986759.61999999976"/>
    <n v="335817.99099999998"/>
    <n v="650941.62899999996"/>
  </r>
  <r>
    <x v="10"/>
    <x v="2"/>
    <x v="65"/>
    <m/>
    <x v="2"/>
    <s v="SOMaSec"/>
    <s v="Maïs"/>
    <x v="2"/>
    <m/>
    <m/>
    <n v="31.5"/>
    <m/>
    <m/>
    <n v="33320"/>
    <n v="14920"/>
    <n v="18400"/>
    <n v="14704.36"/>
    <n v="377.90205200000003"/>
    <n v="1210100"/>
    <n v="1001463.9799999997"/>
    <n v="24250.861705989995"/>
    <n v="405940"/>
    <n v="335817.99099999998"/>
    <n v="8660.7369709599989"/>
    <n v="804160"/>
    <n v="665645.98899999994"/>
    <n v="15590.124735030004"/>
    <n v="1210100"/>
    <n v="1001463.9799999997"/>
    <n v="335817.99099999998"/>
    <n v="665645.9889999999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3" rowHeaderCaption="Clients">
  <location ref="A5:F100" firstHeaderRow="0" firstDataRow="1" firstDataCol="1" rowPageCount="2" colPageCount="1"/>
  <pivotFields count="31">
    <pivotField axis="axisRow" multipleItemSelectionAllowed="1" showAll="0" sortType="ascending">
      <items count="99">
        <item m="1" x="65"/>
        <item x="1"/>
        <item x="2"/>
        <item m="1" x="61"/>
        <item m="1" x="35"/>
        <item m="1" x="11"/>
        <item m="1" x="54"/>
        <item m="1" x="95"/>
        <item m="1" x="52"/>
        <item m="1" x="29"/>
        <item m="1" x="13"/>
        <item m="1" x="75"/>
        <item m="1" x="56"/>
        <item m="1" x="36"/>
        <item m="1" x="34"/>
        <item m="1" x="96"/>
        <item m="1" x="31"/>
        <item m="1" x="72"/>
        <item m="1" x="50"/>
        <item m="1" x="28"/>
        <item m="1" x="93"/>
        <item m="1" x="71"/>
        <item m="1" x="49"/>
        <item m="1" x="26"/>
        <item m="1" x="91"/>
        <item m="1" x="89"/>
        <item m="1" x="67"/>
        <item m="1" x="45"/>
        <item m="1" x="23"/>
        <item m="1" x="85"/>
        <item m="1" x="64"/>
        <item m="1" x="27"/>
        <item m="1" x="92"/>
        <item m="1" x="70"/>
        <item m="1" x="48"/>
        <item m="1" x="25"/>
        <item m="1" x="90"/>
        <item m="1" x="68"/>
        <item m="1" x="24"/>
        <item m="1" x="87"/>
        <item m="1" x="66"/>
        <item m="1" x="44"/>
        <item m="1" x="21"/>
        <item m="1" x="83"/>
        <item m="1" x="42"/>
        <item m="1" x="19"/>
        <item m="1" x="82"/>
        <item m="1" x="62"/>
        <item m="1" x="40"/>
        <item m="1" x="17"/>
        <item m="1" x="79"/>
        <item m="1" x="15"/>
        <item m="1" x="78"/>
        <item m="1" x="59"/>
        <item m="1" x="57"/>
        <item m="1" x="53"/>
        <item m="1" x="30"/>
        <item m="1" x="94"/>
        <item m="1" x="69"/>
        <item m="1" x="47"/>
        <item m="1" x="86"/>
        <item m="1" x="81"/>
        <item m="1" x="22"/>
        <item m="1" x="84"/>
        <item m="1" x="63"/>
        <item m="1" x="43"/>
        <item m="1" x="20"/>
        <item m="1" x="41"/>
        <item m="1" x="39"/>
        <item m="1" x="16"/>
        <item m="1" x="80"/>
        <item m="1" x="60"/>
        <item m="1" x="38"/>
        <item m="1" x="14"/>
        <item m="1" x="76"/>
        <item m="1" x="58"/>
        <item m="1" x="37"/>
        <item m="1" x="12"/>
        <item m="1" x="74"/>
        <item m="1" x="32"/>
        <item m="1" x="55"/>
        <item m="1" x="46"/>
        <item m="1" x="88"/>
        <item m="1" x="18"/>
        <item m="1" x="77"/>
        <item m="1" x="97"/>
        <item m="1" x="73"/>
        <item m="1" x="33"/>
        <item m="1" x="51"/>
        <item x="3"/>
        <item x="4"/>
        <item x="5"/>
        <item x="6"/>
        <item x="7"/>
        <item x="8"/>
        <item x="9"/>
        <item x="10"/>
        <item x="0"/>
        <item t="default"/>
      </items>
    </pivotField>
    <pivotField axis="axisPage" showAll="0">
      <items count="6">
        <item x="2"/>
        <item m="1" x="3"/>
        <item m="1" x="4"/>
        <item x="1"/>
        <item x="0"/>
        <item t="default"/>
      </items>
    </pivotField>
    <pivotField axis="axisRow" showAll="0" sortType="ascending">
      <items count="594">
        <item x="1"/>
        <item x="2"/>
        <item x="3"/>
        <item x="4"/>
        <item x="5"/>
        <item x="6"/>
        <item x="7"/>
        <item x="8"/>
        <item x="9"/>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50"/>
        <item x="51"/>
        <item x="52"/>
        <item x="55"/>
        <item x="56"/>
        <item x="57"/>
        <item x="58"/>
        <item x="59"/>
        <item x="60"/>
        <item x="61"/>
        <item x="62"/>
        <item x="63"/>
        <item x="64"/>
        <item x="65"/>
        <item m="1" x="558"/>
        <item m="1" x="168"/>
        <item m="1" x="434"/>
        <item m="1" x="178"/>
        <item m="1" x="441"/>
        <item m="1" x="186"/>
        <item m="1" x="449"/>
        <item m="1" x="457"/>
        <item m="1" x="200"/>
        <item m="1" x="465"/>
        <item m="1" x="208"/>
        <item m="1" x="217"/>
        <item m="1" x="481"/>
        <item m="1" x="225"/>
        <item m="1" x="233"/>
        <item m="1" x="498"/>
        <item m="1" x="242"/>
        <item m="1" x="507"/>
        <item m="1" x="250"/>
        <item m="1" x="514"/>
        <item m="1" x="257"/>
        <item m="1" x="522"/>
        <item m="1" x="263"/>
        <item m="1" x="529"/>
        <item m="1" x="271"/>
        <item m="1" x="536"/>
        <item m="1" x="542"/>
        <item m="1" x="285"/>
        <item m="1" x="549"/>
        <item m="1" x="292"/>
        <item m="1" x="557"/>
        <item m="1" x="300"/>
        <item m="1" x="565"/>
        <item m="1" x="309"/>
        <item m="1" x="574"/>
        <item m="1" x="316"/>
        <item m="1" x="583"/>
        <item m="1" x="325"/>
        <item m="1" x="591"/>
        <item m="1" x="334"/>
        <item m="1" x="343"/>
        <item m="1" x="79"/>
        <item m="1" x="351"/>
        <item m="1" x="88"/>
        <item m="1" x="98"/>
        <item m="1" x="370"/>
        <item m="1" x="108"/>
        <item m="1" x="380"/>
        <item m="1" x="116"/>
        <item m="1" x="389"/>
        <item m="1" x="126"/>
        <item m="1" x="134"/>
        <item m="1" x="402"/>
        <item m="1" x="142"/>
        <item m="1" x="411"/>
        <item m="1" x="150"/>
        <item m="1" x="418"/>
        <item m="1" x="159"/>
        <item m="1" x="426"/>
        <item m="1" x="167"/>
        <item m="1" x="433"/>
        <item m="1" x="177"/>
        <item m="1" x="497"/>
        <item m="1" x="241"/>
        <item m="1" x="506"/>
        <item m="1" x="249"/>
        <item m="1" x="513"/>
        <item m="1" x="256"/>
        <item m="1" x="521"/>
        <item m="1" x="262"/>
        <item m="1" x="528"/>
        <item m="1" x="270"/>
        <item m="1" x="535"/>
        <item m="1" x="278"/>
        <item m="1" x="541"/>
        <item m="1" x="284"/>
        <item m="1" x="548"/>
        <item m="1" x="291"/>
        <item m="1" x="556"/>
        <item m="1" x="299"/>
        <item m="1" x="564"/>
        <item m="1" x="308"/>
        <item m="1" x="573"/>
        <item m="1" x="315"/>
        <item m="1" x="582"/>
        <item m="1" x="324"/>
        <item m="1" x="590"/>
        <item m="1" x="333"/>
        <item m="1" x="72"/>
        <item m="1" x="342"/>
        <item m="1" x="78"/>
        <item m="1" x="350"/>
        <item m="1" x="360"/>
        <item m="1" x="97"/>
        <item m="1" x="369"/>
        <item m="1" x="107"/>
        <item m="1" x="379"/>
        <item m="1" x="115"/>
        <item m="1" x="388"/>
        <item m="1" x="125"/>
        <item m="1" x="395"/>
        <item m="1" x="133"/>
        <item m="1" x="401"/>
        <item m="1" x="141"/>
        <item m="1" x="410"/>
        <item m="1" x="149"/>
        <item m="1" x="417"/>
        <item m="1" x="158"/>
        <item m="1" x="425"/>
        <item m="1" x="166"/>
        <item m="1" x="432"/>
        <item m="1" x="176"/>
        <item m="1" x="440"/>
        <item m="1" x="185"/>
        <item m="1" x="448"/>
        <item m="1" x="194"/>
        <item m="1" x="456"/>
        <item m="1" x="199"/>
        <item m="1" x="464"/>
        <item m="1" x="207"/>
        <item m="1" x="473"/>
        <item m="1" x="216"/>
        <item m="1" x="480"/>
        <item m="1" x="224"/>
        <item m="1" x="488"/>
        <item m="1" x="232"/>
        <item m="1" x="496"/>
        <item m="1" x="240"/>
        <item m="1" x="505"/>
        <item m="1" x="248"/>
        <item m="1" x="512"/>
        <item m="1" x="255"/>
        <item m="1" x="520"/>
        <item m="1" x="261"/>
        <item m="1" x="527"/>
        <item m="1" x="269"/>
        <item m="1" x="534"/>
        <item m="1" x="277"/>
        <item m="1" x="540"/>
        <item m="1" x="283"/>
        <item m="1" x="290"/>
        <item m="1" x="307"/>
        <item m="1" x="572"/>
        <item m="1" x="314"/>
        <item m="1" x="581"/>
        <item m="1" x="323"/>
        <item m="1" x="589"/>
        <item m="1" x="332"/>
        <item m="1" x="71"/>
        <item m="1" x="341"/>
        <item m="1" x="77"/>
        <item m="1" x="349"/>
        <item m="1" x="87"/>
        <item m="1" x="359"/>
        <item m="1" x="96"/>
        <item m="1" x="368"/>
        <item m="1" x="106"/>
        <item m="1" x="378"/>
        <item m="1" x="114"/>
        <item m="1" x="387"/>
        <item m="1" x="124"/>
        <item m="1" x="394"/>
        <item m="1" x="132"/>
        <item m="1" x="400"/>
        <item m="1" x="140"/>
        <item m="1" x="409"/>
        <item m="1" x="148"/>
        <item m="1" x="416"/>
        <item m="1" x="157"/>
        <item m="1" x="424"/>
        <item m="1" x="165"/>
        <item m="1" x="431"/>
        <item m="1" x="175"/>
        <item m="1" x="439"/>
        <item m="1" x="184"/>
        <item m="1" x="447"/>
        <item m="1" x="193"/>
        <item m="1" x="455"/>
        <item m="1" x="198"/>
        <item m="1" x="463"/>
        <item m="1" x="206"/>
        <item m="1" x="472"/>
        <item m="1" x="215"/>
        <item m="1" x="479"/>
        <item m="1" x="223"/>
        <item m="1" x="487"/>
        <item m="1" x="231"/>
        <item m="1" x="495"/>
        <item m="1" x="239"/>
        <item m="1" x="504"/>
        <item m="1" x="247"/>
        <item m="1" x="511"/>
        <item m="1" x="254"/>
        <item m="1" x="519"/>
        <item m="1" x="260"/>
        <item m="1" x="526"/>
        <item m="1" x="268"/>
        <item m="1" x="533"/>
        <item m="1" x="276"/>
        <item m="1" x="539"/>
        <item m="1" x="282"/>
        <item m="1" x="547"/>
        <item m="1" x="289"/>
        <item m="1" x="555"/>
        <item m="1" x="298"/>
        <item m="1" x="563"/>
        <item m="1" x="306"/>
        <item m="1" x="571"/>
        <item m="1" x="313"/>
        <item m="1" x="580"/>
        <item m="1" x="322"/>
        <item m="1" x="588"/>
        <item m="1" x="331"/>
        <item m="1" x="70"/>
        <item m="1" x="340"/>
        <item m="1" x="76"/>
        <item m="1" x="348"/>
        <item m="1" x="86"/>
        <item m="1" x="358"/>
        <item m="1" x="95"/>
        <item m="1" x="367"/>
        <item m="1" x="105"/>
        <item m="1" x="377"/>
        <item m="1" x="113"/>
        <item m="1" x="386"/>
        <item m="1" x="123"/>
        <item m="1" x="393"/>
        <item m="1" x="131"/>
        <item m="1" x="399"/>
        <item m="1" x="139"/>
        <item m="1" x="408"/>
        <item m="1" x="147"/>
        <item m="1" x="415"/>
        <item m="1" x="156"/>
        <item m="1" x="423"/>
        <item m="1" x="164"/>
        <item m="1" x="430"/>
        <item m="1" x="174"/>
        <item m="1" x="438"/>
        <item m="1" x="183"/>
        <item m="1" x="446"/>
        <item m="1" x="192"/>
        <item m="1" x="454"/>
        <item m="1" x="197"/>
        <item m="1" x="462"/>
        <item m="1" x="205"/>
        <item m="1" x="471"/>
        <item m="1" x="214"/>
        <item m="1" x="478"/>
        <item m="1" x="222"/>
        <item m="1" x="230"/>
        <item m="1" x="494"/>
        <item m="1" x="238"/>
        <item m="1" x="503"/>
        <item m="1" x="246"/>
        <item m="1" x="510"/>
        <item m="1" x="253"/>
        <item m="1" x="518"/>
        <item m="1" x="259"/>
        <item m="1" x="525"/>
        <item m="1" x="267"/>
        <item m="1" x="532"/>
        <item m="1" x="275"/>
        <item m="1" x="538"/>
        <item m="1" x="281"/>
        <item m="1" x="546"/>
        <item m="1" x="288"/>
        <item m="1" x="554"/>
        <item m="1" x="297"/>
        <item m="1" x="562"/>
        <item m="1" x="305"/>
        <item m="1" x="570"/>
        <item m="1" x="312"/>
        <item m="1" x="579"/>
        <item m="1" x="321"/>
        <item m="1" x="587"/>
        <item m="1" x="330"/>
        <item m="1" x="69"/>
        <item m="1" x="339"/>
        <item m="1" x="75"/>
        <item m="1" x="347"/>
        <item m="1" x="85"/>
        <item m="1" x="357"/>
        <item m="1" x="94"/>
        <item m="1" x="366"/>
        <item m="1" x="104"/>
        <item m="1" x="376"/>
        <item m="1" x="112"/>
        <item m="1" x="385"/>
        <item m="1" x="122"/>
        <item m="1" x="392"/>
        <item m="1" x="130"/>
        <item m="1" x="398"/>
        <item m="1" x="138"/>
        <item m="1" x="407"/>
        <item m="1" x="146"/>
        <item m="1" x="414"/>
        <item m="1" x="155"/>
        <item m="1" x="422"/>
        <item m="1" x="163"/>
        <item m="1" x="173"/>
        <item m="1" x="445"/>
        <item m="1" x="191"/>
        <item m="1" x="453"/>
        <item m="1" x="470"/>
        <item m="1" x="213"/>
        <item m="1" x="477"/>
        <item m="1" x="221"/>
        <item m="1" x="486"/>
        <item m="1" x="229"/>
        <item m="1" x="493"/>
        <item m="1" x="237"/>
        <item m="1" x="502"/>
        <item m="1" x="245"/>
        <item m="1" x="509"/>
        <item m="1" x="252"/>
        <item m="1" x="517"/>
        <item m="1" x="258"/>
        <item m="1" x="524"/>
        <item m="1" x="266"/>
        <item m="1" x="531"/>
        <item m="1" x="274"/>
        <item m="1" x="537"/>
        <item m="1" x="545"/>
        <item m="1" x="287"/>
        <item m="1" x="553"/>
        <item m="1" x="296"/>
        <item m="1" x="561"/>
        <item m="1" x="304"/>
        <item m="1" x="569"/>
        <item m="1" x="311"/>
        <item m="1" x="578"/>
        <item m="1" x="320"/>
        <item m="1" x="586"/>
        <item m="1" x="329"/>
        <item m="1" x="68"/>
        <item m="1" x="338"/>
        <item m="1" x="74"/>
        <item m="1" x="346"/>
        <item m="1" x="84"/>
        <item m="1" x="356"/>
        <item m="1" x="93"/>
        <item m="1" x="365"/>
        <item m="1" x="103"/>
        <item m="1" x="375"/>
        <item m="1" x="111"/>
        <item m="1" x="121"/>
        <item m="1" x="391"/>
        <item m="1" x="129"/>
        <item m="1" x="397"/>
        <item m="1" x="137"/>
        <item m="1" x="406"/>
        <item m="1" x="145"/>
        <item m="1" x="413"/>
        <item m="1" x="154"/>
        <item m="1" x="421"/>
        <item m="1" x="162"/>
        <item m="1" x="429"/>
        <item m="1" x="172"/>
        <item m="1" x="437"/>
        <item m="1" x="182"/>
        <item m="1" x="444"/>
        <item m="1" x="190"/>
        <item m="1" x="461"/>
        <item m="1" x="204"/>
        <item m="1" x="469"/>
        <item m="1" x="212"/>
        <item m="1" x="476"/>
        <item m="1" x="220"/>
        <item m="1" x="485"/>
        <item m="1" x="228"/>
        <item m="1" x="492"/>
        <item m="1" x="236"/>
        <item m="1" x="501"/>
        <item m="1" x="244"/>
        <item m="1" x="508"/>
        <item m="1" x="251"/>
        <item m="1" x="516"/>
        <item m="1" x="265"/>
        <item m="1" x="530"/>
        <item m="1" x="273"/>
        <item m="1" x="280"/>
        <item m="1" x="544"/>
        <item m="1" x="286"/>
        <item m="1" x="552"/>
        <item m="1" x="295"/>
        <item m="1" x="560"/>
        <item m="1" x="303"/>
        <item m="1" x="568"/>
        <item m="1" x="577"/>
        <item m="1" x="319"/>
        <item m="1" x="585"/>
        <item m="1" x="328"/>
        <item m="1" x="67"/>
        <item m="1" x="337"/>
        <item m="1" x="83"/>
        <item m="1" x="355"/>
        <item m="1" x="92"/>
        <item m="1" x="364"/>
        <item m="1" x="102"/>
        <item m="1" x="374"/>
        <item m="1" x="110"/>
        <item m="1" x="384"/>
        <item m="1" x="120"/>
        <item m="1" x="390"/>
        <item m="1" x="128"/>
        <item m="1" x="396"/>
        <item m="1" x="136"/>
        <item m="1" x="405"/>
        <item m="1" x="144"/>
        <item m="1" x="412"/>
        <item m="1" x="153"/>
        <item m="1" x="420"/>
        <item m="1" x="161"/>
        <item m="1" x="428"/>
        <item m="1" x="171"/>
        <item m="1" x="436"/>
        <item m="1" x="181"/>
        <item m="1" x="443"/>
        <item m="1" x="189"/>
        <item m="1" x="452"/>
        <item m="1" x="196"/>
        <item m="1" x="460"/>
        <item m="1" x="203"/>
        <item m="1" x="468"/>
        <item m="1" x="211"/>
        <item m="1" x="219"/>
        <item m="1" x="484"/>
        <item m="1" x="227"/>
        <item m="1" x="491"/>
        <item m="1" x="235"/>
        <item m="1" x="500"/>
        <item m="1" x="515"/>
        <item m="1" x="523"/>
        <item m="1" x="264"/>
        <item m="1" x="272"/>
        <item m="1" x="279"/>
        <item m="1" x="543"/>
        <item m="1" x="551"/>
        <item m="1" x="294"/>
        <item m="1" x="302"/>
        <item m="1" x="567"/>
        <item m="1" x="576"/>
        <item m="1" x="318"/>
        <item m="1" x="327"/>
        <item m="1" x="66"/>
        <item m="1" x="345"/>
        <item m="1" x="82"/>
        <item m="1" x="354"/>
        <item m="1" x="91"/>
        <item m="1" x="363"/>
        <item m="1" x="101"/>
        <item m="1" x="373"/>
        <item m="1" x="383"/>
        <item m="1" x="119"/>
        <item m="1" x="127"/>
        <item m="1" x="135"/>
        <item m="1" x="404"/>
        <item m="1" x="143"/>
        <item m="1" x="152"/>
        <item m="1" x="160"/>
        <item m="1" x="170"/>
        <item m="1" x="180"/>
        <item m="1" x="188"/>
        <item m="1" x="451"/>
        <item m="1" x="459"/>
        <item m="1" x="202"/>
        <item m="1" x="467"/>
        <item m="1" x="210"/>
        <item m="1" x="475"/>
        <item m="1" x="483"/>
        <item m="1" x="490"/>
        <item m="1" x="336"/>
        <item m="1" x="81"/>
        <item m="1" x="353"/>
        <item m="1" x="90"/>
        <item m="1" x="362"/>
        <item m="1" x="100"/>
        <item m="1" x="372"/>
        <item m="1" x="382"/>
        <item m="1" x="118"/>
        <item m="1" x="151"/>
        <item m="1" x="419"/>
        <item m="1" x="550"/>
        <item m="1" x="293"/>
        <item m="1" x="427"/>
        <item m="1" x="559"/>
        <item m="1" x="169"/>
        <item m="1" x="301"/>
        <item m="1" x="435"/>
        <item m="1" x="566"/>
        <item m="1" x="179"/>
        <item m="1" x="310"/>
        <item m="1" x="442"/>
        <item m="1" x="575"/>
        <item m="1" x="187"/>
        <item m="1" x="317"/>
        <item m="1" x="450"/>
        <item m="1" x="584"/>
        <item m="1" x="195"/>
        <item m="1" x="326"/>
        <item m="1" x="458"/>
        <item m="1" x="592"/>
        <item m="1" x="201"/>
        <item m="1" x="335"/>
        <item m="1" x="466"/>
        <item m="1" x="73"/>
        <item m="1" x="209"/>
        <item m="1" x="344"/>
        <item m="1" x="474"/>
        <item m="1" x="80"/>
        <item m="1" x="218"/>
        <item m="1" x="352"/>
        <item m="1" x="482"/>
        <item m="1" x="89"/>
        <item m="1" x="226"/>
        <item m="1" x="361"/>
        <item m="1" x="489"/>
        <item m="1" x="99"/>
        <item m="1" x="234"/>
        <item m="1" x="371"/>
        <item m="1" x="499"/>
        <item m="1" x="109"/>
        <item m="1" x="243"/>
        <item m="1" x="381"/>
        <item m="1" x="117"/>
        <item m="1" x="403"/>
        <item x="49"/>
        <item x="53"/>
        <item x="54"/>
        <item x="10"/>
        <item x="11"/>
        <item x="12"/>
        <item x="13"/>
        <item x="14"/>
        <item x="15"/>
        <item x="16"/>
        <item x="0"/>
        <item t="default"/>
      </items>
    </pivotField>
    <pivotField showAll="0"/>
    <pivotField axis="axisPage" multipleItemSelectionAllowed="1" showAll="0">
      <items count="6">
        <item x="1"/>
        <item m="1" x="4"/>
        <item x="2"/>
        <item m="1" x="3"/>
        <item x="0"/>
        <item t="default"/>
      </items>
    </pivotField>
    <pivotField showAll="0"/>
    <pivotField showAll="0"/>
    <pivotField axis="axisRow" showAll="0" sortType="ascending">
      <items count="36">
        <item m="1" x="9"/>
        <item m="1" x="28"/>
        <item m="1" x="6"/>
        <item m="1" x="31"/>
        <item m="1" x="24"/>
        <item x="1"/>
        <item m="1" x="19"/>
        <item m="1" x="12"/>
        <item m="1" x="34"/>
        <item m="1" x="20"/>
        <item m="1" x="23"/>
        <item m="1" x="32"/>
        <item x="3"/>
        <item x="4"/>
        <item m="1" x="13"/>
        <item m="1" x="29"/>
        <item m="1" x="18"/>
        <item m="1" x="33"/>
        <item m="1" x="10"/>
        <item m="1" x="30"/>
        <item m="1" x="14"/>
        <item x="5"/>
        <item sd="0" m="1" x="15"/>
        <item m="1" x="17"/>
        <item m="1" x="16"/>
        <item m="1" x="26"/>
        <item m="1" x="21"/>
        <item m="1" x="25"/>
        <item m="1" x="11"/>
        <item m="1" x="22"/>
        <item x="2"/>
        <item sd="0" m="1" x="27"/>
        <item m="1" x="7"/>
        <item m="1" x="8"/>
        <item x="0"/>
        <item t="default"/>
      </items>
    </pivotField>
    <pivotField dataField="1" showAll="0"/>
    <pivotField showAll="0"/>
    <pivotField dataField="1" showAll="0"/>
    <pivotField showAll="0"/>
    <pivotField showAll="0"/>
    <pivotField showAll="0"/>
    <pivotField showAll="0"/>
    <pivotField dataField="1" numFmtId="164" showAll="0"/>
    <pivotField dataField="1" numFmtId="164" showAll="0"/>
    <pivotField dataField="1" numFmtId="173" showAll="0"/>
    <pivotField numFmtId="164" showAll="0"/>
    <pivotField numFmtId="164" showAll="0"/>
    <pivotField numFmtId="173" showAll="0"/>
    <pivotField numFmtId="164" showAll="0"/>
    <pivotField numFmtId="164" showAll="0"/>
    <pivotField numFmtId="173" showAll="0"/>
    <pivotField numFmtId="164" showAll="0"/>
    <pivotField numFmtId="164" showAll="0"/>
    <pivotField numFmtId="173" showAll="0"/>
    <pivotField numFmtId="164" showAll="0"/>
    <pivotField numFmtId="164" showAll="0"/>
    <pivotField numFmtId="164" showAll="0"/>
    <pivotField numFmtId="164" showAll="0"/>
  </pivotFields>
  <rowFields count="3">
    <field x="0"/>
    <field x="7"/>
    <field x="2"/>
  </rowFields>
  <rowItems count="95">
    <i>
      <x v="1"/>
    </i>
    <i r="1">
      <x v="5"/>
    </i>
    <i r="2">
      <x/>
    </i>
    <i r="2">
      <x v="1"/>
    </i>
    <i>
      <x v="2"/>
    </i>
    <i r="1">
      <x v="5"/>
    </i>
    <i r="2">
      <x v="2"/>
    </i>
    <i r="2">
      <x v="3"/>
    </i>
    <i r="2">
      <x v="4"/>
    </i>
    <i r="2">
      <x v="5"/>
    </i>
    <i r="2">
      <x v="6"/>
    </i>
    <i>
      <x v="89"/>
    </i>
    <i r="1">
      <x v="5"/>
    </i>
    <i r="2">
      <x v="7"/>
    </i>
    <i r="2">
      <x v="8"/>
    </i>
    <i>
      <x v="90"/>
    </i>
    <i r="1">
      <x v="30"/>
    </i>
    <i r="2">
      <x v="585"/>
    </i>
    <i>
      <x v="91"/>
    </i>
    <i r="1">
      <x v="30"/>
    </i>
    <i r="2">
      <x v="586"/>
    </i>
    <i r="2">
      <x v="587"/>
    </i>
    <i r="2">
      <x v="588"/>
    </i>
    <i r="2">
      <x v="589"/>
    </i>
    <i r="2">
      <x v="590"/>
    </i>
    <i r="2">
      <x v="591"/>
    </i>
    <i>
      <x v="92"/>
    </i>
    <i r="1">
      <x v="12"/>
    </i>
    <i r="2">
      <x v="9"/>
    </i>
    <i r="2">
      <x v="10"/>
    </i>
    <i r="2">
      <x v="11"/>
    </i>
    <i r="2">
      <x v="12"/>
    </i>
    <i r="2">
      <x v="13"/>
    </i>
    <i r="2">
      <x v="14"/>
    </i>
    <i>
      <x v="93"/>
    </i>
    <i r="1">
      <x v="12"/>
    </i>
    <i r="2">
      <x v="16"/>
    </i>
    <i r="1">
      <x v="13"/>
    </i>
    <i r="2">
      <x v="15"/>
    </i>
    <i r="1">
      <x v="21"/>
    </i>
    <i r="2">
      <x v="22"/>
    </i>
    <i r="1">
      <x v="30"/>
    </i>
    <i r="2">
      <x v="17"/>
    </i>
    <i r="2">
      <x v="18"/>
    </i>
    <i r="2">
      <x v="19"/>
    </i>
    <i r="2">
      <x v="20"/>
    </i>
    <i r="2">
      <x v="21"/>
    </i>
    <i r="2">
      <x v="23"/>
    </i>
    <i r="2">
      <x v="24"/>
    </i>
    <i>
      <x v="94"/>
    </i>
    <i r="1">
      <x v="21"/>
    </i>
    <i r="2">
      <x v="25"/>
    </i>
    <i r="2">
      <x v="26"/>
    </i>
    <i r="1">
      <x v="30"/>
    </i>
    <i r="2">
      <x v="27"/>
    </i>
    <i r="2">
      <x v="28"/>
    </i>
    <i r="2">
      <x v="29"/>
    </i>
    <i r="2">
      <x v="30"/>
    </i>
    <i r="2">
      <x v="31"/>
    </i>
    <i r="2">
      <x v="32"/>
    </i>
    <i r="2">
      <x v="33"/>
    </i>
    <i>
      <x v="95"/>
    </i>
    <i r="1">
      <x v="5"/>
    </i>
    <i r="2">
      <x v="582"/>
    </i>
    <i r="2">
      <x v="583"/>
    </i>
    <i r="2">
      <x v="584"/>
    </i>
    <i r="1">
      <x v="21"/>
    </i>
    <i r="2">
      <x v="34"/>
    </i>
    <i r="2">
      <x v="35"/>
    </i>
    <i r="2">
      <x v="38"/>
    </i>
    <i r="2">
      <x v="46"/>
    </i>
    <i r="1">
      <x v="30"/>
    </i>
    <i r="2">
      <x v="36"/>
    </i>
    <i r="2">
      <x v="37"/>
    </i>
    <i r="2">
      <x v="39"/>
    </i>
    <i r="2">
      <x v="40"/>
    </i>
    <i r="2">
      <x v="41"/>
    </i>
    <i r="2">
      <x v="42"/>
    </i>
    <i r="2">
      <x v="43"/>
    </i>
    <i r="2">
      <x v="44"/>
    </i>
    <i r="2">
      <x v="45"/>
    </i>
    <i>
      <x v="96"/>
    </i>
    <i r="1">
      <x v="30"/>
    </i>
    <i r="2">
      <x v="47"/>
    </i>
    <i r="2">
      <x v="48"/>
    </i>
    <i r="2">
      <x v="49"/>
    </i>
    <i r="2">
      <x v="50"/>
    </i>
    <i r="2">
      <x v="51"/>
    </i>
    <i r="2">
      <x v="52"/>
    </i>
    <i r="2">
      <x v="53"/>
    </i>
    <i r="2">
      <x v="54"/>
    </i>
    <i>
      <x v="97"/>
    </i>
    <i r="1">
      <x v="34"/>
    </i>
    <i r="2">
      <x v="592"/>
    </i>
    <i t="grand">
      <x/>
    </i>
  </rowItems>
  <colFields count="1">
    <field x="-2"/>
  </colFields>
  <colItems count="5">
    <i>
      <x/>
    </i>
    <i i="1">
      <x v="1"/>
    </i>
    <i i="2">
      <x v="2"/>
    </i>
    <i i="3">
      <x v="3"/>
    </i>
    <i i="4">
      <x v="4"/>
    </i>
  </colItems>
  <pageFields count="2">
    <pageField fld="1" hier="-1"/>
    <pageField fld="4" hier="-1"/>
  </pageFields>
  <dataFields count="5">
    <dataField name="Min de Transport" fld="8" subtotal="min" baseField="0" baseItem="0"/>
    <dataField name="Somme de Net" fld="15" baseField="0" baseItem="0" numFmtId="177"/>
    <dataField name="Moyenne de % H2O" fld="10" subtotal="average" baseField="0" baseItem="0" numFmtId="180"/>
    <dataField name="Somme de Poids recalculé_x000a_(sans imp)" fld="16" baseField="0" baseItem="0" numFmtId="177"/>
    <dataField name="Somme de Prix du séchage_x000a_(sans E/S)" fld="17" baseField="0" baseItem="0" numFmtId="173"/>
  </dataFields>
  <formats count="32">
    <format dxfId="52">
      <pivotArea dataOnly="0" outline="0" fieldPosition="0">
        <references count="2">
          <reference field="4294967294" count="3">
            <x v="1"/>
            <x v="3"/>
            <x v="4"/>
          </reference>
          <reference field="1" count="1" selected="0">
            <x v="0"/>
          </reference>
        </references>
      </pivotArea>
    </format>
    <format dxfId="51">
      <pivotArea dataOnly="0" labelOnly="1" outline="0" fieldPosition="0">
        <references count="2">
          <reference field="4294967294" count="3">
            <x v="1"/>
            <x v="3"/>
            <x v="4"/>
          </reference>
          <reference field="4" count="1" selected="0">
            <x v="0"/>
          </reference>
        </references>
      </pivotArea>
    </format>
    <format dxfId="50">
      <pivotArea dataOnly="0" labelOnly="1" outline="0" fieldPosition="0">
        <references count="2">
          <reference field="4294967294" count="3">
            <x v="1"/>
            <x v="3"/>
            <x v="4"/>
          </reference>
          <reference field="4" count="1" selected="0">
            <x v="2"/>
          </reference>
        </references>
      </pivotArea>
    </format>
    <format dxfId="49">
      <pivotArea field="4" dataOnly="0" labelOnly="1" outline="0" axis="axisPage" fieldPosition="1">
        <references count="1">
          <reference field="4294967294" count="1" selected="0">
            <x v="2"/>
          </reference>
        </references>
      </pivotArea>
    </format>
    <format dxfId="48">
      <pivotArea field="4" dataOnly="0" labelOnly="1" outline="0" axis="axisPage" fieldPosition="1">
        <references count="1">
          <reference field="4294967294" count="1" selected="0">
            <x v="1"/>
          </reference>
        </references>
      </pivotArea>
    </format>
    <format dxfId="47">
      <pivotArea field="4" dataOnly="0" labelOnly="1" outline="0" axis="axisPage" fieldPosition="1">
        <references count="1">
          <reference field="4294967294" count="1" selected="0">
            <x v="3"/>
          </reference>
        </references>
      </pivotArea>
    </format>
    <format dxfId="46">
      <pivotArea field="4" dataOnly="0" labelOnly="1" outline="0" axis="axisPage" fieldPosition="1">
        <references count="1">
          <reference field="4294967294" count="1" selected="0">
            <x v="4"/>
          </reference>
        </references>
      </pivotArea>
    </format>
    <format dxfId="45">
      <pivotArea field="4" dataOnly="0" labelOnly="1" outline="0" axis="axisPage" fieldPosition="1">
        <references count="1">
          <reference field="4294967294" count="1" selected="0">
            <x v="2"/>
          </reference>
        </references>
      </pivotArea>
    </format>
    <format dxfId="44">
      <pivotArea field="4" dataOnly="0" labelOnly="1" outline="0" axis="axisPage" fieldPosition="1">
        <references count="1">
          <reference field="4294967294" count="1" selected="0">
            <x v="1"/>
          </reference>
        </references>
      </pivotArea>
    </format>
    <format dxfId="43">
      <pivotArea field="4" dataOnly="0" labelOnly="1" outline="0" axis="axisPage" fieldPosition="1">
        <references count="1">
          <reference field="4294967294" count="1" selected="0">
            <x v="3"/>
          </reference>
        </references>
      </pivotArea>
    </format>
    <format dxfId="42">
      <pivotArea field="4" dataOnly="0" labelOnly="1" outline="0" axis="axisPage" fieldPosition="1">
        <references count="1">
          <reference field="4294967294" count="1" selected="0">
            <x v="4"/>
          </reference>
        </references>
      </pivotArea>
    </format>
    <format dxfId="41">
      <pivotArea field="4" dataOnly="0" labelOnly="1" outline="0" axis="axisPage" fieldPosition="1">
        <references count="1">
          <reference field="4294967294" count="1" selected="0">
            <x v="2"/>
          </reference>
        </references>
      </pivotArea>
    </format>
    <format dxfId="40">
      <pivotArea field="4" dataOnly="0" labelOnly="1" outline="0" axis="axisPage" fieldPosition="1">
        <references count="1">
          <reference field="4294967294" count="1" selected="0">
            <x v="1"/>
          </reference>
        </references>
      </pivotArea>
    </format>
    <format dxfId="39">
      <pivotArea field="4" dataOnly="0" labelOnly="1" outline="0" axis="axisPage" fieldPosition="1">
        <references count="1">
          <reference field="4294967294" count="1" selected="0">
            <x v="3"/>
          </reference>
        </references>
      </pivotArea>
    </format>
    <format dxfId="38">
      <pivotArea field="4" dataOnly="0" labelOnly="1" outline="0" axis="axisPage" fieldPosition="1">
        <references count="1">
          <reference field="4294967294" count="1" selected="0">
            <x v="4"/>
          </reference>
        </references>
      </pivotArea>
    </format>
    <format dxfId="37">
      <pivotArea collapsedLevelsAreSubtotals="1" fieldPosition="0">
        <references count="2">
          <reference field="4294967294" count="1" selected="0">
            <x v="4"/>
          </reference>
          <reference field="7" count="1">
            <x v="19"/>
          </reference>
        </references>
      </pivotArea>
    </format>
    <format dxfId="36">
      <pivotArea outline="0" collapsedLevelsAreSubtotals="1" fieldPosition="0">
        <references count="1">
          <reference field="4294967294" count="1" selected="0">
            <x v="1"/>
          </reference>
        </references>
      </pivotArea>
    </format>
    <format dxfId="35">
      <pivotArea dataOnly="0" labelOnly="1" outline="0" fieldPosition="0">
        <references count="1">
          <reference field="4294967294" count="1">
            <x v="1"/>
          </reference>
        </references>
      </pivotArea>
    </format>
    <format dxfId="34">
      <pivotArea outline="0" collapsedLevelsAreSubtotals="1" fieldPosition="0">
        <references count="1">
          <reference field="4294967294" count="1" selected="0">
            <x v="3"/>
          </reference>
        </references>
      </pivotArea>
    </format>
    <format dxfId="33">
      <pivotArea dataOnly="0" labelOnly="1" outline="0" fieldPosition="0">
        <references count="1">
          <reference field="4294967294" count="1">
            <x v="3"/>
          </reference>
        </references>
      </pivotArea>
    </format>
    <format dxfId="32">
      <pivotArea outline="0" collapsedLevelsAreSubtotals="1" fieldPosition="0">
        <references count="1">
          <reference field="4294967294" count="1" selected="0">
            <x v="4"/>
          </reference>
        </references>
      </pivotArea>
    </format>
    <format dxfId="31">
      <pivotArea dataOnly="0" labelOnly="1" outline="0" fieldPosition="0">
        <references count="1">
          <reference field="4294967294" count="1">
            <x v="4"/>
          </reference>
        </references>
      </pivotArea>
    </format>
    <format dxfId="30">
      <pivotArea field="7" type="button" dataOnly="0" labelOnly="1" outline="0" axis="axisRow" fieldPosition="1"/>
    </format>
    <format dxfId="29">
      <pivotArea dataOnly="0" labelOnly="1" outline="0" fieldPosition="0">
        <references count="1">
          <reference field="4294967294" count="4">
            <x v="1"/>
            <x v="2"/>
            <x v="3"/>
            <x v="4"/>
          </reference>
        </references>
      </pivotArea>
    </format>
    <format dxfId="28">
      <pivotArea field="7" type="button" dataOnly="0" labelOnly="1" outline="0" axis="axisRow" fieldPosition="1"/>
    </format>
    <format dxfId="27">
      <pivotArea dataOnly="0" labelOnly="1" outline="0" fieldPosition="0">
        <references count="1">
          <reference field="4294967294" count="4">
            <x v="1"/>
            <x v="2"/>
            <x v="3"/>
            <x v="4"/>
          </reference>
        </references>
      </pivotArea>
    </format>
    <format dxfId="26">
      <pivotArea dataOnly="0" labelOnly="1" outline="0" fieldPosition="0">
        <references count="1">
          <reference field="4294967294" count="1">
            <x v="0"/>
          </reference>
        </references>
      </pivotArea>
    </format>
    <format dxfId="25">
      <pivotArea dataOnly="0" labelOnly="1" outline="0" fieldPosition="0">
        <references count="1">
          <reference field="4294967294" count="1">
            <x v="0"/>
          </reference>
        </references>
      </pivotArea>
    </format>
    <format dxfId="24">
      <pivotArea field="0" grandRow="1" outline="0" collapsedLevelsAreSubtotals="1" axis="axisRow" fieldPosition="0">
        <references count="1">
          <reference field="4294967294" count="1" selected="0">
            <x v="2"/>
          </reference>
        </references>
      </pivotArea>
    </format>
    <format dxfId="23">
      <pivotArea collapsedLevelsAreSubtotals="1" fieldPosition="0">
        <references count="2">
          <reference field="4294967294" count="1" selected="0">
            <x v="2"/>
          </reference>
          <reference field="0" count="1">
            <x v="93"/>
          </reference>
        </references>
      </pivotArea>
    </format>
    <format dxfId="22">
      <pivotArea outline="0" collapsedLevelsAreSubtotals="1" fieldPosition="0">
        <references count="1">
          <reference field="4294967294" count="1" selected="0">
            <x v="2"/>
          </reference>
        </references>
      </pivotArea>
    </format>
    <format dxfId="21">
      <pivotArea dataOnly="0" labelOnly="1" outline="0" fieldPosition="0">
        <references count="1">
          <reference field="4294967294" count="1">
            <x v="2"/>
          </reference>
        </references>
      </pivotArea>
    </format>
  </formats>
  <pivotTableStyleInfo name="PivotStyleDark3"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5" cacheId="1"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9">
  <location ref="A4:D6" firstHeaderRow="0" firstDataRow="1" firstDataCol="1" rowPageCount="2" colPageCount="1"/>
  <pivotFields count="31">
    <pivotField axis="axisPage" multipleItemSelectionAllowed="1" showAll="0">
      <items count="99">
        <item m="1" x="65"/>
        <item m="1" x="61"/>
        <item m="1" x="35"/>
        <item m="1" x="11"/>
        <item m="1" x="54"/>
        <item m="1" x="95"/>
        <item m="1" x="52"/>
        <item m="1" x="29"/>
        <item m="1" x="13"/>
        <item m="1" x="75"/>
        <item m="1" x="56"/>
        <item m="1" x="36"/>
        <item m="1" x="34"/>
        <item m="1" x="96"/>
        <item m="1" x="31"/>
        <item m="1" x="72"/>
        <item m="1" x="50"/>
        <item m="1" x="28"/>
        <item m="1" x="93"/>
        <item m="1" x="71"/>
        <item m="1" x="49"/>
        <item m="1" x="26"/>
        <item m="1" x="91"/>
        <item m="1" x="89"/>
        <item m="1" x="67"/>
        <item m="1" x="45"/>
        <item m="1" x="23"/>
        <item m="1" x="85"/>
        <item m="1" x="64"/>
        <item m="1" x="27"/>
        <item m="1" x="92"/>
        <item m="1" x="70"/>
        <item m="1" x="48"/>
        <item m="1" x="25"/>
        <item m="1" x="90"/>
        <item m="1" x="68"/>
        <item m="1" x="24"/>
        <item m="1" x="87"/>
        <item m="1" x="66"/>
        <item m="1" x="44"/>
        <item m="1" x="21"/>
        <item m="1" x="83"/>
        <item m="1" x="42"/>
        <item m="1" x="19"/>
        <item m="1" x="82"/>
        <item m="1" x="62"/>
        <item m="1" x="40"/>
        <item m="1" x="17"/>
        <item m="1" x="79"/>
        <item m="1" x="15"/>
        <item m="1" x="78"/>
        <item m="1" x="59"/>
        <item m="1" x="57"/>
        <item m="1" x="53"/>
        <item m="1" x="30"/>
        <item m="1" x="94"/>
        <item m="1" x="69"/>
        <item m="1" x="47"/>
        <item m="1" x="86"/>
        <item m="1" x="81"/>
        <item m="1" x="22"/>
        <item m="1" x="84"/>
        <item m="1" x="63"/>
        <item m="1" x="43"/>
        <item m="1" x="20"/>
        <item m="1" x="41"/>
        <item m="1" x="39"/>
        <item m="1" x="16"/>
        <item m="1" x="80"/>
        <item m="1" x="60"/>
        <item m="1" x="38"/>
        <item m="1" x="14"/>
        <item m="1" x="76"/>
        <item m="1" x="58"/>
        <item m="1" x="37"/>
        <item m="1" x="12"/>
        <item m="1" x="74"/>
        <item m="1" x="32"/>
        <item m="1" x="55"/>
        <item m="1" x="46"/>
        <item m="1" x="88"/>
        <item m="1" x="18"/>
        <item m="1" x="77"/>
        <item m="1" x="97"/>
        <item m="1" x="73"/>
        <item m="1" x="33"/>
        <item m="1" x="51"/>
        <item x="0"/>
        <item x="1"/>
        <item x="2"/>
        <item x="3"/>
        <item x="4"/>
        <item x="5"/>
        <item x="6"/>
        <item x="7"/>
        <item x="8"/>
        <item x="9"/>
        <item x="10"/>
        <item t="default"/>
      </items>
    </pivotField>
    <pivotField axis="axisPage" showAll="0">
      <items count="6">
        <item x="2"/>
        <item m="1" x="3"/>
        <item m="1" x="4"/>
        <item x="1"/>
        <item x="0"/>
        <item t="default"/>
      </items>
    </pivotField>
    <pivotField showAll="0"/>
    <pivotField showAll="0"/>
    <pivotField axis="axisRow" showAll="0">
      <items count="6">
        <item x="1"/>
        <item h="1" m="1" x="4"/>
        <item x="2"/>
        <item h="1" m="1" x="3"/>
        <item h="1" x="0"/>
        <item t="default"/>
      </items>
    </pivotField>
    <pivotField showAll="0"/>
    <pivotField showAll="0"/>
    <pivotField showAll="0"/>
    <pivotField showAll="0"/>
    <pivotField showAll="0"/>
    <pivotField showAll="0"/>
    <pivotField showAll="0"/>
    <pivotField showAll="0"/>
    <pivotField showAll="0"/>
    <pivotField showAll="0"/>
    <pivotField dataField="1" numFmtId="164" showAll="0"/>
    <pivotField dataField="1" numFmtId="164" showAll="0"/>
    <pivotField dataField="1" numFmtId="173" showAll="0"/>
    <pivotField numFmtId="164" showAll="0"/>
    <pivotField numFmtId="164" showAll="0"/>
    <pivotField numFmtId="173" showAll="0"/>
    <pivotField numFmtId="164" showAll="0"/>
    <pivotField numFmtId="164" showAll="0"/>
    <pivotField numFmtId="173" showAll="0"/>
    <pivotField numFmtId="164" showAll="0"/>
    <pivotField numFmtId="164" showAll="0"/>
    <pivotField numFmtId="173" showAll="0"/>
    <pivotField numFmtId="164" showAll="0"/>
    <pivotField numFmtId="164" showAll="0"/>
    <pivotField numFmtId="164" showAll="0"/>
    <pivotField numFmtId="164" showAll="0"/>
  </pivotFields>
  <rowFields count="1">
    <field x="4"/>
  </rowFields>
  <rowItems count="2">
    <i>
      <x/>
    </i>
    <i t="grand">
      <x/>
    </i>
  </rowItems>
  <colFields count="1">
    <field x="-2"/>
  </colFields>
  <colItems count="3">
    <i>
      <x/>
    </i>
    <i i="1">
      <x v="1"/>
    </i>
    <i i="2">
      <x v="2"/>
    </i>
  </colItems>
  <pageFields count="2">
    <pageField fld="0" hier="-1"/>
    <pageField fld="1" item="3" hier="-1"/>
  </pageFields>
  <dataFields count="3">
    <dataField name="Poids Net" fld="15" baseField="0" baseItem="0" numFmtId="177"/>
    <dataField name="Poids Recalculé" fld="16" baseField="0" baseItem="0" numFmtId="177"/>
    <dataField name="Séchage" fld="17" baseField="0" baseItem="0" numFmtId="173"/>
  </dataFields>
  <formats count="6">
    <format dxfId="20">
      <pivotArea outline="0" collapsedLevelsAreSubtotals="1" fieldPosition="0">
        <references count="1">
          <reference field="4294967294" count="2" selected="0">
            <x v="1"/>
            <x v="2"/>
          </reference>
        </references>
      </pivotArea>
    </format>
    <format dxfId="19">
      <pivotArea dataOnly="0" labelOnly="1" outline="0" fieldPosition="0">
        <references count="1">
          <reference field="4294967294" count="2">
            <x v="1"/>
            <x v="2"/>
          </reference>
        </references>
      </pivotArea>
    </format>
    <format dxfId="18">
      <pivotArea outline="0" collapsedLevelsAreSubtotals="1" fieldPosition="0">
        <references count="1">
          <reference field="4294967294" count="1" selected="0">
            <x v="0"/>
          </reference>
        </references>
      </pivotArea>
    </format>
    <format dxfId="17">
      <pivotArea dataOnly="0" labelOnly="1" outline="0" fieldPosition="0">
        <references count="1">
          <reference field="4294967294" count="1">
            <x v="0"/>
          </reference>
        </references>
      </pivotArea>
    </format>
    <format dxfId="16">
      <pivotArea outline="0" collapsedLevelsAreSubtotals="1" fieldPosition="0">
        <references count="1">
          <reference field="4294967294" count="1" selected="0">
            <x v="2"/>
          </reference>
        </references>
      </pivotArea>
    </format>
    <format dxfId="15">
      <pivotArea dataOnly="0" labelOnly="1" outline="0" fieldPosition="0">
        <references count="1">
          <reference field="4294967294" count="1">
            <x v="2"/>
          </reference>
        </references>
      </pivotArea>
    </format>
  </format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Bareme_MAIS Maïs$" refreshOnLoad="1" connectionId="1" autoFormatId="16" applyNumberFormats="0" applyBorderFormats="0" applyFontFormats="0" applyPatternFormats="0" applyAlignmentFormats="0" applyWidthHeightFormats="0">
  <queryTableRefresh nextId="16">
    <queryTableFields count="15">
      <queryTableField id="1" name="Mais" tableColumnId="1"/>
      <queryTableField id="2" name="F2" tableColumnId="2"/>
      <queryTableField id="3" name="Tx de réfaction" tableColumnId="3"/>
      <queryTableField id="4" name="Coefficiants" tableColumnId="4"/>
      <queryTableField id="5" name="Casaus" tableColumnId="5"/>
      <queryTableField id="6" name="SOMaSec" tableColumnId="6"/>
      <queryTableField id="7" name="Euralis" tableColumnId="7"/>
      <queryTableField id="8" name="Vitivista" tableColumnId="8"/>
      <queryTableField id="9" name="Vivadour" tableColumnId="9"/>
      <queryTableField id="10" name="Maïsadour" tableColumnId="10"/>
      <queryTableField id="11" name="Agralia" tableColumnId="11"/>
      <queryTableField id="12" name="Presta 1" tableColumnId="12"/>
      <queryTableField id="13" name="Presta 2" tableColumnId="13"/>
      <queryTableField id="14" name="Presta 3" tableColumnId="14"/>
      <queryTableField id="15" name="Presta 4" tableColumnId="15"/>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5" name="Global" displayName="Global" ref="A1:AE74" totalsRowShown="0" headerRowBorderDxfId="84">
  <autoFilter ref="A1:AE74"/>
  <tableColumns count="31">
    <tableColumn id="1" name="Date" dataDxfId="83"/>
    <tableColumn id="2" name="Apport,_x000a_Transfert,_x000a_Sortie" dataDxfId="82"/>
    <tableColumn id="3" name="N° de ticket" dataDxfId="81"/>
    <tableColumn id="4" name="N° CMR ou Contract" dataDxfId="80"/>
    <tableColumn id="5" name="Barème" dataDxfId="79"/>
    <tableColumn id="6" name="Fact" dataDxfId="78"/>
    <tableColumn id="7" name="Céréale" dataDxfId="77"/>
    <tableColumn id="8" name="Client,_x000a_Provenance,_x000a_Destination" dataDxfId="76"/>
    <tableColumn id="9" name="Transport" dataDxfId="75"/>
    <tableColumn id="10" name="Immatriculation" dataDxfId="74"/>
    <tableColumn id="11" name="% H2O" dataDxfId="73"/>
    <tableColumn id="12" name="% d'imp" dataDxfId="72"/>
    <tableColumn id="13" name="PS" dataDxfId="71"/>
    <tableColumn id="14" name="Brut_x000a_(poids d'entrée)" dataDxfId="70"/>
    <tableColumn id="15" name="Tare_x000a_(poids de sortie)" dataDxfId="69"/>
    <tableColumn id="16" name="Net" dataDxfId="68">
      <calculatedColumnFormula>N2-O2</calculatedColumnFormula>
    </tableColumn>
    <tableColumn id="17" name="Poids recalculé_x000a_(sans imp)" dataDxfId="67">
      <calculatedColumnFormula>IFERROR(P2*(LOOKUP(K2,Barème!A$3:A$72,Barème!D$3:D$72/1000)),0)</calculatedColumnFormula>
    </tableColumn>
    <tableColumn id="18" name="Prix du séchage_x000a_(sans E/S)" dataDxfId="66">
      <calculatedColumnFormula>IF(Q2&gt;0,(Q2*(INDEX(Barème!E$3:O$72,MATCH(K2,Barème!A$3:A$72,1),MATCH(E2,Barème!E$1:O$1,0)))/1000),0)</calculatedColumnFormula>
    </tableColumn>
    <tableColumn id="19" name="Total_x000a_Brut_x000a_(en stock)" dataDxfId="65">
      <calculatedColumnFormula>S1+P2</calculatedColumnFormula>
    </tableColumn>
    <tableColumn id="20" name="Total_x000a_Sec_x000a_(en stock)" dataDxfId="64">
      <calculatedColumnFormula>T1+Q2</calculatedColumnFormula>
    </tableColumn>
    <tableColumn id="21" name="CA_x000a_Global" dataDxfId="63">
      <calculatedColumnFormula>U1+R2</calculatedColumnFormula>
    </tableColumn>
    <tableColumn id="22" name="Casaus_x000a_Brut_x000a_(en stock)" dataDxfId="62">
      <calculatedColumnFormula>IF(E2="Casaus",P2+V1,V1)</calculatedColumnFormula>
    </tableColumn>
    <tableColumn id="23" name="Casaus_x000a_Sec_x000a_(en stock)" dataDxfId="61">
      <calculatedColumnFormula>IF(E2="Casaus",Q2+W1,W1)</calculatedColumnFormula>
    </tableColumn>
    <tableColumn id="24" name="CA_x000a_Casaus" dataDxfId="60">
      <calculatedColumnFormula>IF(E2="Casaus",R2+X1,X1)</calculatedColumnFormula>
    </tableColumn>
    <tableColumn id="25" name="SOMaSec_x000a_Brut_x000a_(en stock)" dataDxfId="59"/>
    <tableColumn id="26" name="SOMaSec_x000a_Sec_x000a_(en stock)" dataDxfId="58"/>
    <tableColumn id="27" name="CA_x000a_SOMaSec" dataDxfId="57"/>
    <tableColumn id="28" name="Total_x000a_Brut_x000a_(saison)" dataDxfId="56">
      <calculatedColumnFormula>IF(P2&gt;0,P2+AB1,AB1)</calculatedColumnFormula>
    </tableColumn>
    <tableColumn id="29" name="Total_x000a_Sec_x000a_(saison)" dataDxfId="55">
      <calculatedColumnFormula>IF(Q2&gt;0,Q2+AC1,AC1)</calculatedColumnFormula>
    </tableColumn>
    <tableColumn id="30" name="Casaus_x000a_Sec_x000a_(saison)" dataDxfId="54">
      <calculatedColumnFormula>IF(AND(E2="Casaus",Q2&gt;0),Q2+AD1,AD1)</calculatedColumnFormula>
    </tableColumn>
    <tableColumn id="31" name="SOMaSec_x000a_Sec_x000a_(saison)" dataDxfId="53"/>
  </tableColumns>
  <tableStyleInfo name="TableStyleMedium7" showFirstColumn="0" showLastColumn="0" showRowStripes="1" showColumnStripes="0"/>
</table>
</file>

<file path=xl/tables/table2.xml><?xml version="1.0" encoding="utf-8"?>
<table xmlns="http://schemas.openxmlformats.org/spreadsheetml/2006/main" id="3" name="Barème_Maïs" displayName="Barème_Maïs" ref="A1:O72" tableType="queryTable" totalsRowShown="0">
  <autoFilter ref="A1:O72"/>
  <tableColumns count="15">
    <tableColumn id="1" uniqueName="1" name="Mais" queryTableFieldId="1" dataDxfId="14"/>
    <tableColumn id="2" uniqueName="2" name="F2" queryTableFieldId="2" dataDxfId="13"/>
    <tableColumn id="3" uniqueName="3" name="Tx de réfaction" queryTableFieldId="3" dataDxfId="12"/>
    <tableColumn id="4" uniqueName="4" name="Coefficiants" queryTableFieldId="4" dataDxfId="11"/>
    <tableColumn id="5" uniqueName="5" name="Casaus" queryTableFieldId="5" dataDxfId="10"/>
    <tableColumn id="6" uniqueName="6" name="SOMaSec" queryTableFieldId="6" dataDxfId="9"/>
    <tableColumn id="7" uniqueName="7" name="Euralis" queryTableFieldId="7" dataDxfId="8"/>
    <tableColumn id="8" uniqueName="8" name="Vitivista" queryTableFieldId="8" dataDxfId="7"/>
    <tableColumn id="9" uniqueName="9" name="Vivadour" queryTableFieldId="9" dataDxfId="6"/>
    <tableColumn id="10" uniqueName="10" name="Maïsadour" queryTableFieldId="10" dataDxfId="5"/>
    <tableColumn id="11" uniqueName="11" name="Agralia" queryTableFieldId="11" dataDxfId="4"/>
    <tableColumn id="12" uniqueName="12" name="Presta 1" queryTableFieldId="12" dataDxfId="3"/>
    <tableColumn id="13" uniqueName="13" name="Presta 2" queryTableFieldId="13" dataDxfId="2"/>
    <tableColumn id="14" uniqueName="14" name="Presta 3" queryTableFieldId="14" dataDxfId="1"/>
    <tableColumn id="15" uniqueName="15" name="Presta 4" queryTableFieldId="15"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mailto:sarl.somasec@orange.fr"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2.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E74"/>
  <sheetViews>
    <sheetView tabSelected="1" zoomScale="90" zoomScaleNormal="90" workbookViewId="0">
      <pane ySplit="4" topLeftCell="A50" activePane="bottomLeft" state="frozen"/>
      <selection pane="bottomLeft" activeCell="A75" sqref="A75"/>
    </sheetView>
  </sheetViews>
  <sheetFormatPr baseColWidth="10" defaultRowHeight="15" x14ac:dyDescent="0.25"/>
  <cols>
    <col min="1" max="2" width="11.42578125" style="30"/>
    <col min="3" max="3" width="13.42578125" style="29" customWidth="1"/>
    <col min="4" max="4" width="20.42578125" style="31" customWidth="1"/>
    <col min="5" max="5" width="11.42578125" style="29"/>
    <col min="6" max="6" width="9.140625" style="29" bestFit="1" customWidth="1"/>
    <col min="7" max="7" width="10" style="29" customWidth="1"/>
    <col min="8" max="8" width="28" style="29" bestFit="1" customWidth="1"/>
    <col min="9" max="9" width="30" style="29" customWidth="1"/>
    <col min="10" max="10" width="22.85546875" style="29" customWidth="1"/>
    <col min="11" max="11" width="10" style="29" customWidth="1"/>
    <col min="12" max="12" width="10.28515625" style="29" customWidth="1"/>
    <col min="13" max="13" width="10" style="29" customWidth="1"/>
    <col min="14" max="17" width="11.42578125" style="32"/>
    <col min="18" max="18" width="11.42578125" style="71"/>
    <col min="19" max="20" width="12.85546875" style="32" customWidth="1"/>
    <col min="21" max="21" width="12.85546875" style="71" customWidth="1"/>
    <col min="22" max="23" width="12.85546875" style="32" customWidth="1"/>
    <col min="24" max="24" width="12.85546875" style="71" customWidth="1"/>
    <col min="25" max="26" width="12.85546875" style="32" customWidth="1"/>
    <col min="27" max="27" width="12.85546875" style="71" customWidth="1"/>
    <col min="28" max="31" width="12.85546875" style="32" customWidth="1"/>
    <col min="32" max="16384" width="11.42578125" style="29"/>
  </cols>
  <sheetData>
    <row r="1" spans="1:31" s="127" customFormat="1" ht="47.25" customHeight="1" thickBot="1" x14ac:dyDescent="0.3">
      <c r="A1" s="108" t="s">
        <v>0</v>
      </c>
      <c r="B1" s="109" t="s">
        <v>50</v>
      </c>
      <c r="C1" s="110" t="s">
        <v>1</v>
      </c>
      <c r="D1" s="111" t="s">
        <v>14</v>
      </c>
      <c r="E1" s="112" t="s">
        <v>121</v>
      </c>
      <c r="F1" s="113" t="s">
        <v>129</v>
      </c>
      <c r="G1" s="114" t="s">
        <v>2</v>
      </c>
      <c r="H1" s="112" t="s">
        <v>8</v>
      </c>
      <c r="I1" s="110" t="s">
        <v>3</v>
      </c>
      <c r="J1" s="110" t="s">
        <v>4</v>
      </c>
      <c r="K1" s="110" t="s">
        <v>130</v>
      </c>
      <c r="L1" s="110" t="s">
        <v>110</v>
      </c>
      <c r="M1" s="110" t="s">
        <v>5</v>
      </c>
      <c r="N1" s="115" t="s">
        <v>131</v>
      </c>
      <c r="O1" s="115" t="s">
        <v>132</v>
      </c>
      <c r="P1" s="116" t="s">
        <v>6</v>
      </c>
      <c r="Q1" s="117" t="s">
        <v>133</v>
      </c>
      <c r="R1" s="118" t="s">
        <v>134</v>
      </c>
      <c r="S1" s="119" t="s">
        <v>135</v>
      </c>
      <c r="T1" s="120" t="s">
        <v>136</v>
      </c>
      <c r="U1" s="121" t="s">
        <v>120</v>
      </c>
      <c r="V1" s="122" t="s">
        <v>137</v>
      </c>
      <c r="W1" s="117" t="s">
        <v>138</v>
      </c>
      <c r="X1" s="123" t="s">
        <v>119</v>
      </c>
      <c r="Y1" s="122" t="s">
        <v>143</v>
      </c>
      <c r="Z1" s="117" t="s">
        <v>144</v>
      </c>
      <c r="AA1" s="124" t="s">
        <v>145</v>
      </c>
      <c r="AB1" s="125" t="s">
        <v>139</v>
      </c>
      <c r="AC1" s="120" t="s">
        <v>140</v>
      </c>
      <c r="AD1" s="126" t="s">
        <v>141</v>
      </c>
      <c r="AE1" s="217" t="s">
        <v>217</v>
      </c>
    </row>
    <row r="2" spans="1:31" ht="15.75" thickTop="1" x14ac:dyDescent="0.25">
      <c r="A2" s="95"/>
      <c r="B2" s="93"/>
      <c r="C2" s="85"/>
      <c r="D2" s="91"/>
      <c r="E2" s="85"/>
      <c r="F2" s="85"/>
      <c r="G2" s="72"/>
      <c r="H2" s="85"/>
      <c r="I2" s="86"/>
      <c r="J2" s="86"/>
      <c r="K2" s="86"/>
      <c r="L2" s="86"/>
      <c r="M2" s="86"/>
      <c r="N2" s="87"/>
      <c r="O2" s="87"/>
      <c r="P2" s="73">
        <f t="shared" ref="P2:P4" si="0">N2-O2</f>
        <v>0</v>
      </c>
      <c r="Q2" s="75">
        <f>IFERROR(P2*(LOOKUP(K2,Barème!A$3:A$72,Barème!D$3:D$72/1000)),0)</f>
        <v>0</v>
      </c>
      <c r="R2" s="76">
        <f>IF(Q2&gt;0,(Q2*(INDEX(Barème!E$3:O$72,MATCH(K2,Barème!A$3:A$72,1),MATCH(E2,Barème!E$1:O$1,0)))/1000),0)</f>
        <v>0</v>
      </c>
      <c r="S2" s="77">
        <f>P2</f>
        <v>0</v>
      </c>
      <c r="T2" s="78">
        <f>Q2</f>
        <v>0</v>
      </c>
      <c r="U2" s="79">
        <f>R2</f>
        <v>0</v>
      </c>
      <c r="V2" s="80">
        <f>IF(E2="Casaus",P2,0)</f>
        <v>0</v>
      </c>
      <c r="W2" s="75">
        <f>IF(E2="Casaus",Q2,0)</f>
        <v>0</v>
      </c>
      <c r="X2" s="81">
        <f>IF(E2="Casaus",R2,0)</f>
        <v>0</v>
      </c>
      <c r="Y2" s="80">
        <f>IF(E2="SOMaSec",P2,0)</f>
        <v>0</v>
      </c>
      <c r="Z2" s="75">
        <f>IF(E2="SOMaSec",Q2,0)</f>
        <v>0</v>
      </c>
      <c r="AA2" s="82">
        <f>IF(E2="SOMaSec",R2,0)</f>
        <v>0</v>
      </c>
      <c r="AB2" s="83">
        <f>IF(P2&gt;0,P2,0)</f>
        <v>0</v>
      </c>
      <c r="AC2" s="78">
        <f>IF(Q2&gt;0,Q2,0)</f>
        <v>0</v>
      </c>
      <c r="AD2" s="84">
        <f>IF(AND(E2="Casaus",Q2&gt;0),Q2,0)</f>
        <v>0</v>
      </c>
      <c r="AE2" s="97">
        <f>IF(AND(E2="SOMaSec",Q2&gt;0),Q2,0)</f>
        <v>0</v>
      </c>
    </row>
    <row r="3" spans="1:31" x14ac:dyDescent="0.25">
      <c r="A3" s="96"/>
      <c r="B3" s="94"/>
      <c r="C3" s="88"/>
      <c r="D3" s="92"/>
      <c r="E3" s="85"/>
      <c r="F3" s="85"/>
      <c r="G3" s="72"/>
      <c r="H3" s="85"/>
      <c r="I3" s="89"/>
      <c r="J3" s="89"/>
      <c r="K3" s="89"/>
      <c r="L3" s="89"/>
      <c r="M3" s="89"/>
      <c r="N3" s="90"/>
      <c r="O3" s="90"/>
      <c r="P3" s="74">
        <f t="shared" si="0"/>
        <v>0</v>
      </c>
      <c r="Q3" s="75">
        <f>IFERROR(P3*(LOOKUP(K3,Barème!A$3:A$72,Barème!D$3:D$72/1000)),0)</f>
        <v>0</v>
      </c>
      <c r="R3" s="76">
        <f>IF(Q3&gt;0,(Q3*(INDEX(Barème!E$3:O$72,MATCH(K3,Barème!A$3:A$72,1),MATCH(E3,Barème!E$1:O$1,0)))/1000),0)</f>
        <v>0</v>
      </c>
      <c r="S3" s="99">
        <f t="shared" ref="S3:U4" si="1">S2+P3</f>
        <v>0</v>
      </c>
      <c r="T3" s="100">
        <f t="shared" si="1"/>
        <v>0</v>
      </c>
      <c r="U3" s="101">
        <f t="shared" si="1"/>
        <v>0</v>
      </c>
      <c r="V3" s="102">
        <f t="shared" ref="V3:V4" si="2">IF(E3="Casaus",P3+V2,V2)</f>
        <v>0</v>
      </c>
      <c r="W3" s="98">
        <f t="shared" ref="W3:W4" si="3">IF(E3="Casaus",Q3+W2,W2)</f>
        <v>0</v>
      </c>
      <c r="X3" s="103">
        <f t="shared" ref="X3:X4" si="4">IF(E3="Casaus",R3+X2,X2)</f>
        <v>0</v>
      </c>
      <c r="Y3" s="102">
        <f t="shared" ref="Y3:Y11" si="5">IF(E3="SOMaSec",P3+Y2,Y2)</f>
        <v>0</v>
      </c>
      <c r="Z3" s="98">
        <f t="shared" ref="Z3:Z11" si="6">IF(E3="SOMaSec",Q3+Z2,Z2)</f>
        <v>0</v>
      </c>
      <c r="AA3" s="104">
        <f t="shared" ref="AA3:AA11" si="7">IF(E3="SOMaSec",R3+AA2,AA2)</f>
        <v>0</v>
      </c>
      <c r="AB3" s="105">
        <f t="shared" ref="AB3:AC4" si="8">IF(P3&gt;0,P3+AB2,AB2)</f>
        <v>0</v>
      </c>
      <c r="AC3" s="100">
        <f t="shared" si="8"/>
        <v>0</v>
      </c>
      <c r="AD3" s="106">
        <f t="shared" ref="AD3:AD4" si="9">IF(AND(E3="Casaus",Q3&gt;0),Q3+AD2,AD2)</f>
        <v>0</v>
      </c>
      <c r="AE3" s="107">
        <f t="shared" ref="AE3:AE11" si="10">IF(AND(E3="SOMaSec",Q3&gt;0),Q3+AE2,AE2)</f>
        <v>0</v>
      </c>
    </row>
    <row r="4" spans="1:31" x14ac:dyDescent="0.25">
      <c r="A4" s="96"/>
      <c r="B4" s="94"/>
      <c r="C4" s="88"/>
      <c r="D4" s="92"/>
      <c r="E4" s="85"/>
      <c r="F4" s="85"/>
      <c r="G4" s="72"/>
      <c r="H4" s="85"/>
      <c r="I4" s="89"/>
      <c r="J4" s="89"/>
      <c r="K4" s="89"/>
      <c r="L4" s="89"/>
      <c r="M4" s="89"/>
      <c r="N4" s="90"/>
      <c r="O4" s="90"/>
      <c r="P4" s="74">
        <f t="shared" si="0"/>
        <v>0</v>
      </c>
      <c r="Q4" s="75">
        <f>IFERROR(P4*(LOOKUP(K4,Barème!A$3:A$72,Barème!D$3:D$72/1000)),0)</f>
        <v>0</v>
      </c>
      <c r="R4" s="76">
        <f>IF(Q4&gt;0,(Q4*(INDEX(Barème!E$3:O$72,MATCH(K4,Barème!A$3:A$72,1),MATCH(E4,Barème!E$1:O$1,0)))/1000),0)</f>
        <v>0</v>
      </c>
      <c r="S4" s="99">
        <f t="shared" si="1"/>
        <v>0</v>
      </c>
      <c r="T4" s="100">
        <f t="shared" si="1"/>
        <v>0</v>
      </c>
      <c r="U4" s="101">
        <f t="shared" si="1"/>
        <v>0</v>
      </c>
      <c r="V4" s="102">
        <f t="shared" si="2"/>
        <v>0</v>
      </c>
      <c r="W4" s="98">
        <f t="shared" si="3"/>
        <v>0</v>
      </c>
      <c r="X4" s="103">
        <f t="shared" si="4"/>
        <v>0</v>
      </c>
      <c r="Y4" s="102">
        <f t="shared" si="5"/>
        <v>0</v>
      </c>
      <c r="Z4" s="98">
        <f t="shared" si="6"/>
        <v>0</v>
      </c>
      <c r="AA4" s="104">
        <f t="shared" si="7"/>
        <v>0</v>
      </c>
      <c r="AB4" s="105">
        <f t="shared" si="8"/>
        <v>0</v>
      </c>
      <c r="AC4" s="100">
        <f t="shared" si="8"/>
        <v>0</v>
      </c>
      <c r="AD4" s="106">
        <f t="shared" si="9"/>
        <v>0</v>
      </c>
      <c r="AE4" s="107">
        <f t="shared" si="10"/>
        <v>0</v>
      </c>
    </row>
    <row r="5" spans="1:31" x14ac:dyDescent="0.25">
      <c r="A5" s="128" t="s">
        <v>190</v>
      </c>
      <c r="B5" s="129" t="s">
        <v>142</v>
      </c>
      <c r="C5" s="130">
        <v>13</v>
      </c>
      <c r="D5" s="131">
        <v>7058</v>
      </c>
      <c r="E5" s="130" t="s">
        <v>23</v>
      </c>
      <c r="F5" s="130" t="s">
        <v>23</v>
      </c>
      <c r="G5" s="132" t="s">
        <v>22</v>
      </c>
      <c r="H5" s="130" t="s">
        <v>123</v>
      </c>
      <c r="I5" s="130">
        <v>71</v>
      </c>
      <c r="J5" s="130">
        <v>55</v>
      </c>
      <c r="K5" s="130">
        <v>26.5</v>
      </c>
      <c r="L5" s="130"/>
      <c r="M5" s="130"/>
      <c r="N5" s="133">
        <v>33000</v>
      </c>
      <c r="O5" s="133">
        <v>14040</v>
      </c>
      <c r="P5" s="74">
        <f t="shared" ref="P5" si="11">N5-O5</f>
        <v>18960</v>
      </c>
      <c r="Q5" s="75">
        <f>IFERROR(P5*(LOOKUP(K5,Barème!A$3:A$72,Barème!D$3:D$72/1000)),0)</f>
        <v>16334.987999999999</v>
      </c>
      <c r="R5" s="76">
        <f>IF(Q5&gt;0,(Q5*(INDEX(Barème!E$3:O$72,MATCH(K5,Barème!A$3:A$72,1),MATCH(E5,Barème!E$1:O$1,0)))/1000),0)</f>
        <v>372.92777603999997</v>
      </c>
      <c r="S5" s="99">
        <f t="shared" ref="S5" si="12">S4+P5</f>
        <v>18960</v>
      </c>
      <c r="T5" s="100">
        <f t="shared" ref="T5" si="13">T4+Q5</f>
        <v>16334.987999999999</v>
      </c>
      <c r="U5" s="101">
        <f t="shared" ref="U5" si="14">U4+R5</f>
        <v>372.92777603999997</v>
      </c>
      <c r="V5" s="102">
        <f t="shared" ref="V5" si="15">IF(E5="Casaus",P5+V4,V4)</f>
        <v>18960</v>
      </c>
      <c r="W5" s="98">
        <f t="shared" ref="W5" si="16">IF(E5="Casaus",Q5+W4,W4)</f>
        <v>16334.987999999999</v>
      </c>
      <c r="X5" s="103">
        <f t="shared" ref="X5" si="17">IF(E5="Casaus",R5+X4,X4)</f>
        <v>372.92777603999997</v>
      </c>
      <c r="Y5" s="102">
        <f t="shared" si="5"/>
        <v>0</v>
      </c>
      <c r="Z5" s="98">
        <f t="shared" si="6"/>
        <v>0</v>
      </c>
      <c r="AA5" s="104">
        <f t="shared" si="7"/>
        <v>0</v>
      </c>
      <c r="AB5" s="105">
        <f t="shared" ref="AB5" si="18">IF(P5&gt;0,P5+AB4,AB4)</f>
        <v>18960</v>
      </c>
      <c r="AC5" s="100">
        <f t="shared" ref="AC5" si="19">IF(Q5&gt;0,Q5+AC4,AC4)</f>
        <v>16334.987999999999</v>
      </c>
      <c r="AD5" s="106">
        <f t="shared" ref="AD5" si="20">IF(AND(E5="Casaus",Q5&gt;0),Q5+AD4,AD4)</f>
        <v>16334.987999999999</v>
      </c>
      <c r="AE5" s="107">
        <f t="shared" si="10"/>
        <v>0</v>
      </c>
    </row>
    <row r="6" spans="1:31" x14ac:dyDescent="0.25">
      <c r="A6" s="128" t="s">
        <v>190</v>
      </c>
      <c r="B6" s="129" t="s">
        <v>142</v>
      </c>
      <c r="C6" s="130">
        <v>14</v>
      </c>
      <c r="D6" s="131">
        <v>7059</v>
      </c>
      <c r="E6" s="130" t="s">
        <v>23</v>
      </c>
      <c r="F6" s="130" t="s">
        <v>23</v>
      </c>
      <c r="G6" s="132" t="s">
        <v>22</v>
      </c>
      <c r="H6" s="130" t="s">
        <v>123</v>
      </c>
      <c r="I6" s="130">
        <v>71</v>
      </c>
      <c r="J6" s="130">
        <v>55</v>
      </c>
      <c r="K6" s="130">
        <v>26.5</v>
      </c>
      <c r="L6" s="130"/>
      <c r="M6" s="130"/>
      <c r="N6" s="133">
        <v>33340</v>
      </c>
      <c r="O6" s="133">
        <v>14040</v>
      </c>
      <c r="P6" s="74">
        <f t="shared" ref="P6" si="21">N6-O6</f>
        <v>19300</v>
      </c>
      <c r="Q6" s="75">
        <f>IFERROR(P6*(LOOKUP(K6,Barème!A$3:A$72,Barème!D$3:D$72/1000)),0)</f>
        <v>16627.914999999997</v>
      </c>
      <c r="R6" s="76">
        <f>IF(Q6&gt;0,(Q6*(INDEX(Barème!E$3:O$72,MATCH(K6,Barème!A$3:A$72,1),MATCH(E6,Barème!E$1:O$1,0)))/1000),0)</f>
        <v>379.61529944999995</v>
      </c>
      <c r="S6" s="99">
        <f t="shared" ref="S6" si="22">S5+P6</f>
        <v>38260</v>
      </c>
      <c r="T6" s="100">
        <f t="shared" ref="T6" si="23">T5+Q6</f>
        <v>32962.902999999998</v>
      </c>
      <c r="U6" s="101">
        <f t="shared" ref="U6" si="24">U5+R6</f>
        <v>752.54307548999986</v>
      </c>
      <c r="V6" s="102">
        <f t="shared" ref="V6" si="25">IF(E6="Casaus",P6+V5,V5)</f>
        <v>38260</v>
      </c>
      <c r="W6" s="98">
        <f t="shared" ref="W6" si="26">IF(E6="Casaus",Q6+W5,W5)</f>
        <v>32962.902999999998</v>
      </c>
      <c r="X6" s="103">
        <f t="shared" ref="X6" si="27">IF(E6="Casaus",R6+X5,X5)</f>
        <v>752.54307548999986</v>
      </c>
      <c r="Y6" s="102">
        <f t="shared" si="5"/>
        <v>0</v>
      </c>
      <c r="Z6" s="98">
        <f t="shared" si="6"/>
        <v>0</v>
      </c>
      <c r="AA6" s="104">
        <f t="shared" si="7"/>
        <v>0</v>
      </c>
      <c r="AB6" s="105">
        <f t="shared" ref="AB6" si="28">IF(P6&gt;0,P6+AB5,AB5)</f>
        <v>38260</v>
      </c>
      <c r="AC6" s="100">
        <f t="shared" ref="AC6" si="29">IF(Q6&gt;0,Q6+AC5,AC5)</f>
        <v>32962.902999999998</v>
      </c>
      <c r="AD6" s="106">
        <f t="shared" ref="AD6" si="30">IF(AND(E6="Casaus",Q6&gt;0),Q6+AD5,AD5)</f>
        <v>32962.902999999998</v>
      </c>
      <c r="AE6" s="107">
        <f t="shared" si="10"/>
        <v>0</v>
      </c>
    </row>
    <row r="7" spans="1:31" x14ac:dyDescent="0.25">
      <c r="A7" s="128" t="s">
        <v>192</v>
      </c>
      <c r="B7" s="129" t="s">
        <v>142</v>
      </c>
      <c r="C7" s="130">
        <v>15</v>
      </c>
      <c r="D7" s="131">
        <v>7060</v>
      </c>
      <c r="E7" s="130" t="s">
        <v>23</v>
      </c>
      <c r="F7" s="130" t="s">
        <v>23</v>
      </c>
      <c r="G7" s="132" t="s">
        <v>22</v>
      </c>
      <c r="H7" s="130" t="s">
        <v>123</v>
      </c>
      <c r="I7" s="130">
        <v>71</v>
      </c>
      <c r="J7" s="130">
        <v>55</v>
      </c>
      <c r="K7" s="130">
        <v>28.2</v>
      </c>
      <c r="L7" s="130"/>
      <c r="M7" s="130"/>
      <c r="N7" s="133">
        <v>33060</v>
      </c>
      <c r="O7" s="133">
        <v>14040</v>
      </c>
      <c r="P7" s="74">
        <f t="shared" ref="P7" si="31">N7-O7</f>
        <v>19020</v>
      </c>
      <c r="Q7" s="75">
        <f>IFERROR(P7*(LOOKUP(K7,Barème!A$3:A$72,Barème!D$3:D$72/1000)),0)</f>
        <v>15918.789000000001</v>
      </c>
      <c r="R7" s="76">
        <f>IF(Q7&gt;0,(Q7*(INDEX(Barème!E$3:O$72,MATCH(K7,Barème!A$3:A$72,1),MATCH(E7,Barème!E$1:O$1,0)))/1000),0)</f>
        <v>398.28810078000004</v>
      </c>
      <c r="S7" s="99">
        <f t="shared" ref="S7" si="32">S6+P7</f>
        <v>57280</v>
      </c>
      <c r="T7" s="100">
        <f t="shared" ref="T7" si="33">T6+Q7</f>
        <v>48881.691999999995</v>
      </c>
      <c r="U7" s="101">
        <f t="shared" ref="U7" si="34">U6+R7</f>
        <v>1150.83117627</v>
      </c>
      <c r="V7" s="102">
        <f t="shared" ref="V7" si="35">IF(E7="Casaus",P7+V6,V6)</f>
        <v>57280</v>
      </c>
      <c r="W7" s="98">
        <f t="shared" ref="W7" si="36">IF(E7="Casaus",Q7+W6,W6)</f>
        <v>48881.691999999995</v>
      </c>
      <c r="X7" s="103">
        <f t="shared" ref="X7" si="37">IF(E7="Casaus",R7+X6,X6)</f>
        <v>1150.83117627</v>
      </c>
      <c r="Y7" s="102">
        <f t="shared" si="5"/>
        <v>0</v>
      </c>
      <c r="Z7" s="98">
        <f t="shared" si="6"/>
        <v>0</v>
      </c>
      <c r="AA7" s="104">
        <f t="shared" si="7"/>
        <v>0</v>
      </c>
      <c r="AB7" s="105">
        <f t="shared" ref="AB7" si="38">IF(P7&gt;0,P7+AB6,AB6)</f>
        <v>57280</v>
      </c>
      <c r="AC7" s="100">
        <f t="shared" ref="AC7" si="39">IF(Q7&gt;0,Q7+AC6,AC6)</f>
        <v>48881.691999999995</v>
      </c>
      <c r="AD7" s="106">
        <f t="shared" ref="AD7" si="40">IF(AND(E7="Casaus",Q7&gt;0),Q7+AD6,AD6)</f>
        <v>48881.691999999995</v>
      </c>
      <c r="AE7" s="107">
        <f t="shared" si="10"/>
        <v>0</v>
      </c>
    </row>
    <row r="8" spans="1:31" x14ac:dyDescent="0.25">
      <c r="A8" s="128" t="s">
        <v>192</v>
      </c>
      <c r="B8" s="129" t="s">
        <v>142</v>
      </c>
      <c r="C8" s="130">
        <v>17</v>
      </c>
      <c r="D8" s="131">
        <v>7031</v>
      </c>
      <c r="E8" s="130" t="s">
        <v>23</v>
      </c>
      <c r="F8" s="130" t="s">
        <v>23</v>
      </c>
      <c r="G8" s="132" t="s">
        <v>22</v>
      </c>
      <c r="H8" s="130" t="s">
        <v>123</v>
      </c>
      <c r="I8" s="130">
        <v>71</v>
      </c>
      <c r="J8" s="130">
        <v>55</v>
      </c>
      <c r="K8" s="130">
        <v>25.2</v>
      </c>
      <c r="L8" s="130"/>
      <c r="M8" s="130"/>
      <c r="N8" s="133">
        <v>33000</v>
      </c>
      <c r="O8" s="133">
        <v>14020</v>
      </c>
      <c r="P8" s="74">
        <f t="shared" ref="P8" si="41">N8-O8</f>
        <v>18980</v>
      </c>
      <c r="Q8" s="75">
        <f>IFERROR(P8*(LOOKUP(K8,Barème!A$3:A$72,Barème!D$3:D$72/1000)),0)</f>
        <v>16585.672999999999</v>
      </c>
      <c r="R8" s="76">
        <f>IF(Q8&gt;0,(Q8*(INDEX(Barème!E$3:O$72,MATCH(K8,Barème!A$3:A$72,1),MATCH(E8,Barème!E$1:O$1,0)))/1000),0)</f>
        <v>360.40667429000001</v>
      </c>
      <c r="S8" s="99">
        <f t="shared" ref="S8" si="42">S7+P8</f>
        <v>76260</v>
      </c>
      <c r="T8" s="100">
        <f t="shared" ref="T8" si="43">T7+Q8</f>
        <v>65467.364999999991</v>
      </c>
      <c r="U8" s="101">
        <f t="shared" ref="U8" si="44">U7+R8</f>
        <v>1511.23785056</v>
      </c>
      <c r="V8" s="102">
        <f t="shared" ref="V8" si="45">IF(E8="Casaus",P8+V7,V7)</f>
        <v>76260</v>
      </c>
      <c r="W8" s="98">
        <f t="shared" ref="W8" si="46">IF(E8="Casaus",Q8+W7,W7)</f>
        <v>65467.364999999991</v>
      </c>
      <c r="X8" s="103">
        <f t="shared" ref="X8" si="47">IF(E8="Casaus",R8+X7,X7)</f>
        <v>1511.23785056</v>
      </c>
      <c r="Y8" s="102">
        <f t="shared" si="5"/>
        <v>0</v>
      </c>
      <c r="Z8" s="98">
        <f t="shared" si="6"/>
        <v>0</v>
      </c>
      <c r="AA8" s="104">
        <f t="shared" si="7"/>
        <v>0</v>
      </c>
      <c r="AB8" s="105">
        <f t="shared" ref="AB8" si="48">IF(P8&gt;0,P8+AB7,AB7)</f>
        <v>76260</v>
      </c>
      <c r="AC8" s="100">
        <f t="shared" ref="AC8" si="49">IF(Q8&gt;0,Q8+AC7,AC7)</f>
        <v>65467.364999999991</v>
      </c>
      <c r="AD8" s="106">
        <f t="shared" ref="AD8" si="50">IF(AND(E8="Casaus",Q8&gt;0),Q8+AD7,AD7)</f>
        <v>65467.364999999991</v>
      </c>
      <c r="AE8" s="107">
        <f t="shared" si="10"/>
        <v>0</v>
      </c>
    </row>
    <row r="9" spans="1:31" x14ac:dyDescent="0.25">
      <c r="A9" s="128" t="s">
        <v>192</v>
      </c>
      <c r="B9" s="129" t="s">
        <v>142</v>
      </c>
      <c r="C9" s="130">
        <v>18</v>
      </c>
      <c r="D9" s="131">
        <v>9940</v>
      </c>
      <c r="E9" s="130" t="s">
        <v>23</v>
      </c>
      <c r="F9" s="130" t="s">
        <v>23</v>
      </c>
      <c r="G9" s="132" t="s">
        <v>22</v>
      </c>
      <c r="H9" s="130" t="s">
        <v>123</v>
      </c>
      <c r="I9" s="130">
        <v>71</v>
      </c>
      <c r="J9" s="130">
        <v>55</v>
      </c>
      <c r="K9" s="130">
        <v>26</v>
      </c>
      <c r="L9" s="130"/>
      <c r="M9" s="130"/>
      <c r="N9" s="133">
        <v>32640</v>
      </c>
      <c r="O9" s="133">
        <v>14020</v>
      </c>
      <c r="P9" s="74">
        <f t="shared" ref="P9" si="51">N9-O9</f>
        <v>18620</v>
      </c>
      <c r="Q9" s="75">
        <f>IFERROR(P9*(LOOKUP(K9,Barème!A$3:A$72,Barème!D$3:D$72/1000)),0)</f>
        <v>16156.574000000001</v>
      </c>
      <c r="R9" s="76">
        <f>IF(Q9&gt;0,(Q9*(INDEX(Barème!E$3:O$72,MATCH(K9,Barème!A$3:A$72,1),MATCH(E9,Barème!E$1:O$1,0)))/1000),0)</f>
        <v>360.45316593999996</v>
      </c>
      <c r="S9" s="99">
        <f t="shared" ref="S9" si="52">S8+P9</f>
        <v>94880</v>
      </c>
      <c r="T9" s="100">
        <f t="shared" ref="T9" si="53">T8+Q9</f>
        <v>81623.938999999984</v>
      </c>
      <c r="U9" s="101">
        <f t="shared" ref="U9" si="54">U8+R9</f>
        <v>1871.6910164999999</v>
      </c>
      <c r="V9" s="102">
        <f t="shared" ref="V9" si="55">IF(E9="Casaus",P9+V8,V8)</f>
        <v>94880</v>
      </c>
      <c r="W9" s="98">
        <f t="shared" ref="W9" si="56">IF(E9="Casaus",Q9+W8,W8)</f>
        <v>81623.938999999984</v>
      </c>
      <c r="X9" s="103">
        <f t="shared" ref="X9" si="57">IF(E9="Casaus",R9+X8,X8)</f>
        <v>1871.6910164999999</v>
      </c>
      <c r="Y9" s="102">
        <f t="shared" si="5"/>
        <v>0</v>
      </c>
      <c r="Z9" s="98">
        <f t="shared" si="6"/>
        <v>0</v>
      </c>
      <c r="AA9" s="104">
        <f t="shared" si="7"/>
        <v>0</v>
      </c>
      <c r="AB9" s="105">
        <f t="shared" ref="AB9" si="58">IF(P9&gt;0,P9+AB8,AB8)</f>
        <v>94880</v>
      </c>
      <c r="AC9" s="100">
        <f t="shared" ref="AC9" si="59">IF(Q9&gt;0,Q9+AC8,AC8)</f>
        <v>81623.938999999984</v>
      </c>
      <c r="AD9" s="106">
        <f t="shared" ref="AD9" si="60">IF(AND(E9="Casaus",Q9&gt;0),Q9+AD8,AD8)</f>
        <v>81623.938999999984</v>
      </c>
      <c r="AE9" s="107">
        <f t="shared" si="10"/>
        <v>0</v>
      </c>
    </row>
    <row r="10" spans="1:31" x14ac:dyDescent="0.25">
      <c r="A10" s="128" t="s">
        <v>192</v>
      </c>
      <c r="B10" s="129" t="s">
        <v>142</v>
      </c>
      <c r="C10" s="130">
        <v>19</v>
      </c>
      <c r="D10" s="131">
        <v>9941</v>
      </c>
      <c r="E10" s="130" t="s">
        <v>23</v>
      </c>
      <c r="F10" s="130" t="s">
        <v>23</v>
      </c>
      <c r="G10" s="132" t="s">
        <v>22</v>
      </c>
      <c r="H10" s="130" t="s">
        <v>123</v>
      </c>
      <c r="I10" s="130">
        <v>71</v>
      </c>
      <c r="J10" s="130">
        <v>55</v>
      </c>
      <c r="K10" s="130">
        <v>26</v>
      </c>
      <c r="L10" s="130"/>
      <c r="M10" s="130"/>
      <c r="N10" s="133">
        <v>33020</v>
      </c>
      <c r="O10" s="133">
        <v>14020</v>
      </c>
      <c r="P10" s="74">
        <f t="shared" ref="P10" si="61">N10-O10</f>
        <v>19000</v>
      </c>
      <c r="Q10" s="75">
        <f>IFERROR(P10*(LOOKUP(K10,Barème!A$3:A$72,Barème!D$3:D$72/1000)),0)</f>
        <v>16486.3</v>
      </c>
      <c r="R10" s="76">
        <f>IF(Q10&gt;0,(Q10*(INDEX(Barème!E$3:O$72,MATCH(K10,Barème!A$3:A$72,1),MATCH(E10,Barème!E$1:O$1,0)))/1000),0)</f>
        <v>367.80935299999993</v>
      </c>
      <c r="S10" s="99">
        <f t="shared" ref="S10" si="62">S9+P10</f>
        <v>113880</v>
      </c>
      <c r="T10" s="100">
        <f t="shared" ref="T10" si="63">T9+Q10</f>
        <v>98110.238999999987</v>
      </c>
      <c r="U10" s="101">
        <f t="shared" ref="U10" si="64">U9+R10</f>
        <v>2239.5003695</v>
      </c>
      <c r="V10" s="102">
        <f t="shared" ref="V10" si="65">IF(E10="Casaus",P10+V9,V9)</f>
        <v>113880</v>
      </c>
      <c r="W10" s="98">
        <f t="shared" ref="W10" si="66">IF(E10="Casaus",Q10+W9,W9)</f>
        <v>98110.238999999987</v>
      </c>
      <c r="X10" s="103">
        <f t="shared" ref="X10" si="67">IF(E10="Casaus",R10+X9,X9)</f>
        <v>2239.5003695</v>
      </c>
      <c r="Y10" s="102">
        <f t="shared" si="5"/>
        <v>0</v>
      </c>
      <c r="Z10" s="98">
        <f t="shared" si="6"/>
        <v>0</v>
      </c>
      <c r="AA10" s="104">
        <f t="shared" si="7"/>
        <v>0</v>
      </c>
      <c r="AB10" s="105">
        <f t="shared" ref="AB10" si="68">IF(P10&gt;0,P10+AB9,AB9)</f>
        <v>113880</v>
      </c>
      <c r="AC10" s="100">
        <f t="shared" ref="AC10" si="69">IF(Q10&gt;0,Q10+AC9,AC9)</f>
        <v>98110.238999999987</v>
      </c>
      <c r="AD10" s="106">
        <f t="shared" ref="AD10" si="70">IF(AND(E10="Casaus",Q10&gt;0),Q10+AD9,AD9)</f>
        <v>98110.238999999987</v>
      </c>
      <c r="AE10" s="107">
        <f t="shared" si="10"/>
        <v>0</v>
      </c>
    </row>
    <row r="11" spans="1:31" x14ac:dyDescent="0.25">
      <c r="A11" s="128" t="s">
        <v>192</v>
      </c>
      <c r="B11" s="129" t="s">
        <v>142</v>
      </c>
      <c r="C11" s="130">
        <v>20</v>
      </c>
      <c r="D11" s="131">
        <v>9942</v>
      </c>
      <c r="E11" s="130" t="s">
        <v>23</v>
      </c>
      <c r="F11" s="130" t="s">
        <v>23</v>
      </c>
      <c r="G11" s="132" t="s">
        <v>22</v>
      </c>
      <c r="H11" s="130" t="s">
        <v>123</v>
      </c>
      <c r="I11" s="130">
        <v>71</v>
      </c>
      <c r="J11" s="130">
        <v>55</v>
      </c>
      <c r="K11" s="130">
        <v>26</v>
      </c>
      <c r="L11" s="130"/>
      <c r="M11" s="130"/>
      <c r="N11" s="133">
        <v>29640</v>
      </c>
      <c r="O11" s="133">
        <v>14000</v>
      </c>
      <c r="P11" s="74">
        <f t="shared" ref="P11" si="71">N11-O11</f>
        <v>15640</v>
      </c>
      <c r="Q11" s="75">
        <f>IFERROR(P11*(LOOKUP(K11,Barème!A$3:A$72,Barème!D$3:D$72/1000)),0)</f>
        <v>13570.828</v>
      </c>
      <c r="R11" s="76">
        <f>IF(Q11&gt;0,(Q11*(INDEX(Barème!E$3:O$72,MATCH(K11,Barème!A$3:A$72,1),MATCH(E11,Barème!E$1:O$1,0)))/1000),0)</f>
        <v>302.76517267999998</v>
      </c>
      <c r="S11" s="99">
        <f t="shared" ref="S11" si="72">S10+P11</f>
        <v>129520</v>
      </c>
      <c r="T11" s="100">
        <f t="shared" ref="T11" si="73">T10+Q11</f>
        <v>111681.06699999998</v>
      </c>
      <c r="U11" s="101">
        <f t="shared" ref="U11" si="74">U10+R11</f>
        <v>2542.26554218</v>
      </c>
      <c r="V11" s="102">
        <f t="shared" ref="V11" si="75">IF(E11="Casaus",P11+V10,V10)</f>
        <v>129520</v>
      </c>
      <c r="W11" s="98">
        <f t="shared" ref="W11" si="76">IF(E11="Casaus",Q11+W10,W10)</f>
        <v>111681.06699999998</v>
      </c>
      <c r="X11" s="103">
        <f t="shared" ref="X11" si="77">IF(E11="Casaus",R11+X10,X10)</f>
        <v>2542.26554218</v>
      </c>
      <c r="Y11" s="102">
        <f t="shared" si="5"/>
        <v>0</v>
      </c>
      <c r="Z11" s="98">
        <f t="shared" si="6"/>
        <v>0</v>
      </c>
      <c r="AA11" s="104">
        <f t="shared" si="7"/>
        <v>0</v>
      </c>
      <c r="AB11" s="105">
        <f t="shared" ref="AB11" si="78">IF(P11&gt;0,P11+AB10,AB10)</f>
        <v>129520</v>
      </c>
      <c r="AC11" s="100">
        <f t="shared" ref="AC11" si="79">IF(Q11&gt;0,Q11+AC10,AC10)</f>
        <v>111681.06699999998</v>
      </c>
      <c r="AD11" s="106">
        <f t="shared" ref="AD11" si="80">IF(AND(E11="Casaus",Q11&gt;0),Q11+AD10,AD10)</f>
        <v>111681.06699999998</v>
      </c>
      <c r="AE11" s="107">
        <f t="shared" si="10"/>
        <v>0</v>
      </c>
    </row>
    <row r="12" spans="1:31" x14ac:dyDescent="0.25">
      <c r="A12" s="128">
        <v>41913</v>
      </c>
      <c r="B12" s="129" t="s">
        <v>142</v>
      </c>
      <c r="C12" s="130">
        <v>21</v>
      </c>
      <c r="D12" s="131">
        <v>9943</v>
      </c>
      <c r="E12" s="130" t="s">
        <v>23</v>
      </c>
      <c r="F12" s="130" t="s">
        <v>23</v>
      </c>
      <c r="G12" s="132" t="s">
        <v>22</v>
      </c>
      <c r="H12" s="130" t="s">
        <v>123</v>
      </c>
      <c r="I12" s="130">
        <v>71</v>
      </c>
      <c r="J12" s="130">
        <v>55</v>
      </c>
      <c r="K12" s="130">
        <v>34.200000000000003</v>
      </c>
      <c r="L12" s="130"/>
      <c r="M12" s="130"/>
      <c r="N12" s="133">
        <v>36540</v>
      </c>
      <c r="O12" s="133">
        <v>15000</v>
      </c>
      <c r="P12" s="74">
        <f t="shared" ref="P12" si="81">N12-O12</f>
        <v>21540</v>
      </c>
      <c r="Q12" s="75">
        <f>IFERROR(P12*(LOOKUP(K12,Barème!A$3:A$72,Barème!D$3:D$72/1000)),0)</f>
        <v>16380.093000000001</v>
      </c>
      <c r="R12" s="76">
        <f>IF(Q12&gt;0,(Q12*(INDEX(Barème!E$3:O$72,MATCH(K12,Barème!A$3:A$72,1),MATCH(E12,Barème!E$1:O$1,0)))/1000),0)</f>
        <v>527.43899460000011</v>
      </c>
      <c r="S12" s="99">
        <f t="shared" ref="S12" si="82">S11+P12</f>
        <v>151060</v>
      </c>
      <c r="T12" s="100">
        <f t="shared" ref="T12" si="83">T11+Q12</f>
        <v>128061.15999999997</v>
      </c>
      <c r="U12" s="101">
        <f t="shared" ref="U12" si="84">U11+R12</f>
        <v>3069.7045367800001</v>
      </c>
      <c r="V12" s="102">
        <f t="shared" ref="V12" si="85">IF(E12="Casaus",P12+V11,V11)</f>
        <v>151060</v>
      </c>
      <c r="W12" s="98">
        <f t="shared" ref="W12" si="86">IF(E12="Casaus",Q12+W11,W11)</f>
        <v>128061.15999999997</v>
      </c>
      <c r="X12" s="103">
        <f t="shared" ref="X12" si="87">IF(E12="Casaus",R12+X11,X11)</f>
        <v>3069.7045367800001</v>
      </c>
      <c r="Y12" s="102">
        <f t="shared" ref="Y12" si="88">IF(E12="SOMaSec",P12+Y11,Y11)</f>
        <v>0</v>
      </c>
      <c r="Z12" s="98">
        <f t="shared" ref="Z12" si="89">IF(E12="SOMaSec",Q12+Z11,Z11)</f>
        <v>0</v>
      </c>
      <c r="AA12" s="104">
        <f t="shared" ref="AA12" si="90">IF(E12="SOMaSec",R12+AA11,AA11)</f>
        <v>0</v>
      </c>
      <c r="AB12" s="105">
        <f t="shared" ref="AB12" si="91">IF(P12&gt;0,P12+AB11,AB11)</f>
        <v>151060</v>
      </c>
      <c r="AC12" s="100">
        <f t="shared" ref="AC12" si="92">IF(Q12&gt;0,Q12+AC11,AC11)</f>
        <v>128061.15999999997</v>
      </c>
      <c r="AD12" s="106">
        <f t="shared" ref="AD12" si="93">IF(AND(E12="Casaus",Q12&gt;0),Q12+AD11,AD11)</f>
        <v>128061.15999999997</v>
      </c>
      <c r="AE12" s="107">
        <f t="shared" ref="AE12" si="94">IF(AND(E12="SOMaSec",Q12&gt;0),Q12+AE11,AE11)</f>
        <v>0</v>
      </c>
    </row>
    <row r="13" spans="1:31" x14ac:dyDescent="0.25">
      <c r="A13" s="128">
        <v>41913</v>
      </c>
      <c r="B13" s="129" t="s">
        <v>142</v>
      </c>
      <c r="C13" s="130">
        <v>22</v>
      </c>
      <c r="D13" s="131">
        <v>9944</v>
      </c>
      <c r="E13" s="130" t="s">
        <v>23</v>
      </c>
      <c r="F13" s="130" t="s">
        <v>23</v>
      </c>
      <c r="G13" s="132" t="s">
        <v>22</v>
      </c>
      <c r="H13" s="130" t="s">
        <v>123</v>
      </c>
      <c r="I13" s="130">
        <v>71</v>
      </c>
      <c r="J13" s="130">
        <v>55</v>
      </c>
      <c r="K13" s="130">
        <v>33</v>
      </c>
      <c r="L13" s="130"/>
      <c r="M13" s="130"/>
      <c r="N13" s="133">
        <v>24340</v>
      </c>
      <c r="O13" s="133">
        <v>15000</v>
      </c>
      <c r="P13" s="74">
        <f t="shared" ref="P13" si="95">N13-O13</f>
        <v>9340</v>
      </c>
      <c r="Q13" s="75">
        <f>IFERROR(P13*(LOOKUP(K13,Barème!A$3:A$72,Barème!D$3:D$72/1000)),0)</f>
        <v>7283.3319999999994</v>
      </c>
      <c r="R13" s="76">
        <f>IF(Q13&gt;0,(Q13*(INDEX(Barème!E$3:O$72,MATCH(K13,Barème!A$3:A$72,1),MATCH(E13,Barème!E$1:O$1,0)))/1000),0)</f>
        <v>222.43295927999998</v>
      </c>
      <c r="S13" s="99">
        <f t="shared" ref="S13" si="96">S12+P13</f>
        <v>160400</v>
      </c>
      <c r="T13" s="100">
        <f t="shared" ref="T13" si="97">T12+Q13</f>
        <v>135344.49199999997</v>
      </c>
      <c r="U13" s="101">
        <f t="shared" ref="U13" si="98">U12+R13</f>
        <v>3292.1374960600001</v>
      </c>
      <c r="V13" s="102">
        <f t="shared" ref="V13" si="99">IF(E13="Casaus",P13+V12,V12)</f>
        <v>160400</v>
      </c>
      <c r="W13" s="98">
        <f t="shared" ref="W13" si="100">IF(E13="Casaus",Q13+W12,W12)</f>
        <v>135344.49199999997</v>
      </c>
      <c r="X13" s="103">
        <f t="shared" ref="X13" si="101">IF(E13="Casaus",R13+X12,X12)</f>
        <v>3292.1374960600001</v>
      </c>
      <c r="Y13" s="102">
        <f t="shared" ref="Y13" si="102">IF(E13="SOMaSec",P13+Y12,Y12)</f>
        <v>0</v>
      </c>
      <c r="Z13" s="98">
        <f t="shared" ref="Z13" si="103">IF(E13="SOMaSec",Q13+Z12,Z12)</f>
        <v>0</v>
      </c>
      <c r="AA13" s="104">
        <f t="shared" ref="AA13" si="104">IF(E13="SOMaSec",R13+AA12,AA12)</f>
        <v>0</v>
      </c>
      <c r="AB13" s="105">
        <f t="shared" ref="AB13" si="105">IF(P13&gt;0,P13+AB12,AB12)</f>
        <v>160400</v>
      </c>
      <c r="AC13" s="100">
        <f t="shared" ref="AC13" si="106">IF(Q13&gt;0,Q13+AC12,AC12)</f>
        <v>135344.49199999997</v>
      </c>
      <c r="AD13" s="106">
        <f t="shared" ref="AD13" si="107">IF(AND(E13="Casaus",Q13&gt;0),Q13+AD12,AD12)</f>
        <v>135344.49199999997</v>
      </c>
      <c r="AE13" s="107">
        <f t="shared" ref="AE13" si="108">IF(AND(E13="SOMaSec",Q13&gt;0),Q13+AE12,AE12)</f>
        <v>0</v>
      </c>
    </row>
    <row r="14" spans="1:31" x14ac:dyDescent="0.25">
      <c r="A14" s="208">
        <v>41914</v>
      </c>
      <c r="B14" s="209" t="s">
        <v>207</v>
      </c>
      <c r="C14" s="210">
        <v>16584</v>
      </c>
      <c r="D14" s="211">
        <v>24351</v>
      </c>
      <c r="E14" s="210" t="s">
        <v>23</v>
      </c>
      <c r="F14" s="210" t="s">
        <v>23</v>
      </c>
      <c r="G14" s="212" t="s">
        <v>22</v>
      </c>
      <c r="H14" s="210" t="s">
        <v>125</v>
      </c>
      <c r="I14" s="210">
        <v>59</v>
      </c>
      <c r="J14" s="210"/>
      <c r="K14" s="210">
        <v>29.7</v>
      </c>
      <c r="L14" s="210"/>
      <c r="M14" s="210"/>
      <c r="N14" s="213">
        <v>40880</v>
      </c>
      <c r="O14" s="213">
        <v>16880</v>
      </c>
      <c r="P14" s="74">
        <f t="shared" ref="P14" si="109">N14-O14</f>
        <v>24000</v>
      </c>
      <c r="Q14" s="75">
        <f>IFERROR(P14*(LOOKUP(K14,Barème!A$3:A$72,Barème!D$3:D$72/1000)),0)</f>
        <v>19644</v>
      </c>
      <c r="R14" s="76">
        <f>IF(Q14&gt;0,(Q14*(INDEX(Barème!E$3:O$72,MATCH(K14,Barème!A$3:A$72,1),MATCH(E14,Barème!E$1:O$1,0)))/1000),0)</f>
        <v>523.51260000000002</v>
      </c>
      <c r="S14" s="99">
        <f t="shared" ref="S14" si="110">S13+P14</f>
        <v>184400</v>
      </c>
      <c r="T14" s="100">
        <f t="shared" ref="T14" si="111">T13+Q14</f>
        <v>154988.49199999997</v>
      </c>
      <c r="U14" s="101">
        <f t="shared" ref="U14" si="112">U13+R14</f>
        <v>3815.6500960600001</v>
      </c>
      <c r="V14" s="102">
        <f t="shared" ref="V14" si="113">IF(E14="Casaus",P14+V13,V13)</f>
        <v>184400</v>
      </c>
      <c r="W14" s="98">
        <f t="shared" ref="W14" si="114">IF(E14="Casaus",Q14+W13,W13)</f>
        <v>154988.49199999997</v>
      </c>
      <c r="X14" s="103">
        <f t="shared" ref="X14" si="115">IF(E14="Casaus",R14+X13,X13)</f>
        <v>3815.6500960600001</v>
      </c>
      <c r="Y14" s="102">
        <f t="shared" ref="Y14" si="116">IF(E14="SOMaSec",P14+Y13,Y13)</f>
        <v>0</v>
      </c>
      <c r="Z14" s="98">
        <f t="shared" ref="Z14" si="117">IF(E14="SOMaSec",Q14+Z13,Z13)</f>
        <v>0</v>
      </c>
      <c r="AA14" s="104">
        <f t="shared" ref="AA14" si="118">IF(E14="SOMaSec",R14+AA13,AA13)</f>
        <v>0</v>
      </c>
      <c r="AB14" s="105">
        <f t="shared" ref="AB14" si="119">IF(P14&gt;0,P14+AB13,AB13)</f>
        <v>184400</v>
      </c>
      <c r="AC14" s="100">
        <f t="shared" ref="AC14" si="120">IF(Q14&gt;0,Q14+AC13,AC13)</f>
        <v>154988.49199999997</v>
      </c>
      <c r="AD14" s="106">
        <f t="shared" ref="AD14" si="121">IF(AND(E14="Casaus",Q14&gt;0),Q14+AD13,AD13)</f>
        <v>154988.49199999997</v>
      </c>
      <c r="AE14" s="107">
        <f t="shared" ref="AE14" si="122">IF(AND(E14="SOMaSec",Q14&gt;0),Q14+AE13,AE13)</f>
        <v>0</v>
      </c>
    </row>
    <row r="15" spans="1:31" x14ac:dyDescent="0.25">
      <c r="A15" s="128">
        <v>41915</v>
      </c>
      <c r="B15" s="129" t="s">
        <v>207</v>
      </c>
      <c r="C15" s="130">
        <v>16585</v>
      </c>
      <c r="D15" s="131">
        <v>24352</v>
      </c>
      <c r="E15" s="130" t="s">
        <v>23</v>
      </c>
      <c r="F15" s="130" t="s">
        <v>23</v>
      </c>
      <c r="G15" s="132" t="s">
        <v>22</v>
      </c>
      <c r="H15" s="130" t="s">
        <v>125</v>
      </c>
      <c r="I15" s="130">
        <v>59</v>
      </c>
      <c r="J15" s="130"/>
      <c r="K15" s="130">
        <v>28.3</v>
      </c>
      <c r="L15" s="130"/>
      <c r="M15" s="130"/>
      <c r="N15" s="133">
        <v>41720</v>
      </c>
      <c r="O15" s="133">
        <v>16100</v>
      </c>
      <c r="P15" s="74">
        <f t="shared" ref="P15" si="123">N15-O15</f>
        <v>25620</v>
      </c>
      <c r="Q15" s="75">
        <f>IFERROR(P15*(LOOKUP(K15,Barème!A$3:A$72,Barème!D$3:D$72/1000)),0)</f>
        <v>21442.659000000003</v>
      </c>
      <c r="R15" s="76">
        <f>IF(Q15&gt;0,(Q15*(INDEX(Barème!E$3:O$72,MATCH(K15,Barème!A$3:A$72,1),MATCH(E15,Barème!E$1:O$1,0)))/1000),0)</f>
        <v>536.49532818000012</v>
      </c>
      <c r="S15" s="99">
        <f t="shared" ref="S15" si="124">S14+P15</f>
        <v>210020</v>
      </c>
      <c r="T15" s="100">
        <f t="shared" ref="T15" si="125">T14+Q15</f>
        <v>176431.15099999998</v>
      </c>
      <c r="U15" s="101">
        <f t="shared" ref="U15" si="126">U14+R15</f>
        <v>4352.1454242400005</v>
      </c>
      <c r="V15" s="102">
        <f t="shared" ref="V15" si="127">IF(E15="Casaus",P15+V14,V14)</f>
        <v>210020</v>
      </c>
      <c r="W15" s="98">
        <f t="shared" ref="W15" si="128">IF(E15="Casaus",Q15+W14,W14)</f>
        <v>176431.15099999998</v>
      </c>
      <c r="X15" s="103">
        <f t="shared" ref="X15" si="129">IF(E15="Casaus",R15+X14,X14)</f>
        <v>4352.1454242400005</v>
      </c>
      <c r="Y15" s="102">
        <f t="shared" ref="Y15" si="130">IF(E15="SOMaSec",P15+Y14,Y14)</f>
        <v>0</v>
      </c>
      <c r="Z15" s="98">
        <f t="shared" ref="Z15" si="131">IF(E15="SOMaSec",Q15+Z14,Z14)</f>
        <v>0</v>
      </c>
      <c r="AA15" s="104">
        <f t="shared" ref="AA15" si="132">IF(E15="SOMaSec",R15+AA14,AA14)</f>
        <v>0</v>
      </c>
      <c r="AB15" s="105">
        <f t="shared" ref="AB15" si="133">IF(P15&gt;0,P15+AB14,AB14)</f>
        <v>210020</v>
      </c>
      <c r="AC15" s="100">
        <f t="shared" ref="AC15" si="134">IF(Q15&gt;0,Q15+AC14,AC14)</f>
        <v>176431.15099999998</v>
      </c>
      <c r="AD15" s="106">
        <f t="shared" ref="AD15" si="135">IF(AND(E15="Casaus",Q15&gt;0),Q15+AD14,AD14)</f>
        <v>176431.15099999998</v>
      </c>
      <c r="AE15" s="107">
        <f t="shared" ref="AE15" si="136">IF(AND(E15="SOMaSec",Q15&gt;0),Q15+AE14,AE14)</f>
        <v>0</v>
      </c>
    </row>
    <row r="16" spans="1:31" x14ac:dyDescent="0.25">
      <c r="A16" s="128">
        <v>41915</v>
      </c>
      <c r="B16" s="129" t="s">
        <v>207</v>
      </c>
      <c r="C16" s="130">
        <v>16586</v>
      </c>
      <c r="D16" s="131">
        <v>24353</v>
      </c>
      <c r="E16" s="130" t="s">
        <v>23</v>
      </c>
      <c r="F16" s="130" t="s">
        <v>23</v>
      </c>
      <c r="G16" s="132" t="s">
        <v>22</v>
      </c>
      <c r="H16" s="130" t="s">
        <v>125</v>
      </c>
      <c r="I16" s="130">
        <v>59</v>
      </c>
      <c r="J16" s="130"/>
      <c r="K16" s="130">
        <v>30.1</v>
      </c>
      <c r="L16" s="130"/>
      <c r="M16" s="130"/>
      <c r="N16" s="133">
        <v>36260</v>
      </c>
      <c r="O16" s="133">
        <v>14620</v>
      </c>
      <c r="P16" s="74">
        <f t="shared" ref="P16" si="137">N16-O16</f>
        <v>21640</v>
      </c>
      <c r="Q16" s="75">
        <f>IFERROR(P16*(LOOKUP(K16,Barème!A$3:A$72,Barème!D$3:D$72/1000)),0)</f>
        <v>17572.761999999999</v>
      </c>
      <c r="R16" s="76">
        <f>IF(Q16&gt;0,(Q16*(INDEX(Barème!E$3:O$72,MATCH(K16,Barème!A$3:A$72,1),MATCH(E16,Barème!E$1:O$1,0)))/1000),0)</f>
        <v>477.62767115999998</v>
      </c>
      <c r="S16" s="99">
        <f t="shared" ref="S16" si="138">S15+P16</f>
        <v>231660</v>
      </c>
      <c r="T16" s="100">
        <f t="shared" ref="T16" si="139">T15+Q16</f>
        <v>194003.91299999997</v>
      </c>
      <c r="U16" s="101">
        <f t="shared" ref="U16" si="140">U15+R16</f>
        <v>4829.7730954000008</v>
      </c>
      <c r="V16" s="102">
        <f t="shared" ref="V16" si="141">IF(E16="Casaus",P16+V15,V15)</f>
        <v>231660</v>
      </c>
      <c r="W16" s="98">
        <f t="shared" ref="W16" si="142">IF(E16="Casaus",Q16+W15,W15)</f>
        <v>194003.91299999997</v>
      </c>
      <c r="X16" s="103">
        <f t="shared" ref="X16" si="143">IF(E16="Casaus",R16+X15,X15)</f>
        <v>4829.7730954000008</v>
      </c>
      <c r="Y16" s="102">
        <f t="shared" ref="Y16" si="144">IF(E16="SOMaSec",P16+Y15,Y15)</f>
        <v>0</v>
      </c>
      <c r="Z16" s="98">
        <f t="shared" ref="Z16" si="145">IF(E16="SOMaSec",Q16+Z15,Z15)</f>
        <v>0</v>
      </c>
      <c r="AA16" s="104">
        <f t="shared" ref="AA16" si="146">IF(E16="SOMaSec",R16+AA15,AA15)</f>
        <v>0</v>
      </c>
      <c r="AB16" s="105">
        <f t="shared" ref="AB16" si="147">IF(P16&gt;0,P16+AB15,AB15)</f>
        <v>231660</v>
      </c>
      <c r="AC16" s="100">
        <f t="shared" ref="AC16" si="148">IF(Q16&gt;0,Q16+AC15,AC15)</f>
        <v>194003.91299999997</v>
      </c>
      <c r="AD16" s="106">
        <f t="shared" ref="AD16" si="149">IF(AND(E16="Casaus",Q16&gt;0),Q16+AD15,AD15)</f>
        <v>194003.91299999997</v>
      </c>
      <c r="AE16" s="107">
        <f t="shared" ref="AE16" si="150">IF(AND(E16="SOMaSec",Q16&gt;0),Q16+AE15,AE15)</f>
        <v>0</v>
      </c>
    </row>
    <row r="17" spans="1:31" x14ac:dyDescent="0.25">
      <c r="A17" s="128">
        <v>41915</v>
      </c>
      <c r="B17" s="129" t="s">
        <v>207</v>
      </c>
      <c r="C17" s="130">
        <v>16587</v>
      </c>
      <c r="D17" s="131">
        <v>24354</v>
      </c>
      <c r="E17" s="130" t="s">
        <v>23</v>
      </c>
      <c r="F17" s="130" t="s">
        <v>23</v>
      </c>
      <c r="G17" s="132" t="s">
        <v>22</v>
      </c>
      <c r="H17" s="130" t="s">
        <v>125</v>
      </c>
      <c r="I17" s="130">
        <v>59</v>
      </c>
      <c r="J17" s="130"/>
      <c r="K17" s="130">
        <v>30.6</v>
      </c>
      <c r="L17" s="130"/>
      <c r="M17" s="130"/>
      <c r="N17" s="133">
        <v>40600</v>
      </c>
      <c r="O17" s="133">
        <v>16200</v>
      </c>
      <c r="P17" s="74">
        <f t="shared" ref="P17" si="151">N17-O17</f>
        <v>24400</v>
      </c>
      <c r="Q17" s="75">
        <f>IFERROR(P17*(LOOKUP(K17,Barème!A$3:A$72,Barème!D$3:D$72/1000)),0)</f>
        <v>19656.64</v>
      </c>
      <c r="R17" s="76">
        <f>IF(Q17&gt;0,(Q17*(INDEX(Barème!E$3:O$72,MATCH(K17,Barème!A$3:A$72,1),MATCH(E17,Barème!E$1:O$1,0)))/1000),0)</f>
        <v>544.88206079999998</v>
      </c>
      <c r="S17" s="99">
        <f t="shared" ref="S17" si="152">S16+P17</f>
        <v>256060</v>
      </c>
      <c r="T17" s="100">
        <f t="shared" ref="T17" si="153">T16+Q17</f>
        <v>213660.55299999996</v>
      </c>
      <c r="U17" s="101">
        <f t="shared" ref="U17" si="154">U16+R17</f>
        <v>5374.6551562000004</v>
      </c>
      <c r="V17" s="102">
        <f t="shared" ref="V17" si="155">IF(E17="Casaus",P17+V16,V16)</f>
        <v>256060</v>
      </c>
      <c r="W17" s="98">
        <f t="shared" ref="W17" si="156">IF(E17="Casaus",Q17+W16,W16)</f>
        <v>213660.55299999996</v>
      </c>
      <c r="X17" s="103">
        <f t="shared" ref="X17" si="157">IF(E17="Casaus",R17+X16,X16)</f>
        <v>5374.6551562000004</v>
      </c>
      <c r="Y17" s="102">
        <f t="shared" ref="Y17" si="158">IF(E17="SOMaSec",P17+Y16,Y16)</f>
        <v>0</v>
      </c>
      <c r="Z17" s="98">
        <f t="shared" ref="Z17" si="159">IF(E17="SOMaSec",Q17+Z16,Z16)</f>
        <v>0</v>
      </c>
      <c r="AA17" s="104">
        <f t="shared" ref="AA17" si="160">IF(E17="SOMaSec",R17+AA16,AA16)</f>
        <v>0</v>
      </c>
      <c r="AB17" s="105">
        <f t="shared" ref="AB17" si="161">IF(P17&gt;0,P17+AB16,AB16)</f>
        <v>256060</v>
      </c>
      <c r="AC17" s="100">
        <f t="shared" ref="AC17" si="162">IF(Q17&gt;0,Q17+AC16,AC16)</f>
        <v>213660.55299999996</v>
      </c>
      <c r="AD17" s="106">
        <f t="shared" ref="AD17" si="163">IF(AND(E17="Casaus",Q17&gt;0),Q17+AD16,AD16)</f>
        <v>213660.55299999996</v>
      </c>
      <c r="AE17" s="107">
        <f t="shared" ref="AE17" si="164">IF(AND(E17="SOMaSec",Q17&gt;0),Q17+AE16,AE16)</f>
        <v>0</v>
      </c>
    </row>
    <row r="18" spans="1:31" x14ac:dyDescent="0.25">
      <c r="A18" s="128">
        <v>41915</v>
      </c>
      <c r="B18" s="129" t="s">
        <v>207</v>
      </c>
      <c r="C18" s="130">
        <v>16588</v>
      </c>
      <c r="D18" s="131">
        <v>24355</v>
      </c>
      <c r="E18" s="130" t="s">
        <v>23</v>
      </c>
      <c r="F18" s="130" t="s">
        <v>23</v>
      </c>
      <c r="G18" s="132" t="s">
        <v>22</v>
      </c>
      <c r="H18" s="130" t="s">
        <v>125</v>
      </c>
      <c r="I18" s="130">
        <v>59</v>
      </c>
      <c r="J18" s="130"/>
      <c r="K18" s="130">
        <v>28.8</v>
      </c>
      <c r="L18" s="130"/>
      <c r="M18" s="130"/>
      <c r="N18" s="133">
        <v>35880</v>
      </c>
      <c r="O18" s="133">
        <v>14600</v>
      </c>
      <c r="P18" s="74">
        <f t="shared" ref="P18" si="165">N18-O18</f>
        <v>21280</v>
      </c>
      <c r="Q18" s="75">
        <f>IFERROR(P18*(LOOKUP(K18,Barème!A$3:A$72,Barème!D$3:D$72/1000)),0)</f>
        <v>17679.423999999999</v>
      </c>
      <c r="R18" s="76">
        <f>IF(Q18&gt;0,(Q18*(INDEX(Barème!E$3:O$72,MATCH(K18,Barème!A$3:A$72,1),MATCH(E18,Barème!E$1:O$1,0)))/1000),0)</f>
        <v>451.88607743999995</v>
      </c>
      <c r="S18" s="99">
        <f t="shared" ref="S18" si="166">S17+P18</f>
        <v>277340</v>
      </c>
      <c r="T18" s="100">
        <f t="shared" ref="T18" si="167">T17+Q18</f>
        <v>231339.97699999996</v>
      </c>
      <c r="U18" s="101">
        <f t="shared" ref="U18" si="168">U17+R18</f>
        <v>5826.5412336400004</v>
      </c>
      <c r="V18" s="102">
        <f t="shared" ref="V18" si="169">IF(E18="Casaus",P18+V17,V17)</f>
        <v>277340</v>
      </c>
      <c r="W18" s="98">
        <f t="shared" ref="W18" si="170">IF(E18="Casaus",Q18+W17,W17)</f>
        <v>231339.97699999996</v>
      </c>
      <c r="X18" s="103">
        <f t="shared" ref="X18" si="171">IF(E18="Casaus",R18+X17,X17)</f>
        <v>5826.5412336400004</v>
      </c>
      <c r="Y18" s="102">
        <f t="shared" ref="Y18" si="172">IF(E18="SOMaSec",P18+Y17,Y17)</f>
        <v>0</v>
      </c>
      <c r="Z18" s="98">
        <f t="shared" ref="Z18" si="173">IF(E18="SOMaSec",Q18+Z17,Z17)</f>
        <v>0</v>
      </c>
      <c r="AA18" s="104">
        <f t="shared" ref="AA18" si="174">IF(E18="SOMaSec",R18+AA17,AA17)</f>
        <v>0</v>
      </c>
      <c r="AB18" s="105">
        <f t="shared" ref="AB18" si="175">IF(P18&gt;0,P18+AB17,AB17)</f>
        <v>277340</v>
      </c>
      <c r="AC18" s="100">
        <f t="shared" ref="AC18" si="176">IF(Q18&gt;0,Q18+AC17,AC17)</f>
        <v>231339.97699999996</v>
      </c>
      <c r="AD18" s="106">
        <f t="shared" ref="AD18" si="177">IF(AND(E18="Casaus",Q18&gt;0),Q18+AD17,AD17)</f>
        <v>231339.97699999996</v>
      </c>
      <c r="AE18" s="107">
        <f t="shared" ref="AE18" si="178">IF(AND(E18="SOMaSec",Q18&gt;0),Q18+AE17,AE17)</f>
        <v>0</v>
      </c>
    </row>
    <row r="19" spans="1:31" x14ac:dyDescent="0.25">
      <c r="A19" s="128">
        <v>41915</v>
      </c>
      <c r="B19" s="129" t="s">
        <v>207</v>
      </c>
      <c r="C19" s="130">
        <v>16589</v>
      </c>
      <c r="D19" s="131">
        <v>24356</v>
      </c>
      <c r="E19" s="130" t="s">
        <v>23</v>
      </c>
      <c r="F19" s="130" t="s">
        <v>23</v>
      </c>
      <c r="G19" s="132" t="s">
        <v>22</v>
      </c>
      <c r="H19" s="130" t="s">
        <v>125</v>
      </c>
      <c r="I19" s="130">
        <v>59</v>
      </c>
      <c r="J19" s="130"/>
      <c r="K19" s="130">
        <v>30.6</v>
      </c>
      <c r="L19" s="130"/>
      <c r="M19" s="130"/>
      <c r="N19" s="133">
        <v>40340</v>
      </c>
      <c r="O19" s="133">
        <v>16180</v>
      </c>
      <c r="P19" s="74">
        <f t="shared" ref="P19" si="179">N19-O19</f>
        <v>24160</v>
      </c>
      <c r="Q19" s="75">
        <f>IFERROR(P19*(LOOKUP(K19,Barème!A$3:A$72,Barème!D$3:D$72/1000)),0)</f>
        <v>19463.295999999998</v>
      </c>
      <c r="R19" s="76">
        <f>IF(Q19&gt;0,(Q19*(INDEX(Barème!E$3:O$72,MATCH(K19,Barème!A$3:A$72,1),MATCH(E19,Barème!E$1:O$1,0)))/1000),0)</f>
        <v>539.52256511999997</v>
      </c>
      <c r="S19" s="99">
        <f t="shared" ref="S19" si="180">S18+P19</f>
        <v>301500</v>
      </c>
      <c r="T19" s="100">
        <f t="shared" ref="T19" si="181">T18+Q19</f>
        <v>250803.27299999996</v>
      </c>
      <c r="U19" s="101">
        <f t="shared" ref="U19" si="182">U18+R19</f>
        <v>6366.0637987600003</v>
      </c>
      <c r="V19" s="102">
        <f t="shared" ref="V19" si="183">IF(E19="Casaus",P19+V18,V18)</f>
        <v>301500</v>
      </c>
      <c r="W19" s="98">
        <f t="shared" ref="W19" si="184">IF(E19="Casaus",Q19+W18,W18)</f>
        <v>250803.27299999996</v>
      </c>
      <c r="X19" s="103">
        <f t="shared" ref="X19" si="185">IF(E19="Casaus",R19+X18,X18)</f>
        <v>6366.0637987600003</v>
      </c>
      <c r="Y19" s="102">
        <f t="shared" ref="Y19" si="186">IF(E19="SOMaSec",P19+Y18,Y18)</f>
        <v>0</v>
      </c>
      <c r="Z19" s="98">
        <f t="shared" ref="Z19" si="187">IF(E19="SOMaSec",Q19+Z18,Z18)</f>
        <v>0</v>
      </c>
      <c r="AA19" s="104">
        <f t="shared" ref="AA19" si="188">IF(E19="SOMaSec",R19+AA18,AA18)</f>
        <v>0</v>
      </c>
      <c r="AB19" s="105">
        <f t="shared" ref="AB19" si="189">IF(P19&gt;0,P19+AB18,AB18)</f>
        <v>301500</v>
      </c>
      <c r="AC19" s="100">
        <f t="shared" ref="AC19" si="190">IF(Q19&gt;0,Q19+AC18,AC18)</f>
        <v>250803.27299999996</v>
      </c>
      <c r="AD19" s="106">
        <f t="shared" ref="AD19" si="191">IF(AND(E19="Casaus",Q19&gt;0),Q19+AD18,AD18)</f>
        <v>250803.27299999996</v>
      </c>
      <c r="AE19" s="107">
        <f t="shared" ref="AE19" si="192">IF(AND(E19="SOMaSec",Q19&gt;0),Q19+AE18,AE18)</f>
        <v>0</v>
      </c>
    </row>
    <row r="20" spans="1:31" x14ac:dyDescent="0.25">
      <c r="A20" s="128">
        <v>41915</v>
      </c>
      <c r="B20" s="129" t="s">
        <v>207</v>
      </c>
      <c r="C20" s="130">
        <v>16590</v>
      </c>
      <c r="D20" s="131">
        <v>24357</v>
      </c>
      <c r="E20" s="130" t="s">
        <v>23</v>
      </c>
      <c r="F20" s="130" t="s">
        <v>23</v>
      </c>
      <c r="G20" s="132" t="s">
        <v>22</v>
      </c>
      <c r="H20" s="130" t="s">
        <v>125</v>
      </c>
      <c r="I20" s="130">
        <v>59</v>
      </c>
      <c r="J20" s="130"/>
      <c r="K20" s="130">
        <v>31</v>
      </c>
      <c r="L20" s="130"/>
      <c r="M20" s="130"/>
      <c r="N20" s="133">
        <v>35800</v>
      </c>
      <c r="O20" s="133">
        <v>14580</v>
      </c>
      <c r="P20" s="74">
        <f t="shared" ref="P20" si="193">N20-O20</f>
        <v>21220</v>
      </c>
      <c r="Q20" s="75">
        <f>IFERROR(P20*(LOOKUP(K20,Barème!A$3:A$72,Barème!D$3:D$72/1000)),0)</f>
        <v>17094.831999999999</v>
      </c>
      <c r="R20" s="76">
        <f>IF(Q20&gt;0,(Q20*(INDEX(Barème!E$3:O$72,MATCH(K20,Barème!A$3:A$72,1),MATCH(E20,Barème!E$1:O$1,0)))/1000),0)</f>
        <v>473.86874303999991</v>
      </c>
      <c r="S20" s="99">
        <f t="shared" ref="S20" si="194">S19+P20</f>
        <v>322720</v>
      </c>
      <c r="T20" s="100">
        <f t="shared" ref="T20" si="195">T19+Q20</f>
        <v>267898.10499999998</v>
      </c>
      <c r="U20" s="101">
        <f t="shared" ref="U20" si="196">U19+R20</f>
        <v>6839.9325417999999</v>
      </c>
      <c r="V20" s="102">
        <f t="shared" ref="V20" si="197">IF(E20="Casaus",P20+V19,V19)</f>
        <v>322720</v>
      </c>
      <c r="W20" s="98">
        <f t="shared" ref="W20" si="198">IF(E20="Casaus",Q20+W19,W19)</f>
        <v>267898.10499999998</v>
      </c>
      <c r="X20" s="103">
        <f t="shared" ref="X20" si="199">IF(E20="Casaus",R20+X19,X19)</f>
        <v>6839.9325417999999</v>
      </c>
      <c r="Y20" s="102">
        <f t="shared" ref="Y20" si="200">IF(E20="SOMaSec",P20+Y19,Y19)</f>
        <v>0</v>
      </c>
      <c r="Z20" s="98">
        <f t="shared" ref="Z20" si="201">IF(E20="SOMaSec",Q20+Z19,Z19)</f>
        <v>0</v>
      </c>
      <c r="AA20" s="104">
        <f t="shared" ref="AA20" si="202">IF(E20="SOMaSec",R20+AA19,AA19)</f>
        <v>0</v>
      </c>
      <c r="AB20" s="105">
        <f t="shared" ref="AB20" si="203">IF(P20&gt;0,P20+AB19,AB19)</f>
        <v>322720</v>
      </c>
      <c r="AC20" s="100">
        <f t="shared" ref="AC20" si="204">IF(Q20&gt;0,Q20+AC19,AC19)</f>
        <v>267898.10499999998</v>
      </c>
      <c r="AD20" s="106">
        <f t="shared" ref="AD20" si="205">IF(AND(E20="Casaus",Q20&gt;0),Q20+AD19,AD19)</f>
        <v>267898.10499999998</v>
      </c>
      <c r="AE20" s="107">
        <f t="shared" ref="AE20" si="206">IF(AND(E20="SOMaSec",Q20&gt;0),Q20+AE19,AE19)</f>
        <v>0</v>
      </c>
    </row>
    <row r="21" spans="1:31" x14ac:dyDescent="0.25">
      <c r="A21" s="128">
        <v>41916</v>
      </c>
      <c r="B21" s="129" t="s">
        <v>207</v>
      </c>
      <c r="C21" s="130">
        <v>31</v>
      </c>
      <c r="D21" s="131"/>
      <c r="E21" s="130" t="s">
        <v>76</v>
      </c>
      <c r="F21" s="130" t="s">
        <v>128</v>
      </c>
      <c r="G21" s="132" t="s">
        <v>22</v>
      </c>
      <c r="H21" s="130" t="s">
        <v>124</v>
      </c>
      <c r="I21" s="130" t="s">
        <v>77</v>
      </c>
      <c r="J21" s="130"/>
      <c r="K21" s="130">
        <v>26.8</v>
      </c>
      <c r="L21" s="130"/>
      <c r="M21" s="130"/>
      <c r="N21" s="133">
        <v>27700</v>
      </c>
      <c r="O21" s="133">
        <v>14980</v>
      </c>
      <c r="P21" s="74">
        <f t="shared" ref="P21" si="207">N21-O21</f>
        <v>12720</v>
      </c>
      <c r="Q21" s="75">
        <f>IFERROR(P21*(LOOKUP(K21,Barème!A$3:A$72,Barème!D$3:D$72/1000)),0)</f>
        <v>10880.688</v>
      </c>
      <c r="R21" s="76">
        <f>IF(Q21&gt;0,(Q21*(INDEX(Barème!E$3:O$72,MATCH(K21,Barème!A$3:A$72,1),MATCH(E21,Barème!E$1:O$1,0)))/1000),0)</f>
        <v>239.48394288000003</v>
      </c>
      <c r="S21" s="99">
        <f t="shared" ref="S21" si="208">S20+P21</f>
        <v>335440</v>
      </c>
      <c r="T21" s="100">
        <f t="shared" ref="T21" si="209">T20+Q21</f>
        <v>278778.79300000001</v>
      </c>
      <c r="U21" s="101">
        <f t="shared" ref="U21" si="210">U20+R21</f>
        <v>7079.4164846799995</v>
      </c>
      <c r="V21" s="102">
        <f t="shared" ref="V21" si="211">IF(E21="Casaus",P21+V20,V20)</f>
        <v>322720</v>
      </c>
      <c r="W21" s="98">
        <f t="shared" ref="W21" si="212">IF(E21="Casaus",Q21+W20,W20)</f>
        <v>267898.10499999998</v>
      </c>
      <c r="X21" s="103">
        <f t="shared" ref="X21" si="213">IF(E21="Casaus",R21+X20,X20)</f>
        <v>6839.9325417999999</v>
      </c>
      <c r="Y21" s="102">
        <f t="shared" ref="Y21" si="214">IF(E21="SOMaSec",P21+Y20,Y20)</f>
        <v>0</v>
      </c>
      <c r="Z21" s="98">
        <f t="shared" ref="Z21" si="215">IF(E21="SOMaSec",Q21+Z20,Z20)</f>
        <v>0</v>
      </c>
      <c r="AA21" s="104">
        <f t="shared" ref="AA21" si="216">IF(E21="SOMaSec",R21+AA20,AA20)</f>
        <v>0</v>
      </c>
      <c r="AB21" s="105">
        <f t="shared" ref="AB21" si="217">IF(P21&gt;0,P21+AB20,AB20)</f>
        <v>335440</v>
      </c>
      <c r="AC21" s="100">
        <f t="shared" ref="AC21" si="218">IF(Q21&gt;0,Q21+AC20,AC20)</f>
        <v>278778.79300000001</v>
      </c>
      <c r="AD21" s="106">
        <f t="shared" ref="AD21" si="219">IF(AND(E21="Casaus",Q21&gt;0),Q21+AD20,AD20)</f>
        <v>267898.10499999998</v>
      </c>
      <c r="AE21" s="107">
        <f t="shared" ref="AE21" si="220">IF(AND(E21="SOMaSec",Q21&gt;0),Q21+AE20,AE20)</f>
        <v>0</v>
      </c>
    </row>
    <row r="22" spans="1:31" x14ac:dyDescent="0.25">
      <c r="A22" s="128">
        <v>41916</v>
      </c>
      <c r="B22" s="129" t="s">
        <v>207</v>
      </c>
      <c r="C22" s="130">
        <v>32</v>
      </c>
      <c r="D22" s="131"/>
      <c r="E22" s="130" t="s">
        <v>76</v>
      </c>
      <c r="F22" s="130" t="s">
        <v>128</v>
      </c>
      <c r="G22" s="132" t="s">
        <v>22</v>
      </c>
      <c r="H22" s="130" t="s">
        <v>124</v>
      </c>
      <c r="I22" s="130" t="s">
        <v>77</v>
      </c>
      <c r="J22" s="130"/>
      <c r="K22" s="130">
        <v>28.3</v>
      </c>
      <c r="L22" s="130"/>
      <c r="M22" s="130"/>
      <c r="N22" s="133">
        <v>27860</v>
      </c>
      <c r="O22" s="133">
        <v>14920</v>
      </c>
      <c r="P22" s="74">
        <f t="shared" ref="P22" si="221">N22-O22</f>
        <v>12940</v>
      </c>
      <c r="Q22" s="75">
        <f>IFERROR(P22*(LOOKUP(K22,Barème!A$3:A$72,Barème!D$3:D$72/1000)),0)</f>
        <v>10830.133000000002</v>
      </c>
      <c r="R22" s="76">
        <f>IF(Q22&gt;0,(Q22*(INDEX(Barème!E$3:O$72,MATCH(K22,Barème!A$3:A$72,1),MATCH(E22,Barème!E$1:O$1,0)))/1000),0)</f>
        <v>255.04963215000004</v>
      </c>
      <c r="S22" s="99">
        <f t="shared" ref="S22" si="222">S21+P22</f>
        <v>348380</v>
      </c>
      <c r="T22" s="100">
        <f t="shared" ref="T22" si="223">T21+Q22</f>
        <v>289608.92599999998</v>
      </c>
      <c r="U22" s="101">
        <f t="shared" ref="U22" si="224">U21+R22</f>
        <v>7334.4661168299999</v>
      </c>
      <c r="V22" s="102">
        <f t="shared" ref="V22" si="225">IF(E22="Casaus",P22+V21,V21)</f>
        <v>322720</v>
      </c>
      <c r="W22" s="98">
        <f t="shared" ref="W22" si="226">IF(E22="Casaus",Q22+W21,W21)</f>
        <v>267898.10499999998</v>
      </c>
      <c r="X22" s="103">
        <f t="shared" ref="X22" si="227">IF(E22="Casaus",R22+X21,X21)</f>
        <v>6839.9325417999999</v>
      </c>
      <c r="Y22" s="102">
        <f t="shared" ref="Y22" si="228">IF(E22="SOMaSec",P22+Y21,Y21)</f>
        <v>0</v>
      </c>
      <c r="Z22" s="98">
        <f t="shared" ref="Z22" si="229">IF(E22="SOMaSec",Q22+Z21,Z21)</f>
        <v>0</v>
      </c>
      <c r="AA22" s="104">
        <f t="shared" ref="AA22" si="230">IF(E22="SOMaSec",R22+AA21,AA21)</f>
        <v>0</v>
      </c>
      <c r="AB22" s="105">
        <f t="shared" ref="AB22" si="231">IF(P22&gt;0,P22+AB21,AB21)</f>
        <v>348380</v>
      </c>
      <c r="AC22" s="100">
        <f t="shared" ref="AC22" si="232">IF(Q22&gt;0,Q22+AC21,AC21)</f>
        <v>289608.92599999998</v>
      </c>
      <c r="AD22" s="106">
        <f t="shared" ref="AD22" si="233">IF(AND(E22="Casaus",Q22&gt;0),Q22+AD21,AD21)</f>
        <v>267898.10499999998</v>
      </c>
      <c r="AE22" s="107">
        <f t="shared" ref="AE22" si="234">IF(AND(E22="SOMaSec",Q22&gt;0),Q22+AE21,AE21)</f>
        <v>0</v>
      </c>
    </row>
    <row r="23" spans="1:31" x14ac:dyDescent="0.25">
      <c r="A23" s="128">
        <v>41916</v>
      </c>
      <c r="B23" s="129" t="s">
        <v>207</v>
      </c>
      <c r="C23" s="130">
        <v>33</v>
      </c>
      <c r="D23" s="131"/>
      <c r="E23" s="130" t="s">
        <v>76</v>
      </c>
      <c r="F23" s="130" t="s">
        <v>128</v>
      </c>
      <c r="G23" s="132" t="s">
        <v>22</v>
      </c>
      <c r="H23" s="130" t="s">
        <v>124</v>
      </c>
      <c r="I23" s="130" t="s">
        <v>77</v>
      </c>
      <c r="J23" s="130"/>
      <c r="K23" s="130">
        <v>26.1</v>
      </c>
      <c r="L23" s="130"/>
      <c r="M23" s="130"/>
      <c r="N23" s="133">
        <v>25760</v>
      </c>
      <c r="O23" s="133">
        <v>13340</v>
      </c>
      <c r="P23" s="74">
        <f t="shared" ref="P23" si="235">N23-O23</f>
        <v>12420</v>
      </c>
      <c r="Q23" s="75">
        <f>IFERROR(P23*(LOOKUP(K23,Barème!A$3:A$72,Barème!D$3:D$72/1000)),0)</f>
        <v>10700.450999999999</v>
      </c>
      <c r="R23" s="76">
        <f>IF(Q23&gt;0,(Q23*(INDEX(Barème!E$3:O$72,MATCH(K23,Barème!A$3:A$72,1),MATCH(E23,Barème!E$1:O$1,0)))/1000),0)</f>
        <v>230.0596965</v>
      </c>
      <c r="S23" s="99">
        <f t="shared" ref="S23" si="236">S22+P23</f>
        <v>360800</v>
      </c>
      <c r="T23" s="100">
        <f t="shared" ref="T23" si="237">T22+Q23</f>
        <v>300309.37699999998</v>
      </c>
      <c r="U23" s="101">
        <f t="shared" ref="U23" si="238">U22+R23</f>
        <v>7564.5258133300003</v>
      </c>
      <c r="V23" s="102">
        <f t="shared" ref="V23" si="239">IF(E23="Casaus",P23+V22,V22)</f>
        <v>322720</v>
      </c>
      <c r="W23" s="98">
        <f t="shared" ref="W23" si="240">IF(E23="Casaus",Q23+W22,W22)</f>
        <v>267898.10499999998</v>
      </c>
      <c r="X23" s="103">
        <f t="shared" ref="X23" si="241">IF(E23="Casaus",R23+X22,X22)</f>
        <v>6839.9325417999999</v>
      </c>
      <c r="Y23" s="102">
        <f t="shared" ref="Y23" si="242">IF(E23="SOMaSec",P23+Y22,Y22)</f>
        <v>0</v>
      </c>
      <c r="Z23" s="98">
        <f t="shared" ref="Z23" si="243">IF(E23="SOMaSec",Q23+Z22,Z22)</f>
        <v>0</v>
      </c>
      <c r="AA23" s="104">
        <f t="shared" ref="AA23" si="244">IF(E23="SOMaSec",R23+AA22,AA22)</f>
        <v>0</v>
      </c>
      <c r="AB23" s="105">
        <f t="shared" ref="AB23" si="245">IF(P23&gt;0,P23+AB22,AB22)</f>
        <v>360800</v>
      </c>
      <c r="AC23" s="100">
        <f t="shared" ref="AC23" si="246">IF(Q23&gt;0,Q23+AC22,AC22)</f>
        <v>300309.37699999998</v>
      </c>
      <c r="AD23" s="106">
        <f t="shared" ref="AD23" si="247">IF(AND(E23="Casaus",Q23&gt;0),Q23+AD22,AD22)</f>
        <v>267898.10499999998</v>
      </c>
      <c r="AE23" s="107">
        <f t="shared" ref="AE23" si="248">IF(AND(E23="SOMaSec",Q23&gt;0),Q23+AE22,AE22)</f>
        <v>0</v>
      </c>
    </row>
    <row r="24" spans="1:31" x14ac:dyDescent="0.25">
      <c r="A24" s="128">
        <v>41916</v>
      </c>
      <c r="B24" s="129" t="s">
        <v>207</v>
      </c>
      <c r="C24" s="130">
        <v>34</v>
      </c>
      <c r="D24" s="131"/>
      <c r="E24" s="130" t="s">
        <v>76</v>
      </c>
      <c r="F24" s="130" t="s">
        <v>128</v>
      </c>
      <c r="G24" s="132" t="s">
        <v>22</v>
      </c>
      <c r="H24" s="130" t="s">
        <v>124</v>
      </c>
      <c r="I24" s="130" t="s">
        <v>77</v>
      </c>
      <c r="J24" s="130"/>
      <c r="K24" s="130">
        <v>27.2</v>
      </c>
      <c r="L24" s="130"/>
      <c r="M24" s="130"/>
      <c r="N24" s="133">
        <v>28320</v>
      </c>
      <c r="O24" s="133">
        <v>14900</v>
      </c>
      <c r="P24" s="74">
        <f t="shared" ref="P24" si="249">N24-O24</f>
        <v>13420</v>
      </c>
      <c r="Q24" s="75">
        <f>IFERROR(P24*(LOOKUP(K24,Barème!A$3:A$72,Barème!D$3:D$72/1000)),0)</f>
        <v>11396.934999999999</v>
      </c>
      <c r="R24" s="76">
        <f>IF(Q24&gt;0,(Q24*(INDEX(Barème!E$3:O$72,MATCH(K24,Barème!A$3:A$72,1),MATCH(E24,Barème!E$1:O$1,0)))/1000),0)</f>
        <v>256.77294555000003</v>
      </c>
      <c r="S24" s="99">
        <f t="shared" ref="S24" si="250">S23+P24</f>
        <v>374220</v>
      </c>
      <c r="T24" s="100">
        <f t="shared" ref="T24" si="251">T23+Q24</f>
        <v>311706.31199999998</v>
      </c>
      <c r="U24" s="101">
        <f t="shared" ref="U24" si="252">U23+R24</f>
        <v>7821.2987588800006</v>
      </c>
      <c r="V24" s="102">
        <f t="shared" ref="V24" si="253">IF(E24="Casaus",P24+V23,V23)</f>
        <v>322720</v>
      </c>
      <c r="W24" s="98">
        <f t="shared" ref="W24" si="254">IF(E24="Casaus",Q24+W23,W23)</f>
        <v>267898.10499999998</v>
      </c>
      <c r="X24" s="103">
        <f t="shared" ref="X24" si="255">IF(E24="Casaus",R24+X23,X23)</f>
        <v>6839.9325417999999</v>
      </c>
      <c r="Y24" s="102">
        <f t="shared" ref="Y24" si="256">IF(E24="SOMaSec",P24+Y23,Y23)</f>
        <v>0</v>
      </c>
      <c r="Z24" s="98">
        <f t="shared" ref="Z24" si="257">IF(E24="SOMaSec",Q24+Z23,Z23)</f>
        <v>0</v>
      </c>
      <c r="AA24" s="104">
        <f t="shared" ref="AA24" si="258">IF(E24="SOMaSec",R24+AA23,AA23)</f>
        <v>0</v>
      </c>
      <c r="AB24" s="105">
        <f t="shared" ref="AB24" si="259">IF(P24&gt;0,P24+AB23,AB23)</f>
        <v>374220</v>
      </c>
      <c r="AC24" s="100">
        <f t="shared" ref="AC24" si="260">IF(Q24&gt;0,Q24+AC23,AC23)</f>
        <v>311706.31199999998</v>
      </c>
      <c r="AD24" s="106">
        <f t="shared" ref="AD24" si="261">IF(AND(E24="Casaus",Q24&gt;0),Q24+AD23,AD23)</f>
        <v>267898.10499999998</v>
      </c>
      <c r="AE24" s="107">
        <f t="shared" ref="AE24" si="262">IF(AND(E24="SOMaSec",Q24&gt;0),Q24+AE23,AE23)</f>
        <v>0</v>
      </c>
    </row>
    <row r="25" spans="1:31" x14ac:dyDescent="0.25">
      <c r="A25" s="128">
        <v>41916</v>
      </c>
      <c r="B25" s="129" t="s">
        <v>207</v>
      </c>
      <c r="C25" s="130">
        <v>35</v>
      </c>
      <c r="D25" s="131"/>
      <c r="E25" s="130" t="s">
        <v>76</v>
      </c>
      <c r="F25" s="130" t="s">
        <v>128</v>
      </c>
      <c r="G25" s="132" t="s">
        <v>22</v>
      </c>
      <c r="H25" s="130" t="s">
        <v>124</v>
      </c>
      <c r="I25" s="130" t="s">
        <v>77</v>
      </c>
      <c r="J25" s="130"/>
      <c r="K25" s="130">
        <v>27.3</v>
      </c>
      <c r="L25" s="130"/>
      <c r="M25" s="130"/>
      <c r="N25" s="133">
        <v>25960</v>
      </c>
      <c r="O25" s="133">
        <v>13200</v>
      </c>
      <c r="P25" s="74">
        <f t="shared" ref="P25" si="263">N25-O25</f>
        <v>12760</v>
      </c>
      <c r="Q25" s="75">
        <f>IFERROR(P25*(LOOKUP(K25,Barème!A$3:A$72,Barème!D$3:D$72/1000)),0)</f>
        <v>10836.429999999998</v>
      </c>
      <c r="R25" s="76">
        <f>IF(Q25&gt;0,(Q25*(INDEX(Barème!E$3:O$72,MATCH(K25,Barème!A$3:A$72,1),MATCH(E25,Barème!E$1:O$1,0)))/1000),0)</f>
        <v>244.14476789999998</v>
      </c>
      <c r="S25" s="99">
        <f t="shared" ref="S25" si="264">S24+P25</f>
        <v>386980</v>
      </c>
      <c r="T25" s="100">
        <f t="shared" ref="T25" si="265">T24+Q25</f>
        <v>322542.74199999997</v>
      </c>
      <c r="U25" s="101">
        <f t="shared" ref="U25" si="266">U24+R25</f>
        <v>8065.4435267800009</v>
      </c>
      <c r="V25" s="102">
        <f t="shared" ref="V25" si="267">IF(E25="Casaus",P25+V24,V24)</f>
        <v>322720</v>
      </c>
      <c r="W25" s="98">
        <f t="shared" ref="W25" si="268">IF(E25="Casaus",Q25+W24,W24)</f>
        <v>267898.10499999998</v>
      </c>
      <c r="X25" s="103">
        <f t="shared" ref="X25" si="269">IF(E25="Casaus",R25+X24,X24)</f>
        <v>6839.9325417999999</v>
      </c>
      <c r="Y25" s="102">
        <f t="shared" ref="Y25" si="270">IF(E25="SOMaSec",P25+Y24,Y24)</f>
        <v>0</v>
      </c>
      <c r="Z25" s="98">
        <f t="shared" ref="Z25" si="271">IF(E25="SOMaSec",Q25+Z24,Z24)</f>
        <v>0</v>
      </c>
      <c r="AA25" s="104">
        <f t="shared" ref="AA25" si="272">IF(E25="SOMaSec",R25+AA24,AA24)</f>
        <v>0</v>
      </c>
      <c r="AB25" s="105">
        <f t="shared" ref="AB25" si="273">IF(P25&gt;0,P25+AB24,AB24)</f>
        <v>386980</v>
      </c>
      <c r="AC25" s="100">
        <f t="shared" ref="AC25" si="274">IF(Q25&gt;0,Q25+AC24,AC24)</f>
        <v>322542.74199999997</v>
      </c>
      <c r="AD25" s="106">
        <f t="shared" ref="AD25" si="275">IF(AND(E25="Casaus",Q25&gt;0),Q25+AD24,AD24)</f>
        <v>267898.10499999998</v>
      </c>
      <c r="AE25" s="107">
        <f t="shared" ref="AE25" si="276">IF(AND(E25="SOMaSec",Q25&gt;0),Q25+AE24,AE24)</f>
        <v>0</v>
      </c>
    </row>
    <row r="26" spans="1:31" x14ac:dyDescent="0.25">
      <c r="A26" s="128">
        <v>41916</v>
      </c>
      <c r="B26" s="129" t="s">
        <v>207</v>
      </c>
      <c r="C26" s="130">
        <v>36</v>
      </c>
      <c r="D26" s="131"/>
      <c r="E26" s="130" t="s">
        <v>76</v>
      </c>
      <c r="F26" s="130" t="s">
        <v>128</v>
      </c>
      <c r="G26" s="132" t="s">
        <v>22</v>
      </c>
      <c r="H26" s="130" t="s">
        <v>124</v>
      </c>
      <c r="I26" s="130" t="s">
        <v>77</v>
      </c>
      <c r="J26" s="130"/>
      <c r="K26" s="130">
        <v>27.8</v>
      </c>
      <c r="L26" s="130"/>
      <c r="M26" s="130"/>
      <c r="N26" s="133">
        <v>23340</v>
      </c>
      <c r="O26" s="133">
        <v>14940</v>
      </c>
      <c r="P26" s="74">
        <f t="shared" ref="P26" si="277">N26-O26</f>
        <v>8400</v>
      </c>
      <c r="Q26" s="75">
        <f>IFERROR(P26*(LOOKUP(K26,Barème!A$3:A$72,Barème!D$3:D$72/1000)),0)</f>
        <v>7082.0400000000009</v>
      </c>
      <c r="R26" s="76">
        <f>IF(Q26&gt;0,(Q26*(INDEX(Barème!E$3:O$72,MATCH(K26,Barème!A$3:A$72,1),MATCH(E26,Barème!E$1:O$1,0)))/1000),0)</f>
        <v>163.09938120000004</v>
      </c>
      <c r="S26" s="99">
        <f t="shared" ref="S26" si="278">S25+P26</f>
        <v>395380</v>
      </c>
      <c r="T26" s="100">
        <f t="shared" ref="T26" si="279">T25+Q26</f>
        <v>329624.78199999995</v>
      </c>
      <c r="U26" s="101">
        <f t="shared" ref="U26" si="280">U25+R26</f>
        <v>8228.5429079800015</v>
      </c>
      <c r="V26" s="102">
        <f t="shared" ref="V26" si="281">IF(E26="Casaus",P26+V25,V25)</f>
        <v>322720</v>
      </c>
      <c r="W26" s="98">
        <f t="shared" ref="W26" si="282">IF(E26="Casaus",Q26+W25,W25)</f>
        <v>267898.10499999998</v>
      </c>
      <c r="X26" s="103">
        <f t="shared" ref="X26" si="283">IF(E26="Casaus",R26+X25,X25)</f>
        <v>6839.9325417999999</v>
      </c>
      <c r="Y26" s="102">
        <f t="shared" ref="Y26" si="284">IF(E26="SOMaSec",P26+Y25,Y25)</f>
        <v>0</v>
      </c>
      <c r="Z26" s="98">
        <f t="shared" ref="Z26" si="285">IF(E26="SOMaSec",Q26+Z25,Z25)</f>
        <v>0</v>
      </c>
      <c r="AA26" s="104">
        <f t="shared" ref="AA26" si="286">IF(E26="SOMaSec",R26+AA25,AA25)</f>
        <v>0</v>
      </c>
      <c r="AB26" s="105">
        <f t="shared" ref="AB26" si="287">IF(P26&gt;0,P26+AB25,AB25)</f>
        <v>395380</v>
      </c>
      <c r="AC26" s="100">
        <f t="shared" ref="AC26" si="288">IF(Q26&gt;0,Q26+AC25,AC25)</f>
        <v>329624.78199999995</v>
      </c>
      <c r="AD26" s="106">
        <f t="shared" ref="AD26" si="289">IF(AND(E26="Casaus",Q26&gt;0),Q26+AD25,AD25)</f>
        <v>267898.10499999998</v>
      </c>
      <c r="AE26" s="107">
        <f t="shared" ref="AE26" si="290">IF(AND(E26="SOMaSec",Q26&gt;0),Q26+AE25,AE25)</f>
        <v>0</v>
      </c>
    </row>
    <row r="27" spans="1:31" x14ac:dyDescent="0.25">
      <c r="A27" s="128">
        <v>41918</v>
      </c>
      <c r="B27" s="129" t="s">
        <v>207</v>
      </c>
      <c r="C27" s="130">
        <v>37</v>
      </c>
      <c r="D27" s="131"/>
      <c r="E27" s="130" t="s">
        <v>128</v>
      </c>
      <c r="F27" s="130" t="s">
        <v>128</v>
      </c>
      <c r="G27" s="132" t="s">
        <v>22</v>
      </c>
      <c r="H27" s="130" t="s">
        <v>80</v>
      </c>
      <c r="I27" s="130" t="s">
        <v>77</v>
      </c>
      <c r="J27" s="130"/>
      <c r="K27" s="130">
        <v>26.1</v>
      </c>
      <c r="L27" s="130"/>
      <c r="M27" s="130"/>
      <c r="N27" s="133">
        <v>27500</v>
      </c>
      <c r="O27" s="133">
        <v>14880</v>
      </c>
      <c r="P27" s="74">
        <f t="shared" ref="P27" si="291">N27-O27</f>
        <v>12620</v>
      </c>
      <c r="Q27" s="75">
        <f>IFERROR(P27*(LOOKUP(K27,Barème!A$3:A$72,Barème!D$3:D$72/1000)),0)</f>
        <v>10872.760999999999</v>
      </c>
      <c r="R27" s="76">
        <f>IF(Q27&gt;0,(Q27*(INDEX(Barème!E$3:O$72,MATCH(K27,Barème!A$3:A$72,1),MATCH(E27,Barème!E$1:O$1,0)))/1000),0)</f>
        <v>225.71851835999999</v>
      </c>
      <c r="S27" s="99">
        <f t="shared" ref="S27" si="292">S26+P27</f>
        <v>408000</v>
      </c>
      <c r="T27" s="100">
        <f t="shared" ref="T27" si="293">T26+Q27</f>
        <v>340497.54299999995</v>
      </c>
      <c r="U27" s="101">
        <f t="shared" ref="U27" si="294">U26+R27</f>
        <v>8454.261426340001</v>
      </c>
      <c r="V27" s="102">
        <f t="shared" ref="V27" si="295">IF(E27="Casaus",P27+V26,V26)</f>
        <v>322720</v>
      </c>
      <c r="W27" s="98">
        <f t="shared" ref="W27" si="296">IF(E27="Casaus",Q27+W26,W26)</f>
        <v>267898.10499999998</v>
      </c>
      <c r="X27" s="103">
        <f t="shared" ref="X27" si="297">IF(E27="Casaus",R27+X26,X26)</f>
        <v>6839.9325417999999</v>
      </c>
      <c r="Y27" s="102">
        <f t="shared" ref="Y27" si="298">IF(E27="SOMaSec",P27+Y26,Y26)</f>
        <v>12620</v>
      </c>
      <c r="Z27" s="98">
        <f t="shared" ref="Z27" si="299">IF(E27="SOMaSec",Q27+Z26,Z26)</f>
        <v>10872.760999999999</v>
      </c>
      <c r="AA27" s="104">
        <f t="shared" ref="AA27" si="300">IF(E27="SOMaSec",R27+AA26,AA26)</f>
        <v>225.71851835999999</v>
      </c>
      <c r="AB27" s="105">
        <f t="shared" ref="AB27" si="301">IF(P27&gt;0,P27+AB26,AB26)</f>
        <v>408000</v>
      </c>
      <c r="AC27" s="100">
        <f t="shared" ref="AC27" si="302">IF(Q27&gt;0,Q27+AC26,AC26)</f>
        <v>340497.54299999995</v>
      </c>
      <c r="AD27" s="106">
        <f t="shared" ref="AD27" si="303">IF(AND(E27="Casaus",Q27&gt;0),Q27+AD26,AD26)</f>
        <v>267898.10499999998</v>
      </c>
      <c r="AE27" s="107">
        <f t="shared" ref="AE27" si="304">IF(AND(E27="SOMaSec",Q27&gt;0),Q27+AE26,AE26)</f>
        <v>10872.760999999999</v>
      </c>
    </row>
    <row r="28" spans="1:31" x14ac:dyDescent="0.25">
      <c r="A28" s="128">
        <v>41918</v>
      </c>
      <c r="B28" s="129" t="s">
        <v>207</v>
      </c>
      <c r="C28" s="130">
        <v>38</v>
      </c>
      <c r="D28" s="131"/>
      <c r="E28" s="130" t="s">
        <v>76</v>
      </c>
      <c r="F28" s="130" t="s">
        <v>128</v>
      </c>
      <c r="G28" s="132" t="s">
        <v>22</v>
      </c>
      <c r="H28" s="130" t="s">
        <v>124</v>
      </c>
      <c r="I28" s="130" t="s">
        <v>77</v>
      </c>
      <c r="J28" s="130"/>
      <c r="K28" s="130">
        <v>24.9</v>
      </c>
      <c r="L28" s="130"/>
      <c r="M28" s="130"/>
      <c r="N28" s="133">
        <v>23560</v>
      </c>
      <c r="O28" s="133">
        <v>14980</v>
      </c>
      <c r="P28" s="74">
        <f t="shared" ref="P28" si="305">N28-O28</f>
        <v>8580</v>
      </c>
      <c r="Q28" s="75">
        <f>IFERROR(P28*(LOOKUP(K28,Barème!A$3:A$72,Barème!D$3:D$72/1000)),0)</f>
        <v>7550.4</v>
      </c>
      <c r="R28" s="76">
        <f>IF(Q28&gt;0,(Q28*(INDEX(Barème!E$3:O$72,MATCH(K28,Barème!A$3:A$72,1),MATCH(E28,Barème!E$1:O$1,0)))/1000),0)</f>
        <v>150.781488</v>
      </c>
      <c r="S28" s="99">
        <f t="shared" ref="S28" si="306">S27+P28</f>
        <v>416580</v>
      </c>
      <c r="T28" s="100">
        <f t="shared" ref="T28" si="307">T27+Q28</f>
        <v>348047.94299999997</v>
      </c>
      <c r="U28" s="101">
        <f t="shared" ref="U28" si="308">U27+R28</f>
        <v>8605.0429143400015</v>
      </c>
      <c r="V28" s="102">
        <f t="shared" ref="V28" si="309">IF(E28="Casaus",P28+V27,V27)</f>
        <v>322720</v>
      </c>
      <c r="W28" s="98">
        <f t="shared" ref="W28" si="310">IF(E28="Casaus",Q28+W27,W27)</f>
        <v>267898.10499999998</v>
      </c>
      <c r="X28" s="103">
        <f t="shared" ref="X28" si="311">IF(E28="Casaus",R28+X27,X27)</f>
        <v>6839.9325417999999</v>
      </c>
      <c r="Y28" s="102">
        <f t="shared" ref="Y28" si="312">IF(E28="SOMaSec",P28+Y27,Y27)</f>
        <v>12620</v>
      </c>
      <c r="Z28" s="98">
        <f t="shared" ref="Z28" si="313">IF(E28="SOMaSec",Q28+Z27,Z27)</f>
        <v>10872.760999999999</v>
      </c>
      <c r="AA28" s="104">
        <f t="shared" ref="AA28" si="314">IF(E28="SOMaSec",R28+AA27,AA27)</f>
        <v>225.71851835999999</v>
      </c>
      <c r="AB28" s="105">
        <f t="shared" ref="AB28" si="315">IF(P28&gt;0,P28+AB27,AB27)</f>
        <v>416580</v>
      </c>
      <c r="AC28" s="100">
        <f t="shared" ref="AC28" si="316">IF(Q28&gt;0,Q28+AC27,AC27)</f>
        <v>348047.94299999997</v>
      </c>
      <c r="AD28" s="106">
        <f t="shared" ref="AD28" si="317">IF(AND(E28="Casaus",Q28&gt;0),Q28+AD27,AD27)</f>
        <v>267898.10499999998</v>
      </c>
      <c r="AE28" s="107">
        <f t="shared" ref="AE28" si="318">IF(AND(E28="SOMaSec",Q28&gt;0),Q28+AE27,AE27)</f>
        <v>10872.760999999999</v>
      </c>
    </row>
    <row r="29" spans="1:31" x14ac:dyDescent="0.25">
      <c r="A29" s="128">
        <v>41918</v>
      </c>
      <c r="B29" s="129" t="s">
        <v>207</v>
      </c>
      <c r="C29" s="130">
        <v>39</v>
      </c>
      <c r="D29" s="131"/>
      <c r="E29" s="130" t="s">
        <v>128</v>
      </c>
      <c r="F29" s="130" t="s">
        <v>128</v>
      </c>
      <c r="G29" s="132" t="s">
        <v>22</v>
      </c>
      <c r="H29" s="130" t="s">
        <v>125</v>
      </c>
      <c r="I29" s="130"/>
      <c r="J29" s="130"/>
      <c r="K29" s="130">
        <v>30.4</v>
      </c>
      <c r="L29" s="130"/>
      <c r="M29" s="130"/>
      <c r="N29" s="133">
        <v>36560</v>
      </c>
      <c r="O29" s="133">
        <v>14980</v>
      </c>
      <c r="P29" s="74">
        <f t="shared" ref="P29" si="319">N29-O29</f>
        <v>21580</v>
      </c>
      <c r="Q29" s="75">
        <f>IFERROR(P29*(LOOKUP(K29,Barème!A$3:A$72,Barème!D$3:D$72/1000)),0)</f>
        <v>17524.038999999997</v>
      </c>
      <c r="R29" s="76">
        <f>IF(Q29&gt;0,(Q29*(INDEX(Barème!E$3:O$72,MATCH(K29,Barème!A$3:A$72,1),MATCH(E29,Barème!E$1:O$1,0)))/1000),0)</f>
        <v>433.01900368999992</v>
      </c>
      <c r="S29" s="99">
        <f t="shared" ref="S29" si="320">S28+P29</f>
        <v>438160</v>
      </c>
      <c r="T29" s="100">
        <f t="shared" ref="T29" si="321">T28+Q29</f>
        <v>365571.98199999996</v>
      </c>
      <c r="U29" s="101">
        <f t="shared" ref="U29" si="322">U28+R29</f>
        <v>9038.0619180300018</v>
      </c>
      <c r="V29" s="102">
        <f t="shared" ref="V29" si="323">IF(E29="Casaus",P29+V28,V28)</f>
        <v>322720</v>
      </c>
      <c r="W29" s="98">
        <f t="shared" ref="W29" si="324">IF(E29="Casaus",Q29+W28,W28)</f>
        <v>267898.10499999998</v>
      </c>
      <c r="X29" s="103">
        <f t="shared" ref="X29" si="325">IF(E29="Casaus",R29+X28,X28)</f>
        <v>6839.9325417999999</v>
      </c>
      <c r="Y29" s="102">
        <f t="shared" ref="Y29" si="326">IF(E29="SOMaSec",P29+Y28,Y28)</f>
        <v>34200</v>
      </c>
      <c r="Z29" s="98">
        <f t="shared" ref="Z29" si="327">IF(E29="SOMaSec",Q29+Z28,Z28)</f>
        <v>28396.799999999996</v>
      </c>
      <c r="AA29" s="104">
        <f t="shared" ref="AA29" si="328">IF(E29="SOMaSec",R29+AA28,AA28)</f>
        <v>658.73752204999994</v>
      </c>
      <c r="AB29" s="105">
        <f t="shared" ref="AB29" si="329">IF(P29&gt;0,P29+AB28,AB28)</f>
        <v>438160</v>
      </c>
      <c r="AC29" s="100">
        <f t="shared" ref="AC29" si="330">IF(Q29&gt;0,Q29+AC28,AC28)</f>
        <v>365571.98199999996</v>
      </c>
      <c r="AD29" s="106">
        <f t="shared" ref="AD29" si="331">IF(AND(E29="Casaus",Q29&gt;0),Q29+AD28,AD28)</f>
        <v>267898.10499999998</v>
      </c>
      <c r="AE29" s="107">
        <f t="shared" ref="AE29" si="332">IF(AND(E29="SOMaSec",Q29&gt;0),Q29+AE28,AE28)</f>
        <v>28396.799999999996</v>
      </c>
    </row>
    <row r="30" spans="1:31" x14ac:dyDescent="0.25">
      <c r="A30" s="128">
        <v>41918</v>
      </c>
      <c r="B30" s="129" t="s">
        <v>207</v>
      </c>
      <c r="C30" s="130">
        <v>40</v>
      </c>
      <c r="D30" s="131"/>
      <c r="E30" s="130" t="s">
        <v>128</v>
      </c>
      <c r="F30" s="130" t="s">
        <v>128</v>
      </c>
      <c r="G30" s="132" t="s">
        <v>22</v>
      </c>
      <c r="H30" s="130" t="s">
        <v>125</v>
      </c>
      <c r="I30" s="130"/>
      <c r="J30" s="130"/>
      <c r="K30" s="130">
        <v>29.9</v>
      </c>
      <c r="L30" s="130"/>
      <c r="M30" s="130"/>
      <c r="N30" s="133">
        <v>31840</v>
      </c>
      <c r="O30" s="133">
        <v>14040</v>
      </c>
      <c r="P30" s="74">
        <f t="shared" ref="P30" si="333">N30-O30</f>
        <v>17800</v>
      </c>
      <c r="Q30" s="75">
        <f>IFERROR(P30*(LOOKUP(K30,Barème!A$3:A$72,Barème!D$3:D$72/1000)),0)</f>
        <v>14569.3</v>
      </c>
      <c r="R30" s="76">
        <f>IF(Q30&gt;0,(Q30*(INDEX(Barème!E$3:O$72,MATCH(K30,Barème!A$3:A$72,1),MATCH(E30,Barème!E$1:O$1,0)))/1000),0)</f>
        <v>353.01413899999994</v>
      </c>
      <c r="S30" s="99">
        <f t="shared" ref="S30" si="334">S29+P30</f>
        <v>455960</v>
      </c>
      <c r="T30" s="100">
        <f t="shared" ref="T30" si="335">T29+Q30</f>
        <v>380141.28199999995</v>
      </c>
      <c r="U30" s="101">
        <f t="shared" ref="U30" si="336">U29+R30</f>
        <v>9391.0760570300026</v>
      </c>
      <c r="V30" s="102">
        <f t="shared" ref="V30" si="337">IF(E30="Casaus",P30+V29,V29)</f>
        <v>322720</v>
      </c>
      <c r="W30" s="98">
        <f t="shared" ref="W30" si="338">IF(E30="Casaus",Q30+W29,W29)</f>
        <v>267898.10499999998</v>
      </c>
      <c r="X30" s="103">
        <f t="shared" ref="X30" si="339">IF(E30="Casaus",R30+X29,X29)</f>
        <v>6839.9325417999999</v>
      </c>
      <c r="Y30" s="102">
        <f t="shared" ref="Y30" si="340">IF(E30="SOMaSec",P30+Y29,Y29)</f>
        <v>52000</v>
      </c>
      <c r="Z30" s="98">
        <f t="shared" ref="Z30" si="341">IF(E30="SOMaSec",Q30+Z29,Z29)</f>
        <v>42966.099999999991</v>
      </c>
      <c r="AA30" s="104">
        <f t="shared" ref="AA30" si="342">IF(E30="SOMaSec",R30+AA29,AA29)</f>
        <v>1011.7516610499999</v>
      </c>
      <c r="AB30" s="105">
        <f t="shared" ref="AB30" si="343">IF(P30&gt;0,P30+AB29,AB29)</f>
        <v>455960</v>
      </c>
      <c r="AC30" s="100">
        <f t="shared" ref="AC30" si="344">IF(Q30&gt;0,Q30+AC29,AC29)</f>
        <v>380141.28199999995</v>
      </c>
      <c r="AD30" s="106">
        <f t="shared" ref="AD30" si="345">IF(AND(E30="Casaus",Q30&gt;0),Q30+AD29,AD29)</f>
        <v>267898.10499999998</v>
      </c>
      <c r="AE30" s="107">
        <f t="shared" ref="AE30" si="346">IF(AND(E30="SOMaSec",Q30&gt;0),Q30+AE29,AE29)</f>
        <v>42966.099999999991</v>
      </c>
    </row>
    <row r="31" spans="1:31" x14ac:dyDescent="0.25">
      <c r="A31" s="128">
        <v>41918</v>
      </c>
      <c r="B31" s="129" t="s">
        <v>207</v>
      </c>
      <c r="C31" s="130">
        <v>41</v>
      </c>
      <c r="D31" s="131"/>
      <c r="E31" s="130" t="s">
        <v>128</v>
      </c>
      <c r="F31" s="130" t="s">
        <v>128</v>
      </c>
      <c r="G31" s="132" t="s">
        <v>22</v>
      </c>
      <c r="H31" s="130" t="s">
        <v>125</v>
      </c>
      <c r="I31" s="130"/>
      <c r="J31" s="130"/>
      <c r="K31" s="130">
        <v>30.4</v>
      </c>
      <c r="L31" s="130"/>
      <c r="M31" s="130"/>
      <c r="N31" s="133">
        <v>36920</v>
      </c>
      <c r="O31" s="133">
        <v>14960</v>
      </c>
      <c r="P31" s="74">
        <f t="shared" ref="P31" si="347">N31-O31</f>
        <v>21960</v>
      </c>
      <c r="Q31" s="75">
        <f>IFERROR(P31*(LOOKUP(K31,Barème!A$3:A$72,Barème!D$3:D$72/1000)),0)</f>
        <v>17832.617999999999</v>
      </c>
      <c r="R31" s="76">
        <f>IF(Q31&gt;0,(Q31*(INDEX(Barème!E$3:O$72,MATCH(K31,Barème!A$3:A$72,1),MATCH(E31,Barème!E$1:O$1,0)))/1000),0)</f>
        <v>440.64399077999997</v>
      </c>
      <c r="S31" s="99">
        <f t="shared" ref="S31" si="348">S30+P31</f>
        <v>477920</v>
      </c>
      <c r="T31" s="100">
        <f t="shared" ref="T31" si="349">T30+Q31</f>
        <v>397973.89999999997</v>
      </c>
      <c r="U31" s="101">
        <f t="shared" ref="U31" si="350">U30+R31</f>
        <v>9831.7200478100021</v>
      </c>
      <c r="V31" s="102">
        <f t="shared" ref="V31" si="351">IF(E31="Casaus",P31+V30,V30)</f>
        <v>322720</v>
      </c>
      <c r="W31" s="98">
        <f t="shared" ref="W31" si="352">IF(E31="Casaus",Q31+W30,W30)</f>
        <v>267898.10499999998</v>
      </c>
      <c r="X31" s="103">
        <f t="shared" ref="X31" si="353">IF(E31="Casaus",R31+X30,X30)</f>
        <v>6839.9325417999999</v>
      </c>
      <c r="Y31" s="102">
        <f t="shared" ref="Y31" si="354">IF(E31="SOMaSec",P31+Y30,Y30)</f>
        <v>73960</v>
      </c>
      <c r="Z31" s="98">
        <f t="shared" ref="Z31" si="355">IF(E31="SOMaSec",Q31+Z30,Z30)</f>
        <v>60798.717999999993</v>
      </c>
      <c r="AA31" s="104">
        <f t="shared" ref="AA31" si="356">IF(E31="SOMaSec",R31+AA30,AA30)</f>
        <v>1452.3956518299999</v>
      </c>
      <c r="AB31" s="105">
        <f t="shared" ref="AB31" si="357">IF(P31&gt;0,P31+AB30,AB30)</f>
        <v>477920</v>
      </c>
      <c r="AC31" s="100">
        <f t="shared" ref="AC31" si="358">IF(Q31&gt;0,Q31+AC30,AC30)</f>
        <v>397973.89999999997</v>
      </c>
      <c r="AD31" s="106">
        <f t="shared" ref="AD31" si="359">IF(AND(E31="Casaus",Q31&gt;0),Q31+AD30,AD30)</f>
        <v>267898.10499999998</v>
      </c>
      <c r="AE31" s="107">
        <f t="shared" ref="AE31" si="360">IF(AND(E31="SOMaSec",Q31&gt;0),Q31+AE30,AE30)</f>
        <v>60798.717999999993</v>
      </c>
    </row>
    <row r="32" spans="1:31" x14ac:dyDescent="0.25">
      <c r="A32" s="128">
        <v>41918</v>
      </c>
      <c r="B32" s="129" t="s">
        <v>207</v>
      </c>
      <c r="C32" s="130">
        <v>42</v>
      </c>
      <c r="D32" s="131"/>
      <c r="E32" s="130" t="s">
        <v>128</v>
      </c>
      <c r="F32" s="130" t="s">
        <v>128</v>
      </c>
      <c r="G32" s="132" t="s">
        <v>22</v>
      </c>
      <c r="H32" s="130" t="s">
        <v>125</v>
      </c>
      <c r="I32" s="130"/>
      <c r="J32" s="130"/>
      <c r="K32" s="130">
        <v>29.1</v>
      </c>
      <c r="L32" s="130"/>
      <c r="M32" s="130"/>
      <c r="N32" s="133">
        <v>32240</v>
      </c>
      <c r="O32" s="133">
        <v>14040</v>
      </c>
      <c r="P32" s="74">
        <f t="shared" ref="P32" si="361">N32-O32</f>
        <v>18200</v>
      </c>
      <c r="Q32" s="75">
        <f>IFERROR(P32*(LOOKUP(K32,Barème!A$3:A$72,Barème!D$3:D$72/1000)),0)</f>
        <v>15008.63</v>
      </c>
      <c r="R32" s="76">
        <f>IF(Q32&gt;0,(Q32*(INDEX(Barème!E$3:O$72,MATCH(K32,Barème!A$3:A$72,1),MATCH(E32,Barème!E$1:O$1,0)))/1000),0)</f>
        <v>356.30487619999997</v>
      </c>
      <c r="S32" s="99">
        <f t="shared" ref="S32" si="362">S31+P32</f>
        <v>496120</v>
      </c>
      <c r="T32" s="100">
        <f t="shared" ref="T32" si="363">T31+Q32</f>
        <v>412982.52999999997</v>
      </c>
      <c r="U32" s="101">
        <f t="shared" ref="U32" si="364">U31+R32</f>
        <v>10188.024924010002</v>
      </c>
      <c r="V32" s="102">
        <f t="shared" ref="V32" si="365">IF(E32="Casaus",P32+V31,V31)</f>
        <v>322720</v>
      </c>
      <c r="W32" s="98">
        <f t="shared" ref="W32" si="366">IF(E32="Casaus",Q32+W31,W31)</f>
        <v>267898.10499999998</v>
      </c>
      <c r="X32" s="103">
        <f t="shared" ref="X32" si="367">IF(E32="Casaus",R32+X31,X31)</f>
        <v>6839.9325417999999</v>
      </c>
      <c r="Y32" s="102">
        <f t="shared" ref="Y32" si="368">IF(E32="SOMaSec",P32+Y31,Y31)</f>
        <v>92160</v>
      </c>
      <c r="Z32" s="98">
        <f t="shared" ref="Z32" si="369">IF(E32="SOMaSec",Q32+Z31,Z31)</f>
        <v>75807.347999999998</v>
      </c>
      <c r="AA32" s="104">
        <f t="shared" ref="AA32" si="370">IF(E32="SOMaSec",R32+AA31,AA31)</f>
        <v>1808.70052803</v>
      </c>
      <c r="AB32" s="105">
        <f t="shared" ref="AB32" si="371">IF(P32&gt;0,P32+AB31,AB31)</f>
        <v>496120</v>
      </c>
      <c r="AC32" s="100">
        <f t="shared" ref="AC32" si="372">IF(Q32&gt;0,Q32+AC31,AC31)</f>
        <v>412982.52999999997</v>
      </c>
      <c r="AD32" s="106">
        <f t="shared" ref="AD32" si="373">IF(AND(E32="Casaus",Q32&gt;0),Q32+AD31,AD31)</f>
        <v>267898.10499999998</v>
      </c>
      <c r="AE32" s="107">
        <f t="shared" ref="AE32" si="374">IF(AND(E32="SOMaSec",Q32&gt;0),Q32+AE31,AE31)</f>
        <v>75807.347999999998</v>
      </c>
    </row>
    <row r="33" spans="1:31" x14ac:dyDescent="0.25">
      <c r="A33" s="128">
        <v>41918</v>
      </c>
      <c r="B33" s="129" t="s">
        <v>207</v>
      </c>
      <c r="C33" s="130">
        <v>43</v>
      </c>
      <c r="D33" s="131"/>
      <c r="E33" s="130" t="s">
        <v>128</v>
      </c>
      <c r="F33" s="130" t="s">
        <v>128</v>
      </c>
      <c r="G33" s="132" t="s">
        <v>22</v>
      </c>
      <c r="H33" s="130" t="s">
        <v>125</v>
      </c>
      <c r="I33" s="130"/>
      <c r="J33" s="130"/>
      <c r="K33" s="130">
        <v>30.4</v>
      </c>
      <c r="L33" s="130"/>
      <c r="M33" s="130"/>
      <c r="N33" s="133">
        <v>36700</v>
      </c>
      <c r="O33" s="133">
        <v>14940</v>
      </c>
      <c r="P33" s="74">
        <f t="shared" ref="P33" si="375">N33-O33</f>
        <v>21760</v>
      </c>
      <c r="Q33" s="75">
        <f>IFERROR(P33*(LOOKUP(K33,Barème!A$3:A$72,Barème!D$3:D$72/1000)),0)</f>
        <v>17670.207999999999</v>
      </c>
      <c r="R33" s="76">
        <f>IF(Q33&gt;0,(Q33*(INDEX(Barème!E$3:O$72,MATCH(K33,Barème!A$3:A$72,1),MATCH(E33,Barème!E$1:O$1,0)))/1000),0)</f>
        <v>436.63083967999995</v>
      </c>
      <c r="S33" s="99">
        <f t="shared" ref="S33" si="376">S32+P33</f>
        <v>517880</v>
      </c>
      <c r="T33" s="100">
        <f t="shared" ref="T33" si="377">T32+Q33</f>
        <v>430652.73799999995</v>
      </c>
      <c r="U33" s="101">
        <f t="shared" ref="U33" si="378">U32+R33</f>
        <v>10624.655763690002</v>
      </c>
      <c r="V33" s="102">
        <f t="shared" ref="V33" si="379">IF(E33="Casaus",P33+V32,V32)</f>
        <v>322720</v>
      </c>
      <c r="W33" s="98">
        <f t="shared" ref="W33" si="380">IF(E33="Casaus",Q33+W32,W32)</f>
        <v>267898.10499999998</v>
      </c>
      <c r="X33" s="103">
        <f t="shared" ref="X33" si="381">IF(E33="Casaus",R33+X32,X32)</f>
        <v>6839.9325417999999</v>
      </c>
      <c r="Y33" s="102">
        <f t="shared" ref="Y33" si="382">IF(E33="SOMaSec",P33+Y32,Y32)</f>
        <v>113920</v>
      </c>
      <c r="Z33" s="98">
        <f t="shared" ref="Z33" si="383">IF(E33="SOMaSec",Q33+Z32,Z32)</f>
        <v>93477.555999999997</v>
      </c>
      <c r="AA33" s="104">
        <f t="shared" ref="AA33" si="384">IF(E33="SOMaSec",R33+AA32,AA32)</f>
        <v>2245.33136771</v>
      </c>
      <c r="AB33" s="105">
        <f t="shared" ref="AB33" si="385">IF(P33&gt;0,P33+AB32,AB32)</f>
        <v>517880</v>
      </c>
      <c r="AC33" s="100">
        <f t="shared" ref="AC33" si="386">IF(Q33&gt;0,Q33+AC32,AC32)</f>
        <v>430652.73799999995</v>
      </c>
      <c r="AD33" s="106">
        <f t="shared" ref="AD33" si="387">IF(AND(E33="Casaus",Q33&gt;0),Q33+AD32,AD32)</f>
        <v>267898.10499999998</v>
      </c>
      <c r="AE33" s="107">
        <f t="shared" ref="AE33" si="388">IF(AND(E33="SOMaSec",Q33&gt;0),Q33+AE32,AE32)</f>
        <v>93477.555999999997</v>
      </c>
    </row>
    <row r="34" spans="1:31" x14ac:dyDescent="0.25">
      <c r="A34" s="128">
        <v>41918</v>
      </c>
      <c r="B34" s="129" t="s">
        <v>207</v>
      </c>
      <c r="C34" s="130">
        <v>44</v>
      </c>
      <c r="D34" s="131"/>
      <c r="E34" s="130" t="s">
        <v>128</v>
      </c>
      <c r="F34" s="130" t="s">
        <v>128</v>
      </c>
      <c r="G34" s="132" t="s">
        <v>22</v>
      </c>
      <c r="H34" s="130" t="s">
        <v>75</v>
      </c>
      <c r="I34" s="130"/>
      <c r="J34" s="130"/>
      <c r="K34" s="130">
        <v>32.700000000000003</v>
      </c>
      <c r="L34" s="130"/>
      <c r="M34" s="130"/>
      <c r="N34" s="133">
        <v>29120</v>
      </c>
      <c r="O34" s="133">
        <v>13520</v>
      </c>
      <c r="P34" s="74">
        <f t="shared" ref="P34" si="389">N34-O34</f>
        <v>15600</v>
      </c>
      <c r="Q34" s="75">
        <f>IFERROR(P34*(LOOKUP(K34,Barème!A$3:A$72,Barème!D$3:D$72/1000)),0)</f>
        <v>12164.88</v>
      </c>
      <c r="R34" s="76">
        <f>IF(Q34&gt;0,(Q34*(INDEX(Barème!E$3:O$72,MATCH(K34,Barème!A$3:A$72,1),MATCH(E34,Barème!E$1:O$1,0)))/1000),0)</f>
        <v>337.81871759999996</v>
      </c>
      <c r="S34" s="99">
        <f t="shared" ref="S34" si="390">S33+P34</f>
        <v>533480</v>
      </c>
      <c r="T34" s="100">
        <f t="shared" ref="T34" si="391">T33+Q34</f>
        <v>442817.61799999996</v>
      </c>
      <c r="U34" s="101">
        <f t="shared" ref="U34" si="392">U33+R34</f>
        <v>10962.474481290001</v>
      </c>
      <c r="V34" s="102">
        <f t="shared" ref="V34" si="393">IF(E34="Casaus",P34+V33,V33)</f>
        <v>322720</v>
      </c>
      <c r="W34" s="98">
        <f t="shared" ref="W34" si="394">IF(E34="Casaus",Q34+W33,W33)</f>
        <v>267898.10499999998</v>
      </c>
      <c r="X34" s="103">
        <f t="shared" ref="X34" si="395">IF(E34="Casaus",R34+X33,X33)</f>
        <v>6839.9325417999999</v>
      </c>
      <c r="Y34" s="102">
        <f t="shared" ref="Y34" si="396">IF(E34="SOMaSec",P34+Y33,Y33)</f>
        <v>129520</v>
      </c>
      <c r="Z34" s="98">
        <f t="shared" ref="Z34" si="397">IF(E34="SOMaSec",Q34+Z33,Z33)</f>
        <v>105642.436</v>
      </c>
      <c r="AA34" s="104">
        <f t="shared" ref="AA34" si="398">IF(E34="SOMaSec",R34+AA33,AA33)</f>
        <v>2583.1500853100001</v>
      </c>
      <c r="AB34" s="105">
        <f t="shared" ref="AB34" si="399">IF(P34&gt;0,P34+AB33,AB33)</f>
        <v>533480</v>
      </c>
      <c r="AC34" s="100">
        <f t="shared" ref="AC34" si="400">IF(Q34&gt;0,Q34+AC33,AC33)</f>
        <v>442817.61799999996</v>
      </c>
      <c r="AD34" s="106">
        <f t="shared" ref="AD34" si="401">IF(AND(E34="Casaus",Q34&gt;0),Q34+AD33,AD33)</f>
        <v>267898.10499999998</v>
      </c>
      <c r="AE34" s="107">
        <f t="shared" ref="AE34" si="402">IF(AND(E34="SOMaSec",Q34&gt;0),Q34+AE33,AE33)</f>
        <v>105642.436</v>
      </c>
    </row>
    <row r="35" spans="1:31" x14ac:dyDescent="0.25">
      <c r="A35" s="128">
        <v>41918</v>
      </c>
      <c r="B35" s="129" t="s">
        <v>207</v>
      </c>
      <c r="C35" s="130">
        <v>45</v>
      </c>
      <c r="D35" s="131"/>
      <c r="E35" s="130" t="s">
        <v>128</v>
      </c>
      <c r="F35" s="130" t="s">
        <v>128</v>
      </c>
      <c r="G35" s="132" t="s">
        <v>22</v>
      </c>
      <c r="H35" s="130" t="s">
        <v>125</v>
      </c>
      <c r="I35" s="130"/>
      <c r="J35" s="130"/>
      <c r="K35" s="130">
        <v>30.1</v>
      </c>
      <c r="L35" s="130"/>
      <c r="M35" s="130"/>
      <c r="N35" s="133">
        <v>32060</v>
      </c>
      <c r="O35" s="133">
        <v>14140</v>
      </c>
      <c r="P35" s="74">
        <f t="shared" ref="P35" si="403">N35-O35</f>
        <v>17920</v>
      </c>
      <c r="Q35" s="75">
        <f>IFERROR(P35*(LOOKUP(K35,Barème!A$3:A$72,Barème!D$3:D$72/1000)),0)</f>
        <v>14551.936</v>
      </c>
      <c r="R35" s="76">
        <f>IF(Q35&gt;0,(Q35*(INDEX(Barème!E$3:O$72,MATCH(K35,Barème!A$3:A$72,1),MATCH(E35,Barème!E$1:O$1,0)))/1000),0)</f>
        <v>359.57833856000002</v>
      </c>
      <c r="S35" s="99">
        <f t="shared" ref="S35" si="404">S34+P35</f>
        <v>551400</v>
      </c>
      <c r="T35" s="100">
        <f t="shared" ref="T35" si="405">T34+Q35</f>
        <v>457369.55399999995</v>
      </c>
      <c r="U35" s="101">
        <f t="shared" ref="U35" si="406">U34+R35</f>
        <v>11322.052819850001</v>
      </c>
      <c r="V35" s="102">
        <f t="shared" ref="V35" si="407">IF(E35="Casaus",P35+V34,V34)</f>
        <v>322720</v>
      </c>
      <c r="W35" s="98">
        <f t="shared" ref="W35" si="408">IF(E35="Casaus",Q35+W34,W34)</f>
        <v>267898.10499999998</v>
      </c>
      <c r="X35" s="103">
        <f t="shared" ref="X35" si="409">IF(E35="Casaus",R35+X34,X34)</f>
        <v>6839.9325417999999</v>
      </c>
      <c r="Y35" s="102">
        <f t="shared" ref="Y35" si="410">IF(E35="SOMaSec",P35+Y34,Y34)</f>
        <v>147440</v>
      </c>
      <c r="Z35" s="98">
        <f t="shared" ref="Z35" si="411">IF(E35="SOMaSec",Q35+Z34,Z34)</f>
        <v>120194.372</v>
      </c>
      <c r="AA35" s="104">
        <f t="shared" ref="AA35" si="412">IF(E35="SOMaSec",R35+AA34,AA34)</f>
        <v>2942.7284238700004</v>
      </c>
      <c r="AB35" s="105">
        <f t="shared" ref="AB35" si="413">IF(P35&gt;0,P35+AB34,AB34)</f>
        <v>551400</v>
      </c>
      <c r="AC35" s="100">
        <f t="shared" ref="AC35" si="414">IF(Q35&gt;0,Q35+AC34,AC34)</f>
        <v>457369.55399999995</v>
      </c>
      <c r="AD35" s="106">
        <f t="shared" ref="AD35" si="415">IF(AND(E35="Casaus",Q35&gt;0),Q35+AD34,AD34)</f>
        <v>267898.10499999998</v>
      </c>
      <c r="AE35" s="107">
        <f t="shared" ref="AE35" si="416">IF(AND(E35="SOMaSec",Q35&gt;0),Q35+AE34,AE34)</f>
        <v>120194.372</v>
      </c>
    </row>
    <row r="36" spans="1:31" x14ac:dyDescent="0.25">
      <c r="A36" s="128">
        <v>41918</v>
      </c>
      <c r="B36" s="129" t="s">
        <v>207</v>
      </c>
      <c r="C36" s="130">
        <v>46</v>
      </c>
      <c r="D36" s="131"/>
      <c r="E36" s="130" t="s">
        <v>128</v>
      </c>
      <c r="F36" s="130" t="s">
        <v>128</v>
      </c>
      <c r="G36" s="132" t="s">
        <v>22</v>
      </c>
      <c r="H36" s="130" t="s">
        <v>125</v>
      </c>
      <c r="I36" s="130"/>
      <c r="J36" s="130"/>
      <c r="K36" s="130">
        <v>29.9</v>
      </c>
      <c r="L36" s="130"/>
      <c r="M36" s="130"/>
      <c r="N36" s="133">
        <v>35560</v>
      </c>
      <c r="O36" s="133">
        <v>14920</v>
      </c>
      <c r="P36" s="74">
        <f t="shared" ref="P36" si="417">N36-O36</f>
        <v>20640</v>
      </c>
      <c r="Q36" s="75">
        <f>IFERROR(P36*(LOOKUP(K36,Barème!A$3:A$72,Barème!D$3:D$72/1000)),0)</f>
        <v>16893.84</v>
      </c>
      <c r="R36" s="76">
        <f>IF(Q36&gt;0,(Q36*(INDEX(Barème!E$3:O$72,MATCH(K36,Barème!A$3:A$72,1),MATCH(E36,Barème!E$1:O$1,0)))/1000),0)</f>
        <v>409.33774320000003</v>
      </c>
      <c r="S36" s="99">
        <f t="shared" ref="S36" si="418">S35+P36</f>
        <v>572040</v>
      </c>
      <c r="T36" s="100">
        <f t="shared" ref="T36" si="419">T35+Q36</f>
        <v>474263.39399999997</v>
      </c>
      <c r="U36" s="101">
        <f t="shared" ref="U36" si="420">U35+R36</f>
        <v>11731.390563050001</v>
      </c>
      <c r="V36" s="102">
        <f t="shared" ref="V36" si="421">IF(E36="Casaus",P36+V35,V35)</f>
        <v>322720</v>
      </c>
      <c r="W36" s="98">
        <f t="shared" ref="W36" si="422">IF(E36="Casaus",Q36+W35,W35)</f>
        <v>267898.10499999998</v>
      </c>
      <c r="X36" s="103">
        <f t="shared" ref="X36" si="423">IF(E36="Casaus",R36+X35,X35)</f>
        <v>6839.9325417999999</v>
      </c>
      <c r="Y36" s="102">
        <f t="shared" ref="Y36" si="424">IF(E36="SOMaSec",P36+Y35,Y35)</f>
        <v>168080</v>
      </c>
      <c r="Z36" s="98">
        <f t="shared" ref="Z36" si="425">IF(E36="SOMaSec",Q36+Z35,Z35)</f>
        <v>137088.212</v>
      </c>
      <c r="AA36" s="104">
        <f t="shared" ref="AA36" si="426">IF(E36="SOMaSec",R36+AA35,AA35)</f>
        <v>3352.0661670700006</v>
      </c>
      <c r="AB36" s="105">
        <f t="shared" ref="AB36" si="427">IF(P36&gt;0,P36+AB35,AB35)</f>
        <v>572040</v>
      </c>
      <c r="AC36" s="100">
        <f t="shared" ref="AC36" si="428">IF(Q36&gt;0,Q36+AC35,AC35)</f>
        <v>474263.39399999997</v>
      </c>
      <c r="AD36" s="106">
        <f t="shared" ref="AD36" si="429">IF(AND(E36="Casaus",Q36&gt;0),Q36+AD35,AD35)</f>
        <v>267898.10499999998</v>
      </c>
      <c r="AE36" s="107">
        <f t="shared" ref="AE36" si="430">IF(AND(E36="SOMaSec",Q36&gt;0),Q36+AE35,AE35)</f>
        <v>137088.212</v>
      </c>
    </row>
    <row r="37" spans="1:31" x14ac:dyDescent="0.25">
      <c r="A37" s="128">
        <v>41919</v>
      </c>
      <c r="B37" s="129" t="s">
        <v>207</v>
      </c>
      <c r="C37" s="130">
        <v>47</v>
      </c>
      <c r="D37" s="131"/>
      <c r="E37" s="130" t="s">
        <v>128</v>
      </c>
      <c r="F37" s="130" t="s">
        <v>128</v>
      </c>
      <c r="G37" s="132" t="s">
        <v>22</v>
      </c>
      <c r="H37" s="130" t="s">
        <v>75</v>
      </c>
      <c r="I37" s="130"/>
      <c r="J37" s="130"/>
      <c r="K37" s="130">
        <v>30.3</v>
      </c>
      <c r="L37" s="130"/>
      <c r="M37" s="130"/>
      <c r="N37" s="133">
        <v>27400</v>
      </c>
      <c r="O37" s="133">
        <v>13440</v>
      </c>
      <c r="P37" s="74">
        <f t="shared" ref="P37" si="431">N37-O37</f>
        <v>13960</v>
      </c>
      <c r="Q37" s="75">
        <f>IFERROR(P37*(LOOKUP(K37,Barème!A$3:A$72,Barème!D$3:D$72/1000)),0)</f>
        <v>11336.217999999999</v>
      </c>
      <c r="R37" s="76">
        <f>IF(Q37&gt;0,(Q37*(INDEX(Barème!E$3:O$72,MATCH(K37,Barème!A$3:A$72,1),MATCH(E37,Barème!E$1:O$1,0)))/1000),0)</f>
        <v>280.11794678000001</v>
      </c>
      <c r="S37" s="99">
        <f t="shared" ref="S37" si="432">S36+P37</f>
        <v>586000</v>
      </c>
      <c r="T37" s="100">
        <f t="shared" ref="T37" si="433">T36+Q37</f>
        <v>485599.61199999996</v>
      </c>
      <c r="U37" s="101">
        <f t="shared" ref="U37" si="434">U36+R37</f>
        <v>12011.508509830001</v>
      </c>
      <c r="V37" s="102">
        <f t="shared" ref="V37" si="435">IF(E37="Casaus",P37+V36,V36)</f>
        <v>322720</v>
      </c>
      <c r="W37" s="98">
        <f t="shared" ref="W37" si="436">IF(E37="Casaus",Q37+W36,W36)</f>
        <v>267898.10499999998</v>
      </c>
      <c r="X37" s="103">
        <f t="shared" ref="X37" si="437">IF(E37="Casaus",R37+X36,X36)</f>
        <v>6839.9325417999999</v>
      </c>
      <c r="Y37" s="102">
        <f t="shared" ref="Y37" si="438">IF(E37="SOMaSec",P37+Y36,Y36)</f>
        <v>182040</v>
      </c>
      <c r="Z37" s="98">
        <f t="shared" ref="Z37" si="439">IF(E37="SOMaSec",Q37+Z36,Z36)</f>
        <v>148424.43</v>
      </c>
      <c r="AA37" s="104">
        <f t="shared" ref="AA37" si="440">IF(E37="SOMaSec",R37+AA36,AA36)</f>
        <v>3632.1841138500004</v>
      </c>
      <c r="AB37" s="105">
        <f t="shared" ref="AB37" si="441">IF(P37&gt;0,P37+AB36,AB36)</f>
        <v>586000</v>
      </c>
      <c r="AC37" s="100">
        <f t="shared" ref="AC37" si="442">IF(Q37&gt;0,Q37+AC36,AC36)</f>
        <v>485599.61199999996</v>
      </c>
      <c r="AD37" s="106">
        <f t="shared" ref="AD37" si="443">IF(AND(E37="Casaus",Q37&gt;0),Q37+AD36,AD36)</f>
        <v>267898.10499999998</v>
      </c>
      <c r="AE37" s="107">
        <f t="shared" ref="AE37" si="444">IF(AND(E37="SOMaSec",Q37&gt;0),Q37+AE36,AE36)</f>
        <v>148424.43</v>
      </c>
    </row>
    <row r="38" spans="1:31" x14ac:dyDescent="0.25">
      <c r="A38" s="128">
        <v>41919</v>
      </c>
      <c r="B38" s="129" t="s">
        <v>207</v>
      </c>
      <c r="C38" s="130">
        <v>48</v>
      </c>
      <c r="D38" s="131"/>
      <c r="E38" s="130" t="s">
        <v>128</v>
      </c>
      <c r="F38" s="130" t="s">
        <v>128</v>
      </c>
      <c r="G38" s="132" t="s">
        <v>22</v>
      </c>
      <c r="H38" s="130" t="s">
        <v>75</v>
      </c>
      <c r="I38" s="130"/>
      <c r="J38" s="130"/>
      <c r="K38" s="130">
        <v>30.9</v>
      </c>
      <c r="L38" s="130"/>
      <c r="M38" s="130"/>
      <c r="N38" s="133">
        <v>17140</v>
      </c>
      <c r="O38" s="133">
        <v>10120</v>
      </c>
      <c r="P38" s="74">
        <f t="shared" ref="P38" si="445">N38-O38</f>
        <v>7020</v>
      </c>
      <c r="Q38" s="75">
        <f>IFERROR(P38*(LOOKUP(K38,Barème!A$3:A$72,Barème!D$3:D$72/1000)),0)</f>
        <v>5655.3119999999999</v>
      </c>
      <c r="R38" s="76">
        <f>IF(Q38&gt;0,(Q38*(INDEX(Barème!E$3:O$72,MATCH(K38,Barème!A$3:A$72,1),MATCH(E38,Barème!E$1:O$1,0)))/1000),0)</f>
        <v>142.51386239999999</v>
      </c>
      <c r="S38" s="99">
        <f t="shared" ref="S38" si="446">S37+P38</f>
        <v>593020</v>
      </c>
      <c r="T38" s="100">
        <f t="shared" ref="T38" si="447">T37+Q38</f>
        <v>491254.92399999994</v>
      </c>
      <c r="U38" s="101">
        <f t="shared" ref="U38" si="448">U37+R38</f>
        <v>12154.02237223</v>
      </c>
      <c r="V38" s="102">
        <f t="shared" ref="V38" si="449">IF(E38="Casaus",P38+V37,V37)</f>
        <v>322720</v>
      </c>
      <c r="W38" s="98">
        <f t="shared" ref="W38" si="450">IF(E38="Casaus",Q38+W37,W37)</f>
        <v>267898.10499999998</v>
      </c>
      <c r="X38" s="103">
        <f t="shared" ref="X38" si="451">IF(E38="Casaus",R38+X37,X37)</f>
        <v>6839.9325417999999</v>
      </c>
      <c r="Y38" s="102">
        <f t="shared" ref="Y38" si="452">IF(E38="SOMaSec",P38+Y37,Y37)</f>
        <v>189060</v>
      </c>
      <c r="Z38" s="98">
        <f t="shared" ref="Z38" si="453">IF(E38="SOMaSec",Q38+Z37,Z37)</f>
        <v>154079.742</v>
      </c>
      <c r="AA38" s="104">
        <f t="shared" ref="AA38" si="454">IF(E38="SOMaSec",R38+AA37,AA37)</f>
        <v>3774.6979762500005</v>
      </c>
      <c r="AB38" s="105">
        <f t="shared" ref="AB38" si="455">IF(P38&gt;0,P38+AB37,AB37)</f>
        <v>593020</v>
      </c>
      <c r="AC38" s="100">
        <f t="shared" ref="AC38" si="456">IF(Q38&gt;0,Q38+AC37,AC37)</f>
        <v>491254.92399999994</v>
      </c>
      <c r="AD38" s="106">
        <f t="shared" ref="AD38" si="457">IF(AND(E38="Casaus",Q38&gt;0),Q38+AD37,AD37)</f>
        <v>267898.10499999998</v>
      </c>
      <c r="AE38" s="107">
        <f t="shared" ref="AE38" si="458">IF(AND(E38="SOMaSec",Q38&gt;0),Q38+AE37,AE37)</f>
        <v>154079.742</v>
      </c>
    </row>
    <row r="39" spans="1:31" x14ac:dyDescent="0.25">
      <c r="A39" s="128">
        <v>41919</v>
      </c>
      <c r="B39" s="129" t="s">
        <v>207</v>
      </c>
      <c r="C39" s="130">
        <v>49</v>
      </c>
      <c r="D39" s="131"/>
      <c r="E39" s="130" t="s">
        <v>128</v>
      </c>
      <c r="F39" s="130" t="s">
        <v>128</v>
      </c>
      <c r="G39" s="132" t="s">
        <v>22</v>
      </c>
      <c r="H39" s="130" t="s">
        <v>125</v>
      </c>
      <c r="I39" s="130"/>
      <c r="J39" s="130"/>
      <c r="K39" s="130">
        <v>29.5</v>
      </c>
      <c r="L39" s="130"/>
      <c r="M39" s="130"/>
      <c r="N39" s="133">
        <v>32260</v>
      </c>
      <c r="O39" s="133">
        <v>14120</v>
      </c>
      <c r="P39" s="74">
        <f t="shared" ref="P39" si="459">N39-O39</f>
        <v>18140</v>
      </c>
      <c r="Q39" s="75">
        <f>IFERROR(P39*(LOOKUP(K39,Barème!A$3:A$72,Barème!D$3:D$72/1000)),0)</f>
        <v>14959.151</v>
      </c>
      <c r="R39" s="76">
        <f>IF(Q39&gt;0,(Q39*(INDEX(Barème!E$3:O$72,MATCH(K39,Barème!A$3:A$72,1),MATCH(E39,Barème!E$1:O$1,0)))/1000),0)</f>
        <v>355.13024473999997</v>
      </c>
      <c r="S39" s="99">
        <f t="shared" ref="S39" si="460">S38+P39</f>
        <v>611160</v>
      </c>
      <c r="T39" s="100">
        <f t="shared" ref="T39" si="461">T38+Q39</f>
        <v>506214.07499999995</v>
      </c>
      <c r="U39" s="101">
        <f t="shared" ref="U39" si="462">U38+R39</f>
        <v>12509.152616969999</v>
      </c>
      <c r="V39" s="102">
        <f t="shared" ref="V39" si="463">IF(E39="Casaus",P39+V38,V38)</f>
        <v>322720</v>
      </c>
      <c r="W39" s="98">
        <f t="shared" ref="W39" si="464">IF(E39="Casaus",Q39+W38,W38)</f>
        <v>267898.10499999998</v>
      </c>
      <c r="X39" s="103">
        <f t="shared" ref="X39" si="465">IF(E39="Casaus",R39+X38,X38)</f>
        <v>6839.9325417999999</v>
      </c>
      <c r="Y39" s="102">
        <f t="shared" ref="Y39" si="466">IF(E39="SOMaSec",P39+Y38,Y38)</f>
        <v>207200</v>
      </c>
      <c r="Z39" s="98">
        <f t="shared" ref="Z39" si="467">IF(E39="SOMaSec",Q39+Z38,Z38)</f>
        <v>169038.89300000001</v>
      </c>
      <c r="AA39" s="104">
        <f t="shared" ref="AA39" si="468">IF(E39="SOMaSec",R39+AA38,AA38)</f>
        <v>4129.8282209900008</v>
      </c>
      <c r="AB39" s="105">
        <f t="shared" ref="AB39" si="469">IF(P39&gt;0,P39+AB38,AB38)</f>
        <v>611160</v>
      </c>
      <c r="AC39" s="100">
        <f t="shared" ref="AC39" si="470">IF(Q39&gt;0,Q39+AC38,AC38)</f>
        <v>506214.07499999995</v>
      </c>
      <c r="AD39" s="106">
        <f t="shared" ref="AD39" si="471">IF(AND(E39="Casaus",Q39&gt;0),Q39+AD38,AD38)</f>
        <v>267898.10499999998</v>
      </c>
      <c r="AE39" s="107">
        <f t="shared" ref="AE39" si="472">IF(AND(E39="SOMaSec",Q39&gt;0),Q39+AE38,AE38)</f>
        <v>169038.89300000001</v>
      </c>
    </row>
    <row r="40" spans="1:31" x14ac:dyDescent="0.25">
      <c r="A40" s="128">
        <v>41919</v>
      </c>
      <c r="B40" s="129" t="s">
        <v>207</v>
      </c>
      <c r="C40" s="130">
        <v>50</v>
      </c>
      <c r="D40" s="131"/>
      <c r="E40" s="130" t="s">
        <v>128</v>
      </c>
      <c r="F40" s="130" t="s">
        <v>128</v>
      </c>
      <c r="G40" s="132" t="s">
        <v>22</v>
      </c>
      <c r="H40" s="130" t="s">
        <v>125</v>
      </c>
      <c r="I40" s="130"/>
      <c r="J40" s="130"/>
      <c r="K40" s="130">
        <v>30.5</v>
      </c>
      <c r="L40" s="130"/>
      <c r="M40" s="130"/>
      <c r="N40" s="133">
        <v>35240</v>
      </c>
      <c r="O40" s="133">
        <v>14900</v>
      </c>
      <c r="P40" s="74">
        <f t="shared" ref="P40" si="473">N40-O40</f>
        <v>20340</v>
      </c>
      <c r="Q40" s="75">
        <f>IFERROR(P40*(LOOKUP(K40,Barème!A$3:A$72,Barème!D$3:D$72/1000)),0)</f>
        <v>16517.096999999998</v>
      </c>
      <c r="R40" s="76">
        <f>IF(Q40&gt;0,(Q40*(INDEX(Barème!E$3:O$72,MATCH(K40,Barème!A$3:A$72,1),MATCH(E40,Barème!E$1:O$1,0)))/1000),0)</f>
        <v>408.13746686999997</v>
      </c>
      <c r="S40" s="99">
        <f t="shared" ref="S40" si="474">S39+P40</f>
        <v>631500</v>
      </c>
      <c r="T40" s="100">
        <f t="shared" ref="T40" si="475">T39+Q40</f>
        <v>522731.17199999996</v>
      </c>
      <c r="U40" s="101">
        <f t="shared" ref="U40" si="476">U39+R40</f>
        <v>12917.290083839998</v>
      </c>
      <c r="V40" s="102">
        <f t="shared" ref="V40" si="477">IF(E40="Casaus",P40+V39,V39)</f>
        <v>322720</v>
      </c>
      <c r="W40" s="98">
        <f t="shared" ref="W40" si="478">IF(E40="Casaus",Q40+W39,W39)</f>
        <v>267898.10499999998</v>
      </c>
      <c r="X40" s="103">
        <f t="shared" ref="X40" si="479">IF(E40="Casaus",R40+X39,X39)</f>
        <v>6839.9325417999999</v>
      </c>
      <c r="Y40" s="102">
        <f t="shared" ref="Y40" si="480">IF(E40="SOMaSec",P40+Y39,Y39)</f>
        <v>227540</v>
      </c>
      <c r="Z40" s="98">
        <f t="shared" ref="Z40" si="481">IF(E40="SOMaSec",Q40+Z39,Z39)</f>
        <v>185555.99000000002</v>
      </c>
      <c r="AA40" s="104">
        <f t="shared" ref="AA40" si="482">IF(E40="SOMaSec",R40+AA39,AA39)</f>
        <v>4537.9656878600008</v>
      </c>
      <c r="AB40" s="105">
        <f t="shared" ref="AB40" si="483">IF(P40&gt;0,P40+AB39,AB39)</f>
        <v>631500</v>
      </c>
      <c r="AC40" s="100">
        <f t="shared" ref="AC40" si="484">IF(Q40&gt;0,Q40+AC39,AC39)</f>
        <v>522731.17199999996</v>
      </c>
      <c r="AD40" s="106">
        <f t="shared" ref="AD40" si="485">IF(AND(E40="Casaus",Q40&gt;0),Q40+AD39,AD39)</f>
        <v>267898.10499999998</v>
      </c>
      <c r="AE40" s="107">
        <f t="shared" ref="AE40" si="486">IF(AND(E40="SOMaSec",Q40&gt;0),Q40+AE39,AE39)</f>
        <v>185555.99000000002</v>
      </c>
    </row>
    <row r="41" spans="1:31" x14ac:dyDescent="0.25">
      <c r="A41" s="128">
        <v>41919</v>
      </c>
      <c r="B41" s="129" t="s">
        <v>207</v>
      </c>
      <c r="C41" s="130">
        <v>53</v>
      </c>
      <c r="D41" s="131"/>
      <c r="E41" s="130" t="s">
        <v>128</v>
      </c>
      <c r="F41" s="130" t="s">
        <v>128</v>
      </c>
      <c r="G41" s="132" t="s">
        <v>22</v>
      </c>
      <c r="H41" s="130" t="s">
        <v>125</v>
      </c>
      <c r="I41" s="130"/>
      <c r="J41" s="130"/>
      <c r="K41" s="130">
        <v>30.4</v>
      </c>
      <c r="L41" s="130"/>
      <c r="M41" s="130"/>
      <c r="N41" s="133">
        <v>36000</v>
      </c>
      <c r="O41" s="133">
        <v>14900</v>
      </c>
      <c r="P41" s="74">
        <f t="shared" ref="P41" si="487">N41-O41</f>
        <v>21100</v>
      </c>
      <c r="Q41" s="75">
        <f>IFERROR(P41*(LOOKUP(K41,Barème!A$3:A$72,Barème!D$3:D$72/1000)),0)</f>
        <v>17134.254999999997</v>
      </c>
      <c r="R41" s="76">
        <f>IF(Q41&gt;0,(Q41*(INDEX(Barème!E$3:O$72,MATCH(K41,Barème!A$3:A$72,1),MATCH(E41,Barème!E$1:O$1,0)))/1000),0)</f>
        <v>423.38744104999995</v>
      </c>
      <c r="S41" s="99">
        <f t="shared" ref="S41" si="488">S40+P41</f>
        <v>652600</v>
      </c>
      <c r="T41" s="100">
        <f t="shared" ref="T41" si="489">T40+Q41</f>
        <v>539865.42699999991</v>
      </c>
      <c r="U41" s="101">
        <f t="shared" ref="U41" si="490">U40+R41</f>
        <v>13340.677524889998</v>
      </c>
      <c r="V41" s="102">
        <f t="shared" ref="V41" si="491">IF(E41="Casaus",P41+V40,V40)</f>
        <v>322720</v>
      </c>
      <c r="W41" s="98">
        <f t="shared" ref="W41" si="492">IF(E41="Casaus",Q41+W40,W40)</f>
        <v>267898.10499999998</v>
      </c>
      <c r="X41" s="103">
        <f t="shared" ref="X41" si="493">IF(E41="Casaus",R41+X40,X40)</f>
        <v>6839.9325417999999</v>
      </c>
      <c r="Y41" s="102">
        <f t="shared" ref="Y41" si="494">IF(E41="SOMaSec",P41+Y40,Y40)</f>
        <v>248640</v>
      </c>
      <c r="Z41" s="98">
        <f t="shared" ref="Z41" si="495">IF(E41="SOMaSec",Q41+Z40,Z40)</f>
        <v>202690.24500000002</v>
      </c>
      <c r="AA41" s="104">
        <f t="shared" ref="AA41" si="496">IF(E41="SOMaSec",R41+AA40,AA40)</f>
        <v>4961.353128910001</v>
      </c>
      <c r="AB41" s="105">
        <f t="shared" ref="AB41" si="497">IF(P41&gt;0,P41+AB40,AB40)</f>
        <v>652600</v>
      </c>
      <c r="AC41" s="100">
        <f t="shared" ref="AC41" si="498">IF(Q41&gt;0,Q41+AC40,AC40)</f>
        <v>539865.42699999991</v>
      </c>
      <c r="AD41" s="106">
        <f t="shared" ref="AD41" si="499">IF(AND(E41="Casaus",Q41&gt;0),Q41+AD40,AD40)</f>
        <v>267898.10499999998</v>
      </c>
      <c r="AE41" s="107">
        <f t="shared" ref="AE41" si="500">IF(AND(E41="SOMaSec",Q41&gt;0),Q41+AE40,AE40)</f>
        <v>202690.24500000002</v>
      </c>
    </row>
    <row r="42" spans="1:31" x14ac:dyDescent="0.25">
      <c r="A42" s="128">
        <v>41919</v>
      </c>
      <c r="B42" s="129" t="s">
        <v>207</v>
      </c>
      <c r="C42" s="130">
        <v>54</v>
      </c>
      <c r="D42" s="131"/>
      <c r="E42" s="130" t="s">
        <v>128</v>
      </c>
      <c r="F42" s="130" t="s">
        <v>128</v>
      </c>
      <c r="G42" s="132" t="s">
        <v>220</v>
      </c>
      <c r="H42" s="130" t="s">
        <v>125</v>
      </c>
      <c r="I42" s="130"/>
      <c r="J42" s="130"/>
      <c r="K42" s="130">
        <v>30.1</v>
      </c>
      <c r="L42" s="130"/>
      <c r="M42" s="130"/>
      <c r="N42" s="133">
        <v>31780</v>
      </c>
      <c r="O42" s="133">
        <v>14120</v>
      </c>
      <c r="P42" s="74">
        <f t="shared" ref="P42" si="501">N42-O42</f>
        <v>17660</v>
      </c>
      <c r="Q42" s="75">
        <f>IFERROR(P42*(LOOKUP(K42,Barème!A$3:A$72,Barème!D$3:D$72/1000)),0)</f>
        <v>14340.802999999998</v>
      </c>
      <c r="R42" s="76">
        <f>IF(Q42&gt;0,(Q42*(INDEX(Barème!E$3:O$72,MATCH(K42,Barème!A$3:A$72,1),MATCH(E42,Barème!E$1:O$1,0)))/1000),0)</f>
        <v>354.36124212999999</v>
      </c>
      <c r="S42" s="99">
        <f t="shared" ref="S42" si="502">S41+P42</f>
        <v>670260</v>
      </c>
      <c r="T42" s="100">
        <f t="shared" ref="T42" si="503">T41+Q42</f>
        <v>554206.22999999986</v>
      </c>
      <c r="U42" s="101">
        <f t="shared" ref="U42" si="504">U41+R42</f>
        <v>13695.038767019998</v>
      </c>
      <c r="V42" s="102">
        <f t="shared" ref="V42" si="505">IF(E42="Casaus",P42+V41,V41)</f>
        <v>322720</v>
      </c>
      <c r="W42" s="98">
        <f t="shared" ref="W42" si="506">IF(E42="Casaus",Q42+W41,W41)</f>
        <v>267898.10499999998</v>
      </c>
      <c r="X42" s="103">
        <f t="shared" ref="X42" si="507">IF(E42="Casaus",R42+X41,X41)</f>
        <v>6839.9325417999999</v>
      </c>
      <c r="Y42" s="102">
        <f t="shared" ref="Y42" si="508">IF(E42="SOMaSec",P42+Y41,Y41)</f>
        <v>266300</v>
      </c>
      <c r="Z42" s="98">
        <f t="shared" ref="Z42" si="509">IF(E42="SOMaSec",Q42+Z41,Z41)</f>
        <v>217031.04800000001</v>
      </c>
      <c r="AA42" s="104">
        <f t="shared" ref="AA42" si="510">IF(E42="SOMaSec",R42+AA41,AA41)</f>
        <v>5315.7143710400014</v>
      </c>
      <c r="AB42" s="105">
        <f t="shared" ref="AB42" si="511">IF(P42&gt;0,P42+AB41,AB41)</f>
        <v>670260</v>
      </c>
      <c r="AC42" s="100">
        <f t="shared" ref="AC42" si="512">IF(Q42&gt;0,Q42+AC41,AC41)</f>
        <v>554206.22999999986</v>
      </c>
      <c r="AD42" s="106">
        <f t="shared" ref="AD42" si="513">IF(AND(E42="Casaus",Q42&gt;0),Q42+AD41,AD41)</f>
        <v>267898.10499999998</v>
      </c>
      <c r="AE42" s="107">
        <f t="shared" ref="AE42" si="514">IF(AND(E42="SOMaSec",Q42&gt;0),Q42+AE41,AE41)</f>
        <v>217031.04800000001</v>
      </c>
    </row>
    <row r="43" spans="1:31" x14ac:dyDescent="0.25">
      <c r="A43" s="128">
        <v>41919</v>
      </c>
      <c r="B43" s="129" t="s">
        <v>207</v>
      </c>
      <c r="C43" s="130">
        <v>56</v>
      </c>
      <c r="D43" s="131"/>
      <c r="E43" s="130" t="s">
        <v>128</v>
      </c>
      <c r="F43" s="130" t="s">
        <v>128</v>
      </c>
      <c r="G43" s="132" t="s">
        <v>22</v>
      </c>
      <c r="H43" s="130" t="s">
        <v>125</v>
      </c>
      <c r="I43" s="130"/>
      <c r="J43" s="130"/>
      <c r="K43" s="130">
        <v>28.3</v>
      </c>
      <c r="L43" s="130"/>
      <c r="M43" s="130"/>
      <c r="N43" s="133">
        <v>35820</v>
      </c>
      <c r="O43" s="133">
        <v>15020</v>
      </c>
      <c r="P43" s="74">
        <f t="shared" ref="P43" si="515">N43-O43</f>
        <v>20800</v>
      </c>
      <c r="Q43" s="75">
        <f>IFERROR(P43*(LOOKUP(K43,Barème!A$3:A$72,Barème!D$3:D$72/1000)),0)</f>
        <v>17408.560000000001</v>
      </c>
      <c r="R43" s="76">
        <f>IF(Q43&gt;0,(Q43*(INDEX(Barème!E$3:O$72,MATCH(K43,Barème!A$3:A$72,1),MATCH(E43,Barème!E$1:O$1,0)))/1000),0)</f>
        <v>396.04474000000005</v>
      </c>
      <c r="S43" s="99">
        <f t="shared" ref="S43" si="516">S42+P43</f>
        <v>691060</v>
      </c>
      <c r="T43" s="100">
        <f t="shared" ref="T43" si="517">T42+Q43</f>
        <v>571614.78999999992</v>
      </c>
      <c r="U43" s="101">
        <f t="shared" ref="U43" si="518">U42+R43</f>
        <v>14091.083507019997</v>
      </c>
      <c r="V43" s="102">
        <f t="shared" ref="V43" si="519">IF(E43="Casaus",P43+V42,V42)</f>
        <v>322720</v>
      </c>
      <c r="W43" s="98">
        <f t="shared" ref="W43" si="520">IF(E43="Casaus",Q43+W42,W42)</f>
        <v>267898.10499999998</v>
      </c>
      <c r="X43" s="103">
        <f t="shared" ref="X43" si="521">IF(E43="Casaus",R43+X42,X42)</f>
        <v>6839.9325417999999</v>
      </c>
      <c r="Y43" s="102">
        <f t="shared" ref="Y43" si="522">IF(E43="SOMaSec",P43+Y42,Y42)</f>
        <v>287100</v>
      </c>
      <c r="Z43" s="98">
        <f t="shared" ref="Z43" si="523">IF(E43="SOMaSec",Q43+Z42,Z42)</f>
        <v>234439.60800000001</v>
      </c>
      <c r="AA43" s="104">
        <f t="shared" ref="AA43" si="524">IF(E43="SOMaSec",R43+AA42,AA42)</f>
        <v>5711.7591110400017</v>
      </c>
      <c r="AB43" s="105">
        <f t="shared" ref="AB43" si="525">IF(P43&gt;0,P43+AB42,AB42)</f>
        <v>691060</v>
      </c>
      <c r="AC43" s="100">
        <f t="shared" ref="AC43" si="526">IF(Q43&gt;0,Q43+AC42,AC42)</f>
        <v>571614.78999999992</v>
      </c>
      <c r="AD43" s="106">
        <f t="shared" ref="AD43" si="527">IF(AND(E43="Casaus",Q43&gt;0),Q43+AD42,AD42)</f>
        <v>267898.10499999998</v>
      </c>
      <c r="AE43" s="107">
        <f t="shared" ref="AE43" si="528">IF(AND(E43="SOMaSec",Q43&gt;0),Q43+AE42,AE42)</f>
        <v>234439.60800000001</v>
      </c>
    </row>
    <row r="44" spans="1:31" x14ac:dyDescent="0.25">
      <c r="A44" s="128">
        <v>41919</v>
      </c>
      <c r="B44" s="129" t="s">
        <v>207</v>
      </c>
      <c r="C44" s="130">
        <v>57</v>
      </c>
      <c r="D44" s="131"/>
      <c r="E44" s="130" t="s">
        <v>128</v>
      </c>
      <c r="F44" s="130" t="s">
        <v>128</v>
      </c>
      <c r="G44" s="132" t="s">
        <v>22</v>
      </c>
      <c r="H44" s="130" t="s">
        <v>125</v>
      </c>
      <c r="I44" s="130"/>
      <c r="J44" s="130"/>
      <c r="K44" s="130">
        <v>29.6</v>
      </c>
      <c r="L44" s="130"/>
      <c r="M44" s="130"/>
      <c r="N44" s="133">
        <v>32320</v>
      </c>
      <c r="O44" s="133">
        <v>14100</v>
      </c>
      <c r="P44" s="74">
        <f t="shared" ref="P44" si="529">N44-O44</f>
        <v>18220</v>
      </c>
      <c r="Q44" s="75">
        <f>IFERROR(P44*(LOOKUP(K44,Barème!A$3:A$72,Barème!D$3:D$72/1000)),0)</f>
        <v>14913.07</v>
      </c>
      <c r="R44" s="76">
        <f>IF(Q44&gt;0,(Q44*(INDEX(Barème!E$3:O$72,MATCH(K44,Barème!A$3:A$72,1),MATCH(E44,Barème!E$1:O$1,0)))/1000),0)</f>
        <v>361.34368610000001</v>
      </c>
      <c r="S44" s="99">
        <f t="shared" ref="S44" si="530">S43+P44</f>
        <v>709280</v>
      </c>
      <c r="T44" s="100">
        <f t="shared" ref="T44" si="531">T43+Q44</f>
        <v>586527.85999999987</v>
      </c>
      <c r="U44" s="101">
        <f t="shared" ref="U44" si="532">U43+R44</f>
        <v>14452.427193119998</v>
      </c>
      <c r="V44" s="102">
        <f t="shared" ref="V44" si="533">IF(E44="Casaus",P44+V43,V43)</f>
        <v>322720</v>
      </c>
      <c r="W44" s="98">
        <f t="shared" ref="W44" si="534">IF(E44="Casaus",Q44+W43,W43)</f>
        <v>267898.10499999998</v>
      </c>
      <c r="X44" s="103">
        <f t="shared" ref="X44" si="535">IF(E44="Casaus",R44+X43,X43)</f>
        <v>6839.9325417999999</v>
      </c>
      <c r="Y44" s="102">
        <f t="shared" ref="Y44" si="536">IF(E44="SOMaSec",P44+Y43,Y43)</f>
        <v>305320</v>
      </c>
      <c r="Z44" s="98">
        <f t="shared" ref="Z44" si="537">IF(E44="SOMaSec",Q44+Z43,Z43)</f>
        <v>249352.67800000001</v>
      </c>
      <c r="AA44" s="104">
        <f t="shared" ref="AA44" si="538">IF(E44="SOMaSec",R44+AA43,AA43)</f>
        <v>6073.1027971400017</v>
      </c>
      <c r="AB44" s="105">
        <f t="shared" ref="AB44" si="539">IF(P44&gt;0,P44+AB43,AB43)</f>
        <v>709280</v>
      </c>
      <c r="AC44" s="100">
        <f t="shared" ref="AC44" si="540">IF(Q44&gt;0,Q44+AC43,AC43)</f>
        <v>586527.85999999987</v>
      </c>
      <c r="AD44" s="106">
        <f t="shared" ref="AD44" si="541">IF(AND(E44="Casaus",Q44&gt;0),Q44+AD43,AD43)</f>
        <v>267898.10499999998</v>
      </c>
      <c r="AE44" s="107">
        <f t="shared" ref="AE44" si="542">IF(AND(E44="SOMaSec",Q44&gt;0),Q44+AE43,AE43)</f>
        <v>249352.67800000001</v>
      </c>
    </row>
    <row r="45" spans="1:31" x14ac:dyDescent="0.25">
      <c r="A45" s="128">
        <v>41919</v>
      </c>
      <c r="B45" s="129" t="s">
        <v>207</v>
      </c>
      <c r="C45" s="130">
        <v>58</v>
      </c>
      <c r="D45" s="131"/>
      <c r="E45" s="130" t="s">
        <v>128</v>
      </c>
      <c r="F45" s="130" t="s">
        <v>128</v>
      </c>
      <c r="G45" s="132" t="s">
        <v>22</v>
      </c>
      <c r="H45" s="130" t="s">
        <v>125</v>
      </c>
      <c r="I45" s="130"/>
      <c r="J45" s="130"/>
      <c r="K45" s="130">
        <v>29.2</v>
      </c>
      <c r="L45" s="130"/>
      <c r="M45" s="130"/>
      <c r="N45" s="133">
        <v>35960</v>
      </c>
      <c r="O45" s="133">
        <v>15000</v>
      </c>
      <c r="P45" s="74">
        <f t="shared" ref="P45" si="543">N45-O45</f>
        <v>20960</v>
      </c>
      <c r="Q45" s="75">
        <f>IFERROR(P45*(LOOKUP(K45,Barème!A$3:A$72,Barème!D$3:D$72/1000)),0)</f>
        <v>17284.664000000001</v>
      </c>
      <c r="R45" s="76">
        <f>IF(Q45&gt;0,(Q45*(INDEX(Barème!E$3:O$72,MATCH(K45,Barème!A$3:A$72,1),MATCH(E45,Barème!E$1:O$1,0)))/1000),0)</f>
        <v>410.33792335999999</v>
      </c>
      <c r="S45" s="99">
        <f t="shared" ref="S45" si="544">S44+P45</f>
        <v>730240</v>
      </c>
      <c r="T45" s="100">
        <f t="shared" ref="T45" si="545">T44+Q45</f>
        <v>603812.52399999986</v>
      </c>
      <c r="U45" s="101">
        <f t="shared" ref="U45" si="546">U44+R45</f>
        <v>14862.765116479999</v>
      </c>
      <c r="V45" s="102">
        <f t="shared" ref="V45" si="547">IF(E45="Casaus",P45+V44,V44)</f>
        <v>322720</v>
      </c>
      <c r="W45" s="98">
        <f t="shared" ref="W45" si="548">IF(E45="Casaus",Q45+W44,W44)</f>
        <v>267898.10499999998</v>
      </c>
      <c r="X45" s="103">
        <f t="shared" ref="X45" si="549">IF(E45="Casaus",R45+X44,X44)</f>
        <v>6839.9325417999999</v>
      </c>
      <c r="Y45" s="102">
        <f t="shared" ref="Y45" si="550">IF(E45="SOMaSec",P45+Y44,Y44)</f>
        <v>326280</v>
      </c>
      <c r="Z45" s="98">
        <f t="shared" ref="Z45" si="551">IF(E45="SOMaSec",Q45+Z44,Z44)</f>
        <v>266637.342</v>
      </c>
      <c r="AA45" s="104">
        <f t="shared" ref="AA45" si="552">IF(E45="SOMaSec",R45+AA44,AA44)</f>
        <v>6483.4407205000016</v>
      </c>
      <c r="AB45" s="105">
        <f t="shared" ref="AB45" si="553">IF(P45&gt;0,P45+AB44,AB44)</f>
        <v>730240</v>
      </c>
      <c r="AC45" s="100">
        <f t="shared" ref="AC45" si="554">IF(Q45&gt;0,Q45+AC44,AC44)</f>
        <v>603812.52399999986</v>
      </c>
      <c r="AD45" s="106">
        <f t="shared" ref="AD45" si="555">IF(AND(E45="Casaus",Q45&gt;0),Q45+AD44,AD44)</f>
        <v>267898.10499999998</v>
      </c>
      <c r="AE45" s="107">
        <f t="shared" ref="AE45" si="556">IF(AND(E45="SOMaSec",Q45&gt;0),Q45+AE44,AE44)</f>
        <v>266637.342</v>
      </c>
    </row>
    <row r="46" spans="1:31" x14ac:dyDescent="0.25">
      <c r="A46" s="128">
        <v>41920</v>
      </c>
      <c r="B46" s="129" t="s">
        <v>207</v>
      </c>
      <c r="C46" s="130">
        <v>59</v>
      </c>
      <c r="D46" s="131"/>
      <c r="E46" s="130" t="s">
        <v>128</v>
      </c>
      <c r="F46" s="130" t="s">
        <v>128</v>
      </c>
      <c r="G46" s="132" t="s">
        <v>22</v>
      </c>
      <c r="H46" s="130" t="s">
        <v>75</v>
      </c>
      <c r="I46" s="130"/>
      <c r="J46" s="130"/>
      <c r="K46" s="130">
        <v>28.5</v>
      </c>
      <c r="L46" s="130"/>
      <c r="M46" s="130"/>
      <c r="N46" s="133">
        <v>23620</v>
      </c>
      <c r="O46" s="133">
        <v>13500</v>
      </c>
      <c r="P46" s="74">
        <f t="shared" ref="P46" si="557">N46-O46</f>
        <v>10120</v>
      </c>
      <c r="Q46" s="75">
        <f>IFERROR(P46*(LOOKUP(K46,Barème!A$3:A$72,Barème!D$3:D$72/1000)),0)</f>
        <v>8469.9340000000011</v>
      </c>
      <c r="R46" s="76">
        <f>IF(Q46&gt;0,(Q46*(INDEX(Barème!E$3:O$72,MATCH(K46,Barème!A$3:A$72,1),MATCH(E46,Barème!E$1:O$1,0)))/1000),0)</f>
        <v>192.69099850000001</v>
      </c>
      <c r="S46" s="99">
        <f t="shared" ref="S46" si="558">S45+P46</f>
        <v>740360</v>
      </c>
      <c r="T46" s="100">
        <f t="shared" ref="T46" si="559">T45+Q46</f>
        <v>612282.45799999987</v>
      </c>
      <c r="U46" s="101">
        <f t="shared" ref="U46" si="560">U45+R46</f>
        <v>15055.456114979999</v>
      </c>
      <c r="V46" s="102">
        <f t="shared" ref="V46" si="561">IF(E46="Casaus",P46+V45,V45)</f>
        <v>322720</v>
      </c>
      <c r="W46" s="98">
        <f t="shared" ref="W46" si="562">IF(E46="Casaus",Q46+W45,W45)</f>
        <v>267898.10499999998</v>
      </c>
      <c r="X46" s="103">
        <f t="shared" ref="X46" si="563">IF(E46="Casaus",R46+X45,X45)</f>
        <v>6839.9325417999999</v>
      </c>
      <c r="Y46" s="102">
        <f t="shared" ref="Y46" si="564">IF(E46="SOMaSec",P46+Y45,Y45)</f>
        <v>336400</v>
      </c>
      <c r="Z46" s="98">
        <f t="shared" ref="Z46" si="565">IF(E46="SOMaSec",Q46+Z45,Z45)</f>
        <v>275107.27600000001</v>
      </c>
      <c r="AA46" s="104">
        <f t="shared" ref="AA46" si="566">IF(E46="SOMaSec",R46+AA45,AA45)</f>
        <v>6676.1317190000018</v>
      </c>
      <c r="AB46" s="105">
        <f t="shared" ref="AB46" si="567">IF(P46&gt;0,P46+AB45,AB45)</f>
        <v>740360</v>
      </c>
      <c r="AC46" s="100">
        <f t="shared" ref="AC46" si="568">IF(Q46&gt;0,Q46+AC45,AC45)</f>
        <v>612282.45799999987</v>
      </c>
      <c r="AD46" s="106">
        <f t="shared" ref="AD46" si="569">IF(AND(E46="Casaus",Q46&gt;0),Q46+AD45,AD45)</f>
        <v>267898.10499999998</v>
      </c>
      <c r="AE46" s="107">
        <f t="shared" ref="AE46" si="570">IF(AND(E46="SOMaSec",Q46&gt;0),Q46+AE45,AE45)</f>
        <v>275107.27600000001</v>
      </c>
    </row>
    <row r="47" spans="1:31" x14ac:dyDescent="0.25">
      <c r="A47" s="128">
        <v>41920</v>
      </c>
      <c r="B47" s="129" t="s">
        <v>207</v>
      </c>
      <c r="C47" s="130">
        <v>60</v>
      </c>
      <c r="D47" s="131"/>
      <c r="E47" s="130" t="s">
        <v>128</v>
      </c>
      <c r="F47" s="130" t="s">
        <v>128</v>
      </c>
      <c r="G47" s="132" t="s">
        <v>22</v>
      </c>
      <c r="H47" s="130" t="s">
        <v>75</v>
      </c>
      <c r="I47" s="130"/>
      <c r="J47" s="130"/>
      <c r="K47" s="130">
        <v>29.5</v>
      </c>
      <c r="L47" s="130"/>
      <c r="M47" s="130"/>
      <c r="N47" s="133">
        <v>27320</v>
      </c>
      <c r="O47" s="133">
        <v>13420</v>
      </c>
      <c r="P47" s="74">
        <f t="shared" ref="P47" si="571">N47-O47</f>
        <v>13900</v>
      </c>
      <c r="Q47" s="75">
        <f>IFERROR(P47*(LOOKUP(K47,Barème!A$3:A$72,Barème!D$3:D$72/1000)),0)</f>
        <v>11462.635</v>
      </c>
      <c r="R47" s="76">
        <f>IF(Q47&gt;0,(Q47*(INDEX(Barème!E$3:O$72,MATCH(K47,Barème!A$3:A$72,1),MATCH(E47,Barème!E$1:O$1,0)))/1000),0)</f>
        <v>272.12295490000002</v>
      </c>
      <c r="S47" s="99">
        <f t="shared" ref="S47" si="572">S46+P47</f>
        <v>754260</v>
      </c>
      <c r="T47" s="100">
        <f t="shared" ref="T47" si="573">T46+Q47</f>
        <v>623745.09299999988</v>
      </c>
      <c r="U47" s="101">
        <f t="shared" ref="U47" si="574">U46+R47</f>
        <v>15327.579069879999</v>
      </c>
      <c r="V47" s="102">
        <f t="shared" ref="V47" si="575">IF(E47="Casaus",P47+V46,V46)</f>
        <v>322720</v>
      </c>
      <c r="W47" s="98">
        <f t="shared" ref="W47" si="576">IF(E47="Casaus",Q47+W46,W46)</f>
        <v>267898.10499999998</v>
      </c>
      <c r="X47" s="103">
        <f t="shared" ref="X47" si="577">IF(E47="Casaus",R47+X46,X46)</f>
        <v>6839.9325417999999</v>
      </c>
      <c r="Y47" s="102">
        <f t="shared" ref="Y47" si="578">IF(E47="SOMaSec",P47+Y46,Y46)</f>
        <v>350300</v>
      </c>
      <c r="Z47" s="98">
        <f t="shared" ref="Z47" si="579">IF(E47="SOMaSec",Q47+Z46,Z46)</f>
        <v>286569.91100000002</v>
      </c>
      <c r="AA47" s="104">
        <f t="shared" ref="AA47" si="580">IF(E47="SOMaSec",R47+AA46,AA46)</f>
        <v>6948.2546739000018</v>
      </c>
      <c r="AB47" s="105">
        <f t="shared" ref="AB47" si="581">IF(P47&gt;0,P47+AB46,AB46)</f>
        <v>754260</v>
      </c>
      <c r="AC47" s="100">
        <f t="shared" ref="AC47" si="582">IF(Q47&gt;0,Q47+AC46,AC46)</f>
        <v>623745.09299999988</v>
      </c>
      <c r="AD47" s="106">
        <f t="shared" ref="AD47" si="583">IF(AND(E47="Casaus",Q47&gt;0),Q47+AD46,AD46)</f>
        <v>267898.10499999998</v>
      </c>
      <c r="AE47" s="107">
        <f t="shared" ref="AE47" si="584">IF(AND(E47="SOMaSec",Q47&gt;0),Q47+AE46,AE46)</f>
        <v>286569.91100000002</v>
      </c>
    </row>
    <row r="48" spans="1:31" x14ac:dyDescent="0.25">
      <c r="A48" s="128">
        <v>41920</v>
      </c>
      <c r="B48" s="129" t="s">
        <v>207</v>
      </c>
      <c r="C48" s="130">
        <v>61</v>
      </c>
      <c r="D48" s="131"/>
      <c r="E48" s="130" t="s">
        <v>128</v>
      </c>
      <c r="F48" s="130" t="s">
        <v>128</v>
      </c>
      <c r="G48" s="132" t="s">
        <v>22</v>
      </c>
      <c r="H48" s="130" t="s">
        <v>125</v>
      </c>
      <c r="I48" s="130"/>
      <c r="J48" s="130"/>
      <c r="K48" s="130">
        <v>29.9</v>
      </c>
      <c r="L48" s="130"/>
      <c r="M48" s="130"/>
      <c r="N48" s="133">
        <v>33420</v>
      </c>
      <c r="O48" s="133">
        <v>14100</v>
      </c>
      <c r="P48" s="74">
        <f t="shared" ref="P48" si="585">N48-O48</f>
        <v>19320</v>
      </c>
      <c r="Q48" s="75">
        <f>IFERROR(P48*(LOOKUP(K48,Barème!A$3:A$72,Barème!D$3:D$72/1000)),0)</f>
        <v>15813.42</v>
      </c>
      <c r="R48" s="76">
        <f>IF(Q48&gt;0,(Q48*(INDEX(Barème!E$3:O$72,MATCH(K48,Barème!A$3:A$72,1),MATCH(E48,Barème!E$1:O$1,0)))/1000),0)</f>
        <v>383.15916659999999</v>
      </c>
      <c r="S48" s="99">
        <f t="shared" ref="S48" si="586">S47+P48</f>
        <v>773580</v>
      </c>
      <c r="T48" s="100">
        <f t="shared" ref="T48" si="587">T47+Q48</f>
        <v>639558.51299999992</v>
      </c>
      <c r="U48" s="101">
        <f t="shared" ref="U48" si="588">U47+R48</f>
        <v>15710.73823648</v>
      </c>
      <c r="V48" s="102">
        <f t="shared" ref="V48" si="589">IF(E48="Casaus",P48+V47,V47)</f>
        <v>322720</v>
      </c>
      <c r="W48" s="98">
        <f t="shared" ref="W48" si="590">IF(E48="Casaus",Q48+W47,W47)</f>
        <v>267898.10499999998</v>
      </c>
      <c r="X48" s="103">
        <f t="shared" ref="X48" si="591">IF(E48="Casaus",R48+X47,X47)</f>
        <v>6839.9325417999999</v>
      </c>
      <c r="Y48" s="102">
        <f t="shared" ref="Y48" si="592">IF(E48="SOMaSec",P48+Y47,Y47)</f>
        <v>369620</v>
      </c>
      <c r="Z48" s="98">
        <f t="shared" ref="Z48" si="593">IF(E48="SOMaSec",Q48+Z47,Z47)</f>
        <v>302383.33100000001</v>
      </c>
      <c r="AA48" s="104">
        <f t="shared" ref="AA48" si="594">IF(E48="SOMaSec",R48+AA47,AA47)</f>
        <v>7331.4138405000022</v>
      </c>
      <c r="AB48" s="105">
        <f t="shared" ref="AB48" si="595">IF(P48&gt;0,P48+AB47,AB47)</f>
        <v>773580</v>
      </c>
      <c r="AC48" s="100">
        <f t="shared" ref="AC48" si="596">IF(Q48&gt;0,Q48+AC47,AC47)</f>
        <v>639558.51299999992</v>
      </c>
      <c r="AD48" s="106">
        <f t="shared" ref="AD48" si="597">IF(AND(E48="Casaus",Q48&gt;0),Q48+AD47,AD47)</f>
        <v>267898.10499999998</v>
      </c>
      <c r="AE48" s="107">
        <f t="shared" ref="AE48" si="598">IF(AND(E48="SOMaSec",Q48&gt;0),Q48+AE47,AE47)</f>
        <v>302383.33100000001</v>
      </c>
    </row>
    <row r="49" spans="1:31" x14ac:dyDescent="0.25">
      <c r="A49" s="128">
        <v>41920</v>
      </c>
      <c r="B49" s="129" t="s">
        <v>207</v>
      </c>
      <c r="C49" s="130">
        <v>63</v>
      </c>
      <c r="D49" s="131"/>
      <c r="E49" s="130" t="s">
        <v>128</v>
      </c>
      <c r="F49" s="130" t="s">
        <v>128</v>
      </c>
      <c r="G49" s="132" t="s">
        <v>22</v>
      </c>
      <c r="H49" s="130" t="s">
        <v>125</v>
      </c>
      <c r="I49" s="130"/>
      <c r="J49" s="130"/>
      <c r="K49" s="130">
        <v>31.4</v>
      </c>
      <c r="L49" s="130"/>
      <c r="M49" s="130"/>
      <c r="N49" s="133">
        <v>37020</v>
      </c>
      <c r="O49" s="133">
        <v>15000</v>
      </c>
      <c r="P49" s="74">
        <f t="shared" ref="P49" si="599">N49-O49</f>
        <v>22020</v>
      </c>
      <c r="Q49" s="75">
        <f>IFERROR(P49*(LOOKUP(K49,Barème!A$3:A$72,Barème!D$3:D$72/1000)),0)</f>
        <v>17597.282999999999</v>
      </c>
      <c r="R49" s="76">
        <f>IF(Q49&gt;0,(Q49*(INDEX(Barème!E$3:O$72,MATCH(K49,Barème!A$3:A$72,1),MATCH(E49,Barème!E$1:O$1,0)))/1000),0)</f>
        <v>452.25017309999998</v>
      </c>
      <c r="S49" s="99">
        <f t="shared" ref="S49" si="600">S48+P49</f>
        <v>795600</v>
      </c>
      <c r="T49" s="100">
        <f t="shared" ref="T49" si="601">T48+Q49</f>
        <v>657155.79599999997</v>
      </c>
      <c r="U49" s="101">
        <f t="shared" ref="U49" si="602">U48+R49</f>
        <v>16162.988409579999</v>
      </c>
      <c r="V49" s="102">
        <f t="shared" ref="V49" si="603">IF(E49="Casaus",P49+V48,V48)</f>
        <v>322720</v>
      </c>
      <c r="W49" s="98">
        <f t="shared" ref="W49" si="604">IF(E49="Casaus",Q49+W48,W48)</f>
        <v>267898.10499999998</v>
      </c>
      <c r="X49" s="103">
        <f t="shared" ref="X49" si="605">IF(E49="Casaus",R49+X48,X48)</f>
        <v>6839.9325417999999</v>
      </c>
      <c r="Y49" s="102">
        <f t="shared" ref="Y49" si="606">IF(E49="SOMaSec",P49+Y48,Y48)</f>
        <v>391640</v>
      </c>
      <c r="Z49" s="98">
        <f t="shared" ref="Z49" si="607">IF(E49="SOMaSec",Q49+Z48,Z48)</f>
        <v>319980.614</v>
      </c>
      <c r="AA49" s="104">
        <f t="shared" ref="AA49" si="608">IF(E49="SOMaSec",R49+AA48,AA48)</f>
        <v>7783.6640136000024</v>
      </c>
      <c r="AB49" s="105">
        <f t="shared" ref="AB49" si="609">IF(P49&gt;0,P49+AB48,AB48)</f>
        <v>795600</v>
      </c>
      <c r="AC49" s="100">
        <f t="shared" ref="AC49" si="610">IF(Q49&gt;0,Q49+AC48,AC48)</f>
        <v>657155.79599999997</v>
      </c>
      <c r="AD49" s="106">
        <f t="shared" ref="AD49" si="611">IF(AND(E49="Casaus",Q49&gt;0),Q49+AD48,AD48)</f>
        <v>267898.10499999998</v>
      </c>
      <c r="AE49" s="107">
        <f t="shared" ref="AE49" si="612">IF(AND(E49="SOMaSec",Q49&gt;0),Q49+AE48,AE48)</f>
        <v>319980.614</v>
      </c>
    </row>
    <row r="50" spans="1:31" x14ac:dyDescent="0.25">
      <c r="A50" s="128">
        <v>41920</v>
      </c>
      <c r="B50" s="129" t="s">
        <v>207</v>
      </c>
      <c r="C50" s="130">
        <v>64</v>
      </c>
      <c r="D50" s="131"/>
      <c r="E50" s="130" t="s">
        <v>128</v>
      </c>
      <c r="F50" s="130" t="s">
        <v>128</v>
      </c>
      <c r="G50" s="132" t="s">
        <v>22</v>
      </c>
      <c r="H50" s="130" t="s">
        <v>75</v>
      </c>
      <c r="I50" s="130"/>
      <c r="J50" s="130"/>
      <c r="K50" s="130">
        <v>30</v>
      </c>
      <c r="L50" s="130"/>
      <c r="M50" s="130"/>
      <c r="N50" s="133">
        <v>25380</v>
      </c>
      <c r="O50" s="133">
        <v>10100</v>
      </c>
      <c r="P50" s="74">
        <f t="shared" ref="P50" si="613">N50-O50</f>
        <v>15280</v>
      </c>
      <c r="Q50" s="75">
        <f>IFERROR(P50*(LOOKUP(K50,Barème!A$3:A$72,Barème!D$3:D$72/1000)),0)</f>
        <v>12506.68</v>
      </c>
      <c r="R50" s="76">
        <f>IF(Q50&gt;0,(Q50*(INDEX(Barème!E$3:O$72,MATCH(K50,Barème!A$3:A$72,1),MATCH(E50,Barème!E$1:O$1,0)))/1000),0)</f>
        <v>303.03685639999998</v>
      </c>
      <c r="S50" s="99">
        <f t="shared" ref="S50" si="614">S49+P50</f>
        <v>810880</v>
      </c>
      <c r="T50" s="100">
        <f t="shared" ref="T50" si="615">T49+Q50</f>
        <v>669662.47600000002</v>
      </c>
      <c r="U50" s="101">
        <f t="shared" ref="U50" si="616">U49+R50</f>
        <v>16466.025265979999</v>
      </c>
      <c r="V50" s="102">
        <f t="shared" ref="V50" si="617">IF(E50="Casaus",P50+V49,V49)</f>
        <v>322720</v>
      </c>
      <c r="W50" s="98">
        <f t="shared" ref="W50" si="618">IF(E50="Casaus",Q50+W49,W49)</f>
        <v>267898.10499999998</v>
      </c>
      <c r="X50" s="103">
        <f t="shared" ref="X50" si="619">IF(E50="Casaus",R50+X49,X49)</f>
        <v>6839.9325417999999</v>
      </c>
      <c r="Y50" s="102">
        <f t="shared" ref="Y50" si="620">IF(E50="SOMaSec",P50+Y49,Y49)</f>
        <v>406920</v>
      </c>
      <c r="Z50" s="98">
        <f t="shared" ref="Z50" si="621">IF(E50="SOMaSec",Q50+Z49,Z49)</f>
        <v>332487.29399999999</v>
      </c>
      <c r="AA50" s="104">
        <f t="shared" ref="AA50" si="622">IF(E50="SOMaSec",R50+AA49,AA49)</f>
        <v>8086.7008700000024</v>
      </c>
      <c r="AB50" s="105">
        <f t="shared" ref="AB50" si="623">IF(P50&gt;0,P50+AB49,AB49)</f>
        <v>810880</v>
      </c>
      <c r="AC50" s="100">
        <f t="shared" ref="AC50" si="624">IF(Q50&gt;0,Q50+AC49,AC49)</f>
        <v>669662.47600000002</v>
      </c>
      <c r="AD50" s="106">
        <f t="shared" ref="AD50" si="625">IF(AND(E50="Casaus",Q50&gt;0),Q50+AD49,AD49)</f>
        <v>267898.10499999998</v>
      </c>
      <c r="AE50" s="107">
        <f t="shared" ref="AE50" si="626">IF(AND(E50="SOMaSec",Q50&gt;0),Q50+AE49,AE49)</f>
        <v>332487.29399999999</v>
      </c>
    </row>
    <row r="51" spans="1:31" x14ac:dyDescent="0.25">
      <c r="A51" s="128">
        <v>41920</v>
      </c>
      <c r="B51" s="129" t="s">
        <v>207</v>
      </c>
      <c r="C51" s="130">
        <v>65</v>
      </c>
      <c r="D51" s="131"/>
      <c r="E51" s="130" t="s">
        <v>128</v>
      </c>
      <c r="F51" s="130" t="s">
        <v>128</v>
      </c>
      <c r="G51" s="132" t="s">
        <v>22</v>
      </c>
      <c r="H51" s="130" t="s">
        <v>125</v>
      </c>
      <c r="I51" s="130"/>
      <c r="J51" s="130"/>
      <c r="K51" s="130">
        <v>31.5</v>
      </c>
      <c r="L51" s="130"/>
      <c r="M51" s="130"/>
      <c r="N51" s="133">
        <v>36800</v>
      </c>
      <c r="O51" s="133">
        <v>14980</v>
      </c>
      <c r="P51" s="74">
        <f t="shared" ref="P51" si="627">N51-O51</f>
        <v>21820</v>
      </c>
      <c r="Q51" s="75">
        <f>IFERROR(P51*(LOOKUP(K51,Barème!A$3:A$72,Barème!D$3:D$72/1000)),0)</f>
        <v>17437.453000000001</v>
      </c>
      <c r="R51" s="76">
        <f>IF(Q51&gt;0,(Q51*(INDEX(Barème!E$3:O$72,MATCH(K51,Barème!A$3:A$72,1),MATCH(E51,Barème!E$1:O$1,0)))/1000),0)</f>
        <v>448.14254210000001</v>
      </c>
      <c r="S51" s="99">
        <f t="shared" ref="S51" si="628">S50+P51</f>
        <v>832700</v>
      </c>
      <c r="T51" s="100">
        <f t="shared" ref="T51" si="629">T50+Q51</f>
        <v>687099.929</v>
      </c>
      <c r="U51" s="101">
        <f t="shared" ref="U51" si="630">U50+R51</f>
        <v>16914.167808079997</v>
      </c>
      <c r="V51" s="102">
        <f t="shared" ref="V51" si="631">IF(E51="Casaus",P51+V50,V50)</f>
        <v>322720</v>
      </c>
      <c r="W51" s="98">
        <f t="shared" ref="W51" si="632">IF(E51="Casaus",Q51+W50,W50)</f>
        <v>267898.10499999998</v>
      </c>
      <c r="X51" s="103">
        <f t="shared" ref="X51" si="633">IF(E51="Casaus",R51+X50,X50)</f>
        <v>6839.9325417999999</v>
      </c>
      <c r="Y51" s="102">
        <f t="shared" ref="Y51" si="634">IF(E51="SOMaSec",P51+Y50,Y50)</f>
        <v>428740</v>
      </c>
      <c r="Z51" s="98">
        <f t="shared" ref="Z51" si="635">IF(E51="SOMaSec",Q51+Z50,Z50)</f>
        <v>349924.74699999997</v>
      </c>
      <c r="AA51" s="104">
        <f t="shared" ref="AA51" si="636">IF(E51="SOMaSec",R51+AA50,AA50)</f>
        <v>8534.8434121000028</v>
      </c>
      <c r="AB51" s="105">
        <f t="shared" ref="AB51" si="637">IF(P51&gt;0,P51+AB50,AB50)</f>
        <v>832700</v>
      </c>
      <c r="AC51" s="100">
        <f t="shared" ref="AC51" si="638">IF(Q51&gt;0,Q51+AC50,AC50)</f>
        <v>687099.929</v>
      </c>
      <c r="AD51" s="106">
        <f t="shared" ref="AD51" si="639">IF(AND(E51="Casaus",Q51&gt;0),Q51+AD50,AD50)</f>
        <v>267898.10499999998</v>
      </c>
      <c r="AE51" s="107">
        <f t="shared" ref="AE51" si="640">IF(AND(E51="SOMaSec",Q51&gt;0),Q51+AE50,AE50)</f>
        <v>349924.74699999997</v>
      </c>
    </row>
    <row r="52" spans="1:31" x14ac:dyDescent="0.25">
      <c r="A52" s="128">
        <v>41920</v>
      </c>
      <c r="B52" s="129" t="s">
        <v>207</v>
      </c>
      <c r="C52" s="130">
        <v>67</v>
      </c>
      <c r="D52" s="131"/>
      <c r="E52" s="130" t="s">
        <v>128</v>
      </c>
      <c r="F52" s="130" t="s">
        <v>128</v>
      </c>
      <c r="G52" s="132" t="s">
        <v>22</v>
      </c>
      <c r="H52" s="130" t="s">
        <v>125</v>
      </c>
      <c r="I52" s="130"/>
      <c r="J52" s="130"/>
      <c r="K52" s="130">
        <v>29.8</v>
      </c>
      <c r="L52" s="130"/>
      <c r="M52" s="130"/>
      <c r="N52" s="133">
        <v>32620</v>
      </c>
      <c r="O52" s="133">
        <v>14080</v>
      </c>
      <c r="P52" s="74">
        <f t="shared" ref="P52" si="641">N52-O52</f>
        <v>18540</v>
      </c>
      <c r="Q52" s="75">
        <f>IFERROR(P52*(LOOKUP(K52,Barème!A$3:A$72,Barème!D$3:D$72/1000)),0)</f>
        <v>15174.99</v>
      </c>
      <c r="R52" s="76">
        <f>IF(Q52&gt;0,(Q52*(INDEX(Barème!E$3:O$72,MATCH(K52,Barème!A$3:A$72,1),MATCH(E52,Barème!E$1:O$1,0)))/1000),0)</f>
        <v>367.69000770000002</v>
      </c>
      <c r="S52" s="99">
        <f t="shared" ref="S52" si="642">S51+P52</f>
        <v>851240</v>
      </c>
      <c r="T52" s="100">
        <f t="shared" ref="T52" si="643">T51+Q52</f>
        <v>702274.91899999999</v>
      </c>
      <c r="U52" s="101">
        <f t="shared" ref="U52" si="644">U51+R52</f>
        <v>17281.857815779997</v>
      </c>
      <c r="V52" s="102">
        <f t="shared" ref="V52" si="645">IF(E52="Casaus",P52+V51,V51)</f>
        <v>322720</v>
      </c>
      <c r="W52" s="98">
        <f t="shared" ref="W52" si="646">IF(E52="Casaus",Q52+W51,W51)</f>
        <v>267898.10499999998</v>
      </c>
      <c r="X52" s="103">
        <f t="shared" ref="X52" si="647">IF(E52="Casaus",R52+X51,X51)</f>
        <v>6839.9325417999999</v>
      </c>
      <c r="Y52" s="102">
        <f t="shared" ref="Y52" si="648">IF(E52="SOMaSec",P52+Y51,Y51)</f>
        <v>447280</v>
      </c>
      <c r="Z52" s="98">
        <f t="shared" ref="Z52" si="649">IF(E52="SOMaSec",Q52+Z51,Z51)</f>
        <v>365099.73699999996</v>
      </c>
      <c r="AA52" s="104">
        <f t="shared" ref="AA52" si="650">IF(E52="SOMaSec",R52+AA51,AA51)</f>
        <v>8902.5334198000019</v>
      </c>
      <c r="AB52" s="105">
        <f t="shared" ref="AB52" si="651">IF(P52&gt;0,P52+AB51,AB51)</f>
        <v>851240</v>
      </c>
      <c r="AC52" s="100">
        <f t="shared" ref="AC52" si="652">IF(Q52&gt;0,Q52+AC51,AC51)</f>
        <v>702274.91899999999</v>
      </c>
      <c r="AD52" s="106">
        <f t="shared" ref="AD52" si="653">IF(AND(E52="Casaus",Q52&gt;0),Q52+AD51,AD51)</f>
        <v>267898.10499999998</v>
      </c>
      <c r="AE52" s="107">
        <f t="shared" ref="AE52" si="654">IF(AND(E52="SOMaSec",Q52&gt;0),Q52+AE51,AE51)</f>
        <v>365099.73699999996</v>
      </c>
    </row>
    <row r="53" spans="1:31" x14ac:dyDescent="0.25">
      <c r="A53" s="128">
        <v>41920</v>
      </c>
      <c r="B53" s="129" t="s">
        <v>142</v>
      </c>
      <c r="C53" s="130">
        <v>9947</v>
      </c>
      <c r="D53" s="131">
        <v>11718</v>
      </c>
      <c r="E53" s="130" t="s">
        <v>23</v>
      </c>
      <c r="F53" s="130" t="s">
        <v>23</v>
      </c>
      <c r="G53" s="132" t="s">
        <v>22</v>
      </c>
      <c r="H53" s="130" t="s">
        <v>123</v>
      </c>
      <c r="I53" s="130"/>
      <c r="J53" s="130" t="s">
        <v>222</v>
      </c>
      <c r="K53" s="130">
        <v>28.6</v>
      </c>
      <c r="L53" s="130"/>
      <c r="M53" s="130"/>
      <c r="N53" s="133">
        <v>40620</v>
      </c>
      <c r="O53" s="133">
        <v>12900</v>
      </c>
      <c r="P53" s="74">
        <f t="shared" ref="P53" si="655">N53-O53</f>
        <v>27720</v>
      </c>
      <c r="Q53" s="75">
        <f>IFERROR(P53*(LOOKUP(K53,Barème!A$3:A$72,Barème!D$3:D$72/1000)),0)</f>
        <v>23029.775999999998</v>
      </c>
      <c r="R53" s="76">
        <f>IF(Q53&gt;0,(Q53*(INDEX(Barème!E$3:O$72,MATCH(K53,Barème!A$3:A$72,1),MATCH(E53,Barème!E$1:O$1,0)))/1000),0)</f>
        <v>588.64107455999988</v>
      </c>
      <c r="S53" s="99">
        <f t="shared" ref="S53" si="656">S52+P53</f>
        <v>878960</v>
      </c>
      <c r="T53" s="100">
        <f t="shared" ref="T53" si="657">T52+Q53</f>
        <v>725304.69499999995</v>
      </c>
      <c r="U53" s="101">
        <f t="shared" ref="U53" si="658">U52+R53</f>
        <v>17870.498890339997</v>
      </c>
      <c r="V53" s="102">
        <f t="shared" ref="V53" si="659">IF(E53="Casaus",P53+V52,V52)</f>
        <v>350440</v>
      </c>
      <c r="W53" s="98">
        <f t="shared" ref="W53" si="660">IF(E53="Casaus",Q53+W52,W52)</f>
        <v>290927.88099999999</v>
      </c>
      <c r="X53" s="103">
        <f t="shared" ref="X53" si="661">IF(E53="Casaus",R53+X52,X52)</f>
        <v>7428.5736163599995</v>
      </c>
      <c r="Y53" s="102">
        <f t="shared" ref="Y53" si="662">IF(E53="SOMaSec",P53+Y52,Y52)</f>
        <v>447280</v>
      </c>
      <c r="Z53" s="98">
        <f t="shared" ref="Z53" si="663">IF(E53="SOMaSec",Q53+Z52,Z52)</f>
        <v>365099.73699999996</v>
      </c>
      <c r="AA53" s="104">
        <f t="shared" ref="AA53" si="664">IF(E53="SOMaSec",R53+AA52,AA52)</f>
        <v>8902.5334198000019</v>
      </c>
      <c r="AB53" s="105">
        <f t="shared" ref="AB53" si="665">IF(P53&gt;0,P53+AB52,AB52)</f>
        <v>878960</v>
      </c>
      <c r="AC53" s="100">
        <f t="shared" ref="AC53" si="666">IF(Q53&gt;0,Q53+AC52,AC52)</f>
        <v>725304.69499999995</v>
      </c>
      <c r="AD53" s="106">
        <f t="shared" ref="AD53" si="667">IF(AND(E53="Casaus",Q53&gt;0),Q53+AD52,AD52)</f>
        <v>290927.88099999999</v>
      </c>
      <c r="AE53" s="107">
        <f t="shared" ref="AE53" si="668">IF(AND(E53="SOMaSec",Q53&gt;0),Q53+AE52,AE52)</f>
        <v>365099.73699999996</v>
      </c>
    </row>
    <row r="54" spans="1:31" x14ac:dyDescent="0.25">
      <c r="A54" s="128">
        <v>41920</v>
      </c>
      <c r="B54" s="129" t="s">
        <v>207</v>
      </c>
      <c r="C54" s="130">
        <v>69</v>
      </c>
      <c r="D54" s="131"/>
      <c r="E54" s="130" t="s">
        <v>128</v>
      </c>
      <c r="F54" s="130" t="s">
        <v>128</v>
      </c>
      <c r="G54" s="132" t="s">
        <v>22</v>
      </c>
      <c r="H54" s="130" t="s">
        <v>125</v>
      </c>
      <c r="I54" s="130"/>
      <c r="J54" s="130"/>
      <c r="K54" s="130">
        <v>29.7</v>
      </c>
      <c r="L54" s="130"/>
      <c r="M54" s="130"/>
      <c r="N54" s="133">
        <v>36120</v>
      </c>
      <c r="O54" s="133">
        <v>14960</v>
      </c>
      <c r="P54" s="74">
        <f t="shared" ref="P54" si="669">N54-O54</f>
        <v>21160</v>
      </c>
      <c r="Q54" s="75">
        <f>IFERROR(P54*(LOOKUP(K54,Barème!A$3:A$72,Barème!D$3:D$72/1000)),0)</f>
        <v>17319.46</v>
      </c>
      <c r="R54" s="76">
        <f>IF(Q54&gt;0,(Q54*(INDEX(Barème!E$3:O$72,MATCH(K54,Barème!A$3:A$72,1),MATCH(E54,Barème!E$1:O$1,0)))/1000),0)</f>
        <v>419.65051579999999</v>
      </c>
      <c r="S54" s="99">
        <f t="shared" ref="S54" si="670">S53+P54</f>
        <v>900120</v>
      </c>
      <c r="T54" s="100">
        <f t="shared" ref="T54" si="671">T53+Q54</f>
        <v>742624.15499999991</v>
      </c>
      <c r="U54" s="101">
        <f t="shared" ref="U54" si="672">U53+R54</f>
        <v>18290.149406139997</v>
      </c>
      <c r="V54" s="102">
        <f t="shared" ref="V54" si="673">IF(E54="Casaus",P54+V53,V53)</f>
        <v>350440</v>
      </c>
      <c r="W54" s="98">
        <f t="shared" ref="W54" si="674">IF(E54="Casaus",Q54+W53,W53)</f>
        <v>290927.88099999999</v>
      </c>
      <c r="X54" s="103">
        <f t="shared" ref="X54" si="675">IF(E54="Casaus",R54+X53,X53)</f>
        <v>7428.5736163599995</v>
      </c>
      <c r="Y54" s="102">
        <f t="shared" ref="Y54" si="676">IF(E54="SOMaSec",P54+Y53,Y53)</f>
        <v>468440</v>
      </c>
      <c r="Z54" s="98">
        <f t="shared" ref="Z54" si="677">IF(E54="SOMaSec",Q54+Z53,Z53)</f>
        <v>382419.19699999999</v>
      </c>
      <c r="AA54" s="104">
        <f t="shared" ref="AA54" si="678">IF(E54="SOMaSec",R54+AA53,AA53)</f>
        <v>9322.1839356000019</v>
      </c>
      <c r="AB54" s="105">
        <f t="shared" ref="AB54" si="679">IF(P54&gt;0,P54+AB53,AB53)</f>
        <v>900120</v>
      </c>
      <c r="AC54" s="100">
        <f t="shared" ref="AC54" si="680">IF(Q54&gt;0,Q54+AC53,AC53)</f>
        <v>742624.15499999991</v>
      </c>
      <c r="AD54" s="106">
        <f t="shared" ref="AD54" si="681">IF(AND(E54="Casaus",Q54&gt;0),Q54+AD53,AD53)</f>
        <v>290927.88099999999</v>
      </c>
      <c r="AE54" s="107">
        <f t="shared" ref="AE54" si="682">IF(AND(E54="SOMaSec",Q54&gt;0),Q54+AE53,AE53)</f>
        <v>382419.19699999999</v>
      </c>
    </row>
    <row r="55" spans="1:31" x14ac:dyDescent="0.25">
      <c r="A55" s="128">
        <v>41920</v>
      </c>
      <c r="B55" s="129" t="s">
        <v>207</v>
      </c>
      <c r="C55" s="130">
        <v>70</v>
      </c>
      <c r="D55" s="131"/>
      <c r="E55" s="130" t="s">
        <v>128</v>
      </c>
      <c r="F55" s="130" t="s">
        <v>128</v>
      </c>
      <c r="G55" s="132" t="s">
        <v>22</v>
      </c>
      <c r="H55" s="130" t="s">
        <v>125</v>
      </c>
      <c r="I55" s="130"/>
      <c r="J55" s="130"/>
      <c r="K55" s="130">
        <v>26.7</v>
      </c>
      <c r="L55" s="130"/>
      <c r="M55" s="130"/>
      <c r="N55" s="133">
        <v>32880</v>
      </c>
      <c r="O55" s="133">
        <v>14080</v>
      </c>
      <c r="P55" s="74">
        <f t="shared" ref="P55" si="683">N55-O55</f>
        <v>18800</v>
      </c>
      <c r="Q55" s="75">
        <f>IFERROR(P55*(LOOKUP(K55,Barème!A$3:A$72,Barème!D$3:D$72/1000)),0)</f>
        <v>16081.519999999999</v>
      </c>
      <c r="R55" s="76">
        <f>IF(Q55&gt;0,(Q55*(INDEX(Barème!E$3:O$72,MATCH(K55,Barème!A$3:A$72,1),MATCH(E55,Barème!E$1:O$1,0)))/1000),0)</f>
        <v>340.44577839999999</v>
      </c>
      <c r="S55" s="99">
        <f t="shared" ref="S55" si="684">S54+P55</f>
        <v>918920</v>
      </c>
      <c r="T55" s="100">
        <f t="shared" ref="T55" si="685">T54+Q55</f>
        <v>758705.67499999993</v>
      </c>
      <c r="U55" s="101">
        <f t="shared" ref="U55" si="686">U54+R55</f>
        <v>18630.595184539998</v>
      </c>
      <c r="V55" s="102">
        <f t="shared" ref="V55" si="687">IF(E55="Casaus",P55+V54,V54)</f>
        <v>350440</v>
      </c>
      <c r="W55" s="98">
        <f t="shared" ref="W55" si="688">IF(E55="Casaus",Q55+W54,W54)</f>
        <v>290927.88099999999</v>
      </c>
      <c r="X55" s="103">
        <f t="shared" ref="X55" si="689">IF(E55="Casaus",R55+X54,X54)</f>
        <v>7428.5736163599995</v>
      </c>
      <c r="Y55" s="102">
        <f t="shared" ref="Y55" si="690">IF(E55="SOMaSec",P55+Y54,Y54)</f>
        <v>487240</v>
      </c>
      <c r="Z55" s="98">
        <f t="shared" ref="Z55" si="691">IF(E55="SOMaSec",Q55+Z54,Z54)</f>
        <v>398500.717</v>
      </c>
      <c r="AA55" s="104">
        <f t="shared" ref="AA55" si="692">IF(E55="SOMaSec",R55+AA54,AA54)</f>
        <v>9662.6297140000024</v>
      </c>
      <c r="AB55" s="105">
        <f t="shared" ref="AB55" si="693">IF(P55&gt;0,P55+AB54,AB54)</f>
        <v>918920</v>
      </c>
      <c r="AC55" s="100">
        <f t="shared" ref="AC55" si="694">IF(Q55&gt;0,Q55+AC54,AC54)</f>
        <v>758705.67499999993</v>
      </c>
      <c r="AD55" s="106">
        <f t="shared" ref="AD55" si="695">IF(AND(E55="Casaus",Q55&gt;0),Q55+AD54,AD54)</f>
        <v>290927.88099999999</v>
      </c>
      <c r="AE55" s="107">
        <f t="shared" ref="AE55" si="696">IF(AND(E55="SOMaSec",Q55&gt;0),Q55+AE54,AE54)</f>
        <v>398500.717</v>
      </c>
    </row>
    <row r="56" spans="1:31" x14ac:dyDescent="0.25">
      <c r="A56" s="221">
        <v>41920</v>
      </c>
      <c r="B56" s="222" t="s">
        <v>207</v>
      </c>
      <c r="C56" s="223">
        <v>72</v>
      </c>
      <c r="D56" s="224"/>
      <c r="E56" s="223" t="s">
        <v>128</v>
      </c>
      <c r="F56" s="223" t="s">
        <v>128</v>
      </c>
      <c r="G56" s="225" t="s">
        <v>22</v>
      </c>
      <c r="H56" s="223" t="s">
        <v>125</v>
      </c>
      <c r="I56" s="223"/>
      <c r="J56" s="223"/>
      <c r="K56" s="223">
        <v>27</v>
      </c>
      <c r="L56" s="223"/>
      <c r="M56" s="223"/>
      <c r="N56" s="226">
        <v>37000</v>
      </c>
      <c r="O56" s="226">
        <v>14940</v>
      </c>
      <c r="P56" s="74">
        <f t="shared" ref="P56" si="697">N56-O56</f>
        <v>22060</v>
      </c>
      <c r="Q56" s="75">
        <f>IFERROR(P56*(LOOKUP(K56,Barème!A$3:A$72,Barème!D$3:D$72/1000)),0)</f>
        <v>18870.124</v>
      </c>
      <c r="R56" s="76">
        <f>IF(Q56&gt;0,(Q56*(INDEX(Barème!E$3:O$72,MATCH(K56,Barème!A$3:A$72,1),MATCH(E56,Barème!E$1:O$1,0)))/1000),0)</f>
        <v>399.48052508000006</v>
      </c>
      <c r="S56" s="99">
        <f t="shared" ref="S56" si="698">S55+P56</f>
        <v>940980</v>
      </c>
      <c r="T56" s="100">
        <f t="shared" ref="T56" si="699">T55+Q56</f>
        <v>777575.79899999988</v>
      </c>
      <c r="U56" s="101">
        <f t="shared" ref="U56" si="700">U55+R56</f>
        <v>19030.07570962</v>
      </c>
      <c r="V56" s="102">
        <f t="shared" ref="V56" si="701">IF(E56="Casaus",P56+V55,V55)</f>
        <v>350440</v>
      </c>
      <c r="W56" s="98">
        <f t="shared" ref="W56" si="702">IF(E56="Casaus",Q56+W55,W55)</f>
        <v>290927.88099999999</v>
      </c>
      <c r="X56" s="103">
        <f t="shared" ref="X56" si="703">IF(E56="Casaus",R56+X55,X55)</f>
        <v>7428.5736163599995</v>
      </c>
      <c r="Y56" s="102">
        <f t="shared" ref="Y56" si="704">IF(E56="SOMaSec",P56+Y55,Y55)</f>
        <v>509300</v>
      </c>
      <c r="Z56" s="98">
        <f t="shared" ref="Z56" si="705">IF(E56="SOMaSec",Q56+Z55,Z55)</f>
        <v>417370.84100000001</v>
      </c>
      <c r="AA56" s="104">
        <f t="shared" ref="AA56" si="706">IF(E56="SOMaSec",R56+AA55,AA55)</f>
        <v>10062.110239080002</v>
      </c>
      <c r="AB56" s="105">
        <f t="shared" ref="AB56" si="707">IF(P56&gt;0,P56+AB55,AB55)</f>
        <v>940980</v>
      </c>
      <c r="AC56" s="100">
        <f t="shared" ref="AC56" si="708">IF(Q56&gt;0,Q56+AC55,AC55)</f>
        <v>777575.79899999988</v>
      </c>
      <c r="AD56" s="106">
        <f t="shared" ref="AD56" si="709">IF(AND(E56="Casaus",Q56&gt;0),Q56+AD55,AD55)</f>
        <v>290927.88099999999</v>
      </c>
      <c r="AE56" s="107">
        <f t="shared" ref="AE56" si="710">IF(AND(E56="SOMaSec",Q56&gt;0),Q56+AE55,AE55)</f>
        <v>417370.84100000001</v>
      </c>
    </row>
    <row r="57" spans="1:31" x14ac:dyDescent="0.25">
      <c r="A57" s="221">
        <v>41920</v>
      </c>
      <c r="B57" s="222" t="s">
        <v>142</v>
      </c>
      <c r="C57" s="223">
        <v>9948</v>
      </c>
      <c r="D57" s="224">
        <v>11721</v>
      </c>
      <c r="E57" s="223" t="s">
        <v>23</v>
      </c>
      <c r="F57" s="223" t="s">
        <v>23</v>
      </c>
      <c r="G57" s="225" t="s">
        <v>22</v>
      </c>
      <c r="H57" s="223" t="s">
        <v>123</v>
      </c>
      <c r="I57" s="223"/>
      <c r="J57" s="223" t="s">
        <v>222</v>
      </c>
      <c r="K57" s="223">
        <v>30.3</v>
      </c>
      <c r="L57" s="223"/>
      <c r="M57" s="223"/>
      <c r="N57" s="226">
        <v>40700</v>
      </c>
      <c r="O57" s="226">
        <v>12900</v>
      </c>
      <c r="P57" s="74">
        <f t="shared" ref="P57" si="711">N57-O57</f>
        <v>27800</v>
      </c>
      <c r="Q57" s="75">
        <f>IFERROR(P57*(LOOKUP(K57,Barème!A$3:A$72,Barème!D$3:D$72/1000)),0)</f>
        <v>22574.989999999998</v>
      </c>
      <c r="R57" s="76">
        <f>IF(Q57&gt;0,(Q57*(INDEX(Barème!E$3:O$72,MATCH(K57,Barème!A$3:A$72,1),MATCH(E57,Barème!E$1:O$1,0)))/1000),0)</f>
        <v>613.58822819999989</v>
      </c>
      <c r="S57" s="99">
        <f t="shared" ref="S57" si="712">S56+P57</f>
        <v>968780</v>
      </c>
      <c r="T57" s="100">
        <f t="shared" ref="T57" si="713">T56+Q57</f>
        <v>800150.78899999987</v>
      </c>
      <c r="U57" s="101">
        <f t="shared" ref="U57" si="714">U56+R57</f>
        <v>19643.663937819998</v>
      </c>
      <c r="V57" s="102">
        <f t="shared" ref="V57" si="715">IF(E57="Casaus",P57+V56,V56)</f>
        <v>378240</v>
      </c>
      <c r="W57" s="98">
        <f t="shared" ref="W57" si="716">IF(E57="Casaus",Q57+W56,W56)</f>
        <v>313502.87099999998</v>
      </c>
      <c r="X57" s="103">
        <f t="shared" ref="X57" si="717">IF(E57="Casaus",R57+X56,X56)</f>
        <v>8042.1618445599997</v>
      </c>
      <c r="Y57" s="102">
        <f t="shared" ref="Y57" si="718">IF(E57="SOMaSec",P57+Y56,Y56)</f>
        <v>509300</v>
      </c>
      <c r="Z57" s="98">
        <f t="shared" ref="Z57" si="719">IF(E57="SOMaSec",Q57+Z56,Z56)</f>
        <v>417370.84100000001</v>
      </c>
      <c r="AA57" s="104">
        <f t="shared" ref="AA57" si="720">IF(E57="SOMaSec",R57+AA56,AA56)</f>
        <v>10062.110239080002</v>
      </c>
      <c r="AB57" s="105">
        <f t="shared" ref="AB57" si="721">IF(P57&gt;0,P57+AB56,AB56)</f>
        <v>968780</v>
      </c>
      <c r="AC57" s="100">
        <f t="shared" ref="AC57" si="722">IF(Q57&gt;0,Q57+AC56,AC56)</f>
        <v>800150.78899999987</v>
      </c>
      <c r="AD57" s="106">
        <f t="shared" ref="AD57" si="723">IF(AND(E57="Casaus",Q57&gt;0),Q57+AD56,AD56)</f>
        <v>313502.87099999998</v>
      </c>
      <c r="AE57" s="107">
        <f t="shared" ref="AE57" si="724">IF(AND(E57="SOMaSec",Q57&gt;0),Q57+AE56,AE56)</f>
        <v>417370.84100000001</v>
      </c>
    </row>
    <row r="58" spans="1:31" x14ac:dyDescent="0.25">
      <c r="A58" s="221">
        <v>41920</v>
      </c>
      <c r="B58" s="222" t="s">
        <v>142</v>
      </c>
      <c r="C58" s="223">
        <v>9949</v>
      </c>
      <c r="D58" s="224">
        <v>11759</v>
      </c>
      <c r="E58" s="223" t="s">
        <v>23</v>
      </c>
      <c r="F58" s="223" t="s">
        <v>23</v>
      </c>
      <c r="G58" s="225" t="s">
        <v>22</v>
      </c>
      <c r="H58" s="223" t="s">
        <v>123</v>
      </c>
      <c r="I58" s="223" t="s">
        <v>122</v>
      </c>
      <c r="J58" s="223" t="s">
        <v>223</v>
      </c>
      <c r="K58" s="223">
        <v>30.7</v>
      </c>
      <c r="L58" s="223"/>
      <c r="M58" s="223"/>
      <c r="N58" s="226">
        <v>41160</v>
      </c>
      <c r="O58" s="226">
        <v>13460</v>
      </c>
      <c r="P58" s="74">
        <f t="shared" ref="P58" si="725">N58-O58</f>
        <v>27700</v>
      </c>
      <c r="Q58" s="75">
        <f>IFERROR(P58*(LOOKUP(K58,Barème!A$3:A$72,Barème!D$3:D$72/1000)),0)</f>
        <v>22315.119999999999</v>
      </c>
      <c r="R58" s="76">
        <f>IF(Q58&gt;0,(Q58*(INDEX(Barème!E$3:O$72,MATCH(K58,Barème!A$3:A$72,1),MATCH(E58,Barème!E$1:O$1,0)))/1000),0)</f>
        <v>618.57512639999993</v>
      </c>
      <c r="S58" s="99">
        <f t="shared" ref="S58" si="726">S57+P58</f>
        <v>996480</v>
      </c>
      <c r="T58" s="100">
        <f t="shared" ref="T58" si="727">T57+Q58</f>
        <v>822465.90899999987</v>
      </c>
      <c r="U58" s="101">
        <f t="shared" ref="U58" si="728">U57+R58</f>
        <v>20262.239064219997</v>
      </c>
      <c r="V58" s="102">
        <f t="shared" ref="V58" si="729">IF(E58="Casaus",P58+V57,V57)</f>
        <v>405940</v>
      </c>
      <c r="W58" s="98">
        <f t="shared" ref="W58" si="730">IF(E58="Casaus",Q58+W57,W57)</f>
        <v>335817.99099999998</v>
      </c>
      <c r="X58" s="103">
        <f t="shared" ref="X58" si="731">IF(E58="Casaus",R58+X57,X57)</f>
        <v>8660.7369709599989</v>
      </c>
      <c r="Y58" s="102">
        <f t="shared" ref="Y58" si="732">IF(E58="SOMaSec",P58+Y57,Y57)</f>
        <v>509300</v>
      </c>
      <c r="Z58" s="98">
        <f t="shared" ref="Z58" si="733">IF(E58="SOMaSec",Q58+Z57,Z57)</f>
        <v>417370.84100000001</v>
      </c>
      <c r="AA58" s="104">
        <f t="shared" ref="AA58" si="734">IF(E58="SOMaSec",R58+AA57,AA57)</f>
        <v>10062.110239080002</v>
      </c>
      <c r="AB58" s="105">
        <f t="shared" ref="AB58" si="735">IF(P58&gt;0,P58+AB57,AB57)</f>
        <v>996480</v>
      </c>
      <c r="AC58" s="100">
        <f t="shared" ref="AC58" si="736">IF(Q58&gt;0,Q58+AC57,AC57)</f>
        <v>822465.90899999987</v>
      </c>
      <c r="AD58" s="106">
        <f t="shared" ref="AD58" si="737">IF(AND(E58="Casaus",Q58&gt;0),Q58+AD57,AD57)</f>
        <v>335817.99099999998</v>
      </c>
      <c r="AE58" s="107">
        <f t="shared" ref="AE58" si="738">IF(AND(E58="SOMaSec",Q58&gt;0),Q58+AE57,AE57)</f>
        <v>417370.84100000001</v>
      </c>
    </row>
    <row r="59" spans="1:31" x14ac:dyDescent="0.25">
      <c r="A59" s="221">
        <v>41920</v>
      </c>
      <c r="B59" s="222" t="s">
        <v>207</v>
      </c>
      <c r="C59" s="223">
        <v>75</v>
      </c>
      <c r="D59" s="224"/>
      <c r="E59" s="223" t="s">
        <v>128</v>
      </c>
      <c r="F59" s="223" t="s">
        <v>128</v>
      </c>
      <c r="G59" s="225" t="s">
        <v>22</v>
      </c>
      <c r="H59" s="223" t="s">
        <v>125</v>
      </c>
      <c r="I59" s="223"/>
      <c r="J59" s="223"/>
      <c r="K59" s="223">
        <v>25.3</v>
      </c>
      <c r="L59" s="223"/>
      <c r="M59" s="223"/>
      <c r="N59" s="226">
        <v>33000</v>
      </c>
      <c r="O59" s="226">
        <v>14040</v>
      </c>
      <c r="P59" s="74">
        <f t="shared" ref="P59" si="739">N59-O59</f>
        <v>18960</v>
      </c>
      <c r="Q59" s="75">
        <f>IFERROR(P59*(LOOKUP(K59,Barème!A$3:A$72,Barème!D$3:D$72/1000)),0)</f>
        <v>16568.196</v>
      </c>
      <c r="R59" s="76">
        <f>IF(Q59&gt;0,(Q59*(INDEX(Barème!E$3:O$72,MATCH(K59,Barème!A$3:A$72,1),MATCH(E59,Barème!E$1:O$1,0)))/1000),0)</f>
        <v>327.38755295999999</v>
      </c>
      <c r="S59" s="99">
        <f t="shared" ref="S59" si="740">S58+P59</f>
        <v>1015440</v>
      </c>
      <c r="T59" s="100">
        <f t="shared" ref="T59" si="741">T58+Q59</f>
        <v>839034.10499999986</v>
      </c>
      <c r="U59" s="101">
        <f t="shared" ref="U59" si="742">U58+R59</f>
        <v>20589.626617179998</v>
      </c>
      <c r="V59" s="102">
        <f t="shared" ref="V59" si="743">IF(E59="Casaus",P59+V58,V58)</f>
        <v>405940</v>
      </c>
      <c r="W59" s="98">
        <f t="shared" ref="W59" si="744">IF(E59="Casaus",Q59+W58,W58)</f>
        <v>335817.99099999998</v>
      </c>
      <c r="X59" s="103">
        <f t="shared" ref="X59" si="745">IF(E59="Casaus",R59+X58,X58)</f>
        <v>8660.7369709599989</v>
      </c>
      <c r="Y59" s="102">
        <f t="shared" ref="Y59" si="746">IF(E59="SOMaSec",P59+Y58,Y58)</f>
        <v>528260</v>
      </c>
      <c r="Z59" s="98">
        <f t="shared" ref="Z59" si="747">IF(E59="SOMaSec",Q59+Z58,Z58)</f>
        <v>433939.03700000001</v>
      </c>
      <c r="AA59" s="104">
        <f t="shared" ref="AA59" si="748">IF(E59="SOMaSec",R59+AA58,AA58)</f>
        <v>10389.497792040002</v>
      </c>
      <c r="AB59" s="105">
        <f t="shared" ref="AB59" si="749">IF(P59&gt;0,P59+AB58,AB58)</f>
        <v>1015440</v>
      </c>
      <c r="AC59" s="100">
        <f t="shared" ref="AC59" si="750">IF(Q59&gt;0,Q59+AC58,AC58)</f>
        <v>839034.10499999986</v>
      </c>
      <c r="AD59" s="106">
        <f t="shared" ref="AD59" si="751">IF(AND(E59="Casaus",Q59&gt;0),Q59+AD58,AD58)</f>
        <v>335817.99099999998</v>
      </c>
      <c r="AE59" s="107">
        <f t="shared" ref="AE59" si="752">IF(AND(E59="SOMaSec",Q59&gt;0),Q59+AE58,AE58)</f>
        <v>433939.03700000001</v>
      </c>
    </row>
    <row r="60" spans="1:31" x14ac:dyDescent="0.25">
      <c r="A60" s="221">
        <v>41920</v>
      </c>
      <c r="B60" s="222" t="s">
        <v>207</v>
      </c>
      <c r="C60" s="223">
        <v>76</v>
      </c>
      <c r="D60" s="224"/>
      <c r="E60" s="223" t="s">
        <v>128</v>
      </c>
      <c r="F60" s="223" t="s">
        <v>128</v>
      </c>
      <c r="G60" s="225" t="s">
        <v>22</v>
      </c>
      <c r="H60" s="223" t="s">
        <v>125</v>
      </c>
      <c r="I60" s="223"/>
      <c r="J60" s="223"/>
      <c r="K60" s="223">
        <v>25.1</v>
      </c>
      <c r="L60" s="223"/>
      <c r="M60" s="223"/>
      <c r="N60" s="226">
        <v>36880</v>
      </c>
      <c r="O60" s="226">
        <v>14940</v>
      </c>
      <c r="P60" s="74">
        <f t="shared" ref="P60" si="753">N60-O60</f>
        <v>21940</v>
      </c>
      <c r="Q60" s="75">
        <f>IFERROR(P60*(LOOKUP(K60,Barème!A$3:A$72,Barème!D$3:D$72/1000)),0)</f>
        <v>19172.269</v>
      </c>
      <c r="R60" s="76">
        <f>IF(Q60&gt;0,(Q60*(INDEX(Barème!E$3:O$72,MATCH(K60,Barème!A$3:A$72,1),MATCH(E60,Barème!E$1:O$1,0)))/1000),0)</f>
        <v>378.84403544000003</v>
      </c>
      <c r="S60" s="99">
        <f t="shared" ref="S60" si="754">S59+P60</f>
        <v>1037380</v>
      </c>
      <c r="T60" s="100">
        <f t="shared" ref="T60" si="755">T59+Q60</f>
        <v>858206.37399999984</v>
      </c>
      <c r="U60" s="101">
        <f t="shared" ref="U60" si="756">U59+R60</f>
        <v>20968.470652619999</v>
      </c>
      <c r="V60" s="102">
        <f t="shared" ref="V60" si="757">IF(E60="Casaus",P60+V59,V59)</f>
        <v>405940</v>
      </c>
      <c r="W60" s="98">
        <f t="shared" ref="W60" si="758">IF(E60="Casaus",Q60+W59,W59)</f>
        <v>335817.99099999998</v>
      </c>
      <c r="X60" s="103">
        <f t="shared" ref="X60" si="759">IF(E60="Casaus",R60+X59,X59)</f>
        <v>8660.7369709599989</v>
      </c>
      <c r="Y60" s="102">
        <f t="shared" ref="Y60" si="760">IF(E60="SOMaSec",P60+Y59,Y59)</f>
        <v>550200</v>
      </c>
      <c r="Z60" s="98">
        <f t="shared" ref="Z60" si="761">IF(E60="SOMaSec",Q60+Z59,Z59)</f>
        <v>453111.30599999998</v>
      </c>
      <c r="AA60" s="104">
        <f t="shared" ref="AA60" si="762">IF(E60="SOMaSec",R60+AA59,AA59)</f>
        <v>10768.341827480002</v>
      </c>
      <c r="AB60" s="105">
        <f t="shared" ref="AB60" si="763">IF(P60&gt;0,P60+AB59,AB59)</f>
        <v>1037380</v>
      </c>
      <c r="AC60" s="100">
        <f t="shared" ref="AC60" si="764">IF(Q60&gt;0,Q60+AC59,AC59)</f>
        <v>858206.37399999984</v>
      </c>
      <c r="AD60" s="106">
        <f t="shared" ref="AD60" si="765">IF(AND(E60="Casaus",Q60&gt;0),Q60+AD59,AD59)</f>
        <v>335817.99099999998</v>
      </c>
      <c r="AE60" s="107">
        <f t="shared" ref="AE60" si="766">IF(AND(E60="SOMaSec",Q60&gt;0),Q60+AE59,AE59)</f>
        <v>453111.30599999998</v>
      </c>
    </row>
    <row r="61" spans="1:31" x14ac:dyDescent="0.25">
      <c r="A61" s="221">
        <v>41920</v>
      </c>
      <c r="B61" s="222" t="s">
        <v>207</v>
      </c>
      <c r="C61" s="223">
        <v>77</v>
      </c>
      <c r="D61" s="224"/>
      <c r="E61" s="223" t="s">
        <v>128</v>
      </c>
      <c r="F61" s="223" t="s">
        <v>128</v>
      </c>
      <c r="G61" s="225" t="s">
        <v>22</v>
      </c>
      <c r="H61" s="223" t="s">
        <v>75</v>
      </c>
      <c r="I61" s="223"/>
      <c r="J61" s="223"/>
      <c r="K61" s="223">
        <v>29.3</v>
      </c>
      <c r="L61" s="223"/>
      <c r="M61" s="223"/>
      <c r="N61" s="226">
        <v>28380</v>
      </c>
      <c r="O61" s="226">
        <v>13500</v>
      </c>
      <c r="P61" s="74">
        <f t="shared" ref="P61" si="767">N61-O61</f>
        <v>14880</v>
      </c>
      <c r="Q61" s="75">
        <f>IFERROR(P61*(LOOKUP(K61,Barème!A$3:A$72,Barème!D$3:D$72/1000)),0)</f>
        <v>12270.791999999999</v>
      </c>
      <c r="R61" s="76">
        <f>IF(Q61&gt;0,(Q61*(INDEX(Barème!E$3:O$72,MATCH(K61,Barème!A$3:A$72,1),MATCH(E61,Barème!E$1:O$1,0)))/1000),0)</f>
        <v>291.30860207999996</v>
      </c>
      <c r="S61" s="99">
        <f t="shared" ref="S61" si="768">S60+P61</f>
        <v>1052260</v>
      </c>
      <c r="T61" s="100">
        <f t="shared" ref="T61" si="769">T60+Q61</f>
        <v>870477.16599999985</v>
      </c>
      <c r="U61" s="101">
        <f t="shared" ref="U61" si="770">U60+R61</f>
        <v>21259.779254699999</v>
      </c>
      <c r="V61" s="102">
        <f t="shared" ref="V61" si="771">IF(E61="Casaus",P61+V60,V60)</f>
        <v>405940</v>
      </c>
      <c r="W61" s="98">
        <f t="shared" ref="W61" si="772">IF(E61="Casaus",Q61+W60,W60)</f>
        <v>335817.99099999998</v>
      </c>
      <c r="X61" s="103">
        <f t="shared" ref="X61" si="773">IF(E61="Casaus",R61+X60,X60)</f>
        <v>8660.7369709599989</v>
      </c>
      <c r="Y61" s="102">
        <f t="shared" ref="Y61" si="774">IF(E61="SOMaSec",P61+Y60,Y60)</f>
        <v>565080</v>
      </c>
      <c r="Z61" s="98">
        <f t="shared" ref="Z61" si="775">IF(E61="SOMaSec",Q61+Z60,Z60)</f>
        <v>465382.098</v>
      </c>
      <c r="AA61" s="104">
        <f t="shared" ref="AA61" si="776">IF(E61="SOMaSec",R61+AA60,AA60)</f>
        <v>11059.650429560003</v>
      </c>
      <c r="AB61" s="105">
        <f t="shared" ref="AB61" si="777">IF(P61&gt;0,P61+AB60,AB60)</f>
        <v>1052260</v>
      </c>
      <c r="AC61" s="100">
        <f t="shared" ref="AC61" si="778">IF(Q61&gt;0,Q61+AC60,AC60)</f>
        <v>870477.16599999985</v>
      </c>
      <c r="AD61" s="106">
        <f t="shared" ref="AD61" si="779">IF(AND(E61="Casaus",Q61&gt;0),Q61+AD60,AD60)</f>
        <v>335817.99099999998</v>
      </c>
      <c r="AE61" s="107">
        <f t="shared" ref="AE61" si="780">IF(AND(E61="SOMaSec",Q61&gt;0),Q61+AE60,AE60)</f>
        <v>465382.098</v>
      </c>
    </row>
    <row r="62" spans="1:31" x14ac:dyDescent="0.25">
      <c r="A62" s="128">
        <v>41921</v>
      </c>
      <c r="B62" s="129" t="s">
        <v>207</v>
      </c>
      <c r="C62" s="130">
        <v>79</v>
      </c>
      <c r="D62" s="131"/>
      <c r="E62" s="130" t="s">
        <v>128</v>
      </c>
      <c r="F62" s="130" t="s">
        <v>128</v>
      </c>
      <c r="G62" s="132" t="s">
        <v>22</v>
      </c>
      <c r="H62" s="130" t="s">
        <v>125</v>
      </c>
      <c r="I62" s="130"/>
      <c r="J62" s="130"/>
      <c r="K62" s="130">
        <v>27.7</v>
      </c>
      <c r="L62" s="130"/>
      <c r="M62" s="130"/>
      <c r="N62" s="133">
        <v>32900</v>
      </c>
      <c r="O62" s="133">
        <v>14060</v>
      </c>
      <c r="P62" s="74">
        <f t="shared" ref="P62" si="781">N62-O62</f>
        <v>18840</v>
      </c>
      <c r="Q62" s="75">
        <f>IFERROR(P62*(LOOKUP(K62,Barème!A$3:A$72,Barème!D$3:D$72/1000)),0)</f>
        <v>15884.004000000001</v>
      </c>
      <c r="R62" s="76">
        <f>IF(Q62&gt;0,(Q62*(INDEX(Barème!E$3:O$72,MATCH(K62,Barème!A$3:A$72,1),MATCH(E62,Barème!E$1:O$1,0)))/1000),0)</f>
        <v>353.41908900000004</v>
      </c>
      <c r="S62" s="99">
        <f t="shared" ref="S62" si="782">S61+P62</f>
        <v>1071100</v>
      </c>
      <c r="T62" s="100">
        <f t="shared" ref="T62" si="783">T61+Q62</f>
        <v>886361.16999999981</v>
      </c>
      <c r="U62" s="101">
        <f t="shared" ref="U62" si="784">U61+R62</f>
        <v>21613.198343699998</v>
      </c>
      <c r="V62" s="102">
        <f t="shared" ref="V62" si="785">IF(E62="Casaus",P62+V61,V61)</f>
        <v>405940</v>
      </c>
      <c r="W62" s="98">
        <f t="shared" ref="W62" si="786">IF(E62="Casaus",Q62+W61,W61)</f>
        <v>335817.99099999998</v>
      </c>
      <c r="X62" s="103">
        <f t="shared" ref="X62" si="787">IF(E62="Casaus",R62+X61,X61)</f>
        <v>8660.7369709599989</v>
      </c>
      <c r="Y62" s="102">
        <f t="shared" ref="Y62" si="788">IF(E62="SOMaSec",P62+Y61,Y61)</f>
        <v>583920</v>
      </c>
      <c r="Z62" s="98">
        <f t="shared" ref="Z62" si="789">IF(E62="SOMaSec",Q62+Z61,Z61)</f>
        <v>481266.10200000001</v>
      </c>
      <c r="AA62" s="104">
        <f t="shared" ref="AA62" si="790">IF(E62="SOMaSec",R62+AA61,AA61)</f>
        <v>11413.069518560003</v>
      </c>
      <c r="AB62" s="105">
        <f t="shared" ref="AB62" si="791">IF(P62&gt;0,P62+AB61,AB61)</f>
        <v>1071100</v>
      </c>
      <c r="AC62" s="100">
        <f t="shared" ref="AC62" si="792">IF(Q62&gt;0,Q62+AC61,AC61)</f>
        <v>886361.16999999981</v>
      </c>
      <c r="AD62" s="106">
        <f t="shared" ref="AD62" si="793">IF(AND(E62="Casaus",Q62&gt;0),Q62+AD61,AD61)</f>
        <v>335817.99099999998</v>
      </c>
      <c r="AE62" s="107">
        <f t="shared" ref="AE62" si="794">IF(AND(E62="SOMaSec",Q62&gt;0),Q62+AE61,AE61)</f>
        <v>481266.10200000001</v>
      </c>
    </row>
    <row r="63" spans="1:31" x14ac:dyDescent="0.25">
      <c r="A63" s="128">
        <v>41921</v>
      </c>
      <c r="B63" s="129" t="s">
        <v>207</v>
      </c>
      <c r="C63" s="130">
        <v>80</v>
      </c>
      <c r="D63" s="131"/>
      <c r="E63" s="130" t="s">
        <v>128</v>
      </c>
      <c r="F63" s="130" t="s">
        <v>128</v>
      </c>
      <c r="G63" s="132" t="s">
        <v>22</v>
      </c>
      <c r="H63" s="130" t="s">
        <v>125</v>
      </c>
      <c r="I63" s="130"/>
      <c r="J63" s="130"/>
      <c r="K63" s="130">
        <v>28</v>
      </c>
      <c r="L63" s="130"/>
      <c r="M63" s="130"/>
      <c r="N63" s="133">
        <v>36840</v>
      </c>
      <c r="O63" s="133">
        <v>14940</v>
      </c>
      <c r="P63" s="74">
        <f t="shared" ref="P63" si="795">N63-O63</f>
        <v>21900</v>
      </c>
      <c r="Q63" s="75">
        <f>IFERROR(P63*(LOOKUP(K63,Barème!A$3:A$72,Barème!D$3:D$72/1000)),0)</f>
        <v>18463.890000000003</v>
      </c>
      <c r="R63" s="76">
        <f>IF(Q63&gt;0,(Q63*(INDEX(Barème!E$3:O$72,MATCH(K63,Barème!A$3:A$72,1),MATCH(E63,Barème!E$1:O$1,0)))/1000),0)</f>
        <v>410.82155250000005</v>
      </c>
      <c r="S63" s="99">
        <f t="shared" ref="S63" si="796">S62+P63</f>
        <v>1093000</v>
      </c>
      <c r="T63" s="100">
        <f t="shared" ref="T63" si="797">T62+Q63</f>
        <v>904825.05999999982</v>
      </c>
      <c r="U63" s="101">
        <f t="shared" ref="U63" si="798">U62+R63</f>
        <v>22024.019896199999</v>
      </c>
      <c r="V63" s="102">
        <f t="shared" ref="V63" si="799">IF(E63="Casaus",P63+V62,V62)</f>
        <v>405940</v>
      </c>
      <c r="W63" s="98">
        <f t="shared" ref="W63" si="800">IF(E63="Casaus",Q63+W62,W62)</f>
        <v>335817.99099999998</v>
      </c>
      <c r="X63" s="103">
        <f t="shared" ref="X63" si="801">IF(E63="Casaus",R63+X62,X62)</f>
        <v>8660.7369709599989</v>
      </c>
      <c r="Y63" s="102">
        <f t="shared" ref="Y63" si="802">IF(E63="SOMaSec",P63+Y62,Y62)</f>
        <v>605820</v>
      </c>
      <c r="Z63" s="98">
        <f t="shared" ref="Z63" si="803">IF(E63="SOMaSec",Q63+Z62,Z62)</f>
        <v>499729.99200000003</v>
      </c>
      <c r="AA63" s="104">
        <f t="shared" ref="AA63" si="804">IF(E63="SOMaSec",R63+AA62,AA62)</f>
        <v>11823.891071060003</v>
      </c>
      <c r="AB63" s="105">
        <f t="shared" ref="AB63" si="805">IF(P63&gt;0,P63+AB62,AB62)</f>
        <v>1093000</v>
      </c>
      <c r="AC63" s="100">
        <f t="shared" ref="AC63" si="806">IF(Q63&gt;0,Q63+AC62,AC62)</f>
        <v>904825.05999999982</v>
      </c>
      <c r="AD63" s="106">
        <f t="shared" ref="AD63" si="807">IF(AND(E63="Casaus",Q63&gt;0),Q63+AD62,AD62)</f>
        <v>335817.99099999998</v>
      </c>
      <c r="AE63" s="107">
        <f t="shared" ref="AE63" si="808">IF(AND(E63="SOMaSec",Q63&gt;0),Q63+AE62,AE62)</f>
        <v>499729.99200000003</v>
      </c>
    </row>
    <row r="64" spans="1:31" x14ac:dyDescent="0.25">
      <c r="A64" s="128">
        <v>41921</v>
      </c>
      <c r="B64" s="129" t="s">
        <v>207</v>
      </c>
      <c r="C64" s="130">
        <v>82</v>
      </c>
      <c r="D64" s="131"/>
      <c r="E64" s="130" t="s">
        <v>128</v>
      </c>
      <c r="F64" s="130" t="s">
        <v>128</v>
      </c>
      <c r="G64" s="132" t="s">
        <v>22</v>
      </c>
      <c r="H64" s="130" t="s">
        <v>125</v>
      </c>
      <c r="I64" s="130"/>
      <c r="J64" s="130"/>
      <c r="K64" s="130">
        <v>28.4</v>
      </c>
      <c r="L64" s="130"/>
      <c r="M64" s="130"/>
      <c r="N64" s="133">
        <v>32080</v>
      </c>
      <c r="O64" s="133">
        <v>14140</v>
      </c>
      <c r="P64" s="74">
        <f t="shared" ref="P64" si="809">N64-O64</f>
        <v>17940</v>
      </c>
      <c r="Q64" s="75">
        <f>IFERROR(P64*(LOOKUP(K64,Barème!A$3:A$72,Barème!D$3:D$72/1000)),0)</f>
        <v>15014.883000000002</v>
      </c>
      <c r="R64" s="76">
        <f>IF(Q64&gt;0,(Q64*(INDEX(Barème!E$3:O$72,MATCH(K64,Barème!A$3:A$72,1),MATCH(E64,Barème!E$1:O$1,0)))/1000),0)</f>
        <v>341.58858825000004</v>
      </c>
      <c r="S64" s="99">
        <f t="shared" ref="S64" si="810">S63+P64</f>
        <v>1110940</v>
      </c>
      <c r="T64" s="100">
        <f t="shared" ref="T64" si="811">T63+Q64</f>
        <v>919839.94299999985</v>
      </c>
      <c r="U64" s="101">
        <f t="shared" ref="U64" si="812">U63+R64</f>
        <v>22365.60848445</v>
      </c>
      <c r="V64" s="102">
        <f t="shared" ref="V64" si="813">IF(E64="Casaus",P64+V63,V63)</f>
        <v>405940</v>
      </c>
      <c r="W64" s="98">
        <f t="shared" ref="W64" si="814">IF(E64="Casaus",Q64+W63,W63)</f>
        <v>335817.99099999998</v>
      </c>
      <c r="X64" s="103">
        <f t="shared" ref="X64" si="815">IF(E64="Casaus",R64+X63,X63)</f>
        <v>8660.7369709599989</v>
      </c>
      <c r="Y64" s="102">
        <f t="shared" ref="Y64" si="816">IF(E64="SOMaSec",P64+Y63,Y63)</f>
        <v>623760</v>
      </c>
      <c r="Z64" s="98">
        <f t="shared" ref="Z64" si="817">IF(E64="SOMaSec",Q64+Z63,Z63)</f>
        <v>514744.875</v>
      </c>
      <c r="AA64" s="104">
        <f t="shared" ref="AA64" si="818">IF(E64="SOMaSec",R64+AA63,AA63)</f>
        <v>12165.479659310004</v>
      </c>
      <c r="AB64" s="105">
        <f t="shared" ref="AB64" si="819">IF(P64&gt;0,P64+AB63,AB63)</f>
        <v>1110940</v>
      </c>
      <c r="AC64" s="100">
        <f t="shared" ref="AC64" si="820">IF(Q64&gt;0,Q64+AC63,AC63)</f>
        <v>919839.94299999985</v>
      </c>
      <c r="AD64" s="106">
        <f t="shared" ref="AD64" si="821">IF(AND(E64="Casaus",Q64&gt;0),Q64+AD63,AD63)</f>
        <v>335817.99099999998</v>
      </c>
      <c r="AE64" s="107">
        <f t="shared" ref="AE64" si="822">IF(AND(E64="SOMaSec",Q64&gt;0),Q64+AE63,AE63)</f>
        <v>514744.875</v>
      </c>
    </row>
    <row r="65" spans="1:31" x14ac:dyDescent="0.25">
      <c r="A65" s="128">
        <v>41921</v>
      </c>
      <c r="B65" s="129" t="s">
        <v>207</v>
      </c>
      <c r="C65" s="130">
        <v>83</v>
      </c>
      <c r="D65" s="131"/>
      <c r="E65" s="130" t="s">
        <v>128</v>
      </c>
      <c r="F65" s="130" t="s">
        <v>128</v>
      </c>
      <c r="G65" s="132" t="s">
        <v>22</v>
      </c>
      <c r="H65" s="130" t="s">
        <v>125</v>
      </c>
      <c r="I65" s="130"/>
      <c r="J65" s="130"/>
      <c r="K65" s="130">
        <v>26.6</v>
      </c>
      <c r="L65" s="130"/>
      <c r="M65" s="130"/>
      <c r="N65" s="133">
        <v>36200</v>
      </c>
      <c r="O65" s="133">
        <v>14900</v>
      </c>
      <c r="P65" s="74">
        <f t="shared" ref="P65" si="823">N65-O65</f>
        <v>21300</v>
      </c>
      <c r="Q65" s="75">
        <f>IFERROR(P65*(LOOKUP(K65,Barème!A$3:A$72,Barème!D$3:D$72/1000)),0)</f>
        <v>18220.02</v>
      </c>
      <c r="R65" s="76">
        <f>IF(Q65&gt;0,(Q65*(INDEX(Barème!E$3:O$72,MATCH(K65,Barème!A$3:A$72,1),MATCH(E65,Barème!E$1:O$1,0)))/1000),0)</f>
        <v>385.71782340000004</v>
      </c>
      <c r="S65" s="99">
        <f t="shared" ref="S65" si="824">S64+P65</f>
        <v>1132240</v>
      </c>
      <c r="T65" s="100">
        <f t="shared" ref="T65" si="825">T64+Q65</f>
        <v>938059.96299999987</v>
      </c>
      <c r="U65" s="101">
        <f t="shared" ref="U65" si="826">U64+R65</f>
        <v>22751.326307849999</v>
      </c>
      <c r="V65" s="102">
        <f t="shared" ref="V65" si="827">IF(E65="Casaus",P65+V64,V64)</f>
        <v>405940</v>
      </c>
      <c r="W65" s="98">
        <f t="shared" ref="W65" si="828">IF(E65="Casaus",Q65+W64,W64)</f>
        <v>335817.99099999998</v>
      </c>
      <c r="X65" s="103">
        <f t="shared" ref="X65" si="829">IF(E65="Casaus",R65+X64,X64)</f>
        <v>8660.7369709599989</v>
      </c>
      <c r="Y65" s="102">
        <f t="shared" ref="Y65" si="830">IF(E65="SOMaSec",P65+Y64,Y64)</f>
        <v>645060</v>
      </c>
      <c r="Z65" s="98">
        <f t="shared" ref="Z65" si="831">IF(E65="SOMaSec",Q65+Z64,Z64)</f>
        <v>532964.89500000002</v>
      </c>
      <c r="AA65" s="104">
        <f t="shared" ref="AA65" si="832">IF(E65="SOMaSec",R65+AA64,AA64)</f>
        <v>12551.197482710004</v>
      </c>
      <c r="AB65" s="105">
        <f t="shared" ref="AB65" si="833">IF(P65&gt;0,P65+AB64,AB64)</f>
        <v>1132240</v>
      </c>
      <c r="AC65" s="100">
        <f t="shared" ref="AC65" si="834">IF(Q65&gt;0,Q65+AC64,AC64)</f>
        <v>938059.96299999987</v>
      </c>
      <c r="AD65" s="106">
        <f t="shared" ref="AD65" si="835">IF(AND(E65="Casaus",Q65&gt;0),Q65+AD64,AD64)</f>
        <v>335817.99099999998</v>
      </c>
      <c r="AE65" s="107">
        <f t="shared" ref="AE65" si="836">IF(AND(E65="SOMaSec",Q65&gt;0),Q65+AE64,AE64)</f>
        <v>532964.89500000002</v>
      </c>
    </row>
    <row r="66" spans="1:31" x14ac:dyDescent="0.25">
      <c r="A66" s="128">
        <v>41921</v>
      </c>
      <c r="B66" s="129" t="s">
        <v>207</v>
      </c>
      <c r="C66" s="130">
        <v>84</v>
      </c>
      <c r="D66" s="131"/>
      <c r="E66" s="130" t="s">
        <v>128</v>
      </c>
      <c r="F66" s="130" t="s">
        <v>128</v>
      </c>
      <c r="G66" s="132" t="s">
        <v>22</v>
      </c>
      <c r="H66" s="130" t="s">
        <v>125</v>
      </c>
      <c r="I66" s="130"/>
      <c r="J66" s="130"/>
      <c r="K66" s="130">
        <v>28.5</v>
      </c>
      <c r="L66" s="130"/>
      <c r="M66" s="130"/>
      <c r="N66" s="133">
        <v>32780</v>
      </c>
      <c r="O66" s="133">
        <v>14120</v>
      </c>
      <c r="P66" s="74">
        <f t="shared" ref="P66" si="837">N66-O66</f>
        <v>18660</v>
      </c>
      <c r="Q66" s="75">
        <f>IFERROR(P66*(LOOKUP(K66,Barème!A$3:A$72,Barème!D$3:D$72/1000)),0)</f>
        <v>15617.487000000001</v>
      </c>
      <c r="R66" s="76">
        <f>IF(Q66&gt;0,(Q66*(INDEX(Barème!E$3:O$72,MATCH(K66,Barème!A$3:A$72,1),MATCH(E66,Barème!E$1:O$1,0)))/1000),0)</f>
        <v>355.29782925000001</v>
      </c>
      <c r="S66" s="99">
        <f t="shared" ref="S66" si="838">S65+P66</f>
        <v>1150900</v>
      </c>
      <c r="T66" s="100">
        <f t="shared" ref="T66" si="839">T65+Q66</f>
        <v>953677.44999999984</v>
      </c>
      <c r="U66" s="101">
        <f t="shared" ref="U66" si="840">U65+R66</f>
        <v>23106.6241371</v>
      </c>
      <c r="V66" s="102">
        <f t="shared" ref="V66" si="841">IF(E66="Casaus",P66+V65,V65)</f>
        <v>405940</v>
      </c>
      <c r="W66" s="98">
        <f t="shared" ref="W66" si="842">IF(E66="Casaus",Q66+W65,W65)</f>
        <v>335817.99099999998</v>
      </c>
      <c r="X66" s="103">
        <f t="shared" ref="X66" si="843">IF(E66="Casaus",R66+X65,X65)</f>
        <v>8660.7369709599989</v>
      </c>
      <c r="Y66" s="102">
        <f t="shared" ref="Y66" si="844">IF(E66="SOMaSec",P66+Y65,Y65)</f>
        <v>663720</v>
      </c>
      <c r="Z66" s="98">
        <f t="shared" ref="Z66" si="845">IF(E66="SOMaSec",Q66+Z65,Z65)</f>
        <v>548582.38199999998</v>
      </c>
      <c r="AA66" s="104">
        <f t="shared" ref="AA66" si="846">IF(E66="SOMaSec",R66+AA65,AA65)</f>
        <v>12906.495311960003</v>
      </c>
      <c r="AB66" s="105">
        <f t="shared" ref="AB66" si="847">IF(P66&gt;0,P66+AB65,AB65)</f>
        <v>1150900</v>
      </c>
      <c r="AC66" s="100">
        <f t="shared" ref="AC66" si="848">IF(Q66&gt;0,Q66+AC65,AC65)</f>
        <v>953677.44999999984</v>
      </c>
      <c r="AD66" s="106">
        <f t="shared" ref="AD66" si="849">IF(AND(E66="Casaus",Q66&gt;0),Q66+AD65,AD65)</f>
        <v>335817.99099999998</v>
      </c>
      <c r="AE66" s="107">
        <f t="shared" ref="AE66" si="850">IF(AND(E66="SOMaSec",Q66&gt;0),Q66+AE65,AE65)</f>
        <v>548582.38199999998</v>
      </c>
    </row>
    <row r="67" spans="1:31" x14ac:dyDescent="0.25">
      <c r="A67" s="128">
        <v>41921</v>
      </c>
      <c r="B67" s="129" t="s">
        <v>207</v>
      </c>
      <c r="C67" s="130">
        <v>85</v>
      </c>
      <c r="D67" s="131"/>
      <c r="E67" s="130" t="s">
        <v>128</v>
      </c>
      <c r="F67" s="130" t="s">
        <v>128</v>
      </c>
      <c r="G67" s="132" t="s">
        <v>22</v>
      </c>
      <c r="H67" s="130" t="s">
        <v>125</v>
      </c>
      <c r="I67" s="130"/>
      <c r="J67" s="130"/>
      <c r="K67" s="130">
        <v>31.1</v>
      </c>
      <c r="L67" s="130"/>
      <c r="M67" s="130"/>
      <c r="N67" s="133">
        <v>37000</v>
      </c>
      <c r="O67" s="133">
        <v>14900</v>
      </c>
      <c r="P67" s="74">
        <f t="shared" ref="P67" si="851">N67-O67</f>
        <v>22100</v>
      </c>
      <c r="Q67" s="75">
        <f>IFERROR(P67*(LOOKUP(K67,Barème!A$3:A$72,Barème!D$3:D$72/1000)),0)</f>
        <v>17661.215</v>
      </c>
      <c r="R67" s="76">
        <f>IF(Q67&gt;0,(Q67*(INDEX(Barème!E$3:O$72,MATCH(K67,Barème!A$3:A$72,1),MATCH(E67,Barème!E$1:O$1,0)))/1000),0)</f>
        <v>453.89322550000003</v>
      </c>
      <c r="S67" s="99">
        <f t="shared" ref="S67" si="852">S66+P67</f>
        <v>1173000</v>
      </c>
      <c r="T67" s="100">
        <f t="shared" ref="T67" si="853">T66+Q67</f>
        <v>971338.6649999998</v>
      </c>
      <c r="U67" s="101">
        <f t="shared" ref="U67" si="854">U66+R67</f>
        <v>23560.5173626</v>
      </c>
      <c r="V67" s="102">
        <f t="shared" ref="V67" si="855">IF(E67="Casaus",P67+V66,V66)</f>
        <v>405940</v>
      </c>
      <c r="W67" s="98">
        <f t="shared" ref="W67" si="856">IF(E67="Casaus",Q67+W66,W66)</f>
        <v>335817.99099999998</v>
      </c>
      <c r="X67" s="103">
        <f t="shared" ref="X67" si="857">IF(E67="Casaus",R67+X66,X66)</f>
        <v>8660.7369709599989</v>
      </c>
      <c r="Y67" s="102">
        <f t="shared" ref="Y67" si="858">IF(E67="SOMaSec",P67+Y66,Y66)</f>
        <v>685820</v>
      </c>
      <c r="Z67" s="98">
        <f t="shared" ref="Z67" si="859">IF(E67="SOMaSec",Q67+Z66,Z66)</f>
        <v>566243.59699999995</v>
      </c>
      <c r="AA67" s="104">
        <f t="shared" ref="AA67" si="860">IF(E67="SOMaSec",R67+AA66,AA66)</f>
        <v>13360.388537460003</v>
      </c>
      <c r="AB67" s="105">
        <f t="shared" ref="AB67" si="861">IF(P67&gt;0,P67+AB66,AB66)</f>
        <v>1173000</v>
      </c>
      <c r="AC67" s="100">
        <f t="shared" ref="AC67" si="862">IF(Q67&gt;0,Q67+AC66,AC66)</f>
        <v>971338.6649999998</v>
      </c>
      <c r="AD67" s="106">
        <f t="shared" ref="AD67" si="863">IF(AND(E67="Casaus",Q67&gt;0),Q67+AD66,AD66)</f>
        <v>335817.99099999998</v>
      </c>
      <c r="AE67" s="107">
        <f t="shared" ref="AE67" si="864">IF(AND(E67="SOMaSec",Q67&gt;0),Q67+AE66,AE66)</f>
        <v>566243.59699999995</v>
      </c>
    </row>
    <row r="68" spans="1:31" x14ac:dyDescent="0.25">
      <c r="A68" s="128">
        <v>41921</v>
      </c>
      <c r="B68" s="129" t="s">
        <v>207</v>
      </c>
      <c r="C68" s="130">
        <v>86</v>
      </c>
      <c r="D68" s="131"/>
      <c r="E68" s="130" t="s">
        <v>128</v>
      </c>
      <c r="F68" s="130" t="s">
        <v>128</v>
      </c>
      <c r="G68" s="132" t="s">
        <v>22</v>
      </c>
      <c r="H68" s="130" t="s">
        <v>125</v>
      </c>
      <c r="I68" s="130"/>
      <c r="J68" s="130"/>
      <c r="K68" s="130">
        <v>29.5</v>
      </c>
      <c r="L68" s="130"/>
      <c r="M68" s="130"/>
      <c r="N68" s="133">
        <v>32800</v>
      </c>
      <c r="O68" s="133">
        <v>14100</v>
      </c>
      <c r="P68" s="74">
        <f t="shared" ref="P68" si="865">N68-O68</f>
        <v>18700</v>
      </c>
      <c r="Q68" s="75">
        <f>IFERROR(P68*(LOOKUP(K68,Barème!A$3:A$72,Barème!D$3:D$72/1000)),0)</f>
        <v>15420.955</v>
      </c>
      <c r="R68" s="76">
        <f>IF(Q68&gt;0,(Q68*(INDEX(Barème!E$3:O$72,MATCH(K68,Barème!A$3:A$72,1),MATCH(E68,Barème!E$1:O$1,0)))/1000),0)</f>
        <v>366.09347170000001</v>
      </c>
      <c r="S68" s="99">
        <f t="shared" ref="S68" si="866">S67+P68</f>
        <v>1191700</v>
      </c>
      <c r="T68" s="100">
        <f t="shared" ref="T68" si="867">T67+Q68</f>
        <v>986759.61999999976</v>
      </c>
      <c r="U68" s="101">
        <f t="shared" ref="U68" si="868">U67+R68</f>
        <v>23926.610834300001</v>
      </c>
      <c r="V68" s="102">
        <f t="shared" ref="V68" si="869">IF(E68="Casaus",P68+V67,V67)</f>
        <v>405940</v>
      </c>
      <c r="W68" s="98">
        <f t="shared" ref="W68" si="870">IF(E68="Casaus",Q68+W67,W67)</f>
        <v>335817.99099999998</v>
      </c>
      <c r="X68" s="103">
        <f t="shared" ref="X68" si="871">IF(E68="Casaus",R68+X67,X67)</f>
        <v>8660.7369709599989</v>
      </c>
      <c r="Y68" s="102">
        <f t="shared" ref="Y68" si="872">IF(E68="SOMaSec",P68+Y67,Y67)</f>
        <v>704520</v>
      </c>
      <c r="Z68" s="98">
        <f t="shared" ref="Z68" si="873">IF(E68="SOMaSec",Q68+Z67,Z67)</f>
        <v>581664.55199999991</v>
      </c>
      <c r="AA68" s="104">
        <f t="shared" ref="AA68" si="874">IF(E68="SOMaSec",R68+AA67,AA67)</f>
        <v>13726.482009160003</v>
      </c>
      <c r="AB68" s="105">
        <f t="shared" ref="AB68" si="875">IF(P68&gt;0,P68+AB67,AB67)</f>
        <v>1191700</v>
      </c>
      <c r="AC68" s="100">
        <f t="shared" ref="AC68" si="876">IF(Q68&gt;0,Q68+AC67,AC67)</f>
        <v>986759.61999999976</v>
      </c>
      <c r="AD68" s="106">
        <f t="shared" ref="AD68" si="877">IF(AND(E68="Casaus",Q68&gt;0),Q68+AD67,AD67)</f>
        <v>335817.99099999998</v>
      </c>
      <c r="AE68" s="107">
        <f t="shared" ref="AE68" si="878">IF(AND(E68="SOMaSec",Q68&gt;0),Q68+AE67,AE67)</f>
        <v>581664.55199999991</v>
      </c>
    </row>
    <row r="69" spans="1:31" x14ac:dyDescent="0.25">
      <c r="A69" s="128">
        <v>41921</v>
      </c>
      <c r="B69" s="129" t="s">
        <v>207</v>
      </c>
      <c r="C69" s="130">
        <v>87</v>
      </c>
      <c r="D69" s="131"/>
      <c r="E69" s="130" t="s">
        <v>128</v>
      </c>
      <c r="F69" s="130" t="s">
        <v>128</v>
      </c>
      <c r="G69" s="132" t="s">
        <v>22</v>
      </c>
      <c r="H69" s="130" t="s">
        <v>125</v>
      </c>
      <c r="I69" s="130"/>
      <c r="J69" s="130"/>
      <c r="K69" s="130">
        <v>31.5</v>
      </c>
      <c r="L69" s="130"/>
      <c r="M69" s="130"/>
      <c r="N69" s="133">
        <v>33320</v>
      </c>
      <c r="O69" s="133">
        <v>14920</v>
      </c>
      <c r="P69" s="74">
        <f t="shared" ref="P69" si="879">N69-O69</f>
        <v>18400</v>
      </c>
      <c r="Q69" s="75">
        <f>IFERROR(P69*(LOOKUP(K69,Barème!A$3:A$72,Barème!D$3:D$72/1000)),0)</f>
        <v>14704.36</v>
      </c>
      <c r="R69" s="76">
        <f>IF(Q69&gt;0,(Q69*(INDEX(Barème!E$3:O$72,MATCH(K69,Barème!A$3:A$72,1),MATCH(E69,Barème!E$1:O$1,0)))/1000),0)</f>
        <v>377.90205200000003</v>
      </c>
      <c r="S69" s="99">
        <f t="shared" ref="S69" si="880">S68+P69</f>
        <v>1210100</v>
      </c>
      <c r="T69" s="100">
        <f t="shared" ref="T69" si="881">T68+Q69</f>
        <v>1001463.9799999997</v>
      </c>
      <c r="U69" s="101">
        <f t="shared" ref="U69" si="882">U68+R69</f>
        <v>24304.512886300003</v>
      </c>
      <c r="V69" s="102">
        <f t="shared" ref="V69" si="883">IF(E69="Casaus",P69+V68,V68)</f>
        <v>405940</v>
      </c>
      <c r="W69" s="98">
        <f t="shared" ref="W69" si="884">IF(E69="Casaus",Q69+W68,W68)</f>
        <v>335817.99099999998</v>
      </c>
      <c r="X69" s="103">
        <f t="shared" ref="X69" si="885">IF(E69="Casaus",R69+X68,X68)</f>
        <v>8660.7369709599989</v>
      </c>
      <c r="Y69" s="102">
        <f t="shared" ref="Y69" si="886">IF(E69="SOMaSec",P69+Y68,Y68)</f>
        <v>722920</v>
      </c>
      <c r="Z69" s="98">
        <f t="shared" ref="Z69" si="887">IF(E69="SOMaSec",Q69+Z68,Z68)</f>
        <v>596368.91199999989</v>
      </c>
      <c r="AA69" s="104">
        <f t="shared" ref="AA69" si="888">IF(E69="SOMaSec",R69+AA68,AA68)</f>
        <v>14104.384061160003</v>
      </c>
      <c r="AB69" s="105">
        <f t="shared" ref="AB69" si="889">IF(P69&gt;0,P69+AB68,AB68)</f>
        <v>1210100</v>
      </c>
      <c r="AC69" s="100">
        <f t="shared" ref="AC69" si="890">IF(Q69&gt;0,Q69+AC68,AC68)</f>
        <v>1001463.9799999997</v>
      </c>
      <c r="AD69" s="106">
        <f t="shared" ref="AD69" si="891">IF(AND(E69="Casaus",Q69&gt;0),Q69+AD68,AD68)</f>
        <v>335817.99099999998</v>
      </c>
      <c r="AE69" s="107">
        <f t="shared" ref="AE69" si="892">IF(AND(E69="SOMaSec",Q69&gt;0),Q69+AE68,AE68)</f>
        <v>596368.91199999989</v>
      </c>
    </row>
    <row r="70" spans="1:31" x14ac:dyDescent="0.25">
      <c r="A70" s="128">
        <v>41925</v>
      </c>
      <c r="B70" s="129" t="s">
        <v>207</v>
      </c>
      <c r="C70" s="130">
        <v>16591</v>
      </c>
      <c r="D70" s="131">
        <v>24360</v>
      </c>
      <c r="E70" s="130" t="s">
        <v>23</v>
      </c>
      <c r="F70" s="130" t="s">
        <v>23</v>
      </c>
      <c r="G70" s="132" t="s">
        <v>22</v>
      </c>
      <c r="H70" s="130" t="s">
        <v>171</v>
      </c>
      <c r="I70" s="130">
        <v>82</v>
      </c>
      <c r="J70" s="130"/>
      <c r="K70" s="130">
        <v>28.5</v>
      </c>
      <c r="L70" s="130"/>
      <c r="M70" s="130"/>
      <c r="N70" s="133">
        <v>37520</v>
      </c>
      <c r="O70" s="133">
        <v>15100</v>
      </c>
      <c r="P70" s="74">
        <f t="shared" ref="P70" si="893">N70-O70</f>
        <v>22420</v>
      </c>
      <c r="Q70" s="75">
        <f>IFERROR(P70*(LOOKUP(K70,Barème!A$3:A$72,Barème!D$3:D$72/1000)),0)</f>
        <v>18764.419000000002</v>
      </c>
      <c r="R70" s="76">
        <f>IF(Q70&gt;0,(Q70*(INDEX(Barème!E$3:O$72,MATCH(K70,Barème!A$3:A$72,1),MATCH(E70,Barème!E$1:O$1,0)))/1000),0)</f>
        <v>469.48576338000004</v>
      </c>
      <c r="S70" s="99">
        <f t="shared" ref="S70" si="894">S69+P70</f>
        <v>1232520</v>
      </c>
      <c r="T70" s="100">
        <f t="shared" ref="T70" si="895">T69+Q70</f>
        <v>1020228.3989999997</v>
      </c>
      <c r="U70" s="101">
        <f t="shared" ref="U70" si="896">U69+R70</f>
        <v>24773.998649680001</v>
      </c>
      <c r="V70" s="102">
        <f t="shared" ref="V70" si="897">IF(E70="Casaus",P70+V69,V69)</f>
        <v>428360</v>
      </c>
      <c r="W70" s="98">
        <f t="shared" ref="W70" si="898">IF(E70="Casaus",Q70+W69,W69)</f>
        <v>354582.41</v>
      </c>
      <c r="X70" s="103">
        <f t="shared" ref="X70" si="899">IF(E70="Casaus",R70+X69,X69)</f>
        <v>9130.2227343399991</v>
      </c>
      <c r="Y70" s="102">
        <f t="shared" ref="Y70" si="900">IF(E70="SOMaSec",P70+Y69,Y69)</f>
        <v>722920</v>
      </c>
      <c r="Z70" s="98">
        <f t="shared" ref="Z70" si="901">IF(E70="SOMaSec",Q70+Z69,Z69)</f>
        <v>596368.91199999989</v>
      </c>
      <c r="AA70" s="104">
        <f t="shared" ref="AA70" si="902">IF(E70="SOMaSec",R70+AA69,AA69)</f>
        <v>14104.384061160003</v>
      </c>
      <c r="AB70" s="105">
        <f t="shared" ref="AB70" si="903">IF(P70&gt;0,P70+AB69,AB69)</f>
        <v>1232520</v>
      </c>
      <c r="AC70" s="100">
        <f t="shared" ref="AC70" si="904">IF(Q70&gt;0,Q70+AC69,AC69)</f>
        <v>1020228.3989999997</v>
      </c>
      <c r="AD70" s="106">
        <f t="shared" ref="AD70" si="905">IF(AND(E70="Casaus",Q70&gt;0),Q70+AD69,AD69)</f>
        <v>354582.41</v>
      </c>
      <c r="AE70" s="107">
        <f t="shared" ref="AE70" si="906">IF(AND(E70="SOMaSec",Q70&gt;0),Q70+AE69,AE69)</f>
        <v>596368.91199999989</v>
      </c>
    </row>
    <row r="71" spans="1:31" x14ac:dyDescent="0.25">
      <c r="A71" s="128">
        <v>41925</v>
      </c>
      <c r="B71" s="129" t="s">
        <v>207</v>
      </c>
      <c r="C71" s="130">
        <v>97</v>
      </c>
      <c r="D71" s="131"/>
      <c r="E71" s="130" t="s">
        <v>128</v>
      </c>
      <c r="F71" s="130" t="s">
        <v>128</v>
      </c>
      <c r="G71" s="132" t="s">
        <v>22</v>
      </c>
      <c r="H71" s="130" t="s">
        <v>125</v>
      </c>
      <c r="I71" s="130"/>
      <c r="J71" s="130"/>
      <c r="K71" s="130">
        <v>27.3</v>
      </c>
      <c r="L71" s="130"/>
      <c r="M71" s="130"/>
      <c r="N71" s="133">
        <v>33720</v>
      </c>
      <c r="O71" s="133">
        <v>14100</v>
      </c>
      <c r="P71" s="74">
        <f t="shared" ref="P71" si="907">N71-O71</f>
        <v>19620</v>
      </c>
      <c r="Q71" s="75">
        <f>IFERROR(P71*(LOOKUP(K71,Barème!A$3:A$72,Barème!D$3:D$72/1000)),0)</f>
        <v>16662.285</v>
      </c>
      <c r="R71" s="76">
        <f>IF(Q71&gt;0,(Q71*(INDEX(Barème!E$3:O$72,MATCH(K71,Barème!A$3:A$72,1),MATCH(E71,Barème!E$1:O$1,0)))/1000),0)</f>
        <v>362.57132160000003</v>
      </c>
      <c r="S71" s="99">
        <f t="shared" ref="S71" si="908">S70+P71</f>
        <v>1252140</v>
      </c>
      <c r="T71" s="100">
        <f t="shared" ref="T71" si="909">T70+Q71</f>
        <v>1036890.6839999998</v>
      </c>
      <c r="U71" s="101">
        <f t="shared" ref="U71" si="910">U70+R71</f>
        <v>25136.569971280001</v>
      </c>
      <c r="V71" s="102">
        <f t="shared" ref="V71" si="911">IF(E71="Casaus",P71+V70,V70)</f>
        <v>428360</v>
      </c>
      <c r="W71" s="98">
        <f t="shared" ref="W71" si="912">IF(E71="Casaus",Q71+W70,W70)</f>
        <v>354582.41</v>
      </c>
      <c r="X71" s="103">
        <f t="shared" ref="X71" si="913">IF(E71="Casaus",R71+X70,X70)</f>
        <v>9130.2227343399991</v>
      </c>
      <c r="Y71" s="102">
        <f t="shared" ref="Y71" si="914">IF(E71="SOMaSec",P71+Y70,Y70)</f>
        <v>742540</v>
      </c>
      <c r="Z71" s="98">
        <f t="shared" ref="Z71" si="915">IF(E71="SOMaSec",Q71+Z70,Z70)</f>
        <v>613031.19699999993</v>
      </c>
      <c r="AA71" s="104">
        <f t="shared" ref="AA71" si="916">IF(E71="SOMaSec",R71+AA70,AA70)</f>
        <v>14466.955382760003</v>
      </c>
      <c r="AB71" s="105">
        <f t="shared" ref="AB71" si="917">IF(P71&gt;0,P71+AB70,AB70)</f>
        <v>1252140</v>
      </c>
      <c r="AC71" s="100">
        <f t="shared" ref="AC71" si="918">IF(Q71&gt;0,Q71+AC70,AC70)</f>
        <v>1036890.6839999998</v>
      </c>
      <c r="AD71" s="106">
        <f t="shared" ref="AD71" si="919">IF(AND(E71="Casaus",Q71&gt;0),Q71+AD70,AD70)</f>
        <v>354582.41</v>
      </c>
      <c r="AE71" s="107">
        <f t="shared" ref="AE71" si="920">IF(AND(E71="SOMaSec",Q71&gt;0),Q71+AE70,AE70)</f>
        <v>613031.19699999993</v>
      </c>
    </row>
    <row r="72" spans="1:31" x14ac:dyDescent="0.25">
      <c r="A72" s="128">
        <v>41925</v>
      </c>
      <c r="B72" s="129" t="s">
        <v>142</v>
      </c>
      <c r="C72" s="130">
        <v>9950</v>
      </c>
      <c r="D72" s="131"/>
      <c r="E72" s="130" t="s">
        <v>23</v>
      </c>
      <c r="F72" s="130" t="s">
        <v>23</v>
      </c>
      <c r="G72" s="132" t="s">
        <v>22</v>
      </c>
      <c r="H72" s="130" t="s">
        <v>123</v>
      </c>
      <c r="I72" s="130">
        <v>71</v>
      </c>
      <c r="J72" s="130"/>
      <c r="K72" s="130">
        <v>26.9</v>
      </c>
      <c r="L72" s="130"/>
      <c r="M72" s="130"/>
      <c r="N72" s="133">
        <v>32740</v>
      </c>
      <c r="O72" s="133">
        <v>14080</v>
      </c>
      <c r="P72" s="74">
        <f t="shared" ref="P72" si="921">N72-O72</f>
        <v>18660</v>
      </c>
      <c r="Q72" s="75">
        <f>IFERROR(P72*(LOOKUP(K72,Barème!A$3:A$72,Barème!D$3:D$72/1000)),0)</f>
        <v>15961.763999999999</v>
      </c>
      <c r="R72" s="76">
        <f>IF(Q72&gt;0,(Q72*(INDEX(Barème!E$3:O$72,MATCH(K72,Barème!A$3:A$72,1),MATCH(E72,Barème!E$1:O$1,0)))/1000),0)</f>
        <v>371.58986592000002</v>
      </c>
      <c r="S72" s="99">
        <f t="shared" ref="S72" si="922">S71+P72</f>
        <v>1270800</v>
      </c>
      <c r="T72" s="100">
        <f t="shared" ref="T72" si="923">T71+Q72</f>
        <v>1052852.4479999999</v>
      </c>
      <c r="U72" s="101">
        <f t="shared" ref="U72" si="924">U71+R72</f>
        <v>25508.159837200001</v>
      </c>
      <c r="V72" s="102">
        <f t="shared" ref="V72" si="925">IF(E72="Casaus",P72+V71,V71)</f>
        <v>447020</v>
      </c>
      <c r="W72" s="98">
        <f t="shared" ref="W72" si="926">IF(E72="Casaus",Q72+W71,W71)</f>
        <v>370544.174</v>
      </c>
      <c r="X72" s="103">
        <f t="shared" ref="X72" si="927">IF(E72="Casaus",R72+X71,X71)</f>
        <v>9501.8126002599984</v>
      </c>
      <c r="Y72" s="102">
        <f t="shared" ref="Y72" si="928">IF(E72="SOMaSec",P72+Y71,Y71)</f>
        <v>742540</v>
      </c>
      <c r="Z72" s="98">
        <f t="shared" ref="Z72" si="929">IF(E72="SOMaSec",Q72+Z71,Z71)</f>
        <v>613031.19699999993</v>
      </c>
      <c r="AA72" s="104">
        <f t="shared" ref="AA72" si="930">IF(E72="SOMaSec",R72+AA71,AA71)</f>
        <v>14466.955382760003</v>
      </c>
      <c r="AB72" s="105">
        <f t="shared" ref="AB72" si="931">IF(P72&gt;0,P72+AB71,AB71)</f>
        <v>1270800</v>
      </c>
      <c r="AC72" s="100">
        <f t="shared" ref="AC72" si="932">IF(Q72&gt;0,Q72+AC71,AC71)</f>
        <v>1052852.4479999999</v>
      </c>
      <c r="AD72" s="106">
        <f t="shared" ref="AD72" si="933">IF(AND(E72="Casaus",Q72&gt;0),Q72+AD71,AD71)</f>
        <v>370544.174</v>
      </c>
      <c r="AE72" s="107">
        <f t="shared" ref="AE72" si="934">IF(AND(E72="SOMaSec",Q72&gt;0),Q72+AE71,AE71)</f>
        <v>613031.19699999993</v>
      </c>
    </row>
    <row r="73" spans="1:31" x14ac:dyDescent="0.25">
      <c r="A73" s="128">
        <v>41925</v>
      </c>
      <c r="B73" s="129" t="s">
        <v>207</v>
      </c>
      <c r="C73" s="130">
        <v>16592</v>
      </c>
      <c r="D73" s="131">
        <v>24361</v>
      </c>
      <c r="E73" s="130" t="s">
        <v>23</v>
      </c>
      <c r="F73" s="130" t="s">
        <v>23</v>
      </c>
      <c r="G73" s="132" t="s">
        <v>22</v>
      </c>
      <c r="H73" s="130" t="s">
        <v>171</v>
      </c>
      <c r="I73" s="130">
        <v>82</v>
      </c>
      <c r="J73" s="130"/>
      <c r="K73" s="130">
        <v>25.6</v>
      </c>
      <c r="L73" s="130"/>
      <c r="M73" s="130"/>
      <c r="N73" s="133">
        <v>37160</v>
      </c>
      <c r="O73" s="133">
        <v>15080</v>
      </c>
      <c r="P73" s="74">
        <f t="shared" ref="P73" si="935">N73-O73</f>
        <v>22080</v>
      </c>
      <c r="Q73" s="75">
        <f>IFERROR(P73*(LOOKUP(K73,Barème!A$3:A$72,Barème!D$3:D$72/1000)),0)</f>
        <v>19158.815999999999</v>
      </c>
      <c r="R73" s="76">
        <f>IF(Q73&gt;0,(Q73*(INDEX(Barème!E$3:O$72,MATCH(K73,Barème!A$3:A$72,1),MATCH(E73,Barème!E$1:O$1,0)))/1000),0)</f>
        <v>427.43318495999995</v>
      </c>
      <c r="S73" s="99">
        <f t="shared" ref="S73" si="936">S72+P73</f>
        <v>1292880</v>
      </c>
      <c r="T73" s="100">
        <f t="shared" ref="T73" si="937">T72+Q73</f>
        <v>1072011.264</v>
      </c>
      <c r="U73" s="101">
        <f t="shared" ref="U73" si="938">U72+R73</f>
        <v>25935.593022159999</v>
      </c>
      <c r="V73" s="102">
        <f t="shared" ref="V73" si="939">IF(E73="Casaus",P73+V72,V72)</f>
        <v>469100</v>
      </c>
      <c r="W73" s="98">
        <f t="shared" ref="W73" si="940">IF(E73="Casaus",Q73+W72,W72)</f>
        <v>389702.99</v>
      </c>
      <c r="X73" s="103">
        <f t="shared" ref="X73" si="941">IF(E73="Casaus",R73+X72,X72)</f>
        <v>9929.2457852199987</v>
      </c>
      <c r="Y73" s="102">
        <f t="shared" ref="Y73" si="942">IF(E73="SOMaSec",P73+Y72,Y72)</f>
        <v>742540</v>
      </c>
      <c r="Z73" s="98">
        <f t="shared" ref="Z73" si="943">IF(E73="SOMaSec",Q73+Z72,Z72)</f>
        <v>613031.19699999993</v>
      </c>
      <c r="AA73" s="104">
        <f t="shared" ref="AA73" si="944">IF(E73="SOMaSec",R73+AA72,AA72)</f>
        <v>14466.955382760003</v>
      </c>
      <c r="AB73" s="105">
        <f t="shared" ref="AB73" si="945">IF(P73&gt;0,P73+AB72,AB72)</f>
        <v>1292880</v>
      </c>
      <c r="AC73" s="100">
        <f t="shared" ref="AC73" si="946">IF(Q73&gt;0,Q73+AC72,AC72)</f>
        <v>1072011.264</v>
      </c>
      <c r="AD73" s="106">
        <f t="shared" ref="AD73" si="947">IF(AND(E73="Casaus",Q73&gt;0),Q73+AD72,AD72)</f>
        <v>389702.99</v>
      </c>
      <c r="AE73" s="107">
        <f t="shared" ref="AE73" si="948">IF(AND(E73="SOMaSec",Q73&gt;0),Q73+AE72,AE72)</f>
        <v>613031.19699999993</v>
      </c>
    </row>
    <row r="74" spans="1:31" x14ac:dyDescent="0.25">
      <c r="A74" s="128">
        <v>41925</v>
      </c>
      <c r="B74" s="129" t="s">
        <v>142</v>
      </c>
      <c r="C74" s="130">
        <v>11722</v>
      </c>
      <c r="D74" s="131" t="s">
        <v>231</v>
      </c>
      <c r="E74" s="130" t="s">
        <v>23</v>
      </c>
      <c r="F74" s="130" t="s">
        <v>23</v>
      </c>
      <c r="G74" s="132" t="s">
        <v>22</v>
      </c>
      <c r="H74" s="130" t="s">
        <v>123</v>
      </c>
      <c r="I74" s="130">
        <v>71</v>
      </c>
      <c r="J74" s="130"/>
      <c r="K74" s="130">
        <v>26.7</v>
      </c>
      <c r="L74" s="130"/>
      <c r="M74" s="130"/>
      <c r="N74" s="133">
        <v>36560</v>
      </c>
      <c r="O74" s="133">
        <v>14960</v>
      </c>
      <c r="P74" s="74">
        <f t="shared" ref="P74" si="949">N74-O74</f>
        <v>21600</v>
      </c>
      <c r="Q74" s="75">
        <f>IFERROR(P74*(LOOKUP(K74,Barème!A$3:A$72,Barème!D$3:D$72/1000)),0)</f>
        <v>18476.64</v>
      </c>
      <c r="R74" s="76">
        <f>IF(Q74&gt;0,(Q74*(INDEX(Barème!E$3:O$72,MATCH(K74,Barème!A$3:A$72,1),MATCH(E74,Barème!E$1:O$1,0)))/1000),0)</f>
        <v>430.13617920000002</v>
      </c>
      <c r="S74" s="99">
        <f t="shared" ref="S74" si="950">S73+P74</f>
        <v>1314480</v>
      </c>
      <c r="T74" s="100">
        <f t="shared" ref="T74" si="951">T73+Q74</f>
        <v>1090487.9039999999</v>
      </c>
      <c r="U74" s="101">
        <f t="shared" ref="U74" si="952">U73+R74</f>
        <v>26365.729201359998</v>
      </c>
      <c r="V74" s="102">
        <f t="shared" ref="V74" si="953">IF(E74="Casaus",P74+V73,V73)</f>
        <v>490700</v>
      </c>
      <c r="W74" s="98">
        <f t="shared" ref="W74" si="954">IF(E74="Casaus",Q74+W73,W73)</f>
        <v>408179.63</v>
      </c>
      <c r="X74" s="103">
        <f t="shared" ref="X74" si="955">IF(E74="Casaus",R74+X73,X73)</f>
        <v>10359.381964419999</v>
      </c>
      <c r="Y74" s="102">
        <f t="shared" ref="Y74" si="956">IF(E74="SOMaSec",P74+Y73,Y73)</f>
        <v>742540</v>
      </c>
      <c r="Z74" s="98">
        <f t="shared" ref="Z74" si="957">IF(E74="SOMaSec",Q74+Z73,Z73)</f>
        <v>613031.19699999993</v>
      </c>
      <c r="AA74" s="104">
        <f t="shared" ref="AA74" si="958">IF(E74="SOMaSec",R74+AA73,AA73)</f>
        <v>14466.955382760003</v>
      </c>
      <c r="AB74" s="105">
        <f t="shared" ref="AB74" si="959">IF(P74&gt;0,P74+AB73,AB73)</f>
        <v>1314480</v>
      </c>
      <c r="AC74" s="100">
        <f t="shared" ref="AC74" si="960">IF(Q74&gt;0,Q74+AC73,AC73)</f>
        <v>1090487.9039999999</v>
      </c>
      <c r="AD74" s="106">
        <f t="shared" ref="AD74" si="961">IF(AND(E74="Casaus",Q74&gt;0),Q74+AD73,AD73)</f>
        <v>408179.63</v>
      </c>
      <c r="AE74" s="107">
        <f t="shared" ref="AE74" si="962">IF(AND(E74="SOMaSec",Q74&gt;0),Q74+AE73,AE73)</f>
        <v>613031.19699999993</v>
      </c>
    </row>
  </sheetData>
  <sheetProtection sort="0"/>
  <phoneticPr fontId="17" type="noConversion"/>
  <conditionalFormatting sqref="P2:P4">
    <cfRule type="cellIs" dxfId="155" priority="79" stopIfTrue="1" operator="lessThan">
      <formula>0</formula>
    </cfRule>
  </conditionalFormatting>
  <conditionalFormatting sqref="P5">
    <cfRule type="cellIs" dxfId="154" priority="75" stopIfTrue="1" operator="lessThan">
      <formula>0</formula>
    </cfRule>
  </conditionalFormatting>
  <conditionalFormatting sqref="P6">
    <cfRule type="cellIs" dxfId="153" priority="74" stopIfTrue="1" operator="lessThan">
      <formula>0</formula>
    </cfRule>
  </conditionalFormatting>
  <conditionalFormatting sqref="P7">
    <cfRule type="cellIs" dxfId="152" priority="73" stopIfTrue="1" operator="lessThan">
      <formula>0</formula>
    </cfRule>
  </conditionalFormatting>
  <conditionalFormatting sqref="P8">
    <cfRule type="cellIs" dxfId="151" priority="72" stopIfTrue="1" operator="lessThan">
      <formula>0</formula>
    </cfRule>
  </conditionalFormatting>
  <conditionalFormatting sqref="P9">
    <cfRule type="cellIs" dxfId="150" priority="71" stopIfTrue="1" operator="lessThan">
      <formula>0</formula>
    </cfRule>
  </conditionalFormatting>
  <conditionalFormatting sqref="P10">
    <cfRule type="cellIs" dxfId="149" priority="70" stopIfTrue="1" operator="lessThan">
      <formula>0</formula>
    </cfRule>
  </conditionalFormatting>
  <conditionalFormatting sqref="P11">
    <cfRule type="cellIs" dxfId="148" priority="69" stopIfTrue="1" operator="lessThan">
      <formula>0</formula>
    </cfRule>
  </conditionalFormatting>
  <conditionalFormatting sqref="P12">
    <cfRule type="cellIs" dxfId="147" priority="68" stopIfTrue="1" operator="lessThan">
      <formula>0</formula>
    </cfRule>
  </conditionalFormatting>
  <conditionalFormatting sqref="P13">
    <cfRule type="cellIs" dxfId="146" priority="67" stopIfTrue="1" operator="lessThan">
      <formula>0</formula>
    </cfRule>
  </conditionalFormatting>
  <conditionalFormatting sqref="P14">
    <cfRule type="cellIs" dxfId="145" priority="62" stopIfTrue="1" operator="lessThan">
      <formula>0</formula>
    </cfRule>
  </conditionalFormatting>
  <conditionalFormatting sqref="P15">
    <cfRule type="cellIs" dxfId="144" priority="61" stopIfTrue="1" operator="lessThan">
      <formula>0</formula>
    </cfRule>
  </conditionalFormatting>
  <conditionalFormatting sqref="P16">
    <cfRule type="cellIs" dxfId="143" priority="60" stopIfTrue="1" operator="lessThan">
      <formula>0</formula>
    </cfRule>
  </conditionalFormatting>
  <conditionalFormatting sqref="P17">
    <cfRule type="cellIs" dxfId="142" priority="59" stopIfTrue="1" operator="lessThan">
      <formula>0</formula>
    </cfRule>
  </conditionalFormatting>
  <conditionalFormatting sqref="P18">
    <cfRule type="cellIs" dxfId="141" priority="58" stopIfTrue="1" operator="lessThan">
      <formula>0</formula>
    </cfRule>
  </conditionalFormatting>
  <conditionalFormatting sqref="P19">
    <cfRule type="cellIs" dxfId="140" priority="57" stopIfTrue="1" operator="lessThan">
      <formula>0</formula>
    </cfRule>
  </conditionalFormatting>
  <conditionalFormatting sqref="P20">
    <cfRule type="cellIs" dxfId="139" priority="56" stopIfTrue="1" operator="lessThan">
      <formula>0</formula>
    </cfRule>
  </conditionalFormatting>
  <conditionalFormatting sqref="P21">
    <cfRule type="cellIs" dxfId="138" priority="55" stopIfTrue="1" operator="lessThan">
      <formula>0</formula>
    </cfRule>
  </conditionalFormatting>
  <conditionalFormatting sqref="P22">
    <cfRule type="cellIs" dxfId="137" priority="54" stopIfTrue="1" operator="lessThan">
      <formula>0</formula>
    </cfRule>
  </conditionalFormatting>
  <conditionalFormatting sqref="P23">
    <cfRule type="cellIs" dxfId="136" priority="53" stopIfTrue="1" operator="lessThan">
      <formula>0</formula>
    </cfRule>
  </conditionalFormatting>
  <conditionalFormatting sqref="P24">
    <cfRule type="cellIs" dxfId="135" priority="52" stopIfTrue="1" operator="lessThan">
      <formula>0</formula>
    </cfRule>
  </conditionalFormatting>
  <conditionalFormatting sqref="P25">
    <cfRule type="cellIs" dxfId="134" priority="51" stopIfTrue="1" operator="lessThan">
      <formula>0</formula>
    </cfRule>
  </conditionalFormatting>
  <conditionalFormatting sqref="P26">
    <cfRule type="cellIs" dxfId="133" priority="50" stopIfTrue="1" operator="lessThan">
      <formula>0</formula>
    </cfRule>
  </conditionalFormatting>
  <conditionalFormatting sqref="P27">
    <cfRule type="cellIs" dxfId="132" priority="49" stopIfTrue="1" operator="lessThan">
      <formula>0</formula>
    </cfRule>
  </conditionalFormatting>
  <conditionalFormatting sqref="P28">
    <cfRule type="cellIs" dxfId="131" priority="48" stopIfTrue="1" operator="lessThan">
      <formula>0</formula>
    </cfRule>
  </conditionalFormatting>
  <conditionalFormatting sqref="P29">
    <cfRule type="cellIs" dxfId="130" priority="47" stopIfTrue="1" operator="lessThan">
      <formula>0</formula>
    </cfRule>
  </conditionalFormatting>
  <conditionalFormatting sqref="P30">
    <cfRule type="cellIs" dxfId="129" priority="46" stopIfTrue="1" operator="lessThan">
      <formula>0</formula>
    </cfRule>
  </conditionalFormatting>
  <conditionalFormatting sqref="P31">
    <cfRule type="cellIs" dxfId="128" priority="45" stopIfTrue="1" operator="lessThan">
      <formula>0</formula>
    </cfRule>
  </conditionalFormatting>
  <conditionalFormatting sqref="P32">
    <cfRule type="cellIs" dxfId="127" priority="44" stopIfTrue="1" operator="lessThan">
      <formula>0</formula>
    </cfRule>
  </conditionalFormatting>
  <conditionalFormatting sqref="P33">
    <cfRule type="cellIs" dxfId="126" priority="43" stopIfTrue="1" operator="lessThan">
      <formula>0</formula>
    </cfRule>
  </conditionalFormatting>
  <conditionalFormatting sqref="P34">
    <cfRule type="cellIs" dxfId="125" priority="42" stopIfTrue="1" operator="lessThan">
      <formula>0</formula>
    </cfRule>
  </conditionalFormatting>
  <conditionalFormatting sqref="P35">
    <cfRule type="cellIs" dxfId="124" priority="41" stopIfTrue="1" operator="lessThan">
      <formula>0</formula>
    </cfRule>
  </conditionalFormatting>
  <conditionalFormatting sqref="P36">
    <cfRule type="cellIs" dxfId="123" priority="40" stopIfTrue="1" operator="lessThan">
      <formula>0</formula>
    </cfRule>
  </conditionalFormatting>
  <conditionalFormatting sqref="P37">
    <cfRule type="cellIs" dxfId="122" priority="39" stopIfTrue="1" operator="lessThan">
      <formula>0</formula>
    </cfRule>
  </conditionalFormatting>
  <conditionalFormatting sqref="P38">
    <cfRule type="cellIs" dxfId="121" priority="38" stopIfTrue="1" operator="lessThan">
      <formula>0</formula>
    </cfRule>
  </conditionalFormatting>
  <conditionalFormatting sqref="P39">
    <cfRule type="cellIs" dxfId="120" priority="37" stopIfTrue="1" operator="lessThan">
      <formula>0</formula>
    </cfRule>
  </conditionalFormatting>
  <conditionalFormatting sqref="P40">
    <cfRule type="cellIs" dxfId="119" priority="36" stopIfTrue="1" operator="lessThan">
      <formula>0</formula>
    </cfRule>
  </conditionalFormatting>
  <conditionalFormatting sqref="P41">
    <cfRule type="cellIs" dxfId="118" priority="35" stopIfTrue="1" operator="lessThan">
      <formula>0</formula>
    </cfRule>
  </conditionalFormatting>
  <conditionalFormatting sqref="P42">
    <cfRule type="cellIs" dxfId="117" priority="34" stopIfTrue="1" operator="lessThan">
      <formula>0</formula>
    </cfRule>
  </conditionalFormatting>
  <conditionalFormatting sqref="P43">
    <cfRule type="cellIs" dxfId="116" priority="33" stopIfTrue="1" operator="lessThan">
      <formula>0</formula>
    </cfRule>
  </conditionalFormatting>
  <conditionalFormatting sqref="P44">
    <cfRule type="cellIs" dxfId="115" priority="32" stopIfTrue="1" operator="lessThan">
      <formula>0</formula>
    </cfRule>
  </conditionalFormatting>
  <conditionalFormatting sqref="P45">
    <cfRule type="cellIs" dxfId="114" priority="31" stopIfTrue="1" operator="lessThan">
      <formula>0</formula>
    </cfRule>
  </conditionalFormatting>
  <conditionalFormatting sqref="P46">
    <cfRule type="cellIs" dxfId="113" priority="30" stopIfTrue="1" operator="lessThan">
      <formula>0</formula>
    </cfRule>
  </conditionalFormatting>
  <conditionalFormatting sqref="P47">
    <cfRule type="cellIs" dxfId="112" priority="29" stopIfTrue="1" operator="lessThan">
      <formula>0</formula>
    </cfRule>
  </conditionalFormatting>
  <conditionalFormatting sqref="P48">
    <cfRule type="cellIs" dxfId="111" priority="28" stopIfTrue="1" operator="lessThan">
      <formula>0</formula>
    </cfRule>
  </conditionalFormatting>
  <conditionalFormatting sqref="P49">
    <cfRule type="cellIs" dxfId="110" priority="27" stopIfTrue="1" operator="lessThan">
      <formula>0</formula>
    </cfRule>
  </conditionalFormatting>
  <conditionalFormatting sqref="P50">
    <cfRule type="cellIs" dxfId="109" priority="26" stopIfTrue="1" operator="lessThan">
      <formula>0</formula>
    </cfRule>
  </conditionalFormatting>
  <conditionalFormatting sqref="P51">
    <cfRule type="cellIs" dxfId="108" priority="25" stopIfTrue="1" operator="lessThan">
      <formula>0</formula>
    </cfRule>
  </conditionalFormatting>
  <conditionalFormatting sqref="P52">
    <cfRule type="cellIs" dxfId="107" priority="24" stopIfTrue="1" operator="lessThan">
      <formula>0</formula>
    </cfRule>
  </conditionalFormatting>
  <conditionalFormatting sqref="P53">
    <cfRule type="cellIs" dxfId="106" priority="23" stopIfTrue="1" operator="lessThan">
      <formula>0</formula>
    </cfRule>
  </conditionalFormatting>
  <conditionalFormatting sqref="P54">
    <cfRule type="cellIs" dxfId="105" priority="22" stopIfTrue="1" operator="lessThan">
      <formula>0</formula>
    </cfRule>
  </conditionalFormatting>
  <conditionalFormatting sqref="P55">
    <cfRule type="cellIs" dxfId="104" priority="21" stopIfTrue="1" operator="lessThan">
      <formula>0</formula>
    </cfRule>
  </conditionalFormatting>
  <conditionalFormatting sqref="P56">
    <cfRule type="cellIs" dxfId="103" priority="20" stopIfTrue="1" operator="lessThan">
      <formula>0</formula>
    </cfRule>
  </conditionalFormatting>
  <conditionalFormatting sqref="P57">
    <cfRule type="cellIs" dxfId="102" priority="19" stopIfTrue="1" operator="lessThan">
      <formula>0</formula>
    </cfRule>
  </conditionalFormatting>
  <conditionalFormatting sqref="P58">
    <cfRule type="cellIs" dxfId="101" priority="18" stopIfTrue="1" operator="lessThan">
      <formula>0</formula>
    </cfRule>
  </conditionalFormatting>
  <conditionalFormatting sqref="P59">
    <cfRule type="cellIs" dxfId="100" priority="17" stopIfTrue="1" operator="lessThan">
      <formula>0</formula>
    </cfRule>
  </conditionalFormatting>
  <conditionalFormatting sqref="P60">
    <cfRule type="cellIs" dxfId="99" priority="16" stopIfTrue="1" operator="lessThan">
      <formula>0</formula>
    </cfRule>
  </conditionalFormatting>
  <conditionalFormatting sqref="P61">
    <cfRule type="cellIs" dxfId="98" priority="15" stopIfTrue="1" operator="lessThan">
      <formula>0</formula>
    </cfRule>
  </conditionalFormatting>
  <conditionalFormatting sqref="P62">
    <cfRule type="cellIs" dxfId="97" priority="14" stopIfTrue="1" operator="lessThan">
      <formula>0</formula>
    </cfRule>
  </conditionalFormatting>
  <conditionalFormatting sqref="P63">
    <cfRule type="cellIs" dxfId="96" priority="13" stopIfTrue="1" operator="lessThan">
      <formula>0</formula>
    </cfRule>
  </conditionalFormatting>
  <conditionalFormatting sqref="P64">
    <cfRule type="cellIs" dxfId="95" priority="12" stopIfTrue="1" operator="lessThan">
      <formula>0</formula>
    </cfRule>
  </conditionalFormatting>
  <conditionalFormatting sqref="P65">
    <cfRule type="cellIs" dxfId="94" priority="11" stopIfTrue="1" operator="lessThan">
      <formula>0</formula>
    </cfRule>
  </conditionalFormatting>
  <conditionalFormatting sqref="P66">
    <cfRule type="cellIs" dxfId="93" priority="10" stopIfTrue="1" operator="lessThan">
      <formula>0</formula>
    </cfRule>
  </conditionalFormatting>
  <conditionalFormatting sqref="P67">
    <cfRule type="cellIs" dxfId="92" priority="8" stopIfTrue="1" operator="lessThan">
      <formula>0</formula>
    </cfRule>
  </conditionalFormatting>
  <conditionalFormatting sqref="P68">
    <cfRule type="cellIs" dxfId="91" priority="7" stopIfTrue="1" operator="lessThan">
      <formula>0</formula>
    </cfRule>
  </conditionalFormatting>
  <conditionalFormatting sqref="P69">
    <cfRule type="cellIs" dxfId="90" priority="6" stopIfTrue="1" operator="lessThan">
      <formula>0</formula>
    </cfRule>
  </conditionalFormatting>
  <conditionalFormatting sqref="P70">
    <cfRule type="cellIs" dxfId="89" priority="5" stopIfTrue="1" operator="lessThan">
      <formula>0</formula>
    </cfRule>
  </conditionalFormatting>
  <conditionalFormatting sqref="P71">
    <cfRule type="cellIs" dxfId="88" priority="4" stopIfTrue="1" operator="lessThan">
      <formula>0</formula>
    </cfRule>
  </conditionalFormatting>
  <conditionalFormatting sqref="P72">
    <cfRule type="cellIs" dxfId="87" priority="3" stopIfTrue="1" operator="lessThan">
      <formula>0</formula>
    </cfRule>
  </conditionalFormatting>
  <conditionalFormatting sqref="P73">
    <cfRule type="cellIs" dxfId="86" priority="2" stopIfTrue="1" operator="lessThan">
      <formula>0</formula>
    </cfRule>
  </conditionalFormatting>
  <conditionalFormatting sqref="P74">
    <cfRule type="cellIs" dxfId="85" priority="1" stopIfTrue="1" operator="lessThan">
      <formula>0</formula>
    </cfRule>
  </conditionalFormatting>
  <dataValidations count="4">
    <dataValidation type="list" allowBlank="1" showInputMessage="1" showErrorMessage="1" sqref="F2:F4">
      <formula1>"C,S"</formula1>
    </dataValidation>
    <dataValidation type="list" allowBlank="1" showInputMessage="1" showErrorMessage="1" sqref="G2:G4">
      <formula1>"Maïs,Blé"</formula1>
    </dataValidation>
    <dataValidation type="list" allowBlank="1" showInputMessage="1" showErrorMessage="1" sqref="B2:B74">
      <formula1>"Apport,Transfert E,Transfert S,Sortie"</formula1>
    </dataValidation>
    <dataValidation type="list" allowBlank="1" showInputMessage="1" showErrorMessage="1" sqref="E2:E74">
      <formula1>Barème</formula1>
    </dataValidation>
  </dataValidations>
  <printOptions horizontalCentered="1"/>
  <pageMargins left="0.70866141732283472" right="0.70866141732283472" top="0.74803149606299213" bottom="0.74803149606299213" header="0.31496062992125984" footer="0.31496062992125984"/>
  <pageSetup paperSize="9" scale="44" orientation="landscape" r:id="rId1"/>
  <headerFooter>
    <oddFooter>&amp;L&amp;D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Ajout_Click">
                <anchor moveWithCells="1">
                  <from>
                    <xdr:col>0</xdr:col>
                    <xdr:colOff>304800</xdr:colOff>
                    <xdr:row>1</xdr:row>
                    <xdr:rowOff>47625</xdr:rowOff>
                  </from>
                  <to>
                    <xdr:col>6</xdr:col>
                    <xdr:colOff>276225</xdr:colOff>
                    <xdr:row>3</xdr:row>
                    <xdr:rowOff>152400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3:O512"/>
  <sheetViews>
    <sheetView workbookViewId="0">
      <pane ySplit="3" topLeftCell="A88" activePane="bottomLeft" state="frozen"/>
      <selection pane="bottomLeft" activeCell="A113" sqref="A113"/>
    </sheetView>
  </sheetViews>
  <sheetFormatPr baseColWidth="10" defaultRowHeight="15" x14ac:dyDescent="0.25"/>
  <cols>
    <col min="1" max="1" width="13.42578125" style="2" customWidth="1"/>
    <col min="2" max="3" width="7.85546875" style="1" customWidth="1"/>
    <col min="4" max="4" width="7.7109375" style="1" customWidth="1"/>
    <col min="5" max="5" width="13.85546875" style="1" customWidth="1"/>
    <col min="6" max="6" width="18.5703125" style="1" customWidth="1"/>
    <col min="7" max="7" width="15.42578125" style="1" customWidth="1"/>
    <col min="8" max="8" width="20" style="1" customWidth="1"/>
    <col min="9" max="9" width="15.42578125" style="1" customWidth="1"/>
    <col min="10" max="10" width="18.5703125" customWidth="1"/>
    <col min="11" max="11" width="14.28515625" customWidth="1"/>
    <col min="12" max="12" width="22.7109375" style="1" bestFit="1" customWidth="1"/>
    <col min="13" max="13" width="12.5703125" style="1" bestFit="1" customWidth="1"/>
    <col min="14" max="14" width="12.140625" style="1" customWidth="1"/>
    <col min="15" max="15" width="40.7109375" style="1" bestFit="1" customWidth="1"/>
  </cols>
  <sheetData>
    <row r="3" spans="1:15" x14ac:dyDescent="0.25">
      <c r="A3" s="2" t="s">
        <v>0</v>
      </c>
      <c r="B3" s="1" t="s">
        <v>9</v>
      </c>
      <c r="C3" s="1" t="s">
        <v>10</v>
      </c>
      <c r="D3" s="1" t="s">
        <v>21</v>
      </c>
      <c r="E3" s="1" t="s">
        <v>11</v>
      </c>
      <c r="F3" s="1" t="s">
        <v>15</v>
      </c>
      <c r="G3" s="1" t="s">
        <v>16</v>
      </c>
      <c r="H3" s="1" t="s">
        <v>17</v>
      </c>
      <c r="I3" s="1" t="s">
        <v>18</v>
      </c>
      <c r="J3" s="1" t="s">
        <v>19</v>
      </c>
      <c r="K3" s="1" t="s">
        <v>20</v>
      </c>
      <c r="L3" s="1" t="s">
        <v>69</v>
      </c>
      <c r="M3" s="1" t="s">
        <v>12</v>
      </c>
      <c r="N3" s="1" t="s">
        <v>82</v>
      </c>
      <c r="O3" s="1" t="s">
        <v>13</v>
      </c>
    </row>
    <row r="4" spans="1:15" x14ac:dyDescent="0.25">
      <c r="A4" s="2">
        <v>41913</v>
      </c>
      <c r="B4" s="3">
        <v>0.41875000000000001</v>
      </c>
      <c r="C4" s="1">
        <v>27.2</v>
      </c>
      <c r="D4" s="1">
        <v>19.5</v>
      </c>
      <c r="E4" s="1">
        <v>0</v>
      </c>
      <c r="F4" s="1">
        <v>120</v>
      </c>
      <c r="G4" s="1">
        <v>55.6</v>
      </c>
      <c r="H4" s="1">
        <v>51</v>
      </c>
      <c r="I4" s="1">
        <v>24.9</v>
      </c>
      <c r="J4" s="1">
        <v>120</v>
      </c>
      <c r="L4" s="1" t="s">
        <v>51</v>
      </c>
      <c r="M4" s="1" t="s">
        <v>73</v>
      </c>
    </row>
    <row r="5" spans="1:15" x14ac:dyDescent="0.25">
      <c r="A5" s="2">
        <v>41913</v>
      </c>
      <c r="B5" s="3">
        <v>0.43958333333333338</v>
      </c>
      <c r="C5" s="1">
        <v>26.9</v>
      </c>
      <c r="D5" s="1">
        <v>18.3</v>
      </c>
      <c r="E5" s="1">
        <v>16</v>
      </c>
      <c r="F5" s="1">
        <v>120</v>
      </c>
      <c r="G5" s="1">
        <v>95.4</v>
      </c>
      <c r="H5" s="1">
        <v>51</v>
      </c>
      <c r="I5" s="1">
        <v>33.6</v>
      </c>
      <c r="J5" s="1">
        <v>120</v>
      </c>
      <c r="L5" s="1" t="s">
        <v>70</v>
      </c>
    </row>
    <row r="6" spans="1:15" x14ac:dyDescent="0.25">
      <c r="A6" s="2">
        <v>41913</v>
      </c>
      <c r="B6" s="3">
        <v>0.4604166666666667</v>
      </c>
      <c r="C6" s="1">
        <v>27</v>
      </c>
      <c r="D6" s="1">
        <v>18.3</v>
      </c>
      <c r="E6" s="1">
        <v>27</v>
      </c>
      <c r="F6" s="1">
        <v>120</v>
      </c>
      <c r="G6" s="1">
        <v>119.3</v>
      </c>
      <c r="H6" s="1">
        <v>51</v>
      </c>
      <c r="I6" s="1">
        <v>39.299999999999997</v>
      </c>
      <c r="J6" s="1">
        <v>160</v>
      </c>
      <c r="K6" s="1"/>
    </row>
    <row r="7" spans="1:15" x14ac:dyDescent="0.25">
      <c r="A7" s="2">
        <v>41913</v>
      </c>
      <c r="B7" s="3">
        <v>0.48472222222222222</v>
      </c>
      <c r="C7" s="1">
        <v>23.4</v>
      </c>
      <c r="D7" s="1">
        <v>20.399999999999999</v>
      </c>
      <c r="E7" s="1">
        <v>40</v>
      </c>
      <c r="F7" s="1">
        <v>120</v>
      </c>
      <c r="G7" s="1">
        <v>119.5</v>
      </c>
      <c r="H7" s="1">
        <v>51</v>
      </c>
      <c r="I7" s="1">
        <v>44.3</v>
      </c>
      <c r="J7" s="1">
        <v>160</v>
      </c>
      <c r="K7" s="1"/>
    </row>
    <row r="8" spans="1:15" x14ac:dyDescent="0.25">
      <c r="A8" s="2">
        <v>41913</v>
      </c>
      <c r="B8" s="3">
        <v>0.50694444444444442</v>
      </c>
      <c r="C8" s="1">
        <v>20.5</v>
      </c>
      <c r="D8" s="1">
        <v>24.2</v>
      </c>
      <c r="E8" s="1">
        <v>52</v>
      </c>
      <c r="F8" s="1">
        <v>120</v>
      </c>
      <c r="G8" s="1">
        <v>117.5</v>
      </c>
      <c r="H8" s="1">
        <v>51</v>
      </c>
      <c r="I8" s="1">
        <v>48.2</v>
      </c>
      <c r="J8" s="1">
        <v>160</v>
      </c>
      <c r="K8" s="1"/>
    </row>
    <row r="9" spans="1:15" x14ac:dyDescent="0.25">
      <c r="A9" s="2">
        <v>41913</v>
      </c>
      <c r="B9" s="3">
        <v>0.52430555555555558</v>
      </c>
      <c r="C9" s="1">
        <v>18.899999999999999</v>
      </c>
      <c r="D9" s="1">
        <v>25.7</v>
      </c>
      <c r="E9" s="1">
        <v>61</v>
      </c>
      <c r="F9" s="1">
        <v>120</v>
      </c>
      <c r="G9" s="1">
        <v>117.7</v>
      </c>
      <c r="H9" s="1">
        <v>51</v>
      </c>
      <c r="I9" s="1">
        <v>49.6</v>
      </c>
      <c r="J9" s="1">
        <v>160</v>
      </c>
      <c r="K9" s="1"/>
    </row>
    <row r="10" spans="1:15" x14ac:dyDescent="0.25">
      <c r="A10" s="2">
        <v>41913</v>
      </c>
      <c r="B10" s="3">
        <v>0.5444444444444444</v>
      </c>
      <c r="C10" s="1">
        <v>17.600000000000001</v>
      </c>
      <c r="D10" s="1">
        <v>27.3</v>
      </c>
      <c r="E10" s="1">
        <v>72</v>
      </c>
      <c r="F10" s="1">
        <v>120</v>
      </c>
      <c r="G10" s="1">
        <v>118.5</v>
      </c>
      <c r="H10" s="1">
        <v>51</v>
      </c>
      <c r="I10" s="1">
        <v>52.2</v>
      </c>
      <c r="J10" s="1">
        <v>160</v>
      </c>
      <c r="K10" s="1"/>
    </row>
    <row r="11" spans="1:15" x14ac:dyDescent="0.25">
      <c r="A11" s="2">
        <v>41913</v>
      </c>
      <c r="B11" s="3">
        <v>0.5541666666666667</v>
      </c>
      <c r="C11" s="1">
        <v>17</v>
      </c>
      <c r="D11" s="1">
        <v>30.3</v>
      </c>
      <c r="E11" s="1">
        <v>77</v>
      </c>
      <c r="F11" s="1">
        <v>120</v>
      </c>
      <c r="G11" s="1">
        <v>118.6</v>
      </c>
      <c r="H11" s="1">
        <v>51</v>
      </c>
      <c r="I11" s="1">
        <v>53.8</v>
      </c>
      <c r="J11" s="1">
        <v>160</v>
      </c>
      <c r="K11" s="1"/>
    </row>
    <row r="12" spans="1:15" x14ac:dyDescent="0.25">
      <c r="A12" s="2">
        <v>41913</v>
      </c>
      <c r="B12" s="3">
        <v>0.55763888888888891</v>
      </c>
      <c r="E12" s="1">
        <v>79</v>
      </c>
      <c r="F12" s="1">
        <v>120</v>
      </c>
      <c r="H12" s="1">
        <v>51</v>
      </c>
      <c r="J12" s="1">
        <v>160</v>
      </c>
      <c r="K12" s="1"/>
      <c r="L12" s="1" t="s">
        <v>202</v>
      </c>
      <c r="M12" s="1" t="s">
        <v>201</v>
      </c>
    </row>
    <row r="13" spans="1:15" x14ac:dyDescent="0.25">
      <c r="A13" s="2">
        <v>41913</v>
      </c>
      <c r="B13" s="3">
        <v>0.58333333333333337</v>
      </c>
      <c r="C13" s="1">
        <v>15.8</v>
      </c>
      <c r="D13" s="1">
        <v>35</v>
      </c>
      <c r="E13" s="1">
        <v>96</v>
      </c>
      <c r="F13" s="1">
        <v>120</v>
      </c>
      <c r="G13" s="1">
        <v>120.4</v>
      </c>
      <c r="H13" s="1">
        <v>51</v>
      </c>
      <c r="I13" s="1">
        <v>61.2</v>
      </c>
      <c r="J13" s="1">
        <v>160</v>
      </c>
      <c r="K13" s="1">
        <v>102</v>
      </c>
    </row>
    <row r="14" spans="1:15" x14ac:dyDescent="0.25">
      <c r="A14" s="2">
        <v>41913</v>
      </c>
      <c r="B14" s="3">
        <v>0.61388888888888882</v>
      </c>
      <c r="C14" s="1">
        <v>14</v>
      </c>
      <c r="D14" s="1">
        <v>38.1</v>
      </c>
      <c r="E14" s="1">
        <v>116</v>
      </c>
      <c r="F14" s="1">
        <v>120</v>
      </c>
      <c r="G14" s="1">
        <v>110</v>
      </c>
      <c r="H14" s="1">
        <v>51</v>
      </c>
      <c r="I14" s="1">
        <v>52.4</v>
      </c>
      <c r="J14" s="1">
        <v>160</v>
      </c>
      <c r="K14" s="1">
        <v>152</v>
      </c>
    </row>
    <row r="15" spans="1:15" x14ac:dyDescent="0.25">
      <c r="A15" s="2">
        <v>41913</v>
      </c>
      <c r="B15" s="3">
        <v>0.64583333333333337</v>
      </c>
      <c r="C15" s="1">
        <v>12</v>
      </c>
      <c r="D15" s="1">
        <v>33.799999999999997</v>
      </c>
      <c r="E15" s="1">
        <v>131</v>
      </c>
      <c r="F15" s="1">
        <v>120</v>
      </c>
      <c r="G15" s="1">
        <v>118.2</v>
      </c>
      <c r="H15" s="1">
        <v>51</v>
      </c>
      <c r="I15" s="1">
        <v>44</v>
      </c>
      <c r="J15" s="1">
        <v>160</v>
      </c>
      <c r="K15" s="1">
        <v>199</v>
      </c>
      <c r="N15" s="1" t="s">
        <v>201</v>
      </c>
    </row>
    <row r="16" spans="1:15" x14ac:dyDescent="0.25">
      <c r="A16" s="2">
        <v>41913</v>
      </c>
      <c r="B16" s="3">
        <v>0.66805555555555562</v>
      </c>
      <c r="C16" s="1">
        <v>13.9</v>
      </c>
      <c r="D16" s="1">
        <v>32.299999999999997</v>
      </c>
      <c r="E16" s="1">
        <v>141</v>
      </c>
      <c r="F16" s="1">
        <v>120</v>
      </c>
      <c r="G16" s="1">
        <v>115.5</v>
      </c>
      <c r="H16" s="1">
        <v>51</v>
      </c>
      <c r="I16" s="1">
        <v>46</v>
      </c>
      <c r="J16" s="1">
        <v>160</v>
      </c>
      <c r="K16" s="1">
        <v>188</v>
      </c>
    </row>
    <row r="17" spans="1:12" x14ac:dyDescent="0.25">
      <c r="A17" s="2">
        <v>41913</v>
      </c>
      <c r="B17" s="3">
        <v>0.69166666666666676</v>
      </c>
      <c r="C17" s="1">
        <v>17</v>
      </c>
      <c r="D17" s="1">
        <v>31</v>
      </c>
      <c r="E17" s="1">
        <v>152</v>
      </c>
      <c r="F17" s="1">
        <v>120</v>
      </c>
      <c r="G17" s="1">
        <v>117.8</v>
      </c>
      <c r="H17" s="1">
        <v>51</v>
      </c>
      <c r="I17" s="1">
        <v>47.7</v>
      </c>
      <c r="J17" s="1">
        <v>160</v>
      </c>
      <c r="K17" s="1">
        <v>178</v>
      </c>
    </row>
    <row r="18" spans="1:12" x14ac:dyDescent="0.25">
      <c r="A18" s="2">
        <v>41913</v>
      </c>
      <c r="B18" s="3">
        <v>0.71180555555555547</v>
      </c>
      <c r="C18" s="1">
        <v>17.399999999999999</v>
      </c>
      <c r="D18" s="1">
        <v>31.5</v>
      </c>
      <c r="E18" s="1">
        <v>162</v>
      </c>
      <c r="F18" s="1">
        <v>120</v>
      </c>
      <c r="G18" s="1">
        <v>117.7</v>
      </c>
      <c r="H18" s="1">
        <v>51</v>
      </c>
      <c r="I18" s="1">
        <v>47.8</v>
      </c>
      <c r="J18" s="1">
        <v>160</v>
      </c>
      <c r="K18" s="1">
        <v>177</v>
      </c>
      <c r="L18" s="1" t="s">
        <v>203</v>
      </c>
    </row>
    <row r="19" spans="1:12" x14ac:dyDescent="0.25">
      <c r="A19" s="2">
        <v>41913</v>
      </c>
      <c r="B19" s="3">
        <v>0.7402777777777777</v>
      </c>
      <c r="C19" s="1">
        <v>16.8</v>
      </c>
      <c r="D19" s="1">
        <v>31.1</v>
      </c>
      <c r="E19" s="1">
        <v>175</v>
      </c>
      <c r="F19" s="1">
        <v>120</v>
      </c>
      <c r="G19" s="1">
        <v>119</v>
      </c>
      <c r="H19" s="1">
        <v>51</v>
      </c>
      <c r="I19" s="1">
        <v>47.3</v>
      </c>
      <c r="J19" s="1">
        <v>170</v>
      </c>
      <c r="K19" s="1">
        <v>191</v>
      </c>
    </row>
    <row r="20" spans="1:12" x14ac:dyDescent="0.25">
      <c r="A20" s="2">
        <v>41913</v>
      </c>
      <c r="B20" s="3">
        <v>0.76458333333333339</v>
      </c>
      <c r="C20" s="1">
        <v>16.100000000000001</v>
      </c>
      <c r="D20" s="1">
        <v>31.1</v>
      </c>
      <c r="E20" s="1">
        <v>186</v>
      </c>
      <c r="F20" s="1">
        <v>120</v>
      </c>
      <c r="G20" s="1">
        <v>115.6</v>
      </c>
      <c r="H20" s="1">
        <v>51</v>
      </c>
      <c r="I20" s="1">
        <v>47.2</v>
      </c>
      <c r="J20" s="1">
        <v>170</v>
      </c>
      <c r="K20" s="1">
        <v>192</v>
      </c>
    </row>
    <row r="21" spans="1:12" x14ac:dyDescent="0.25">
      <c r="A21" s="2">
        <v>41913</v>
      </c>
      <c r="B21" s="3">
        <v>0.7895833333333333</v>
      </c>
      <c r="C21" s="1">
        <v>17</v>
      </c>
      <c r="D21" s="1">
        <v>30.4</v>
      </c>
      <c r="E21" s="1">
        <v>197</v>
      </c>
      <c r="F21" s="1">
        <v>120</v>
      </c>
      <c r="G21" s="1">
        <v>118.8</v>
      </c>
      <c r="H21" s="1">
        <v>51</v>
      </c>
      <c r="I21" s="1">
        <v>45.7</v>
      </c>
      <c r="J21" s="1">
        <v>170</v>
      </c>
      <c r="K21" s="1">
        <v>201</v>
      </c>
    </row>
    <row r="22" spans="1:12" x14ac:dyDescent="0.25">
      <c r="A22" s="2">
        <v>41913</v>
      </c>
      <c r="B22" s="3">
        <v>0.81319444444444444</v>
      </c>
      <c r="C22" s="1">
        <v>17.100000000000001</v>
      </c>
      <c r="D22" s="1">
        <v>29.7</v>
      </c>
      <c r="E22" s="1">
        <v>207</v>
      </c>
      <c r="F22" s="1">
        <v>120</v>
      </c>
      <c r="G22" s="1">
        <v>117.3</v>
      </c>
      <c r="H22" s="1">
        <v>51</v>
      </c>
      <c r="I22" s="1">
        <v>45.2</v>
      </c>
      <c r="J22" s="1">
        <v>170</v>
      </c>
      <c r="K22" s="1">
        <v>204</v>
      </c>
    </row>
    <row r="23" spans="1:12" x14ac:dyDescent="0.25">
      <c r="A23" s="2">
        <v>41913</v>
      </c>
      <c r="B23" s="3">
        <v>0.8208333333333333</v>
      </c>
      <c r="E23" s="1">
        <v>210</v>
      </c>
      <c r="F23" s="1">
        <v>120</v>
      </c>
      <c r="H23" s="1">
        <v>51</v>
      </c>
      <c r="J23" s="1">
        <v>170</v>
      </c>
      <c r="K23" s="1"/>
      <c r="L23" s="1" t="s">
        <v>206</v>
      </c>
    </row>
    <row r="24" spans="1:12" x14ac:dyDescent="0.25">
      <c r="A24" s="2">
        <v>41915</v>
      </c>
      <c r="B24" s="3">
        <v>0.5625</v>
      </c>
      <c r="E24" s="1">
        <v>210</v>
      </c>
      <c r="F24" s="1">
        <v>120</v>
      </c>
      <c r="H24" s="1">
        <v>51</v>
      </c>
      <c r="J24" s="1">
        <v>190</v>
      </c>
      <c r="K24" s="1"/>
      <c r="L24" s="1" t="s">
        <v>51</v>
      </c>
    </row>
    <row r="25" spans="1:12" x14ac:dyDescent="0.25">
      <c r="A25" s="2">
        <v>41915</v>
      </c>
      <c r="B25" s="3">
        <v>0.58263888888888882</v>
      </c>
      <c r="C25" s="1">
        <v>17</v>
      </c>
      <c r="D25" s="1">
        <v>21.9</v>
      </c>
      <c r="E25" s="1">
        <v>219</v>
      </c>
      <c r="F25" s="1">
        <v>120</v>
      </c>
      <c r="G25" s="1">
        <v>118.2</v>
      </c>
      <c r="H25" s="1">
        <v>51</v>
      </c>
      <c r="I25" s="1">
        <v>36.700000000000003</v>
      </c>
      <c r="J25" s="1">
        <v>190</v>
      </c>
      <c r="K25" s="1"/>
    </row>
    <row r="26" spans="1:12" x14ac:dyDescent="0.25">
      <c r="A26" s="2">
        <v>41915</v>
      </c>
      <c r="B26" s="3">
        <v>0.60763888888888895</v>
      </c>
      <c r="C26" s="1">
        <v>18.2</v>
      </c>
      <c r="D26" s="1">
        <v>25</v>
      </c>
      <c r="E26" s="1">
        <v>230</v>
      </c>
      <c r="F26" s="1">
        <v>120</v>
      </c>
      <c r="G26" s="1">
        <v>119.3</v>
      </c>
      <c r="H26" s="1">
        <v>51</v>
      </c>
      <c r="I26" s="1">
        <v>43.8</v>
      </c>
      <c r="J26" s="1">
        <v>190</v>
      </c>
      <c r="K26" s="1"/>
    </row>
    <row r="27" spans="1:12" x14ac:dyDescent="0.25">
      <c r="A27" s="2">
        <v>41915</v>
      </c>
      <c r="B27" s="3">
        <v>0.62708333333333333</v>
      </c>
      <c r="C27" s="1">
        <v>18</v>
      </c>
      <c r="D27" s="1">
        <v>27.5</v>
      </c>
      <c r="E27" s="1">
        <v>239</v>
      </c>
      <c r="F27" s="1">
        <v>120</v>
      </c>
      <c r="G27" s="1">
        <v>117.7</v>
      </c>
      <c r="H27" s="1">
        <v>51</v>
      </c>
      <c r="I27" s="1">
        <v>48.2</v>
      </c>
      <c r="J27" s="1">
        <v>190</v>
      </c>
      <c r="K27" s="1"/>
      <c r="L27" s="1" t="s">
        <v>208</v>
      </c>
    </row>
    <row r="28" spans="1:12" x14ac:dyDescent="0.25">
      <c r="A28" s="2">
        <v>41915</v>
      </c>
      <c r="B28" s="3">
        <v>0.64930555555555558</v>
      </c>
      <c r="C28" s="1">
        <v>17.7</v>
      </c>
      <c r="D28" s="1">
        <v>29.1</v>
      </c>
      <c r="E28" s="1">
        <v>249</v>
      </c>
      <c r="F28" s="1">
        <v>120</v>
      </c>
      <c r="G28" s="1">
        <v>119.5</v>
      </c>
      <c r="H28" s="1">
        <v>51</v>
      </c>
      <c r="I28" s="1">
        <v>49.8</v>
      </c>
      <c r="J28" s="1">
        <v>180</v>
      </c>
      <c r="K28" s="1"/>
    </row>
    <row r="29" spans="1:12" x14ac:dyDescent="0.25">
      <c r="A29" s="2">
        <v>41915</v>
      </c>
      <c r="B29" s="3">
        <v>0.67222222222222217</v>
      </c>
      <c r="C29" s="1">
        <v>16.100000000000001</v>
      </c>
      <c r="D29" s="1">
        <v>30.6</v>
      </c>
      <c r="E29" s="1">
        <v>260</v>
      </c>
      <c r="F29" s="1">
        <v>120</v>
      </c>
      <c r="G29" s="1">
        <v>119.3</v>
      </c>
      <c r="H29" s="1">
        <v>51</v>
      </c>
      <c r="I29" s="1">
        <v>48.9</v>
      </c>
      <c r="J29" s="1">
        <v>180</v>
      </c>
      <c r="K29" s="1"/>
      <c r="L29" s="1" t="s">
        <v>209</v>
      </c>
    </row>
    <row r="30" spans="1:12" x14ac:dyDescent="0.25">
      <c r="A30" s="2">
        <v>41915</v>
      </c>
      <c r="B30" s="3">
        <v>0.70277777777777783</v>
      </c>
      <c r="C30" s="1">
        <v>14.4</v>
      </c>
      <c r="D30" s="1">
        <v>32.299999999999997</v>
      </c>
      <c r="E30" s="1">
        <v>274</v>
      </c>
      <c r="F30" s="1">
        <v>120</v>
      </c>
      <c r="G30" s="1">
        <v>118.2</v>
      </c>
      <c r="H30" s="1">
        <v>50</v>
      </c>
      <c r="I30" s="1">
        <v>48.3</v>
      </c>
      <c r="J30" s="1">
        <v>180</v>
      </c>
      <c r="K30" s="1">
        <v>190</v>
      </c>
      <c r="L30" s="1" t="s">
        <v>210</v>
      </c>
    </row>
    <row r="31" spans="1:12" x14ac:dyDescent="0.25">
      <c r="A31" s="2">
        <v>41915</v>
      </c>
      <c r="B31" s="3">
        <v>0.74583333333333324</v>
      </c>
      <c r="C31" s="1">
        <v>15</v>
      </c>
      <c r="D31" s="1">
        <v>31.4</v>
      </c>
      <c r="E31" s="1">
        <v>294</v>
      </c>
      <c r="F31" s="1">
        <v>120</v>
      </c>
      <c r="G31" s="1">
        <v>119.6</v>
      </c>
      <c r="H31" s="1">
        <v>50</v>
      </c>
      <c r="I31" s="1">
        <v>47.9</v>
      </c>
      <c r="J31" s="1">
        <v>175</v>
      </c>
      <c r="K31" s="1">
        <v>187</v>
      </c>
    </row>
    <row r="32" spans="1:12" x14ac:dyDescent="0.25">
      <c r="A32" s="2">
        <v>41915</v>
      </c>
      <c r="B32" s="3">
        <v>0.77916666666666667</v>
      </c>
      <c r="C32" s="1">
        <v>15.4</v>
      </c>
      <c r="D32" s="1">
        <v>31.2</v>
      </c>
      <c r="E32" s="1">
        <v>309</v>
      </c>
      <c r="F32" s="1">
        <v>120</v>
      </c>
      <c r="G32" s="1">
        <v>117.3</v>
      </c>
      <c r="H32" s="1">
        <v>50</v>
      </c>
      <c r="I32" s="1">
        <v>47.3</v>
      </c>
      <c r="J32" s="1">
        <v>175</v>
      </c>
      <c r="K32" s="1">
        <v>190</v>
      </c>
    </row>
    <row r="33" spans="1:15" x14ac:dyDescent="0.25">
      <c r="A33" s="2">
        <v>41915</v>
      </c>
      <c r="B33" s="3">
        <v>0.82152777777777775</v>
      </c>
      <c r="C33" s="1">
        <v>16.5</v>
      </c>
      <c r="D33" s="1">
        <v>28.5</v>
      </c>
      <c r="E33" s="1">
        <v>328</v>
      </c>
      <c r="F33" s="1">
        <v>120</v>
      </c>
      <c r="G33" s="1">
        <v>118</v>
      </c>
      <c r="H33" s="1">
        <v>50</v>
      </c>
      <c r="I33" s="1">
        <v>47</v>
      </c>
      <c r="J33" s="1">
        <v>175</v>
      </c>
      <c r="K33" s="1">
        <v>192</v>
      </c>
      <c r="L33" s="1" t="s">
        <v>213</v>
      </c>
    </row>
    <row r="34" spans="1:15" x14ac:dyDescent="0.25">
      <c r="A34" s="2">
        <v>41915</v>
      </c>
      <c r="B34" s="3">
        <v>0.86458333333333337</v>
      </c>
      <c r="C34" s="1">
        <v>16.899999999999999</v>
      </c>
      <c r="D34" s="1">
        <v>26.6</v>
      </c>
      <c r="E34" s="1">
        <v>347</v>
      </c>
      <c r="F34" s="1">
        <v>120</v>
      </c>
      <c r="G34" s="1">
        <v>117.9</v>
      </c>
      <c r="H34" s="1">
        <v>50</v>
      </c>
      <c r="I34" s="1">
        <v>47.1</v>
      </c>
      <c r="J34" s="1">
        <v>177</v>
      </c>
      <c r="K34" s="1">
        <v>193</v>
      </c>
    </row>
    <row r="35" spans="1:15" x14ac:dyDescent="0.25">
      <c r="A35" s="2">
        <v>41915</v>
      </c>
      <c r="B35" s="3">
        <v>0.90486111111111101</v>
      </c>
      <c r="C35" s="1">
        <v>16.600000000000001</v>
      </c>
      <c r="D35" s="1">
        <v>25.1</v>
      </c>
      <c r="E35" s="1">
        <v>365</v>
      </c>
      <c r="F35" s="1">
        <v>120</v>
      </c>
      <c r="G35" s="1">
        <v>118.8</v>
      </c>
      <c r="H35" s="1">
        <v>50</v>
      </c>
      <c r="I35" s="1">
        <v>47.8</v>
      </c>
      <c r="J35" s="1">
        <v>177</v>
      </c>
      <c r="K35" s="1">
        <v>190</v>
      </c>
    </row>
    <row r="36" spans="1:15" x14ac:dyDescent="0.25">
      <c r="A36" s="2">
        <v>41915</v>
      </c>
      <c r="B36" s="3">
        <v>0.9506944444444444</v>
      </c>
      <c r="C36" s="1">
        <v>15.9</v>
      </c>
      <c r="D36" s="1">
        <v>24.5</v>
      </c>
      <c r="E36" s="1">
        <v>386</v>
      </c>
      <c r="F36" s="1">
        <v>120</v>
      </c>
      <c r="G36" s="1">
        <v>119.7</v>
      </c>
      <c r="H36" s="1">
        <v>50</v>
      </c>
      <c r="I36" s="1">
        <v>48.2</v>
      </c>
      <c r="J36" s="1">
        <v>177</v>
      </c>
      <c r="K36" s="1">
        <v>187</v>
      </c>
    </row>
    <row r="37" spans="1:15" x14ac:dyDescent="0.25">
      <c r="A37" s="2">
        <v>41915</v>
      </c>
      <c r="B37" s="3">
        <v>0.99652777777777779</v>
      </c>
      <c r="C37" s="1">
        <v>15.8</v>
      </c>
      <c r="D37" s="1">
        <v>22</v>
      </c>
      <c r="E37" s="1">
        <v>403</v>
      </c>
      <c r="F37" s="1">
        <v>120</v>
      </c>
      <c r="G37" s="1">
        <v>108.4</v>
      </c>
      <c r="H37" s="1">
        <v>50</v>
      </c>
      <c r="I37" s="1">
        <v>42.4</v>
      </c>
      <c r="J37" s="1">
        <v>190</v>
      </c>
      <c r="K37" s="1"/>
      <c r="O37" s="1" t="s">
        <v>215</v>
      </c>
    </row>
    <row r="38" spans="1:15" x14ac:dyDescent="0.25">
      <c r="A38" s="2">
        <v>41916</v>
      </c>
      <c r="B38" s="3">
        <v>3.1944444444444449E-2</v>
      </c>
      <c r="C38" s="1">
        <v>16.3</v>
      </c>
      <c r="D38" s="1">
        <v>21.6</v>
      </c>
      <c r="E38" s="1">
        <v>419</v>
      </c>
      <c r="F38" s="1">
        <v>120</v>
      </c>
      <c r="G38" s="1">
        <v>118.9</v>
      </c>
      <c r="H38" s="1">
        <v>50</v>
      </c>
      <c r="I38" s="1">
        <v>47</v>
      </c>
      <c r="J38" s="1">
        <v>190</v>
      </c>
      <c r="K38" s="1"/>
    </row>
    <row r="39" spans="1:15" x14ac:dyDescent="0.25">
      <c r="A39" s="2">
        <v>41916</v>
      </c>
      <c r="B39" s="3">
        <v>3.6805555555555557E-2</v>
      </c>
      <c r="E39" s="1">
        <v>421</v>
      </c>
      <c r="F39" s="1">
        <v>120</v>
      </c>
      <c r="H39" s="1">
        <v>50</v>
      </c>
      <c r="J39" s="1">
        <v>190</v>
      </c>
      <c r="K39" s="1"/>
      <c r="L39" s="1" t="s">
        <v>206</v>
      </c>
    </row>
    <row r="40" spans="1:15" x14ac:dyDescent="0.25">
      <c r="A40" s="2">
        <v>41918</v>
      </c>
      <c r="B40" s="3">
        <v>0.42708333333333331</v>
      </c>
      <c r="E40" s="1">
        <v>421</v>
      </c>
      <c r="F40" s="1">
        <v>120</v>
      </c>
      <c r="H40" s="1">
        <v>50</v>
      </c>
      <c r="J40" s="1">
        <v>170</v>
      </c>
      <c r="K40" s="1"/>
      <c r="L40" s="1" t="s">
        <v>51</v>
      </c>
    </row>
    <row r="41" spans="1:15" x14ac:dyDescent="0.25">
      <c r="A41" s="2">
        <v>41918</v>
      </c>
      <c r="B41" s="3">
        <v>0.45069444444444445</v>
      </c>
      <c r="C41" s="1">
        <v>15.1</v>
      </c>
      <c r="D41" s="1">
        <v>15.5</v>
      </c>
      <c r="E41" s="1">
        <v>432</v>
      </c>
      <c r="F41" s="1">
        <v>120</v>
      </c>
      <c r="G41" s="1">
        <v>103.7</v>
      </c>
      <c r="H41" s="1">
        <v>50</v>
      </c>
      <c r="I41" s="1">
        <v>35.1</v>
      </c>
      <c r="J41" s="1">
        <v>170</v>
      </c>
      <c r="K41" s="1"/>
    </row>
    <row r="42" spans="1:15" x14ac:dyDescent="0.25">
      <c r="A42" s="2">
        <v>41918</v>
      </c>
      <c r="B42" s="3">
        <v>0.46875</v>
      </c>
      <c r="C42" s="1">
        <v>14.8</v>
      </c>
      <c r="D42" s="1">
        <v>19.100000000000001</v>
      </c>
      <c r="E42" s="1">
        <v>441</v>
      </c>
      <c r="F42" s="1">
        <v>120</v>
      </c>
      <c r="G42" s="1">
        <v>119.1</v>
      </c>
      <c r="H42" s="1">
        <v>50</v>
      </c>
      <c r="I42" s="1">
        <v>43.6</v>
      </c>
      <c r="J42" s="1">
        <v>170</v>
      </c>
      <c r="K42" s="1"/>
    </row>
    <row r="43" spans="1:15" x14ac:dyDescent="0.25">
      <c r="A43" s="2">
        <v>41918</v>
      </c>
      <c r="B43" s="3">
        <v>0.48888888888888887</v>
      </c>
      <c r="C43" s="1">
        <v>14.3</v>
      </c>
      <c r="D43" s="1">
        <v>23.4</v>
      </c>
      <c r="E43" s="1">
        <v>451</v>
      </c>
      <c r="F43" s="1">
        <v>120</v>
      </c>
      <c r="G43" s="1">
        <v>118.5</v>
      </c>
      <c r="H43" s="1">
        <v>50</v>
      </c>
      <c r="I43" s="1">
        <v>48.5</v>
      </c>
      <c r="J43" s="1">
        <v>170</v>
      </c>
      <c r="K43" s="1"/>
    </row>
    <row r="44" spans="1:15" x14ac:dyDescent="0.25">
      <c r="A44" s="2">
        <v>41918</v>
      </c>
      <c r="B44" s="3">
        <v>0.50902777777777775</v>
      </c>
      <c r="C44" s="1">
        <v>14.9</v>
      </c>
      <c r="D44" s="1">
        <v>26.5</v>
      </c>
      <c r="E44" s="1">
        <v>461</v>
      </c>
      <c r="F44" s="1">
        <v>120</v>
      </c>
      <c r="G44" s="1">
        <v>117.6</v>
      </c>
      <c r="H44" s="1">
        <v>50</v>
      </c>
      <c r="I44" s="1">
        <v>50.4</v>
      </c>
      <c r="J44" s="1">
        <v>170</v>
      </c>
      <c r="K44" s="1"/>
      <c r="L44" s="1" t="s">
        <v>216</v>
      </c>
    </row>
    <row r="45" spans="1:15" x14ac:dyDescent="0.25">
      <c r="A45" s="2">
        <v>41918</v>
      </c>
      <c r="B45" s="3">
        <v>0.54513888888888895</v>
      </c>
      <c r="C45" s="1">
        <v>15.5</v>
      </c>
      <c r="D45" s="1">
        <v>30.6</v>
      </c>
      <c r="E45" s="1">
        <v>481</v>
      </c>
      <c r="F45" s="1">
        <v>120</v>
      </c>
      <c r="G45" s="1">
        <v>119.2</v>
      </c>
      <c r="H45" s="1">
        <v>50</v>
      </c>
      <c r="I45" s="1">
        <v>52.9</v>
      </c>
      <c r="J45" s="1">
        <v>165</v>
      </c>
      <c r="K45" s="1">
        <v>148</v>
      </c>
    </row>
    <row r="46" spans="1:15" x14ac:dyDescent="0.25">
      <c r="A46" s="2">
        <v>41918</v>
      </c>
      <c r="B46" s="3">
        <v>0.58472222222222225</v>
      </c>
      <c r="C46" s="1">
        <v>14.9</v>
      </c>
      <c r="D46" s="1">
        <v>34.5</v>
      </c>
      <c r="E46" s="1">
        <v>503</v>
      </c>
      <c r="F46" s="1">
        <v>120</v>
      </c>
      <c r="G46" s="1">
        <v>120.1</v>
      </c>
      <c r="H46" s="1">
        <v>50</v>
      </c>
      <c r="I46" s="1">
        <v>48.9</v>
      </c>
      <c r="J46" s="1">
        <v>165</v>
      </c>
      <c r="K46" s="1">
        <v>171</v>
      </c>
    </row>
    <row r="47" spans="1:15" x14ac:dyDescent="0.25">
      <c r="A47" s="2">
        <v>41918</v>
      </c>
      <c r="B47" s="3">
        <v>0.625</v>
      </c>
      <c r="C47" s="1">
        <v>15.7</v>
      </c>
      <c r="D47" s="1">
        <v>31.8</v>
      </c>
      <c r="E47" s="1">
        <v>522</v>
      </c>
      <c r="F47" s="1">
        <v>120</v>
      </c>
      <c r="G47" s="1">
        <v>118.1</v>
      </c>
      <c r="H47" s="1">
        <v>50</v>
      </c>
      <c r="I47" s="1">
        <v>47.6</v>
      </c>
      <c r="J47" s="1">
        <v>165</v>
      </c>
      <c r="K47" s="1">
        <v>178</v>
      </c>
    </row>
    <row r="48" spans="1:15" x14ac:dyDescent="0.25">
      <c r="A48" s="2">
        <v>41918</v>
      </c>
      <c r="B48" s="3">
        <v>0.66527777777777775</v>
      </c>
      <c r="C48" s="1">
        <v>16.100000000000001</v>
      </c>
      <c r="D48" s="1">
        <v>30.8</v>
      </c>
      <c r="E48" s="1">
        <v>541</v>
      </c>
      <c r="F48" s="1">
        <v>120</v>
      </c>
      <c r="G48" s="1">
        <v>117.9</v>
      </c>
      <c r="H48" s="1">
        <v>50</v>
      </c>
      <c r="I48" s="1">
        <v>46.8</v>
      </c>
      <c r="J48" s="1">
        <v>165</v>
      </c>
      <c r="K48" s="1">
        <v>182</v>
      </c>
    </row>
    <row r="49" spans="1:12" x14ac:dyDescent="0.25">
      <c r="A49" s="2">
        <v>41918</v>
      </c>
      <c r="B49" s="3">
        <v>0.70416666666666661</v>
      </c>
      <c r="C49" s="1">
        <v>16</v>
      </c>
      <c r="D49" s="1">
        <v>31.8</v>
      </c>
      <c r="E49" s="1">
        <v>559</v>
      </c>
      <c r="F49" s="1">
        <v>120</v>
      </c>
      <c r="G49" s="1">
        <v>118.7</v>
      </c>
      <c r="H49" s="1">
        <v>50</v>
      </c>
      <c r="I49" s="1">
        <v>45.9</v>
      </c>
      <c r="J49" s="1">
        <v>165</v>
      </c>
      <c r="K49" s="1">
        <v>187</v>
      </c>
    </row>
    <row r="50" spans="1:12" x14ac:dyDescent="0.25">
      <c r="A50" s="2">
        <v>41918</v>
      </c>
      <c r="B50" s="3">
        <v>0.74791666666666667</v>
      </c>
      <c r="C50" s="1">
        <v>16.600000000000001</v>
      </c>
      <c r="D50" s="1">
        <v>30.3</v>
      </c>
      <c r="E50" s="1">
        <v>580</v>
      </c>
      <c r="F50" s="1">
        <v>120</v>
      </c>
      <c r="G50" s="1">
        <v>119.7</v>
      </c>
      <c r="H50" s="1">
        <v>50</v>
      </c>
      <c r="I50" s="1">
        <v>47.2</v>
      </c>
      <c r="J50" s="1">
        <v>165</v>
      </c>
      <c r="K50" s="1">
        <v>180</v>
      </c>
    </row>
    <row r="51" spans="1:12" x14ac:dyDescent="0.25">
      <c r="A51" s="2">
        <v>41918</v>
      </c>
      <c r="B51" s="3">
        <v>0.78819444444444453</v>
      </c>
      <c r="C51" s="1">
        <v>16.399999999999999</v>
      </c>
      <c r="D51" s="1">
        <v>29.9</v>
      </c>
      <c r="E51" s="1">
        <v>599</v>
      </c>
      <c r="F51" s="1">
        <v>120</v>
      </c>
      <c r="G51" s="1">
        <v>120.9</v>
      </c>
      <c r="H51" s="1">
        <v>50</v>
      </c>
      <c r="I51" s="1">
        <v>46.5</v>
      </c>
      <c r="J51" s="1">
        <v>165</v>
      </c>
      <c r="K51" s="1">
        <v>184</v>
      </c>
    </row>
    <row r="52" spans="1:12" x14ac:dyDescent="0.25">
      <c r="A52" s="2">
        <v>41918</v>
      </c>
      <c r="B52" s="3">
        <v>0.82986111111111116</v>
      </c>
      <c r="C52" s="1">
        <v>17.100000000000001</v>
      </c>
      <c r="D52" s="1">
        <v>27.3</v>
      </c>
      <c r="E52" s="1">
        <v>618</v>
      </c>
      <c r="F52" s="1">
        <v>120</v>
      </c>
      <c r="G52" s="1">
        <v>118.4</v>
      </c>
      <c r="H52" s="1">
        <v>50</v>
      </c>
      <c r="I52" s="1">
        <v>45.9</v>
      </c>
      <c r="J52" s="1">
        <v>165</v>
      </c>
      <c r="K52" s="1">
        <v>187</v>
      </c>
    </row>
    <row r="53" spans="1:12" x14ac:dyDescent="0.25">
      <c r="A53" s="2">
        <v>41918</v>
      </c>
      <c r="B53" s="3">
        <v>0.86875000000000002</v>
      </c>
      <c r="C53" s="1">
        <v>18.3</v>
      </c>
      <c r="D53" s="1">
        <v>27.2</v>
      </c>
      <c r="E53" s="1">
        <v>636</v>
      </c>
      <c r="F53" s="1">
        <v>120</v>
      </c>
      <c r="G53" s="1">
        <v>118</v>
      </c>
      <c r="H53" s="1">
        <v>50</v>
      </c>
      <c r="I53" s="1">
        <v>46.2</v>
      </c>
      <c r="J53" s="1">
        <v>165</v>
      </c>
      <c r="K53" s="1">
        <v>186</v>
      </c>
      <c r="L53" s="1" t="s">
        <v>218</v>
      </c>
    </row>
    <row r="54" spans="1:12" x14ac:dyDescent="0.25">
      <c r="A54" s="2">
        <v>41918</v>
      </c>
      <c r="B54" s="3">
        <v>0.91388888888888886</v>
      </c>
      <c r="C54" s="1">
        <v>17.7</v>
      </c>
      <c r="D54" s="1">
        <v>27.5</v>
      </c>
      <c r="E54" s="1">
        <v>657</v>
      </c>
      <c r="F54" s="1">
        <v>120</v>
      </c>
      <c r="G54" s="1">
        <v>120</v>
      </c>
      <c r="H54" s="1">
        <v>50</v>
      </c>
      <c r="I54" s="1">
        <v>46.9</v>
      </c>
      <c r="J54" s="1">
        <v>167</v>
      </c>
      <c r="K54" s="1">
        <v>184</v>
      </c>
    </row>
    <row r="55" spans="1:12" x14ac:dyDescent="0.25">
      <c r="A55" s="2">
        <v>41918</v>
      </c>
      <c r="B55" s="3">
        <v>0.9590277777777777</v>
      </c>
      <c r="C55" s="1">
        <v>17.600000000000001</v>
      </c>
      <c r="D55" s="1">
        <v>26.8</v>
      </c>
      <c r="E55" s="1">
        <v>678</v>
      </c>
      <c r="F55" s="1">
        <v>120</v>
      </c>
      <c r="G55" s="1">
        <v>119.7</v>
      </c>
      <c r="H55" s="1">
        <v>50</v>
      </c>
      <c r="I55" s="1">
        <v>47.3</v>
      </c>
      <c r="J55" s="1">
        <v>167</v>
      </c>
      <c r="K55" s="1">
        <v>182</v>
      </c>
    </row>
    <row r="56" spans="1:12" x14ac:dyDescent="0.25">
      <c r="A56" s="2">
        <v>41919</v>
      </c>
      <c r="B56" s="3">
        <v>3.4027777777777775E-2</v>
      </c>
      <c r="C56" s="1">
        <v>16.899999999999999</v>
      </c>
      <c r="D56" s="1">
        <v>26.7</v>
      </c>
      <c r="E56" s="1">
        <v>713</v>
      </c>
      <c r="F56" s="1">
        <v>120</v>
      </c>
      <c r="G56" s="1">
        <v>118.1</v>
      </c>
      <c r="H56" s="1">
        <v>50</v>
      </c>
      <c r="I56" s="1">
        <v>47.5</v>
      </c>
      <c r="J56" s="1">
        <v>167</v>
      </c>
      <c r="K56" s="1">
        <v>180</v>
      </c>
    </row>
    <row r="57" spans="1:12" x14ac:dyDescent="0.25">
      <c r="A57" s="2">
        <v>41919</v>
      </c>
      <c r="B57" s="3">
        <v>7.8472222222222221E-2</v>
      </c>
      <c r="E57" s="1">
        <v>736</v>
      </c>
      <c r="F57" s="1">
        <v>120</v>
      </c>
      <c r="H57" s="1">
        <v>50</v>
      </c>
      <c r="J57" s="1">
        <v>167</v>
      </c>
      <c r="K57" s="1"/>
      <c r="L57" s="1" t="s">
        <v>206</v>
      </c>
    </row>
    <row r="58" spans="1:12" x14ac:dyDescent="0.25">
      <c r="A58" s="2">
        <v>41919</v>
      </c>
      <c r="B58" s="3">
        <v>0.38541666666666669</v>
      </c>
      <c r="E58" s="1">
        <v>736</v>
      </c>
      <c r="F58" s="1">
        <v>120</v>
      </c>
      <c r="H58" s="1">
        <v>50</v>
      </c>
      <c r="J58" s="1">
        <v>190</v>
      </c>
      <c r="K58" s="1"/>
      <c r="L58" s="1" t="s">
        <v>51</v>
      </c>
    </row>
    <row r="59" spans="1:12" x14ac:dyDescent="0.25">
      <c r="A59" s="2">
        <v>41919</v>
      </c>
      <c r="B59" s="3">
        <v>0.38819444444444445</v>
      </c>
      <c r="C59" s="1">
        <v>16.8</v>
      </c>
      <c r="D59" s="1">
        <v>23.4</v>
      </c>
      <c r="E59" s="1">
        <v>737</v>
      </c>
      <c r="F59" s="1">
        <v>120</v>
      </c>
      <c r="G59" s="1">
        <v>90.4</v>
      </c>
      <c r="H59" s="1">
        <v>50</v>
      </c>
      <c r="I59" s="1">
        <v>35.4</v>
      </c>
      <c r="J59" s="1">
        <v>190</v>
      </c>
      <c r="K59" s="1"/>
    </row>
    <row r="60" spans="1:12" x14ac:dyDescent="0.25">
      <c r="A60" s="2">
        <v>41919</v>
      </c>
      <c r="B60" s="3">
        <v>0.41319444444444442</v>
      </c>
      <c r="C60" s="1">
        <v>15.2</v>
      </c>
      <c r="D60" s="1">
        <v>22.7</v>
      </c>
      <c r="E60" s="1">
        <v>748</v>
      </c>
      <c r="F60" s="1">
        <v>120</v>
      </c>
      <c r="G60" s="1">
        <v>118.1</v>
      </c>
      <c r="H60" s="1">
        <v>50</v>
      </c>
      <c r="I60" s="1">
        <v>43.3</v>
      </c>
      <c r="J60" s="1">
        <v>190</v>
      </c>
      <c r="K60" s="1"/>
    </row>
    <row r="61" spans="1:12" x14ac:dyDescent="0.25">
      <c r="A61" s="2">
        <v>41919</v>
      </c>
      <c r="B61" s="3">
        <v>0.42708333333333331</v>
      </c>
      <c r="C61" s="1">
        <v>14.4</v>
      </c>
      <c r="D61" s="1">
        <v>25.3</v>
      </c>
      <c r="E61" s="1">
        <v>754</v>
      </c>
      <c r="F61" s="1">
        <v>120</v>
      </c>
      <c r="G61" s="1">
        <v>120.9</v>
      </c>
      <c r="H61" s="1">
        <v>50</v>
      </c>
      <c r="I61" s="1">
        <v>49.8</v>
      </c>
      <c r="J61" s="1">
        <v>190</v>
      </c>
      <c r="K61" s="1"/>
      <c r="L61" s="1" t="s">
        <v>219</v>
      </c>
    </row>
    <row r="62" spans="1:12" x14ac:dyDescent="0.25">
      <c r="A62" s="2">
        <v>41919</v>
      </c>
      <c r="B62" s="3">
        <v>0.44861111111111113</v>
      </c>
      <c r="C62" s="1">
        <v>13.8</v>
      </c>
      <c r="D62" s="1">
        <v>30.6</v>
      </c>
      <c r="E62" s="1">
        <v>765</v>
      </c>
      <c r="F62" s="1">
        <v>120</v>
      </c>
      <c r="G62" s="1">
        <v>118.4</v>
      </c>
      <c r="H62" s="1">
        <v>51</v>
      </c>
      <c r="I62" s="1">
        <v>54.5</v>
      </c>
      <c r="J62" s="1">
        <v>185</v>
      </c>
      <c r="K62" s="1">
        <v>163</v>
      </c>
    </row>
    <row r="63" spans="1:12" x14ac:dyDescent="0.25">
      <c r="A63" s="2">
        <v>41919</v>
      </c>
      <c r="B63" s="3">
        <v>0.47916666666666669</v>
      </c>
      <c r="C63" s="1">
        <v>13.8</v>
      </c>
      <c r="D63" s="1">
        <v>32.700000000000003</v>
      </c>
      <c r="E63" s="1">
        <v>780</v>
      </c>
      <c r="F63" s="1">
        <v>120</v>
      </c>
      <c r="G63" s="1">
        <v>117</v>
      </c>
      <c r="H63" s="1">
        <v>51</v>
      </c>
      <c r="I63" s="1">
        <v>48.4</v>
      </c>
      <c r="J63" s="1">
        <v>185</v>
      </c>
      <c r="K63" s="1">
        <v>201</v>
      </c>
    </row>
    <row r="64" spans="1:12" x14ac:dyDescent="0.25">
      <c r="A64" s="2">
        <v>41919</v>
      </c>
      <c r="B64" s="3">
        <v>0.51111111111111118</v>
      </c>
      <c r="C64" s="1">
        <v>13.6</v>
      </c>
      <c r="D64" s="1">
        <v>29.9</v>
      </c>
      <c r="E64" s="1">
        <v>793</v>
      </c>
      <c r="F64" s="1">
        <v>120</v>
      </c>
      <c r="G64" s="1">
        <v>117.3</v>
      </c>
      <c r="H64" s="1">
        <v>51</v>
      </c>
      <c r="I64" s="1">
        <v>46.9</v>
      </c>
      <c r="J64" s="1">
        <v>185</v>
      </c>
      <c r="K64" s="1">
        <v>210</v>
      </c>
    </row>
    <row r="65" spans="1:12" x14ac:dyDescent="0.25">
      <c r="A65" s="2">
        <v>41919</v>
      </c>
      <c r="B65" s="3">
        <v>0.5493055555555556</v>
      </c>
      <c r="C65" s="1">
        <v>16.399999999999999</v>
      </c>
      <c r="D65" s="1">
        <v>29.4</v>
      </c>
      <c r="E65" s="1">
        <v>809</v>
      </c>
      <c r="F65" s="1">
        <v>120</v>
      </c>
      <c r="G65" s="1">
        <v>120.5</v>
      </c>
      <c r="H65" s="1">
        <v>51</v>
      </c>
      <c r="I65" s="1">
        <v>48.3</v>
      </c>
      <c r="J65" s="1">
        <v>185</v>
      </c>
      <c r="K65" s="1">
        <v>201</v>
      </c>
    </row>
    <row r="66" spans="1:12" x14ac:dyDescent="0.25">
      <c r="A66" s="2">
        <v>41919</v>
      </c>
      <c r="B66" s="3">
        <v>0.58819444444444446</v>
      </c>
      <c r="C66" s="1">
        <v>16</v>
      </c>
      <c r="D66" s="1">
        <v>31.5</v>
      </c>
      <c r="E66" s="1">
        <v>826</v>
      </c>
      <c r="F66" s="1">
        <v>120</v>
      </c>
      <c r="G66" s="1">
        <v>117.1</v>
      </c>
      <c r="H66" s="1">
        <v>51</v>
      </c>
      <c r="I66" s="1">
        <v>48.7</v>
      </c>
      <c r="J66" s="1">
        <v>185</v>
      </c>
      <c r="K66" s="1">
        <v>199</v>
      </c>
    </row>
    <row r="67" spans="1:12" x14ac:dyDescent="0.25">
      <c r="A67" s="2">
        <v>41919</v>
      </c>
      <c r="B67" s="3">
        <v>0.62986111111111109</v>
      </c>
      <c r="C67" s="1">
        <v>15.4</v>
      </c>
      <c r="D67" s="1">
        <v>31.6</v>
      </c>
      <c r="E67" s="1">
        <v>844</v>
      </c>
      <c r="F67" s="1">
        <v>120</v>
      </c>
      <c r="G67" s="1">
        <v>119</v>
      </c>
      <c r="H67" s="1">
        <v>51</v>
      </c>
      <c r="I67" s="1">
        <v>48.1</v>
      </c>
      <c r="J67" s="1">
        <v>185</v>
      </c>
      <c r="K67" s="1">
        <v>203</v>
      </c>
    </row>
    <row r="68" spans="1:12" x14ac:dyDescent="0.25">
      <c r="A68" s="2">
        <v>41919</v>
      </c>
      <c r="B68" s="3">
        <v>0.71388888888888891</v>
      </c>
      <c r="C68" s="1">
        <v>15.5</v>
      </c>
      <c r="D68" s="1">
        <v>29.7</v>
      </c>
      <c r="E68" s="1">
        <v>880</v>
      </c>
      <c r="F68" s="1">
        <v>120</v>
      </c>
      <c r="G68" s="1">
        <v>118.4</v>
      </c>
      <c r="H68" s="1">
        <v>51</v>
      </c>
      <c r="I68" s="1">
        <v>47.8</v>
      </c>
      <c r="J68" s="1">
        <v>185</v>
      </c>
      <c r="K68" s="1">
        <v>205</v>
      </c>
    </row>
    <row r="69" spans="1:12" x14ac:dyDescent="0.25">
      <c r="A69" s="2">
        <v>41919</v>
      </c>
      <c r="B69" s="3">
        <v>0.75555555555555554</v>
      </c>
      <c r="C69" s="1">
        <v>15.2</v>
      </c>
      <c r="D69" s="1">
        <v>30.2</v>
      </c>
      <c r="E69" s="1">
        <v>898</v>
      </c>
      <c r="F69" s="1">
        <v>120</v>
      </c>
      <c r="G69" s="1">
        <v>119.7</v>
      </c>
      <c r="H69" s="1">
        <v>51</v>
      </c>
      <c r="I69" s="1">
        <v>49.6</v>
      </c>
      <c r="J69" s="1">
        <v>185</v>
      </c>
      <c r="K69" s="1">
        <v>193</v>
      </c>
    </row>
    <row r="70" spans="1:12" x14ac:dyDescent="0.25">
      <c r="A70" s="2">
        <v>41919</v>
      </c>
      <c r="B70" s="3">
        <v>0.79236111111111107</v>
      </c>
      <c r="C70" s="1">
        <v>15.3</v>
      </c>
      <c r="D70" s="1">
        <v>29.9</v>
      </c>
      <c r="E70" s="1">
        <v>915</v>
      </c>
      <c r="F70" s="1">
        <v>120</v>
      </c>
      <c r="G70" s="1">
        <v>118.3</v>
      </c>
      <c r="H70" s="1">
        <v>51</v>
      </c>
      <c r="I70" s="1">
        <v>50.5</v>
      </c>
      <c r="J70" s="1">
        <v>185</v>
      </c>
      <c r="K70" s="1">
        <v>188</v>
      </c>
    </row>
    <row r="71" spans="1:12" x14ac:dyDescent="0.25">
      <c r="A71" s="2">
        <v>41919</v>
      </c>
      <c r="B71" s="3">
        <v>0.82916666666666661</v>
      </c>
      <c r="C71" s="1">
        <v>14.7</v>
      </c>
      <c r="D71" s="1">
        <v>29.9</v>
      </c>
      <c r="E71" s="1">
        <v>932</v>
      </c>
      <c r="F71" s="1">
        <v>120</v>
      </c>
      <c r="G71" s="1">
        <v>119.1</v>
      </c>
      <c r="H71" s="1">
        <v>51</v>
      </c>
      <c r="I71" s="1">
        <v>50.9</v>
      </c>
      <c r="J71" s="1">
        <v>185</v>
      </c>
      <c r="K71" s="1">
        <v>185</v>
      </c>
    </row>
    <row r="72" spans="1:12" x14ac:dyDescent="0.25">
      <c r="A72" s="2">
        <v>41919</v>
      </c>
      <c r="B72" s="3">
        <v>0.83263888888888893</v>
      </c>
      <c r="E72" s="1">
        <v>933</v>
      </c>
      <c r="F72" s="1">
        <v>120</v>
      </c>
      <c r="H72" s="1">
        <v>51</v>
      </c>
      <c r="J72" s="1">
        <v>185</v>
      </c>
      <c r="K72" s="1"/>
      <c r="L72" s="1" t="s">
        <v>206</v>
      </c>
    </row>
    <row r="73" spans="1:12" x14ac:dyDescent="0.25">
      <c r="A73" s="2">
        <v>41920</v>
      </c>
      <c r="B73" s="3">
        <v>0.38819444444444445</v>
      </c>
      <c r="E73" s="1">
        <v>933</v>
      </c>
      <c r="F73" s="1">
        <v>120</v>
      </c>
      <c r="H73" s="1">
        <v>51</v>
      </c>
      <c r="J73" s="1">
        <v>185</v>
      </c>
      <c r="K73" s="1"/>
      <c r="L73" s="1" t="s">
        <v>51</v>
      </c>
    </row>
    <row r="74" spans="1:12" x14ac:dyDescent="0.25">
      <c r="A74" s="2">
        <v>41920</v>
      </c>
      <c r="B74" s="3">
        <v>0.40208333333333335</v>
      </c>
      <c r="C74" s="1">
        <v>15</v>
      </c>
      <c r="D74" s="1">
        <v>20.3</v>
      </c>
      <c r="E74" s="1">
        <v>939</v>
      </c>
      <c r="F74" s="1">
        <v>120</v>
      </c>
      <c r="G74" s="1">
        <v>101.1</v>
      </c>
      <c r="H74" s="1">
        <v>51</v>
      </c>
      <c r="I74" s="1">
        <v>33.200000000000003</v>
      </c>
      <c r="J74" s="1">
        <v>185</v>
      </c>
      <c r="K74" s="1"/>
    </row>
    <row r="75" spans="1:12" x14ac:dyDescent="0.25">
      <c r="A75" s="2">
        <v>41920</v>
      </c>
      <c r="B75" s="3">
        <v>0.42569444444444443</v>
      </c>
      <c r="C75" s="1">
        <v>15.2</v>
      </c>
      <c r="D75" s="1">
        <v>21.8</v>
      </c>
      <c r="E75" s="1">
        <v>950</v>
      </c>
      <c r="F75" s="1">
        <v>120</v>
      </c>
      <c r="G75" s="1">
        <v>119.7</v>
      </c>
      <c r="H75" s="1">
        <v>51</v>
      </c>
      <c r="I75" s="1">
        <v>43</v>
      </c>
      <c r="J75" s="1">
        <v>185</v>
      </c>
      <c r="K75" s="1"/>
    </row>
    <row r="76" spans="1:12" x14ac:dyDescent="0.25">
      <c r="A76" s="2">
        <v>41920</v>
      </c>
      <c r="B76" s="3">
        <v>0.45624999999999999</v>
      </c>
      <c r="C76" s="1">
        <v>16.100000000000001</v>
      </c>
      <c r="D76" s="1">
        <v>27.3</v>
      </c>
      <c r="E76" s="1">
        <v>964</v>
      </c>
      <c r="F76" s="1">
        <v>120</v>
      </c>
      <c r="G76" s="1">
        <v>120.6</v>
      </c>
      <c r="H76" s="1">
        <v>51</v>
      </c>
      <c r="I76" s="1">
        <v>48.6</v>
      </c>
      <c r="J76" s="1">
        <v>185</v>
      </c>
      <c r="K76" s="1"/>
    </row>
    <row r="77" spans="1:12" x14ac:dyDescent="0.25">
      <c r="A77" s="2">
        <v>41920</v>
      </c>
      <c r="B77" s="3">
        <v>0.47361111111111115</v>
      </c>
      <c r="C77" s="1">
        <v>16.8</v>
      </c>
      <c r="D77" s="1">
        <v>27</v>
      </c>
      <c r="E77" s="1">
        <v>972</v>
      </c>
      <c r="F77" s="1">
        <v>120</v>
      </c>
      <c r="G77" s="1">
        <v>118.2</v>
      </c>
      <c r="H77" s="1">
        <v>51</v>
      </c>
      <c r="I77" s="1">
        <v>48</v>
      </c>
      <c r="J77" s="1">
        <v>185</v>
      </c>
      <c r="K77" s="1"/>
      <c r="L77" s="1" t="s">
        <v>221</v>
      </c>
    </row>
    <row r="78" spans="1:12" x14ac:dyDescent="0.25">
      <c r="A78" s="2">
        <v>41920</v>
      </c>
      <c r="B78" s="3">
        <v>0.5083333333333333</v>
      </c>
      <c r="C78" s="1">
        <v>16.5</v>
      </c>
      <c r="D78" s="1">
        <v>30.6</v>
      </c>
      <c r="E78" s="1">
        <v>988</v>
      </c>
      <c r="F78" s="1">
        <v>120</v>
      </c>
      <c r="G78" s="1">
        <v>121.3</v>
      </c>
      <c r="H78" s="1">
        <v>49</v>
      </c>
      <c r="I78" s="1">
        <v>48.7</v>
      </c>
      <c r="J78" s="1">
        <v>185</v>
      </c>
      <c r="K78" s="1">
        <v>186</v>
      </c>
    </row>
    <row r="79" spans="1:12" x14ac:dyDescent="0.25">
      <c r="A79" s="2">
        <v>41920</v>
      </c>
      <c r="B79" s="3">
        <v>0.54513888888888895</v>
      </c>
      <c r="C79" s="1">
        <v>16.899999999999999</v>
      </c>
      <c r="D79" s="1">
        <v>30.5</v>
      </c>
      <c r="E79" s="1">
        <v>1005</v>
      </c>
      <c r="F79" s="1">
        <v>120</v>
      </c>
      <c r="G79" s="1">
        <v>117.5</v>
      </c>
      <c r="H79" s="1">
        <v>49</v>
      </c>
      <c r="I79" s="1">
        <v>48.8</v>
      </c>
      <c r="J79" s="1">
        <v>185</v>
      </c>
      <c r="K79" s="1">
        <v>186</v>
      </c>
    </row>
    <row r="80" spans="1:12" x14ac:dyDescent="0.25">
      <c r="A80" s="2">
        <v>41920</v>
      </c>
      <c r="B80" s="3">
        <v>0.58263888888888882</v>
      </c>
      <c r="C80" s="1">
        <v>16.3</v>
      </c>
      <c r="D80" s="1">
        <v>32.299999999999997</v>
      </c>
      <c r="E80" s="1">
        <v>1022</v>
      </c>
      <c r="F80" s="1">
        <v>120</v>
      </c>
      <c r="G80" s="1">
        <v>116.6</v>
      </c>
      <c r="H80" s="1">
        <v>49</v>
      </c>
      <c r="I80" s="1">
        <v>47.6</v>
      </c>
      <c r="J80" s="1">
        <v>185</v>
      </c>
      <c r="K80" s="1">
        <v>193</v>
      </c>
    </row>
    <row r="81" spans="1:12" x14ac:dyDescent="0.25">
      <c r="A81" s="2">
        <v>41920</v>
      </c>
      <c r="B81" s="3">
        <v>0.62291666666666667</v>
      </c>
      <c r="C81" s="1">
        <v>16</v>
      </c>
      <c r="D81" s="1">
        <v>32.299999999999997</v>
      </c>
      <c r="E81" s="1">
        <v>1040</v>
      </c>
      <c r="F81" s="1">
        <v>120</v>
      </c>
      <c r="G81" s="1">
        <v>117.4</v>
      </c>
      <c r="H81" s="1">
        <v>49</v>
      </c>
      <c r="I81" s="1">
        <v>47.3</v>
      </c>
      <c r="J81" s="1">
        <v>185</v>
      </c>
      <c r="K81" s="1">
        <v>195</v>
      </c>
    </row>
    <row r="82" spans="1:12" x14ac:dyDescent="0.25">
      <c r="A82" s="2">
        <v>41920</v>
      </c>
      <c r="B82" s="3">
        <v>0.68125000000000002</v>
      </c>
      <c r="C82" s="1">
        <v>17</v>
      </c>
      <c r="D82" s="1">
        <v>33.799999999999997</v>
      </c>
      <c r="E82" s="1">
        <v>1066</v>
      </c>
      <c r="F82" s="1">
        <v>120</v>
      </c>
      <c r="G82" s="1">
        <v>118.9</v>
      </c>
      <c r="H82" s="1">
        <v>49</v>
      </c>
      <c r="I82" s="1">
        <v>48.5</v>
      </c>
      <c r="J82" s="1">
        <v>185</v>
      </c>
      <c r="K82" s="1">
        <v>187</v>
      </c>
    </row>
    <row r="83" spans="1:12" x14ac:dyDescent="0.25">
      <c r="A83" s="2">
        <v>41920</v>
      </c>
      <c r="B83" s="3">
        <v>0.7319444444444444</v>
      </c>
      <c r="C83" s="1">
        <v>17</v>
      </c>
      <c r="D83" s="1">
        <v>33.6</v>
      </c>
      <c r="E83" s="1">
        <v>1090</v>
      </c>
      <c r="F83" s="1">
        <v>120</v>
      </c>
      <c r="G83" s="1">
        <v>118.1</v>
      </c>
      <c r="H83" s="1">
        <v>49</v>
      </c>
      <c r="I83" s="1">
        <v>49.9</v>
      </c>
      <c r="J83" s="1">
        <v>185</v>
      </c>
      <c r="K83" s="1">
        <v>179</v>
      </c>
    </row>
    <row r="84" spans="1:12" x14ac:dyDescent="0.25">
      <c r="A84" s="2">
        <v>41920</v>
      </c>
      <c r="B84" s="3">
        <v>0.7715277777777777</v>
      </c>
      <c r="C84" s="1">
        <v>15.4</v>
      </c>
      <c r="D84" s="1">
        <v>33.5</v>
      </c>
      <c r="E84" s="1">
        <v>1109</v>
      </c>
      <c r="F84" s="1">
        <v>120</v>
      </c>
      <c r="G84" s="1">
        <v>118.6</v>
      </c>
      <c r="H84" s="1">
        <v>49</v>
      </c>
      <c r="I84" s="1">
        <v>49.1</v>
      </c>
      <c r="J84" s="1">
        <v>185</v>
      </c>
      <c r="K84" s="1">
        <v>184</v>
      </c>
    </row>
    <row r="85" spans="1:12" x14ac:dyDescent="0.25">
      <c r="A85" s="2">
        <v>41920</v>
      </c>
      <c r="B85" s="3">
        <v>0.8125</v>
      </c>
      <c r="C85" s="1">
        <v>15.7</v>
      </c>
      <c r="D85" s="1">
        <v>31.5</v>
      </c>
      <c r="E85" s="1">
        <v>1128</v>
      </c>
      <c r="F85" s="1">
        <v>120</v>
      </c>
      <c r="G85" s="1">
        <v>122.4</v>
      </c>
      <c r="H85" s="1">
        <v>49</v>
      </c>
      <c r="I85" s="1">
        <v>49.4</v>
      </c>
      <c r="J85" s="1">
        <v>185</v>
      </c>
      <c r="K85" s="1">
        <v>182</v>
      </c>
    </row>
    <row r="86" spans="1:12" x14ac:dyDescent="0.25">
      <c r="A86" s="2">
        <v>41920</v>
      </c>
      <c r="B86" s="3">
        <v>0.85069444444444453</v>
      </c>
      <c r="C86" s="1">
        <v>16.399999999999999</v>
      </c>
      <c r="D86" s="1">
        <v>32.4</v>
      </c>
      <c r="E86" s="1">
        <v>1147</v>
      </c>
      <c r="F86" s="1">
        <v>120</v>
      </c>
      <c r="G86" s="1">
        <v>118.8</v>
      </c>
      <c r="H86" s="1">
        <v>49</v>
      </c>
      <c r="I86" s="1">
        <v>52.9</v>
      </c>
      <c r="J86" s="1">
        <v>185</v>
      </c>
      <c r="K86" s="1">
        <v>160</v>
      </c>
    </row>
    <row r="87" spans="1:12" x14ac:dyDescent="0.25">
      <c r="A87" s="2">
        <v>41920</v>
      </c>
      <c r="B87" s="3">
        <v>0.8965277777777777</v>
      </c>
      <c r="C87" s="1">
        <v>15</v>
      </c>
      <c r="D87" s="1">
        <v>32.1</v>
      </c>
      <c r="E87" s="1">
        <v>1170</v>
      </c>
      <c r="F87" s="1">
        <v>120</v>
      </c>
      <c r="G87" s="1">
        <v>119.9</v>
      </c>
      <c r="H87" s="1">
        <v>49</v>
      </c>
      <c r="I87" s="1">
        <v>50.1</v>
      </c>
      <c r="J87" s="1">
        <v>185</v>
      </c>
      <c r="K87" s="1">
        <v>178</v>
      </c>
    </row>
    <row r="88" spans="1:12" x14ac:dyDescent="0.25">
      <c r="A88" s="2">
        <v>41920</v>
      </c>
      <c r="B88" s="3">
        <v>0.93680555555555556</v>
      </c>
      <c r="C88" s="1">
        <v>16.7</v>
      </c>
      <c r="D88" s="1">
        <v>31</v>
      </c>
      <c r="E88" s="1">
        <v>1189</v>
      </c>
      <c r="F88" s="1">
        <v>120</v>
      </c>
      <c r="G88" s="1">
        <v>119.3</v>
      </c>
      <c r="H88" s="1">
        <v>49</v>
      </c>
      <c r="I88" s="1">
        <v>49.6</v>
      </c>
      <c r="J88" s="1">
        <v>185</v>
      </c>
      <c r="K88" s="1">
        <v>181</v>
      </c>
    </row>
    <row r="89" spans="1:12" x14ac:dyDescent="0.25">
      <c r="A89" s="2">
        <v>41921</v>
      </c>
      <c r="B89" s="3">
        <v>1.1111111111111112E-2</v>
      </c>
      <c r="C89" s="1">
        <v>15.7</v>
      </c>
      <c r="D89" s="1">
        <v>32</v>
      </c>
      <c r="E89" s="1">
        <v>1226</v>
      </c>
      <c r="F89" s="1">
        <v>120</v>
      </c>
      <c r="G89" s="1">
        <v>120</v>
      </c>
      <c r="H89" s="1">
        <v>49</v>
      </c>
      <c r="I89" s="1">
        <v>49.8</v>
      </c>
      <c r="J89" s="1">
        <v>185</v>
      </c>
      <c r="K89" s="1">
        <v>180</v>
      </c>
    </row>
    <row r="90" spans="1:12" x14ac:dyDescent="0.25">
      <c r="A90" s="2">
        <v>41921</v>
      </c>
      <c r="B90" s="3">
        <v>0.16458333333333333</v>
      </c>
      <c r="C90" s="1">
        <v>16.2</v>
      </c>
      <c r="D90" s="1">
        <v>28.3</v>
      </c>
      <c r="E90" s="1">
        <v>1298</v>
      </c>
      <c r="F90" s="1">
        <v>120</v>
      </c>
      <c r="G90" s="1">
        <v>118</v>
      </c>
      <c r="H90" s="1">
        <v>49</v>
      </c>
      <c r="I90" s="1">
        <v>50</v>
      </c>
      <c r="J90" s="1">
        <v>185</v>
      </c>
      <c r="K90" s="1">
        <v>178</v>
      </c>
    </row>
    <row r="91" spans="1:12" x14ac:dyDescent="0.25">
      <c r="A91" s="2">
        <v>41921</v>
      </c>
      <c r="B91" s="3">
        <v>0.21527777777777779</v>
      </c>
      <c r="C91" s="1">
        <v>15.8</v>
      </c>
      <c r="D91" s="1">
        <v>28.9</v>
      </c>
      <c r="E91" s="1">
        <v>1322</v>
      </c>
      <c r="F91" s="1">
        <v>120</v>
      </c>
      <c r="G91" s="1">
        <v>119</v>
      </c>
      <c r="H91" s="1">
        <v>49</v>
      </c>
      <c r="I91" s="1">
        <v>47.9</v>
      </c>
      <c r="J91" s="1">
        <v>185</v>
      </c>
      <c r="K91" s="1">
        <v>198</v>
      </c>
      <c r="L91" s="1" t="s">
        <v>206</v>
      </c>
    </row>
    <row r="92" spans="1:12" x14ac:dyDescent="0.25">
      <c r="A92" s="2">
        <v>41921</v>
      </c>
      <c r="B92" s="3">
        <v>0.57152777777777775</v>
      </c>
      <c r="E92" s="1">
        <v>1322</v>
      </c>
      <c r="F92" s="1">
        <v>120</v>
      </c>
      <c r="H92" s="1">
        <v>49</v>
      </c>
      <c r="J92" s="1">
        <v>175</v>
      </c>
      <c r="K92" s="1"/>
      <c r="L92" s="1" t="s">
        <v>51</v>
      </c>
    </row>
    <row r="93" spans="1:12" x14ac:dyDescent="0.25">
      <c r="A93" s="2">
        <v>41921</v>
      </c>
      <c r="B93" s="3">
        <v>0.58194444444444449</v>
      </c>
      <c r="C93" s="1">
        <v>16.5</v>
      </c>
      <c r="D93" s="1">
        <v>22</v>
      </c>
      <c r="E93" s="1">
        <v>1327</v>
      </c>
      <c r="F93" s="1">
        <v>120</v>
      </c>
      <c r="G93" s="1">
        <v>105.1</v>
      </c>
      <c r="H93" s="1">
        <v>49</v>
      </c>
      <c r="I93" s="1">
        <v>34.6</v>
      </c>
      <c r="J93" s="1">
        <v>175</v>
      </c>
      <c r="K93" s="1"/>
    </row>
    <row r="94" spans="1:12" x14ac:dyDescent="0.25">
      <c r="A94" s="2">
        <v>41921</v>
      </c>
      <c r="B94" s="3">
        <v>0.56319444444444444</v>
      </c>
      <c r="C94" s="1">
        <v>16.8</v>
      </c>
      <c r="D94" s="1">
        <v>24.2</v>
      </c>
      <c r="E94" s="1">
        <v>1338</v>
      </c>
      <c r="F94" s="1">
        <v>120</v>
      </c>
      <c r="G94" s="1">
        <v>117.6</v>
      </c>
      <c r="H94" s="1">
        <v>49</v>
      </c>
      <c r="I94" s="1">
        <v>42.8</v>
      </c>
      <c r="J94" s="1">
        <v>175</v>
      </c>
      <c r="K94" s="1"/>
    </row>
    <row r="95" spans="1:12" x14ac:dyDescent="0.25">
      <c r="A95" s="2">
        <v>41921</v>
      </c>
      <c r="B95" s="3">
        <v>0.625</v>
      </c>
      <c r="C95" s="1">
        <v>17.100000000000001</v>
      </c>
      <c r="D95" s="1">
        <v>27.3</v>
      </c>
      <c r="E95" s="1">
        <v>1348</v>
      </c>
      <c r="F95" s="1">
        <v>120</v>
      </c>
      <c r="G95" s="1">
        <v>120.2</v>
      </c>
      <c r="H95" s="1">
        <v>49</v>
      </c>
      <c r="I95" s="1">
        <v>48.6</v>
      </c>
      <c r="J95" s="1">
        <v>175</v>
      </c>
      <c r="K95" s="1"/>
    </row>
    <row r="96" spans="1:12" x14ac:dyDescent="0.25">
      <c r="A96" s="2">
        <v>41921</v>
      </c>
      <c r="B96" s="3">
        <v>0.6479166666666667</v>
      </c>
      <c r="C96" s="1">
        <v>16</v>
      </c>
      <c r="D96" s="1">
        <v>27.7</v>
      </c>
      <c r="E96" s="1">
        <v>1359</v>
      </c>
      <c r="F96" s="1">
        <v>120</v>
      </c>
      <c r="G96" s="1">
        <v>118</v>
      </c>
      <c r="H96" s="1">
        <v>49</v>
      </c>
      <c r="I96" s="1">
        <v>51.3</v>
      </c>
      <c r="J96" s="1">
        <v>175</v>
      </c>
      <c r="K96" s="1"/>
      <c r="L96" s="1" t="s">
        <v>225</v>
      </c>
    </row>
    <row r="97" spans="1:15" x14ac:dyDescent="0.25">
      <c r="A97" s="2">
        <v>41921</v>
      </c>
      <c r="B97" s="3">
        <v>0.68541666666666667</v>
      </c>
      <c r="C97" s="1">
        <v>15.5</v>
      </c>
      <c r="D97" s="1">
        <v>31.4</v>
      </c>
      <c r="E97" s="1">
        <v>1378</v>
      </c>
      <c r="F97" s="1">
        <v>120</v>
      </c>
      <c r="G97" s="1">
        <v>116.8</v>
      </c>
      <c r="H97" s="1">
        <v>51</v>
      </c>
      <c r="I97" s="1">
        <v>52</v>
      </c>
      <c r="J97" s="1">
        <v>175</v>
      </c>
      <c r="K97" s="1">
        <v>169</v>
      </c>
    </row>
    <row r="98" spans="1:15" x14ac:dyDescent="0.25">
      <c r="A98" s="2">
        <v>41921</v>
      </c>
      <c r="B98" s="3">
        <v>0.74513888888888891</v>
      </c>
      <c r="C98" s="1">
        <v>15.5</v>
      </c>
      <c r="D98" s="1">
        <v>29.6</v>
      </c>
      <c r="E98" s="1">
        <v>1406</v>
      </c>
      <c r="F98" s="1">
        <v>120</v>
      </c>
      <c r="G98" s="1">
        <v>119.4</v>
      </c>
      <c r="H98" s="1">
        <v>51</v>
      </c>
      <c r="I98" s="1">
        <v>48.3</v>
      </c>
      <c r="J98" s="1">
        <v>175</v>
      </c>
      <c r="K98" s="1">
        <v>191</v>
      </c>
    </row>
    <row r="99" spans="1:15" x14ac:dyDescent="0.25">
      <c r="A99" s="2">
        <v>41921</v>
      </c>
      <c r="B99" s="3">
        <v>0.7895833333333333</v>
      </c>
      <c r="C99" s="1">
        <v>17.600000000000001</v>
      </c>
      <c r="D99" s="1">
        <v>27.8</v>
      </c>
      <c r="E99" s="1">
        <v>1426</v>
      </c>
      <c r="F99" s="1">
        <v>120</v>
      </c>
      <c r="G99" s="1">
        <v>119.1</v>
      </c>
      <c r="H99" s="1">
        <v>51</v>
      </c>
      <c r="I99" s="1">
        <v>48.9</v>
      </c>
      <c r="J99" s="1">
        <v>175</v>
      </c>
      <c r="K99" s="1">
        <v>187</v>
      </c>
    </row>
    <row r="100" spans="1:15" x14ac:dyDescent="0.25">
      <c r="A100" s="2">
        <v>41921</v>
      </c>
      <c r="B100" s="3">
        <v>0.82847222222222217</v>
      </c>
      <c r="C100" s="1">
        <v>17.5</v>
      </c>
      <c r="D100" s="1">
        <v>28.4</v>
      </c>
      <c r="E100" s="1">
        <v>1444</v>
      </c>
      <c r="F100" s="1">
        <v>120</v>
      </c>
      <c r="G100" s="1">
        <v>118</v>
      </c>
      <c r="H100" s="1">
        <v>51</v>
      </c>
      <c r="I100" s="1">
        <v>48.7</v>
      </c>
      <c r="J100" s="1">
        <v>175</v>
      </c>
      <c r="K100" s="1">
        <v>188</v>
      </c>
    </row>
    <row r="101" spans="1:15" x14ac:dyDescent="0.25">
      <c r="A101" s="2">
        <v>41921</v>
      </c>
      <c r="B101" s="3">
        <v>0.88055555555555554</v>
      </c>
      <c r="C101" s="1">
        <v>16.600000000000001</v>
      </c>
      <c r="D101" s="1">
        <v>28.2</v>
      </c>
      <c r="E101" s="1">
        <v>1468</v>
      </c>
      <c r="F101" s="1">
        <v>120</v>
      </c>
      <c r="G101" s="1">
        <v>119.2</v>
      </c>
      <c r="H101" s="1">
        <v>51</v>
      </c>
      <c r="I101" s="1">
        <v>49.3</v>
      </c>
      <c r="J101" s="1">
        <v>175</v>
      </c>
      <c r="K101" s="1">
        <v>185</v>
      </c>
    </row>
    <row r="102" spans="1:15" x14ac:dyDescent="0.25">
      <c r="A102" s="2">
        <v>41921</v>
      </c>
      <c r="B102" s="3">
        <v>0.91805555555555562</v>
      </c>
      <c r="C102" s="1">
        <v>16.899999999999999</v>
      </c>
      <c r="D102" s="1">
        <v>28.4</v>
      </c>
      <c r="E102" s="1">
        <v>1486</v>
      </c>
      <c r="F102" s="1">
        <v>120</v>
      </c>
      <c r="G102" s="1">
        <v>119.3</v>
      </c>
      <c r="H102" s="1">
        <v>51</v>
      </c>
      <c r="I102" s="1">
        <v>51.3</v>
      </c>
      <c r="J102" s="1">
        <v>175</v>
      </c>
      <c r="K102" s="1">
        <v>173</v>
      </c>
    </row>
    <row r="103" spans="1:15" x14ac:dyDescent="0.25">
      <c r="A103" s="2">
        <v>41921</v>
      </c>
      <c r="B103" s="3">
        <v>0.95694444444444438</v>
      </c>
      <c r="C103" s="1">
        <v>15.3</v>
      </c>
      <c r="D103" s="1">
        <v>28.6</v>
      </c>
      <c r="E103" s="1">
        <v>1505</v>
      </c>
      <c r="F103" s="1">
        <v>120</v>
      </c>
      <c r="G103" s="1">
        <v>119.1</v>
      </c>
      <c r="H103" s="1">
        <v>51</v>
      </c>
      <c r="I103" s="1">
        <v>50.2</v>
      </c>
      <c r="J103" s="1">
        <v>175</v>
      </c>
      <c r="K103" s="1">
        <v>179</v>
      </c>
    </row>
    <row r="104" spans="1:15" x14ac:dyDescent="0.25">
      <c r="A104" s="2">
        <v>41921</v>
      </c>
      <c r="B104" s="3">
        <v>0.97152777777777777</v>
      </c>
      <c r="E104" s="1">
        <v>1512</v>
      </c>
      <c r="F104" s="1">
        <v>120</v>
      </c>
      <c r="H104" s="1">
        <v>51</v>
      </c>
      <c r="J104" s="1">
        <v>175</v>
      </c>
      <c r="K104" s="1"/>
      <c r="L104" s="1" t="s">
        <v>206</v>
      </c>
    </row>
    <row r="105" spans="1:15" x14ac:dyDescent="0.25">
      <c r="A105" s="2">
        <v>41925</v>
      </c>
      <c r="B105" s="3">
        <v>0.55208333333333337</v>
      </c>
      <c r="E105" s="1">
        <v>1512</v>
      </c>
      <c r="F105" s="1">
        <v>120</v>
      </c>
      <c r="H105" s="1">
        <v>51</v>
      </c>
      <c r="J105" s="1">
        <v>180</v>
      </c>
      <c r="K105" s="1"/>
      <c r="L105" s="1" t="s">
        <v>51</v>
      </c>
    </row>
    <row r="106" spans="1:15" x14ac:dyDescent="0.25">
      <c r="A106" s="2">
        <v>41925</v>
      </c>
      <c r="B106" s="3">
        <v>0.57361111111111118</v>
      </c>
      <c r="C106" s="1">
        <v>15.1</v>
      </c>
      <c r="D106" s="1">
        <v>21.1</v>
      </c>
      <c r="E106" s="1">
        <v>1522</v>
      </c>
      <c r="F106" s="1">
        <v>120</v>
      </c>
      <c r="G106" s="1">
        <v>118</v>
      </c>
      <c r="H106" s="1">
        <v>51</v>
      </c>
      <c r="I106" s="1">
        <v>36</v>
      </c>
      <c r="J106" s="1">
        <v>180</v>
      </c>
      <c r="K106" s="1"/>
    </row>
    <row r="107" spans="1:15" x14ac:dyDescent="0.25">
      <c r="A107" s="2">
        <v>41925</v>
      </c>
      <c r="B107" s="3">
        <v>0.59305555555555556</v>
      </c>
      <c r="C107" s="1">
        <v>14.4</v>
      </c>
      <c r="D107" s="1">
        <v>27.1</v>
      </c>
      <c r="E107" s="1">
        <v>1531</v>
      </c>
      <c r="F107" s="1">
        <v>120</v>
      </c>
      <c r="G107" s="1">
        <v>119.4</v>
      </c>
      <c r="H107" s="1">
        <v>51</v>
      </c>
      <c r="I107" s="1">
        <v>46.6</v>
      </c>
      <c r="J107" s="1">
        <v>180</v>
      </c>
      <c r="K107" s="1"/>
      <c r="O107" s="1" t="s">
        <v>226</v>
      </c>
    </row>
    <row r="108" spans="1:15" x14ac:dyDescent="0.25">
      <c r="A108" s="2">
        <v>41925</v>
      </c>
      <c r="B108" s="3">
        <v>0.61388888888888882</v>
      </c>
      <c r="C108" s="1">
        <v>14</v>
      </c>
      <c r="D108" s="1">
        <v>30.9</v>
      </c>
      <c r="E108" s="1">
        <v>1541</v>
      </c>
      <c r="F108" s="1">
        <v>120</v>
      </c>
      <c r="G108" s="1">
        <v>118.6</v>
      </c>
      <c r="H108" s="1">
        <v>51</v>
      </c>
      <c r="I108" s="1">
        <v>51.8</v>
      </c>
      <c r="J108" s="1">
        <v>175</v>
      </c>
      <c r="K108" s="1"/>
      <c r="L108" s="1" t="s">
        <v>225</v>
      </c>
      <c r="M108" s="1" t="s">
        <v>227</v>
      </c>
    </row>
    <row r="109" spans="1:15" x14ac:dyDescent="0.25">
      <c r="A109" s="2">
        <v>41925</v>
      </c>
      <c r="B109" s="3">
        <v>0.66249999999999998</v>
      </c>
      <c r="C109" s="1">
        <v>14</v>
      </c>
      <c r="D109" s="1">
        <v>31.4</v>
      </c>
      <c r="E109" s="1">
        <v>1564</v>
      </c>
      <c r="F109" s="1">
        <v>120</v>
      </c>
      <c r="G109" s="1">
        <v>120.3</v>
      </c>
      <c r="H109" s="1">
        <v>51</v>
      </c>
      <c r="I109" s="1">
        <v>48.4</v>
      </c>
      <c r="J109" s="1">
        <v>175</v>
      </c>
      <c r="K109" s="1">
        <v>189</v>
      </c>
    </row>
    <row r="110" spans="1:15" x14ac:dyDescent="0.25">
      <c r="A110" s="2">
        <v>41925</v>
      </c>
      <c r="B110" s="3">
        <v>0.70486111111111116</v>
      </c>
      <c r="C110" s="1">
        <v>15.7</v>
      </c>
      <c r="D110" s="1">
        <v>31.7</v>
      </c>
      <c r="E110" s="1">
        <v>1584</v>
      </c>
      <c r="F110" s="1">
        <v>120</v>
      </c>
      <c r="G110" s="1">
        <v>119.7</v>
      </c>
      <c r="H110" s="1">
        <v>51</v>
      </c>
      <c r="I110" s="1">
        <v>50.9</v>
      </c>
      <c r="J110" s="1">
        <v>175</v>
      </c>
      <c r="K110" s="1">
        <v>175</v>
      </c>
    </row>
    <row r="111" spans="1:15" x14ac:dyDescent="0.25">
      <c r="A111" s="2">
        <v>41925</v>
      </c>
      <c r="B111" s="3">
        <v>0.74375000000000002</v>
      </c>
      <c r="C111" s="1">
        <v>15.1</v>
      </c>
      <c r="D111" s="1">
        <v>31.8</v>
      </c>
      <c r="E111" s="1">
        <v>1603</v>
      </c>
      <c r="F111" s="1">
        <v>120</v>
      </c>
      <c r="G111" s="1">
        <v>121.2</v>
      </c>
      <c r="H111" s="1">
        <v>51</v>
      </c>
      <c r="I111" s="1">
        <v>51.1</v>
      </c>
      <c r="J111" s="1">
        <v>175</v>
      </c>
      <c r="K111" s="1">
        <v>174</v>
      </c>
    </row>
    <row r="112" spans="1:15" x14ac:dyDescent="0.25">
      <c r="A112" s="2">
        <v>41925</v>
      </c>
      <c r="B112" s="3">
        <v>0.78749999999999998</v>
      </c>
      <c r="C112" s="1">
        <v>14.7</v>
      </c>
      <c r="D112" s="1">
        <v>30.8</v>
      </c>
      <c r="E112" s="1">
        <v>1625</v>
      </c>
      <c r="F112" s="1">
        <v>120</v>
      </c>
      <c r="G112" s="1">
        <v>118.9</v>
      </c>
      <c r="H112" s="1">
        <v>51</v>
      </c>
      <c r="I112" s="1">
        <v>51.7</v>
      </c>
      <c r="J112" s="1">
        <v>175</v>
      </c>
      <c r="K112" s="1">
        <v>171</v>
      </c>
    </row>
    <row r="113" spans="2:11" x14ac:dyDescent="0.25">
      <c r="B113" s="3"/>
      <c r="J113" s="1"/>
      <c r="K113" s="1"/>
    </row>
    <row r="114" spans="2:11" x14ac:dyDescent="0.25">
      <c r="B114" s="3"/>
      <c r="J114" s="1"/>
      <c r="K114" s="1"/>
    </row>
    <row r="115" spans="2:11" x14ac:dyDescent="0.25">
      <c r="B115" s="3"/>
      <c r="J115" s="1"/>
      <c r="K115" s="1"/>
    </row>
    <row r="116" spans="2:11" x14ac:dyDescent="0.25">
      <c r="B116" s="3"/>
      <c r="J116" s="1"/>
      <c r="K116" s="1"/>
    </row>
    <row r="117" spans="2:11" x14ac:dyDescent="0.25">
      <c r="B117" s="3"/>
      <c r="J117" s="1"/>
      <c r="K117" s="1"/>
    </row>
    <row r="118" spans="2:11" x14ac:dyDescent="0.25">
      <c r="B118" s="3"/>
      <c r="J118" s="1"/>
      <c r="K118" s="1"/>
    </row>
    <row r="119" spans="2:11" x14ac:dyDescent="0.25">
      <c r="B119" s="3"/>
      <c r="J119" s="1"/>
      <c r="K119" s="1"/>
    </row>
    <row r="120" spans="2:11" x14ac:dyDescent="0.25">
      <c r="B120" s="3"/>
      <c r="J120" s="1"/>
      <c r="K120" s="1"/>
    </row>
    <row r="121" spans="2:11" x14ac:dyDescent="0.25">
      <c r="B121" s="3"/>
      <c r="J121" s="1"/>
      <c r="K121" s="1"/>
    </row>
    <row r="122" spans="2:11" x14ac:dyDescent="0.25">
      <c r="B122" s="3"/>
      <c r="J122" s="1"/>
      <c r="K122" s="1"/>
    </row>
    <row r="123" spans="2:11" x14ac:dyDescent="0.25">
      <c r="B123" s="3"/>
      <c r="J123" s="1"/>
      <c r="K123" s="1"/>
    </row>
    <row r="124" spans="2:11" x14ac:dyDescent="0.25">
      <c r="B124" s="3"/>
      <c r="J124" s="1"/>
      <c r="K124" s="1"/>
    </row>
    <row r="125" spans="2:11" x14ac:dyDescent="0.25">
      <c r="B125" s="3"/>
      <c r="J125" s="1"/>
      <c r="K125" s="1"/>
    </row>
    <row r="126" spans="2:11" x14ac:dyDescent="0.25">
      <c r="B126" s="3"/>
      <c r="J126" s="1"/>
      <c r="K126" s="1"/>
    </row>
    <row r="127" spans="2:11" x14ac:dyDescent="0.25">
      <c r="B127" s="3"/>
      <c r="J127" s="1"/>
      <c r="K127" s="1"/>
    </row>
    <row r="128" spans="2:11" x14ac:dyDescent="0.25">
      <c r="B128" s="3"/>
      <c r="J128" s="1"/>
      <c r="K128" s="1"/>
    </row>
    <row r="129" spans="2:11" x14ac:dyDescent="0.25">
      <c r="B129" s="3"/>
      <c r="J129" s="1"/>
      <c r="K129" s="1"/>
    </row>
    <row r="130" spans="2:11" x14ac:dyDescent="0.25">
      <c r="B130" s="3"/>
      <c r="J130" s="1"/>
      <c r="K130" s="1"/>
    </row>
    <row r="131" spans="2:11" x14ac:dyDescent="0.25">
      <c r="B131" s="3"/>
      <c r="J131" s="1"/>
      <c r="K131" s="1"/>
    </row>
    <row r="132" spans="2:11" x14ac:dyDescent="0.25">
      <c r="B132" s="3"/>
      <c r="J132" s="1"/>
      <c r="K132" s="1"/>
    </row>
    <row r="133" spans="2:11" x14ac:dyDescent="0.25">
      <c r="B133" s="3"/>
      <c r="J133" s="1"/>
      <c r="K133" s="1"/>
    </row>
    <row r="134" spans="2:11" x14ac:dyDescent="0.25">
      <c r="B134" s="3"/>
      <c r="J134" s="1"/>
      <c r="K134" s="1"/>
    </row>
    <row r="135" spans="2:11" x14ac:dyDescent="0.25">
      <c r="B135" s="3"/>
      <c r="J135" s="1"/>
      <c r="K135" s="1"/>
    </row>
    <row r="136" spans="2:11" x14ac:dyDescent="0.25">
      <c r="B136" s="3"/>
      <c r="J136" s="1"/>
      <c r="K136" s="1"/>
    </row>
    <row r="137" spans="2:11" x14ac:dyDescent="0.25">
      <c r="B137" s="3"/>
      <c r="J137" s="1"/>
      <c r="K137" s="1"/>
    </row>
    <row r="138" spans="2:11" x14ac:dyDescent="0.25">
      <c r="B138" s="3"/>
      <c r="J138" s="1"/>
      <c r="K138" s="1"/>
    </row>
    <row r="139" spans="2:11" x14ac:dyDescent="0.25">
      <c r="B139" s="3"/>
      <c r="J139" s="1"/>
      <c r="K139" s="1"/>
    </row>
    <row r="140" spans="2:11" x14ac:dyDescent="0.25">
      <c r="B140" s="3"/>
      <c r="J140" s="1"/>
      <c r="K140" s="1"/>
    </row>
    <row r="141" spans="2:11" x14ac:dyDescent="0.25">
      <c r="B141" s="3"/>
      <c r="J141" s="1"/>
      <c r="K141" s="1"/>
    </row>
    <row r="142" spans="2:11" x14ac:dyDescent="0.25">
      <c r="B142" s="3"/>
      <c r="J142" s="1"/>
      <c r="K142" s="1"/>
    </row>
    <row r="143" spans="2:11" x14ac:dyDescent="0.25">
      <c r="B143" s="3"/>
      <c r="J143" s="1"/>
      <c r="K143" s="1"/>
    </row>
    <row r="144" spans="2:11" x14ac:dyDescent="0.25">
      <c r="B144" s="3"/>
      <c r="J144" s="1"/>
    </row>
    <row r="145" spans="2:11" x14ac:dyDescent="0.25">
      <c r="B145" s="3"/>
      <c r="J145" s="1"/>
      <c r="K145" s="1"/>
    </row>
    <row r="146" spans="2:11" x14ac:dyDescent="0.25">
      <c r="B146" s="3"/>
      <c r="J146" s="1"/>
      <c r="K146" s="1"/>
    </row>
    <row r="147" spans="2:11" x14ac:dyDescent="0.25">
      <c r="B147" s="3"/>
      <c r="J147" s="1"/>
      <c r="K147" s="1"/>
    </row>
    <row r="148" spans="2:11" x14ac:dyDescent="0.25">
      <c r="B148" s="3"/>
      <c r="J148" s="1"/>
      <c r="K148" s="1"/>
    </row>
    <row r="149" spans="2:11" x14ac:dyDescent="0.25">
      <c r="B149" s="3"/>
      <c r="J149" s="1"/>
      <c r="K149" s="1"/>
    </row>
    <row r="150" spans="2:11" x14ac:dyDescent="0.25">
      <c r="B150" s="3"/>
      <c r="J150" s="1"/>
      <c r="K150" s="1"/>
    </row>
    <row r="151" spans="2:11" x14ac:dyDescent="0.25">
      <c r="B151" s="3"/>
      <c r="J151" s="1"/>
      <c r="K151" s="1"/>
    </row>
    <row r="152" spans="2:11" x14ac:dyDescent="0.25">
      <c r="B152" s="3"/>
      <c r="J152" s="1"/>
      <c r="K152" s="1"/>
    </row>
    <row r="153" spans="2:11" x14ac:dyDescent="0.25">
      <c r="B153" s="3"/>
      <c r="J153" s="1"/>
      <c r="K153" s="1"/>
    </row>
    <row r="154" spans="2:11" x14ac:dyDescent="0.25">
      <c r="B154" s="3"/>
      <c r="J154" s="1"/>
      <c r="K154" s="1"/>
    </row>
    <row r="155" spans="2:11" x14ac:dyDescent="0.25">
      <c r="B155" s="3"/>
      <c r="J155" s="1"/>
      <c r="K155" s="1"/>
    </row>
    <row r="156" spans="2:11" x14ac:dyDescent="0.25">
      <c r="B156" s="3"/>
      <c r="J156" s="1"/>
      <c r="K156" s="1"/>
    </row>
    <row r="157" spans="2:11" x14ac:dyDescent="0.25">
      <c r="B157" s="3"/>
      <c r="J157" s="1"/>
      <c r="K157" s="1"/>
    </row>
    <row r="158" spans="2:11" x14ac:dyDescent="0.25">
      <c r="B158" s="3"/>
      <c r="J158" s="1"/>
      <c r="K158" s="1"/>
    </row>
    <row r="159" spans="2:11" x14ac:dyDescent="0.25">
      <c r="B159" s="3"/>
      <c r="J159" s="1"/>
      <c r="K159" s="1"/>
    </row>
    <row r="160" spans="2:11" x14ac:dyDescent="0.25">
      <c r="B160" s="3"/>
      <c r="J160" s="1"/>
    </row>
    <row r="161" spans="2:11" x14ac:dyDescent="0.25">
      <c r="B161" s="3"/>
      <c r="J161" s="1"/>
      <c r="K161" s="1"/>
    </row>
    <row r="162" spans="2:11" x14ac:dyDescent="0.25">
      <c r="B162" s="3"/>
      <c r="J162" s="1"/>
      <c r="K162" s="1"/>
    </row>
    <row r="163" spans="2:11" x14ac:dyDescent="0.25">
      <c r="B163" s="3"/>
      <c r="J163" s="1"/>
      <c r="K163" s="1"/>
    </row>
    <row r="164" spans="2:11" x14ac:dyDescent="0.25">
      <c r="B164" s="3"/>
      <c r="J164" s="1"/>
      <c r="K164" s="1"/>
    </row>
    <row r="165" spans="2:11" x14ac:dyDescent="0.25">
      <c r="B165" s="3"/>
      <c r="J165" s="1"/>
      <c r="K165" s="1"/>
    </row>
    <row r="166" spans="2:11" x14ac:dyDescent="0.25">
      <c r="B166" s="3"/>
      <c r="J166" s="1"/>
      <c r="K166" s="1"/>
    </row>
    <row r="167" spans="2:11" x14ac:dyDescent="0.25">
      <c r="B167" s="3"/>
      <c r="J167" s="1"/>
      <c r="K167" s="1"/>
    </row>
    <row r="168" spans="2:11" x14ac:dyDescent="0.25">
      <c r="B168" s="3"/>
      <c r="J168" s="1"/>
      <c r="K168" s="1"/>
    </row>
    <row r="169" spans="2:11" x14ac:dyDescent="0.25">
      <c r="B169" s="3"/>
      <c r="J169" s="1"/>
      <c r="K169" s="1"/>
    </row>
    <row r="170" spans="2:11" x14ac:dyDescent="0.25">
      <c r="B170" s="3"/>
      <c r="J170" s="1"/>
      <c r="K170" s="1"/>
    </row>
    <row r="171" spans="2:11" x14ac:dyDescent="0.25">
      <c r="B171" s="3"/>
      <c r="J171" s="1"/>
      <c r="K171" s="1"/>
    </row>
    <row r="172" spans="2:11" x14ac:dyDescent="0.25">
      <c r="B172" s="3"/>
      <c r="J172" s="1"/>
      <c r="K172" s="1"/>
    </row>
    <row r="173" spans="2:11" x14ac:dyDescent="0.25">
      <c r="B173" s="3"/>
      <c r="J173" s="1"/>
      <c r="K173" s="1"/>
    </row>
    <row r="174" spans="2:11" x14ac:dyDescent="0.25">
      <c r="B174" s="3"/>
      <c r="J174" s="1"/>
      <c r="K174" s="1"/>
    </row>
    <row r="175" spans="2:11" x14ac:dyDescent="0.25">
      <c r="B175" s="3"/>
      <c r="J175" s="1"/>
      <c r="K175" s="1"/>
    </row>
    <row r="176" spans="2:11" x14ac:dyDescent="0.25">
      <c r="B176" s="3"/>
      <c r="J176" s="1"/>
      <c r="K176" s="1"/>
    </row>
    <row r="177" spans="2:11" x14ac:dyDescent="0.25">
      <c r="B177" s="3"/>
      <c r="J177" s="1"/>
      <c r="K177" s="1"/>
    </row>
    <row r="178" spans="2:11" x14ac:dyDescent="0.25">
      <c r="B178" s="3"/>
      <c r="J178" s="1"/>
      <c r="K178" s="1"/>
    </row>
    <row r="179" spans="2:11" x14ac:dyDescent="0.25">
      <c r="B179" s="3"/>
      <c r="J179" s="1"/>
      <c r="K179" s="1"/>
    </row>
    <row r="180" spans="2:11" x14ac:dyDescent="0.25">
      <c r="B180" s="3"/>
      <c r="J180" s="1"/>
      <c r="K180" s="1"/>
    </row>
    <row r="181" spans="2:11" x14ac:dyDescent="0.25">
      <c r="B181" s="3"/>
      <c r="J181" s="1"/>
      <c r="K181" s="1"/>
    </row>
    <row r="182" spans="2:11" x14ac:dyDescent="0.25">
      <c r="B182" s="3"/>
      <c r="J182" s="1"/>
      <c r="K182" s="1"/>
    </row>
    <row r="183" spans="2:11" x14ac:dyDescent="0.25">
      <c r="B183" s="3"/>
      <c r="J183" s="1"/>
      <c r="K183" s="1"/>
    </row>
    <row r="184" spans="2:11" x14ac:dyDescent="0.25">
      <c r="B184" s="3"/>
      <c r="J184" s="1"/>
      <c r="K184" s="1"/>
    </row>
    <row r="185" spans="2:11" x14ac:dyDescent="0.25">
      <c r="B185" s="3"/>
      <c r="J185" s="1"/>
      <c r="K185" s="1"/>
    </row>
    <row r="186" spans="2:11" x14ac:dyDescent="0.25">
      <c r="B186" s="3"/>
      <c r="J186" s="1"/>
      <c r="K186" s="1"/>
    </row>
    <row r="187" spans="2:11" x14ac:dyDescent="0.25">
      <c r="B187" s="3"/>
      <c r="J187" s="1"/>
      <c r="K187" s="1"/>
    </row>
    <row r="188" spans="2:11" x14ac:dyDescent="0.25">
      <c r="B188" s="3"/>
      <c r="J188" s="1"/>
      <c r="K188" s="1"/>
    </row>
    <row r="189" spans="2:11" x14ac:dyDescent="0.25">
      <c r="B189" s="3"/>
      <c r="J189" s="1"/>
      <c r="K189" s="1"/>
    </row>
    <row r="190" spans="2:11" x14ac:dyDescent="0.25">
      <c r="B190" s="3"/>
      <c r="J190" s="1"/>
      <c r="K190" s="1"/>
    </row>
    <row r="191" spans="2:11" x14ac:dyDescent="0.25">
      <c r="B191" s="3"/>
      <c r="J191" s="1"/>
      <c r="K191" s="1"/>
    </row>
    <row r="192" spans="2:11" x14ac:dyDescent="0.25">
      <c r="B192" s="3"/>
      <c r="J192" s="1"/>
      <c r="K192" s="1"/>
    </row>
    <row r="193" spans="2:11" x14ac:dyDescent="0.25">
      <c r="B193" s="3"/>
      <c r="J193" s="1"/>
      <c r="K193" s="1"/>
    </row>
    <row r="194" spans="2:11" x14ac:dyDescent="0.25">
      <c r="B194" s="3"/>
      <c r="J194" s="1"/>
      <c r="K194" s="1"/>
    </row>
    <row r="195" spans="2:11" x14ac:dyDescent="0.25">
      <c r="B195" s="3"/>
      <c r="J195" s="1"/>
      <c r="K195" s="1"/>
    </row>
    <row r="196" spans="2:11" x14ac:dyDescent="0.25">
      <c r="B196" s="3"/>
      <c r="J196" s="1"/>
      <c r="K196" s="1"/>
    </row>
    <row r="197" spans="2:11" x14ac:dyDescent="0.25">
      <c r="B197" s="3"/>
      <c r="J197" s="1"/>
      <c r="K197" s="1"/>
    </row>
    <row r="198" spans="2:11" x14ac:dyDescent="0.25">
      <c r="B198" s="3"/>
      <c r="J198" s="1"/>
      <c r="K198" s="1"/>
    </row>
    <row r="199" spans="2:11" x14ac:dyDescent="0.25">
      <c r="B199" s="3"/>
      <c r="J199" s="1"/>
      <c r="K199" s="1"/>
    </row>
    <row r="200" spans="2:11" x14ac:dyDescent="0.25">
      <c r="B200" s="3"/>
      <c r="J200" s="1"/>
      <c r="K200" s="1"/>
    </row>
    <row r="201" spans="2:11" x14ac:dyDescent="0.25">
      <c r="B201" s="3"/>
      <c r="J201" s="1"/>
      <c r="K201" s="1"/>
    </row>
    <row r="202" spans="2:11" x14ac:dyDescent="0.25">
      <c r="B202" s="3"/>
      <c r="J202" s="1"/>
      <c r="K202" s="1"/>
    </row>
    <row r="203" spans="2:11" x14ac:dyDescent="0.25">
      <c r="B203" s="3"/>
      <c r="J203" s="1"/>
      <c r="K203" s="1"/>
    </row>
    <row r="204" spans="2:11" x14ac:dyDescent="0.25">
      <c r="B204" s="3"/>
      <c r="J204" s="1"/>
      <c r="K204" s="1"/>
    </row>
    <row r="205" spans="2:11" x14ac:dyDescent="0.25">
      <c r="B205" s="3"/>
      <c r="J205" s="1"/>
      <c r="K205" s="1"/>
    </row>
    <row r="206" spans="2:11" x14ac:dyDescent="0.25">
      <c r="B206" s="3"/>
      <c r="J206" s="1"/>
      <c r="K206" s="1"/>
    </row>
    <row r="207" spans="2:11" x14ac:dyDescent="0.25">
      <c r="B207" s="3"/>
      <c r="J207" s="1"/>
      <c r="K207" s="1"/>
    </row>
    <row r="208" spans="2:11" x14ac:dyDescent="0.25">
      <c r="B208" s="3"/>
      <c r="J208" s="1"/>
      <c r="K208" s="1"/>
    </row>
    <row r="209" spans="2:11" x14ac:dyDescent="0.25">
      <c r="B209" s="3"/>
      <c r="J209" s="1"/>
      <c r="K209" s="1"/>
    </row>
    <row r="210" spans="2:11" x14ac:dyDescent="0.25">
      <c r="B210" s="3"/>
      <c r="J210" s="1"/>
      <c r="K210" s="1"/>
    </row>
    <row r="211" spans="2:11" x14ac:dyDescent="0.25">
      <c r="B211" s="3"/>
      <c r="J211" s="1"/>
      <c r="K211" s="1"/>
    </row>
    <row r="212" spans="2:11" x14ac:dyDescent="0.25">
      <c r="B212" s="3"/>
      <c r="J212" s="1"/>
      <c r="K212" s="1"/>
    </row>
    <row r="213" spans="2:11" x14ac:dyDescent="0.25">
      <c r="B213" s="3"/>
      <c r="J213" s="1"/>
      <c r="K213" s="1"/>
    </row>
    <row r="214" spans="2:11" x14ac:dyDescent="0.25">
      <c r="B214" s="3"/>
      <c r="J214" s="1"/>
      <c r="K214" s="1"/>
    </row>
    <row r="215" spans="2:11" x14ac:dyDescent="0.25">
      <c r="B215" s="3"/>
      <c r="J215" s="1"/>
      <c r="K215" s="1"/>
    </row>
    <row r="216" spans="2:11" x14ac:dyDescent="0.25">
      <c r="B216" s="3"/>
      <c r="J216" s="1"/>
      <c r="K216" s="1"/>
    </row>
    <row r="217" spans="2:11" x14ac:dyDescent="0.25">
      <c r="B217" s="3"/>
      <c r="J217" s="1"/>
      <c r="K217" s="1"/>
    </row>
    <row r="218" spans="2:11" x14ac:dyDescent="0.25">
      <c r="B218" s="3"/>
      <c r="J218" s="1"/>
      <c r="K218" s="1"/>
    </row>
    <row r="219" spans="2:11" x14ac:dyDescent="0.25">
      <c r="B219" s="3"/>
      <c r="J219" s="1"/>
      <c r="K219" s="1"/>
    </row>
    <row r="220" spans="2:11" x14ac:dyDescent="0.25">
      <c r="B220" s="3"/>
      <c r="J220" s="1"/>
      <c r="K220" s="1"/>
    </row>
    <row r="221" spans="2:11" x14ac:dyDescent="0.25">
      <c r="B221" s="3"/>
      <c r="J221" s="1"/>
      <c r="K221" s="1"/>
    </row>
    <row r="222" spans="2:11" x14ac:dyDescent="0.25">
      <c r="B222" s="3"/>
      <c r="J222" s="1"/>
      <c r="K222" s="1"/>
    </row>
    <row r="223" spans="2:11" x14ac:dyDescent="0.25">
      <c r="B223" s="3"/>
      <c r="J223" s="1"/>
      <c r="K223" s="1"/>
    </row>
    <row r="224" spans="2:11" x14ac:dyDescent="0.25">
      <c r="B224" s="3"/>
      <c r="J224" s="1"/>
      <c r="K224" s="1"/>
    </row>
    <row r="225" spans="2:11" x14ac:dyDescent="0.25">
      <c r="B225" s="3"/>
      <c r="J225" s="1"/>
      <c r="K225" s="1"/>
    </row>
    <row r="226" spans="2:11" x14ac:dyDescent="0.25">
      <c r="B226" s="3"/>
      <c r="J226" s="1"/>
      <c r="K226" s="1"/>
    </row>
    <row r="227" spans="2:11" x14ac:dyDescent="0.25">
      <c r="B227" s="3"/>
      <c r="J227" s="1"/>
      <c r="K227" s="1"/>
    </row>
    <row r="228" spans="2:11" x14ac:dyDescent="0.25">
      <c r="B228" s="3"/>
      <c r="J228" s="1"/>
      <c r="K228" s="1"/>
    </row>
    <row r="229" spans="2:11" x14ac:dyDescent="0.25">
      <c r="B229" s="3"/>
      <c r="J229" s="1"/>
      <c r="K229" s="1"/>
    </row>
    <row r="230" spans="2:11" x14ac:dyDescent="0.25">
      <c r="B230" s="3"/>
      <c r="J230" s="1"/>
      <c r="K230" s="1"/>
    </row>
    <row r="231" spans="2:11" x14ac:dyDescent="0.25">
      <c r="B231" s="3"/>
      <c r="J231" s="1"/>
      <c r="K231" s="1"/>
    </row>
    <row r="232" spans="2:11" x14ac:dyDescent="0.25">
      <c r="B232" s="3"/>
      <c r="J232" s="1"/>
      <c r="K232" s="1"/>
    </row>
    <row r="233" spans="2:11" x14ac:dyDescent="0.25">
      <c r="B233" s="3"/>
      <c r="J233" s="1"/>
      <c r="K233" s="1"/>
    </row>
    <row r="234" spans="2:11" x14ac:dyDescent="0.25">
      <c r="B234" s="3"/>
      <c r="J234" s="1"/>
      <c r="K234" s="1"/>
    </row>
    <row r="235" spans="2:11" x14ac:dyDescent="0.25">
      <c r="B235" s="3"/>
      <c r="J235" s="1"/>
      <c r="K235" s="1"/>
    </row>
    <row r="236" spans="2:11" x14ac:dyDescent="0.25">
      <c r="B236" s="3"/>
      <c r="J236" s="1"/>
      <c r="K236" s="1"/>
    </row>
    <row r="237" spans="2:11" x14ac:dyDescent="0.25">
      <c r="B237" s="3"/>
      <c r="J237" s="1"/>
      <c r="K237" s="1"/>
    </row>
    <row r="238" spans="2:11" x14ac:dyDescent="0.25">
      <c r="B238" s="3"/>
      <c r="J238" s="1"/>
      <c r="K238" s="1"/>
    </row>
    <row r="239" spans="2:11" x14ac:dyDescent="0.25">
      <c r="B239" s="3"/>
      <c r="J239" s="1"/>
      <c r="K239" s="1"/>
    </row>
    <row r="240" spans="2:11" x14ac:dyDescent="0.25">
      <c r="B240" s="3"/>
      <c r="J240" s="1"/>
      <c r="K240" s="1"/>
    </row>
    <row r="241" spans="2:11" x14ac:dyDescent="0.25">
      <c r="B241" s="3"/>
      <c r="J241" s="1"/>
      <c r="K241" s="1"/>
    </row>
    <row r="242" spans="2:11" x14ac:dyDescent="0.25">
      <c r="B242" s="3"/>
      <c r="J242" s="1"/>
      <c r="K242" s="1"/>
    </row>
    <row r="243" spans="2:11" x14ac:dyDescent="0.25">
      <c r="B243" s="3"/>
      <c r="J243" s="1"/>
      <c r="K243" s="1"/>
    </row>
    <row r="244" spans="2:11" x14ac:dyDescent="0.25">
      <c r="B244" s="3"/>
      <c r="J244" s="1"/>
      <c r="K244" s="1"/>
    </row>
    <row r="245" spans="2:11" x14ac:dyDescent="0.25">
      <c r="B245" s="3"/>
      <c r="J245" s="1"/>
      <c r="K245" s="1"/>
    </row>
    <row r="246" spans="2:11" x14ac:dyDescent="0.25">
      <c r="B246" s="3"/>
      <c r="J246" s="1"/>
      <c r="K246" s="1"/>
    </row>
    <row r="247" spans="2:11" x14ac:dyDescent="0.25">
      <c r="B247" s="3"/>
      <c r="J247" s="1"/>
      <c r="K247" s="1"/>
    </row>
    <row r="248" spans="2:11" x14ac:dyDescent="0.25">
      <c r="B248" s="3"/>
      <c r="J248" s="1"/>
      <c r="K248" s="1"/>
    </row>
    <row r="249" spans="2:11" x14ac:dyDescent="0.25">
      <c r="B249" s="3"/>
      <c r="J249" s="1"/>
      <c r="K249" s="1"/>
    </row>
    <row r="250" spans="2:11" x14ac:dyDescent="0.25">
      <c r="B250" s="3"/>
      <c r="J250" s="1"/>
    </row>
    <row r="251" spans="2:11" x14ac:dyDescent="0.25">
      <c r="B251" s="3"/>
      <c r="J251" s="1"/>
    </row>
    <row r="252" spans="2:11" x14ac:dyDescent="0.25">
      <c r="B252" s="3"/>
      <c r="J252" s="1"/>
      <c r="K252" s="1"/>
    </row>
    <row r="253" spans="2:11" x14ac:dyDescent="0.25">
      <c r="B253" s="3"/>
      <c r="J253" s="1"/>
      <c r="K253" s="1"/>
    </row>
    <row r="254" spans="2:11" x14ac:dyDescent="0.25">
      <c r="B254" s="3"/>
      <c r="J254" s="1"/>
      <c r="K254" s="1"/>
    </row>
    <row r="255" spans="2:11" x14ac:dyDescent="0.25">
      <c r="B255" s="3"/>
      <c r="J255" s="1"/>
      <c r="K255" s="1"/>
    </row>
    <row r="256" spans="2:11" x14ac:dyDescent="0.25">
      <c r="B256" s="3"/>
      <c r="J256" s="1"/>
      <c r="K256" s="1"/>
    </row>
    <row r="257" spans="2:11" x14ac:dyDescent="0.25">
      <c r="B257" s="3"/>
      <c r="J257" s="1"/>
      <c r="K257" s="1"/>
    </row>
    <row r="258" spans="2:11" x14ac:dyDescent="0.25">
      <c r="B258" s="3"/>
      <c r="J258" s="1"/>
      <c r="K258" s="1"/>
    </row>
    <row r="259" spans="2:11" x14ac:dyDescent="0.25">
      <c r="B259" s="3"/>
      <c r="J259" s="1"/>
      <c r="K259" s="1"/>
    </row>
    <row r="260" spans="2:11" x14ac:dyDescent="0.25">
      <c r="B260" s="3"/>
      <c r="J260" s="1"/>
      <c r="K260" s="1"/>
    </row>
    <row r="261" spans="2:11" x14ac:dyDescent="0.25">
      <c r="B261" s="3"/>
      <c r="J261" s="1"/>
      <c r="K261" s="1"/>
    </row>
    <row r="262" spans="2:11" x14ac:dyDescent="0.25">
      <c r="B262" s="3"/>
      <c r="J262" s="1"/>
      <c r="K262" s="1"/>
    </row>
    <row r="263" spans="2:11" x14ac:dyDescent="0.25">
      <c r="B263" s="3"/>
      <c r="J263" s="1"/>
      <c r="K263" s="1"/>
    </row>
    <row r="264" spans="2:11" x14ac:dyDescent="0.25">
      <c r="B264" s="3"/>
      <c r="J264" s="1"/>
      <c r="K264" s="1"/>
    </row>
    <row r="265" spans="2:11" x14ac:dyDescent="0.25">
      <c r="B265" s="3"/>
      <c r="J265" s="1"/>
      <c r="K265" s="1"/>
    </row>
    <row r="266" spans="2:11" x14ac:dyDescent="0.25">
      <c r="B266" s="3"/>
      <c r="J266" s="1"/>
      <c r="K266" s="1"/>
    </row>
    <row r="267" spans="2:11" x14ac:dyDescent="0.25">
      <c r="B267" s="3"/>
      <c r="J267" s="1"/>
      <c r="K267" s="1"/>
    </row>
    <row r="268" spans="2:11" x14ac:dyDescent="0.25">
      <c r="B268" s="3"/>
      <c r="J268" s="1"/>
      <c r="K268" s="1"/>
    </row>
    <row r="269" spans="2:11" x14ac:dyDescent="0.25">
      <c r="B269" s="3"/>
      <c r="J269" s="1"/>
      <c r="K269" s="1"/>
    </row>
    <row r="270" spans="2:11" x14ac:dyDescent="0.25">
      <c r="B270" s="3"/>
      <c r="J270" s="1"/>
      <c r="K270" s="1"/>
    </row>
    <row r="271" spans="2:11" x14ac:dyDescent="0.25">
      <c r="B271" s="3"/>
      <c r="J271" s="1"/>
      <c r="K271" s="1"/>
    </row>
    <row r="272" spans="2:11" x14ac:dyDescent="0.25">
      <c r="B272" s="3"/>
      <c r="J272" s="1"/>
      <c r="K272" s="1"/>
    </row>
    <row r="273" spans="2:11" x14ac:dyDescent="0.25">
      <c r="B273" s="3"/>
      <c r="J273" s="1"/>
      <c r="K273" s="1"/>
    </row>
    <row r="274" spans="2:11" x14ac:dyDescent="0.25">
      <c r="B274" s="3"/>
      <c r="J274" s="1"/>
      <c r="K274" s="1"/>
    </row>
    <row r="275" spans="2:11" x14ac:dyDescent="0.25">
      <c r="B275" s="3"/>
      <c r="J275" s="1"/>
      <c r="K275" s="1"/>
    </row>
    <row r="276" spans="2:11" x14ac:dyDescent="0.25">
      <c r="B276" s="3"/>
      <c r="J276" s="1"/>
      <c r="K276" s="1"/>
    </row>
    <row r="277" spans="2:11" x14ac:dyDescent="0.25">
      <c r="B277" s="3"/>
      <c r="J277" s="1"/>
      <c r="K277" s="1"/>
    </row>
    <row r="278" spans="2:11" x14ac:dyDescent="0.25">
      <c r="B278" s="3"/>
      <c r="J278" s="1"/>
      <c r="K278" s="1"/>
    </row>
    <row r="279" spans="2:11" x14ac:dyDescent="0.25">
      <c r="B279" s="3"/>
      <c r="J279" s="1"/>
      <c r="K279" s="1"/>
    </row>
    <row r="280" spans="2:11" x14ac:dyDescent="0.25">
      <c r="B280" s="3"/>
      <c r="J280" s="1"/>
      <c r="K280" s="1"/>
    </row>
    <row r="281" spans="2:11" x14ac:dyDescent="0.25">
      <c r="B281" s="3"/>
      <c r="J281" s="1"/>
      <c r="K281" s="1"/>
    </row>
    <row r="282" spans="2:11" x14ac:dyDescent="0.25">
      <c r="B282" s="3"/>
      <c r="J282" s="1"/>
      <c r="K282" s="1"/>
    </row>
    <row r="283" spans="2:11" x14ac:dyDescent="0.25">
      <c r="B283" s="3"/>
      <c r="J283" s="1"/>
      <c r="K283" s="1"/>
    </row>
    <row r="284" spans="2:11" x14ac:dyDescent="0.25">
      <c r="B284" s="3"/>
      <c r="J284" s="1"/>
      <c r="K284" s="1"/>
    </row>
    <row r="285" spans="2:11" x14ac:dyDescent="0.25">
      <c r="B285" s="3"/>
      <c r="J285" s="1"/>
      <c r="K285" s="1"/>
    </row>
    <row r="286" spans="2:11" x14ac:dyDescent="0.25">
      <c r="B286" s="3"/>
      <c r="J286" s="1"/>
      <c r="K286" s="1"/>
    </row>
    <row r="287" spans="2:11" x14ac:dyDescent="0.25">
      <c r="B287" s="3"/>
      <c r="J287" s="1"/>
      <c r="K287" s="1"/>
    </row>
    <row r="288" spans="2:11" x14ac:dyDescent="0.25">
      <c r="B288" s="3"/>
      <c r="J288" s="1"/>
      <c r="K288" s="1"/>
    </row>
    <row r="289" spans="2:11" x14ac:dyDescent="0.25">
      <c r="B289" s="3"/>
      <c r="J289" s="1"/>
      <c r="K289" s="1"/>
    </row>
    <row r="290" spans="2:11" x14ac:dyDescent="0.25">
      <c r="B290" s="3"/>
      <c r="J290" s="1"/>
      <c r="K290" s="1"/>
    </row>
    <row r="291" spans="2:11" x14ac:dyDescent="0.25">
      <c r="B291" s="3"/>
      <c r="J291" s="1"/>
      <c r="K291" s="1"/>
    </row>
    <row r="292" spans="2:11" x14ac:dyDescent="0.25">
      <c r="B292" s="3"/>
      <c r="J292" s="1"/>
      <c r="K292" s="1"/>
    </row>
    <row r="293" spans="2:11" x14ac:dyDescent="0.25">
      <c r="B293" s="3"/>
      <c r="J293" s="1"/>
      <c r="K293" s="1"/>
    </row>
    <row r="294" spans="2:11" x14ac:dyDescent="0.25">
      <c r="B294" s="3"/>
      <c r="J294" s="1"/>
      <c r="K294" s="1"/>
    </row>
    <row r="295" spans="2:11" x14ac:dyDescent="0.25">
      <c r="B295" s="3"/>
      <c r="J295" s="1"/>
      <c r="K295" s="1"/>
    </row>
    <row r="296" spans="2:11" x14ac:dyDescent="0.25">
      <c r="B296" s="3"/>
      <c r="J296" s="1"/>
      <c r="K296" s="1"/>
    </row>
    <row r="297" spans="2:11" x14ac:dyDescent="0.25">
      <c r="B297" s="3"/>
      <c r="J297" s="1"/>
      <c r="K297" s="1"/>
    </row>
    <row r="298" spans="2:11" x14ac:dyDescent="0.25">
      <c r="B298" s="3"/>
      <c r="J298" s="1"/>
      <c r="K298" s="1"/>
    </row>
    <row r="299" spans="2:11" x14ac:dyDescent="0.25">
      <c r="B299" s="3"/>
      <c r="J299" s="1"/>
      <c r="K299" s="1"/>
    </row>
    <row r="300" spans="2:11" x14ac:dyDescent="0.25">
      <c r="B300" s="3"/>
      <c r="J300" s="1"/>
      <c r="K300" s="1"/>
    </row>
    <row r="301" spans="2:11" x14ac:dyDescent="0.25">
      <c r="B301" s="3"/>
      <c r="J301" s="1"/>
      <c r="K301" s="1"/>
    </row>
    <row r="302" spans="2:11" x14ac:dyDescent="0.25">
      <c r="B302" s="3"/>
      <c r="J302" s="1"/>
      <c r="K302" s="1"/>
    </row>
    <row r="303" spans="2:11" x14ac:dyDescent="0.25">
      <c r="B303" s="3"/>
      <c r="J303" s="1"/>
      <c r="K303" s="1"/>
    </row>
    <row r="304" spans="2:11" x14ac:dyDescent="0.25">
      <c r="B304" s="3"/>
      <c r="J304" s="1"/>
      <c r="K304" s="1"/>
    </row>
    <row r="305" spans="2:11" x14ac:dyDescent="0.25">
      <c r="B305" s="3"/>
      <c r="J305" s="1"/>
      <c r="K305" s="1"/>
    </row>
    <row r="306" spans="2:11" x14ac:dyDescent="0.25">
      <c r="B306" s="3"/>
      <c r="J306" s="1"/>
      <c r="K306" s="1"/>
    </row>
    <row r="307" spans="2:11" x14ac:dyDescent="0.25">
      <c r="B307" s="3"/>
      <c r="J307" s="1"/>
      <c r="K307" s="1"/>
    </row>
    <row r="308" spans="2:11" x14ac:dyDescent="0.25">
      <c r="B308" s="3"/>
      <c r="J308" s="1"/>
      <c r="K308" s="1"/>
    </row>
    <row r="309" spans="2:11" x14ac:dyDescent="0.25">
      <c r="B309" s="3"/>
      <c r="J309" s="1"/>
      <c r="K309" s="1"/>
    </row>
    <row r="310" spans="2:11" x14ac:dyDescent="0.25">
      <c r="B310" s="3"/>
      <c r="J310" s="1"/>
      <c r="K310" s="1"/>
    </row>
    <row r="311" spans="2:11" x14ac:dyDescent="0.25">
      <c r="B311" s="3"/>
      <c r="J311" s="1"/>
      <c r="K311" s="1"/>
    </row>
    <row r="312" spans="2:11" x14ac:dyDescent="0.25">
      <c r="B312" s="3"/>
      <c r="J312" s="1"/>
      <c r="K312" s="1"/>
    </row>
    <row r="313" spans="2:11" x14ac:dyDescent="0.25">
      <c r="B313" s="3"/>
      <c r="J313" s="1"/>
      <c r="K313" s="1"/>
    </row>
    <row r="314" spans="2:11" x14ac:dyDescent="0.25">
      <c r="B314" s="3"/>
      <c r="J314" s="1"/>
      <c r="K314" s="1"/>
    </row>
    <row r="315" spans="2:11" x14ac:dyDescent="0.25">
      <c r="B315" s="3"/>
      <c r="J315" s="1"/>
      <c r="K315" s="1"/>
    </row>
    <row r="316" spans="2:11" x14ac:dyDescent="0.25">
      <c r="B316" s="3"/>
      <c r="J316" s="1"/>
      <c r="K316" s="1"/>
    </row>
    <row r="317" spans="2:11" x14ac:dyDescent="0.25">
      <c r="B317" s="3"/>
      <c r="J317" s="1"/>
      <c r="K317" s="1"/>
    </row>
    <row r="318" spans="2:11" x14ac:dyDescent="0.25">
      <c r="B318" s="3"/>
      <c r="J318" s="1"/>
      <c r="K318" s="1"/>
    </row>
    <row r="319" spans="2:11" x14ac:dyDescent="0.25">
      <c r="B319" s="3"/>
      <c r="J319" s="1"/>
      <c r="K319" s="1"/>
    </row>
    <row r="320" spans="2:11" x14ac:dyDescent="0.25">
      <c r="B320" s="3"/>
      <c r="J320" s="1"/>
      <c r="K320" s="1"/>
    </row>
    <row r="321" spans="2:11" x14ac:dyDescent="0.25">
      <c r="B321" s="3"/>
      <c r="J321" s="1"/>
      <c r="K321" s="1"/>
    </row>
    <row r="322" spans="2:11" x14ac:dyDescent="0.25">
      <c r="B322" s="3"/>
      <c r="J322" s="1"/>
      <c r="K322" s="1"/>
    </row>
    <row r="323" spans="2:11" x14ac:dyDescent="0.25">
      <c r="B323" s="3"/>
      <c r="J323" s="1"/>
      <c r="K323" s="1"/>
    </row>
    <row r="324" spans="2:11" x14ac:dyDescent="0.25">
      <c r="B324" s="3"/>
      <c r="J324" s="1"/>
      <c r="K324" s="1"/>
    </row>
    <row r="325" spans="2:11" x14ac:dyDescent="0.25">
      <c r="B325" s="3"/>
      <c r="J325" s="1"/>
      <c r="K325" s="1"/>
    </row>
    <row r="326" spans="2:11" x14ac:dyDescent="0.25">
      <c r="B326" s="3"/>
      <c r="J326" s="1"/>
      <c r="K326" s="1"/>
    </row>
    <row r="327" spans="2:11" x14ac:dyDescent="0.25">
      <c r="B327" s="3"/>
      <c r="J327" s="1"/>
      <c r="K327" s="1"/>
    </row>
    <row r="328" spans="2:11" x14ac:dyDescent="0.25">
      <c r="B328" s="3"/>
      <c r="J328" s="1"/>
      <c r="K328" s="1"/>
    </row>
    <row r="329" spans="2:11" x14ac:dyDescent="0.25">
      <c r="B329" s="3"/>
      <c r="J329" s="1"/>
      <c r="K329" s="1"/>
    </row>
    <row r="330" spans="2:11" x14ac:dyDescent="0.25">
      <c r="B330" s="3"/>
      <c r="J330" s="1"/>
      <c r="K330" s="1"/>
    </row>
    <row r="331" spans="2:11" x14ac:dyDescent="0.25">
      <c r="B331" s="3"/>
      <c r="J331" s="1"/>
      <c r="K331" s="1"/>
    </row>
    <row r="332" spans="2:11" x14ac:dyDescent="0.25">
      <c r="B332" s="3"/>
      <c r="J332" s="1"/>
      <c r="K332" s="1"/>
    </row>
    <row r="333" spans="2:11" x14ac:dyDescent="0.25">
      <c r="B333" s="3"/>
      <c r="J333" s="1"/>
      <c r="K333" s="1"/>
    </row>
    <row r="334" spans="2:11" x14ac:dyDescent="0.25">
      <c r="B334" s="3"/>
      <c r="J334" s="1"/>
      <c r="K334" s="1"/>
    </row>
    <row r="335" spans="2:11" x14ac:dyDescent="0.25">
      <c r="B335" s="3"/>
      <c r="J335" s="1"/>
      <c r="K335" s="1"/>
    </row>
    <row r="336" spans="2:11" x14ac:dyDescent="0.25">
      <c r="B336" s="3"/>
      <c r="J336" s="1"/>
      <c r="K336" s="1"/>
    </row>
    <row r="337" spans="2:11" x14ac:dyDescent="0.25">
      <c r="B337" s="3"/>
      <c r="J337" s="1"/>
      <c r="K337" s="1"/>
    </row>
    <row r="338" spans="2:11" x14ac:dyDescent="0.25">
      <c r="B338" s="3"/>
      <c r="J338" s="1"/>
      <c r="K338" s="1"/>
    </row>
    <row r="339" spans="2:11" x14ac:dyDescent="0.25">
      <c r="B339" s="3"/>
      <c r="J339" s="1"/>
      <c r="K339" s="1"/>
    </row>
    <row r="340" spans="2:11" x14ac:dyDescent="0.25">
      <c r="B340" s="3"/>
      <c r="J340" s="1"/>
      <c r="K340" s="1"/>
    </row>
    <row r="341" spans="2:11" x14ac:dyDescent="0.25">
      <c r="B341" s="3"/>
      <c r="J341" s="1"/>
      <c r="K341" s="1"/>
    </row>
    <row r="342" spans="2:11" x14ac:dyDescent="0.25">
      <c r="B342" s="3"/>
      <c r="J342" s="1"/>
      <c r="K342" s="1"/>
    </row>
    <row r="343" spans="2:11" x14ac:dyDescent="0.25">
      <c r="B343" s="3"/>
      <c r="J343" s="1"/>
      <c r="K343" s="1"/>
    </row>
    <row r="344" spans="2:11" x14ac:dyDescent="0.25">
      <c r="B344" s="3"/>
      <c r="J344" s="1"/>
      <c r="K344" s="1"/>
    </row>
    <row r="345" spans="2:11" x14ac:dyDescent="0.25">
      <c r="B345" s="3"/>
      <c r="J345" s="1"/>
      <c r="K345" s="1"/>
    </row>
    <row r="346" spans="2:11" x14ac:dyDescent="0.25">
      <c r="B346" s="3"/>
      <c r="J346" s="1"/>
      <c r="K346" s="1"/>
    </row>
    <row r="347" spans="2:11" x14ac:dyDescent="0.25">
      <c r="B347" s="3"/>
      <c r="J347" s="1"/>
      <c r="K347" s="1"/>
    </row>
    <row r="348" spans="2:11" x14ac:dyDescent="0.25">
      <c r="B348" s="3"/>
      <c r="J348" s="1"/>
      <c r="K348" s="1"/>
    </row>
    <row r="349" spans="2:11" x14ac:dyDescent="0.25">
      <c r="B349" s="3"/>
      <c r="J349" s="1"/>
      <c r="K349" s="1"/>
    </row>
    <row r="350" spans="2:11" x14ac:dyDescent="0.25">
      <c r="B350" s="3"/>
      <c r="J350" s="1"/>
      <c r="K350" s="1"/>
    </row>
    <row r="351" spans="2:11" x14ac:dyDescent="0.25">
      <c r="B351" s="3"/>
      <c r="J351" s="1"/>
      <c r="K351" s="1"/>
    </row>
    <row r="352" spans="2:11" x14ac:dyDescent="0.25">
      <c r="B352" s="3"/>
      <c r="J352" s="1"/>
      <c r="K352" s="1"/>
    </row>
    <row r="353" spans="2:11" x14ac:dyDescent="0.25">
      <c r="B353" s="3"/>
      <c r="J353" s="1"/>
      <c r="K353" s="1"/>
    </row>
    <row r="354" spans="2:11" x14ac:dyDescent="0.25">
      <c r="B354" s="3"/>
      <c r="J354" s="1"/>
      <c r="K354" s="1"/>
    </row>
    <row r="355" spans="2:11" x14ac:dyDescent="0.25">
      <c r="B355" s="3"/>
      <c r="J355" s="1"/>
      <c r="K355" s="1"/>
    </row>
    <row r="356" spans="2:11" x14ac:dyDescent="0.25">
      <c r="B356" s="3"/>
      <c r="J356" s="1"/>
      <c r="K356" s="1"/>
    </row>
    <row r="357" spans="2:11" x14ac:dyDescent="0.25">
      <c r="B357" s="3"/>
      <c r="J357" s="1"/>
      <c r="K357" s="1"/>
    </row>
    <row r="358" spans="2:11" x14ac:dyDescent="0.25">
      <c r="B358" s="3"/>
      <c r="J358" s="1"/>
      <c r="K358" s="1"/>
    </row>
    <row r="359" spans="2:11" x14ac:dyDescent="0.25">
      <c r="B359" s="3"/>
      <c r="J359" s="1"/>
      <c r="K359" s="1"/>
    </row>
    <row r="360" spans="2:11" x14ac:dyDescent="0.25">
      <c r="B360" s="3"/>
      <c r="J360" s="1"/>
      <c r="K360" s="1"/>
    </row>
    <row r="361" spans="2:11" x14ac:dyDescent="0.25">
      <c r="B361" s="3"/>
      <c r="J361" s="1"/>
      <c r="K361" s="1"/>
    </row>
    <row r="362" spans="2:11" x14ac:dyDescent="0.25">
      <c r="B362" s="3"/>
      <c r="J362" s="1"/>
      <c r="K362" s="1"/>
    </row>
    <row r="363" spans="2:11" x14ac:dyDescent="0.25">
      <c r="B363" s="3"/>
      <c r="J363" s="1"/>
      <c r="K363" s="1"/>
    </row>
    <row r="364" spans="2:11" x14ac:dyDescent="0.25">
      <c r="B364" s="3"/>
      <c r="J364" s="1"/>
      <c r="K364" s="1"/>
    </row>
    <row r="365" spans="2:11" x14ac:dyDescent="0.25">
      <c r="B365" s="3"/>
      <c r="J365" s="1"/>
      <c r="K365" s="1"/>
    </row>
    <row r="366" spans="2:11" x14ac:dyDescent="0.25">
      <c r="B366" s="3"/>
      <c r="J366" s="1"/>
      <c r="K366" s="1"/>
    </row>
    <row r="367" spans="2:11" x14ac:dyDescent="0.25">
      <c r="B367" s="3"/>
      <c r="J367" s="1"/>
      <c r="K367" s="1"/>
    </row>
    <row r="368" spans="2:11" x14ac:dyDescent="0.25">
      <c r="B368" s="3"/>
      <c r="J368" s="1"/>
      <c r="K368" s="1"/>
    </row>
    <row r="369" spans="2:11" x14ac:dyDescent="0.25">
      <c r="B369" s="3"/>
      <c r="J369" s="1"/>
      <c r="K369" s="1"/>
    </row>
    <row r="370" spans="2:11" x14ac:dyDescent="0.25">
      <c r="B370" s="3"/>
      <c r="J370" s="1"/>
      <c r="K370" s="1"/>
    </row>
    <row r="371" spans="2:11" x14ac:dyDescent="0.25">
      <c r="B371" s="3"/>
      <c r="J371" s="1"/>
      <c r="K371" s="1"/>
    </row>
    <row r="372" spans="2:11" x14ac:dyDescent="0.25">
      <c r="B372" s="3"/>
      <c r="J372" s="1"/>
      <c r="K372" s="1"/>
    </row>
    <row r="373" spans="2:11" x14ac:dyDescent="0.25">
      <c r="B373" s="3"/>
      <c r="J373" s="1"/>
      <c r="K373" s="1"/>
    </row>
    <row r="374" spans="2:11" x14ac:dyDescent="0.25">
      <c r="B374" s="3"/>
      <c r="J374" s="1"/>
      <c r="K374" s="1"/>
    </row>
    <row r="375" spans="2:11" x14ac:dyDescent="0.25">
      <c r="B375" s="3"/>
      <c r="J375" s="1"/>
      <c r="K375" s="1"/>
    </row>
    <row r="376" spans="2:11" x14ac:dyDescent="0.25">
      <c r="B376" s="3"/>
      <c r="J376" s="1"/>
      <c r="K376" s="1"/>
    </row>
    <row r="377" spans="2:11" x14ac:dyDescent="0.25">
      <c r="B377" s="3"/>
      <c r="J377" s="1"/>
      <c r="K377" s="1"/>
    </row>
    <row r="378" spans="2:11" x14ac:dyDescent="0.25">
      <c r="B378" s="3"/>
      <c r="J378" s="1"/>
      <c r="K378" s="1"/>
    </row>
    <row r="379" spans="2:11" x14ac:dyDescent="0.25">
      <c r="B379" s="3"/>
      <c r="J379" s="1"/>
      <c r="K379" s="1"/>
    </row>
    <row r="380" spans="2:11" x14ac:dyDescent="0.25">
      <c r="B380" s="3"/>
      <c r="J380" s="1"/>
      <c r="K380" s="1"/>
    </row>
    <row r="381" spans="2:11" x14ac:dyDescent="0.25">
      <c r="B381" s="3"/>
      <c r="J381" s="1"/>
      <c r="K381" s="1"/>
    </row>
    <row r="382" spans="2:11" x14ac:dyDescent="0.25">
      <c r="B382" s="3"/>
      <c r="J382" s="1"/>
      <c r="K382" s="1"/>
    </row>
    <row r="383" spans="2:11" x14ac:dyDescent="0.25">
      <c r="B383" s="3"/>
      <c r="J383" s="1"/>
      <c r="K383" s="1"/>
    </row>
    <row r="384" spans="2:11" x14ac:dyDescent="0.25">
      <c r="B384" s="3"/>
      <c r="J384" s="1"/>
      <c r="K384" s="1"/>
    </row>
    <row r="385" spans="2:11" x14ac:dyDescent="0.25">
      <c r="B385" s="3"/>
      <c r="J385" s="1"/>
      <c r="K385" s="1"/>
    </row>
    <row r="386" spans="2:11" x14ac:dyDescent="0.25">
      <c r="B386" s="3"/>
      <c r="J386" s="1"/>
      <c r="K386" s="1"/>
    </row>
    <row r="387" spans="2:11" x14ac:dyDescent="0.25">
      <c r="B387" s="3"/>
      <c r="J387" s="1"/>
      <c r="K387" s="1"/>
    </row>
    <row r="388" spans="2:11" x14ac:dyDescent="0.25">
      <c r="B388" s="3"/>
      <c r="J388" s="1"/>
      <c r="K388" s="1"/>
    </row>
    <row r="389" spans="2:11" x14ac:dyDescent="0.25">
      <c r="B389" s="3"/>
      <c r="J389" s="1"/>
      <c r="K389" s="1"/>
    </row>
    <row r="390" spans="2:11" x14ac:dyDescent="0.25">
      <c r="B390" s="3"/>
      <c r="J390" s="1"/>
      <c r="K390" s="1"/>
    </row>
    <row r="391" spans="2:11" x14ac:dyDescent="0.25">
      <c r="B391" s="3"/>
      <c r="J391" s="1"/>
      <c r="K391" s="1"/>
    </row>
    <row r="392" spans="2:11" x14ac:dyDescent="0.25">
      <c r="B392" s="3"/>
      <c r="J392" s="1"/>
      <c r="K392" s="1"/>
    </row>
    <row r="393" spans="2:11" x14ac:dyDescent="0.25">
      <c r="B393" s="3"/>
      <c r="J393" s="1"/>
      <c r="K393" s="1"/>
    </row>
    <row r="394" spans="2:11" x14ac:dyDescent="0.25">
      <c r="B394" s="3"/>
      <c r="J394" s="1"/>
      <c r="K394" s="1"/>
    </row>
    <row r="395" spans="2:11" x14ac:dyDescent="0.25">
      <c r="B395" s="3"/>
      <c r="J395" s="1"/>
      <c r="K395" s="1"/>
    </row>
    <row r="396" spans="2:11" x14ac:dyDescent="0.25">
      <c r="B396" s="3"/>
      <c r="J396" s="1"/>
      <c r="K396" s="1"/>
    </row>
    <row r="397" spans="2:11" x14ac:dyDescent="0.25">
      <c r="B397" s="3"/>
      <c r="J397" s="1"/>
      <c r="K397" s="1"/>
    </row>
    <row r="398" spans="2:11" x14ac:dyDescent="0.25">
      <c r="B398" s="3"/>
      <c r="J398" s="1"/>
      <c r="K398" s="1"/>
    </row>
    <row r="399" spans="2:11" x14ac:dyDescent="0.25">
      <c r="B399" s="3"/>
      <c r="J399" s="1"/>
      <c r="K399" s="1"/>
    </row>
    <row r="400" spans="2:11" x14ac:dyDescent="0.25">
      <c r="B400" s="3"/>
      <c r="J400" s="1"/>
      <c r="K400" s="1"/>
    </row>
    <row r="401" spans="2:11" x14ac:dyDescent="0.25">
      <c r="B401" s="3"/>
      <c r="J401" s="1"/>
      <c r="K401" s="1"/>
    </row>
    <row r="402" spans="2:11" x14ac:dyDescent="0.25">
      <c r="B402" s="3"/>
      <c r="J402" s="1"/>
      <c r="K402" s="1"/>
    </row>
    <row r="403" spans="2:11" x14ac:dyDescent="0.25">
      <c r="B403" s="3"/>
      <c r="J403" s="1"/>
      <c r="K403" s="1"/>
    </row>
    <row r="404" spans="2:11" x14ac:dyDescent="0.25">
      <c r="B404" s="3"/>
      <c r="J404" s="1"/>
      <c r="K404" s="1"/>
    </row>
    <row r="405" spans="2:11" x14ac:dyDescent="0.25">
      <c r="B405" s="3"/>
      <c r="J405" s="1"/>
      <c r="K405" s="1"/>
    </row>
    <row r="406" spans="2:11" x14ac:dyDescent="0.25">
      <c r="B406" s="3"/>
      <c r="J406" s="1"/>
      <c r="K406" s="1"/>
    </row>
    <row r="407" spans="2:11" x14ac:dyDescent="0.25">
      <c r="B407" s="3"/>
      <c r="J407" s="1"/>
      <c r="K407" s="1"/>
    </row>
    <row r="408" spans="2:11" x14ac:dyDescent="0.25">
      <c r="B408" s="3"/>
      <c r="J408" s="1"/>
      <c r="K408" s="1"/>
    </row>
    <row r="409" spans="2:11" x14ac:dyDescent="0.25">
      <c r="B409" s="3"/>
      <c r="J409" s="1"/>
      <c r="K409" s="1"/>
    </row>
    <row r="410" spans="2:11" x14ac:dyDescent="0.25">
      <c r="B410" s="3"/>
      <c r="J410" s="1"/>
      <c r="K410" s="1"/>
    </row>
    <row r="411" spans="2:11" x14ac:dyDescent="0.25">
      <c r="B411" s="3"/>
      <c r="J411" s="1"/>
      <c r="K411" s="1"/>
    </row>
    <row r="412" spans="2:11" x14ac:dyDescent="0.25">
      <c r="B412" s="3"/>
      <c r="J412" s="1"/>
      <c r="K412" s="1"/>
    </row>
    <row r="413" spans="2:11" x14ac:dyDescent="0.25">
      <c r="B413" s="3"/>
      <c r="J413" s="1"/>
    </row>
    <row r="414" spans="2:11" x14ac:dyDescent="0.25">
      <c r="B414" s="3"/>
      <c r="J414" s="1"/>
    </row>
    <row r="415" spans="2:11" x14ac:dyDescent="0.25">
      <c r="B415" s="3"/>
      <c r="J415" s="1"/>
    </row>
    <row r="416" spans="2:11" x14ac:dyDescent="0.25">
      <c r="B416" s="3"/>
      <c r="J416" s="1"/>
    </row>
    <row r="417" spans="2:11" x14ac:dyDescent="0.25">
      <c r="B417" s="3"/>
      <c r="J417" s="1"/>
      <c r="K417" s="1"/>
    </row>
    <row r="418" spans="2:11" x14ac:dyDescent="0.25">
      <c r="B418" s="3"/>
      <c r="J418" s="1"/>
      <c r="K418" s="1"/>
    </row>
    <row r="419" spans="2:11" x14ac:dyDescent="0.25">
      <c r="B419" s="3"/>
      <c r="J419" s="1"/>
      <c r="K419" s="1"/>
    </row>
    <row r="420" spans="2:11" x14ac:dyDescent="0.25">
      <c r="B420" s="3"/>
      <c r="J420" s="1"/>
      <c r="K420" s="1"/>
    </row>
    <row r="421" spans="2:11" x14ac:dyDescent="0.25">
      <c r="B421" s="3"/>
      <c r="J421" s="1"/>
      <c r="K421" s="1"/>
    </row>
    <row r="422" spans="2:11" x14ac:dyDescent="0.25">
      <c r="B422" s="3"/>
      <c r="J422" s="1"/>
      <c r="K422" s="1"/>
    </row>
    <row r="423" spans="2:11" x14ac:dyDescent="0.25">
      <c r="B423" s="3"/>
      <c r="J423" s="1"/>
      <c r="K423" s="1"/>
    </row>
    <row r="424" spans="2:11" x14ac:dyDescent="0.25">
      <c r="B424" s="3"/>
      <c r="J424" s="1"/>
      <c r="K424" s="1"/>
    </row>
    <row r="425" spans="2:11" x14ac:dyDescent="0.25">
      <c r="B425" s="3"/>
      <c r="J425" s="1"/>
      <c r="K425" s="1"/>
    </row>
    <row r="426" spans="2:11" x14ac:dyDescent="0.25">
      <c r="B426" s="3"/>
      <c r="J426" s="1"/>
      <c r="K426" s="1"/>
    </row>
    <row r="427" spans="2:11" x14ac:dyDescent="0.25">
      <c r="B427" s="3"/>
      <c r="J427" s="1"/>
      <c r="K427" s="1"/>
    </row>
    <row r="428" spans="2:11" x14ac:dyDescent="0.25">
      <c r="B428" s="3"/>
      <c r="J428" s="1"/>
      <c r="K428" s="1"/>
    </row>
    <row r="429" spans="2:11" x14ac:dyDescent="0.25">
      <c r="B429" s="3"/>
      <c r="J429" s="1"/>
      <c r="K429" s="1"/>
    </row>
    <row r="430" spans="2:11" x14ac:dyDescent="0.25">
      <c r="B430" s="3"/>
      <c r="J430" s="1"/>
      <c r="K430" s="1"/>
    </row>
    <row r="431" spans="2:11" x14ac:dyDescent="0.25">
      <c r="B431" s="3"/>
      <c r="J431" s="1"/>
      <c r="K431" s="1"/>
    </row>
    <row r="432" spans="2:11" x14ac:dyDescent="0.25">
      <c r="B432" s="3"/>
      <c r="J432" s="1"/>
      <c r="K432" s="1"/>
    </row>
    <row r="433" spans="2:11" x14ac:dyDescent="0.25">
      <c r="B433" s="3"/>
      <c r="J433" s="1"/>
      <c r="K433" s="1"/>
    </row>
    <row r="434" spans="2:11" x14ac:dyDescent="0.25">
      <c r="B434" s="3"/>
      <c r="J434" s="1"/>
      <c r="K434" s="1"/>
    </row>
    <row r="435" spans="2:11" x14ac:dyDescent="0.25">
      <c r="B435" s="3"/>
      <c r="J435" s="1"/>
      <c r="K435" s="1"/>
    </row>
    <row r="436" spans="2:11" x14ac:dyDescent="0.25">
      <c r="B436" s="3"/>
      <c r="J436" s="1"/>
      <c r="K436" s="1"/>
    </row>
    <row r="437" spans="2:11" x14ac:dyDescent="0.25">
      <c r="B437" s="3"/>
      <c r="J437" s="1"/>
      <c r="K437" s="1"/>
    </row>
    <row r="438" spans="2:11" x14ac:dyDescent="0.25">
      <c r="B438" s="3"/>
      <c r="J438" s="1"/>
      <c r="K438" s="1"/>
    </row>
    <row r="439" spans="2:11" x14ac:dyDescent="0.25">
      <c r="B439" s="3"/>
      <c r="J439" s="1"/>
      <c r="K439" s="1"/>
    </row>
    <row r="440" spans="2:11" x14ac:dyDescent="0.25">
      <c r="B440" s="3"/>
      <c r="J440" s="1"/>
      <c r="K440" s="1"/>
    </row>
    <row r="441" spans="2:11" x14ac:dyDescent="0.25">
      <c r="B441" s="3"/>
      <c r="J441" s="1"/>
      <c r="K441" s="1"/>
    </row>
    <row r="442" spans="2:11" x14ac:dyDescent="0.25">
      <c r="B442" s="3"/>
      <c r="J442" s="1"/>
      <c r="K442" s="1"/>
    </row>
    <row r="443" spans="2:11" x14ac:dyDescent="0.25">
      <c r="B443" s="3"/>
      <c r="J443" s="1"/>
      <c r="K443" s="1"/>
    </row>
    <row r="444" spans="2:11" x14ac:dyDescent="0.25">
      <c r="B444" s="3"/>
      <c r="J444" s="1"/>
    </row>
    <row r="445" spans="2:11" x14ac:dyDescent="0.25">
      <c r="B445" s="3"/>
      <c r="J445" s="1"/>
    </row>
    <row r="446" spans="2:11" x14ac:dyDescent="0.25">
      <c r="B446" s="3"/>
      <c r="J446" s="1"/>
    </row>
    <row r="447" spans="2:11" x14ac:dyDescent="0.25">
      <c r="B447" s="3"/>
      <c r="J447" s="1"/>
    </row>
    <row r="448" spans="2:11" x14ac:dyDescent="0.25">
      <c r="B448" s="3"/>
      <c r="J448" s="1"/>
      <c r="K448" s="1"/>
    </row>
    <row r="449" spans="2:11" x14ac:dyDescent="0.25">
      <c r="B449" s="3"/>
      <c r="J449" s="1"/>
      <c r="K449" s="1"/>
    </row>
    <row r="450" spans="2:11" x14ac:dyDescent="0.25">
      <c r="B450" s="3"/>
      <c r="J450" s="1"/>
      <c r="K450" s="1"/>
    </row>
    <row r="451" spans="2:11" x14ac:dyDescent="0.25">
      <c r="B451" s="3"/>
      <c r="J451" s="1"/>
      <c r="K451" s="1"/>
    </row>
    <row r="452" spans="2:11" x14ac:dyDescent="0.25">
      <c r="B452" s="3"/>
      <c r="J452" s="1"/>
      <c r="K452" s="1"/>
    </row>
    <row r="453" spans="2:11" x14ac:dyDescent="0.25">
      <c r="B453" s="3"/>
      <c r="J453" s="1"/>
      <c r="K453" s="1"/>
    </row>
    <row r="454" spans="2:11" x14ac:dyDescent="0.25">
      <c r="B454" s="3"/>
      <c r="J454" s="1"/>
      <c r="K454" s="1"/>
    </row>
    <row r="455" spans="2:11" x14ac:dyDescent="0.25">
      <c r="B455" s="3"/>
      <c r="J455" s="1"/>
      <c r="K455" s="1"/>
    </row>
    <row r="456" spans="2:11" x14ac:dyDescent="0.25">
      <c r="B456" s="3"/>
      <c r="J456" s="1"/>
      <c r="K456" s="1"/>
    </row>
    <row r="457" spans="2:11" x14ac:dyDescent="0.25">
      <c r="B457" s="3"/>
      <c r="J457" s="1"/>
      <c r="K457" s="1"/>
    </row>
    <row r="458" spans="2:11" x14ac:dyDescent="0.25">
      <c r="B458" s="3"/>
      <c r="J458" s="1"/>
      <c r="K458" s="1"/>
    </row>
    <row r="459" spans="2:11" x14ac:dyDescent="0.25">
      <c r="B459" s="3"/>
      <c r="J459" s="1"/>
      <c r="K459" s="1"/>
    </row>
    <row r="460" spans="2:11" x14ac:dyDescent="0.25">
      <c r="B460" s="3"/>
      <c r="J460" s="1"/>
      <c r="K460" s="1"/>
    </row>
    <row r="461" spans="2:11" x14ac:dyDescent="0.25">
      <c r="B461" s="3"/>
      <c r="J461" s="1"/>
      <c r="K461" s="1"/>
    </row>
    <row r="462" spans="2:11" x14ac:dyDescent="0.25">
      <c r="B462" s="3"/>
      <c r="J462" s="1"/>
      <c r="K462" s="1"/>
    </row>
    <row r="463" spans="2:11" x14ac:dyDescent="0.25">
      <c r="B463" s="3"/>
      <c r="J463" s="1"/>
      <c r="K463" s="1"/>
    </row>
    <row r="464" spans="2:11" x14ac:dyDescent="0.25">
      <c r="B464" s="3"/>
      <c r="J464" s="1"/>
      <c r="K464" s="1"/>
    </row>
    <row r="465" spans="2:11" x14ac:dyDescent="0.25">
      <c r="B465" s="3"/>
      <c r="J465" s="1"/>
      <c r="K465" s="1"/>
    </row>
    <row r="466" spans="2:11" x14ac:dyDescent="0.25">
      <c r="B466" s="3"/>
      <c r="J466" s="1"/>
      <c r="K466" s="1"/>
    </row>
    <row r="467" spans="2:11" x14ac:dyDescent="0.25">
      <c r="B467" s="3"/>
      <c r="J467" s="1"/>
      <c r="K467" s="1"/>
    </row>
    <row r="468" spans="2:11" x14ac:dyDescent="0.25">
      <c r="B468" s="3"/>
      <c r="J468" s="1"/>
      <c r="K468" s="1"/>
    </row>
    <row r="469" spans="2:11" x14ac:dyDescent="0.25">
      <c r="B469" s="3"/>
      <c r="J469" s="1"/>
      <c r="K469" s="1"/>
    </row>
    <row r="470" spans="2:11" x14ac:dyDescent="0.25">
      <c r="B470" s="3"/>
      <c r="J470" s="1"/>
      <c r="K470" s="1"/>
    </row>
    <row r="471" spans="2:11" x14ac:dyDescent="0.25">
      <c r="B471" s="3"/>
      <c r="J471" s="1"/>
      <c r="K471" s="1"/>
    </row>
    <row r="472" spans="2:11" x14ac:dyDescent="0.25">
      <c r="B472" s="3"/>
      <c r="J472" s="1"/>
      <c r="K472" s="1"/>
    </row>
    <row r="473" spans="2:11" x14ac:dyDescent="0.25">
      <c r="B473" s="3"/>
      <c r="J473" s="1"/>
      <c r="K473" s="1"/>
    </row>
    <row r="474" spans="2:11" x14ac:dyDescent="0.25">
      <c r="B474" s="3"/>
      <c r="J474" s="1"/>
      <c r="K474" s="1"/>
    </row>
    <row r="475" spans="2:11" x14ac:dyDescent="0.25">
      <c r="B475" s="3"/>
      <c r="J475" s="1"/>
      <c r="K475" s="1"/>
    </row>
    <row r="476" spans="2:11" x14ac:dyDescent="0.25">
      <c r="B476" s="3"/>
      <c r="J476" s="1"/>
    </row>
    <row r="477" spans="2:11" x14ac:dyDescent="0.25">
      <c r="B477" s="3"/>
      <c r="J477" s="1"/>
    </row>
    <row r="478" spans="2:11" x14ac:dyDescent="0.25">
      <c r="B478" s="3"/>
      <c r="J478" s="1"/>
    </row>
    <row r="479" spans="2:11" x14ac:dyDescent="0.25">
      <c r="B479" s="3"/>
      <c r="J479" s="1"/>
    </row>
    <row r="480" spans="2:11" x14ac:dyDescent="0.25">
      <c r="B480" s="3"/>
      <c r="J480" s="1"/>
      <c r="K480" s="1"/>
    </row>
    <row r="481" spans="2:11" x14ac:dyDescent="0.25">
      <c r="B481" s="3"/>
      <c r="J481" s="1"/>
      <c r="K481" s="1"/>
    </row>
    <row r="482" spans="2:11" x14ac:dyDescent="0.25">
      <c r="B482" s="3"/>
      <c r="J482" s="1"/>
      <c r="K482" s="1"/>
    </row>
    <row r="483" spans="2:11" x14ac:dyDescent="0.25">
      <c r="B483" s="3"/>
      <c r="J483" s="1"/>
      <c r="K483" s="1"/>
    </row>
    <row r="484" spans="2:11" x14ac:dyDescent="0.25">
      <c r="B484" s="3"/>
      <c r="J484" s="1"/>
      <c r="K484" s="1"/>
    </row>
    <row r="485" spans="2:11" x14ac:dyDescent="0.25">
      <c r="B485" s="3"/>
      <c r="J485" s="1"/>
      <c r="K485" s="1"/>
    </row>
    <row r="486" spans="2:11" x14ac:dyDescent="0.25">
      <c r="B486" s="3"/>
      <c r="J486" s="1"/>
      <c r="K486" s="1"/>
    </row>
    <row r="487" spans="2:11" x14ac:dyDescent="0.25">
      <c r="B487" s="3"/>
      <c r="J487" s="1"/>
      <c r="K487" s="1"/>
    </row>
    <row r="488" spans="2:11" x14ac:dyDescent="0.25">
      <c r="B488" s="3"/>
      <c r="J488" s="1"/>
      <c r="K488" s="1"/>
    </row>
    <row r="489" spans="2:11" x14ac:dyDescent="0.25">
      <c r="B489" s="3"/>
      <c r="J489" s="1"/>
      <c r="K489" s="1"/>
    </row>
    <row r="490" spans="2:11" x14ac:dyDescent="0.25">
      <c r="B490" s="3"/>
      <c r="J490" s="1"/>
      <c r="K490" s="1"/>
    </row>
    <row r="491" spans="2:11" x14ac:dyDescent="0.25">
      <c r="B491" s="3"/>
      <c r="J491" s="1"/>
      <c r="K491" s="1"/>
    </row>
    <row r="492" spans="2:11" x14ac:dyDescent="0.25">
      <c r="B492" s="3"/>
      <c r="J492" s="1"/>
      <c r="K492" s="1"/>
    </row>
    <row r="493" spans="2:11" x14ac:dyDescent="0.25">
      <c r="B493" s="3"/>
      <c r="J493" s="1"/>
      <c r="K493" s="1"/>
    </row>
    <row r="494" spans="2:11" x14ac:dyDescent="0.25">
      <c r="B494" s="3"/>
      <c r="J494" s="1"/>
      <c r="K494" s="1"/>
    </row>
    <row r="495" spans="2:11" x14ac:dyDescent="0.25">
      <c r="B495" s="3"/>
      <c r="J495" s="1"/>
      <c r="K495" s="1"/>
    </row>
    <row r="496" spans="2:11" x14ac:dyDescent="0.25">
      <c r="B496" s="3"/>
      <c r="J496" s="1"/>
      <c r="K496" s="1"/>
    </row>
    <row r="497" spans="2:10" x14ac:dyDescent="0.25">
      <c r="B497" s="3"/>
      <c r="J497" s="1"/>
    </row>
    <row r="498" spans="2:10" x14ac:dyDescent="0.25">
      <c r="B498" s="3"/>
      <c r="J498" s="1"/>
    </row>
    <row r="499" spans="2:10" x14ac:dyDescent="0.25">
      <c r="B499" s="3"/>
      <c r="J499" s="1"/>
    </row>
    <row r="500" spans="2:10" x14ac:dyDescent="0.25">
      <c r="B500" s="3"/>
      <c r="J500" s="1"/>
    </row>
    <row r="501" spans="2:10" x14ac:dyDescent="0.25">
      <c r="B501" s="3"/>
      <c r="J501" s="1"/>
    </row>
    <row r="502" spans="2:10" x14ac:dyDescent="0.25">
      <c r="B502" s="3"/>
      <c r="J502" s="1"/>
    </row>
    <row r="503" spans="2:10" x14ac:dyDescent="0.25">
      <c r="B503" s="3"/>
      <c r="J503" s="1"/>
    </row>
    <row r="504" spans="2:10" x14ac:dyDescent="0.25">
      <c r="B504" s="3"/>
      <c r="J504" s="1"/>
    </row>
    <row r="505" spans="2:10" x14ac:dyDescent="0.25">
      <c r="B505" s="3"/>
      <c r="J505" s="1"/>
    </row>
    <row r="506" spans="2:10" x14ac:dyDescent="0.25">
      <c r="B506" s="3"/>
      <c r="J506" s="1"/>
    </row>
    <row r="507" spans="2:10" x14ac:dyDescent="0.25">
      <c r="B507" s="3"/>
      <c r="J507" s="1"/>
    </row>
    <row r="508" spans="2:10" x14ac:dyDescent="0.25">
      <c r="B508" s="3"/>
      <c r="J508" s="1"/>
    </row>
    <row r="509" spans="2:10" x14ac:dyDescent="0.25">
      <c r="B509" s="3"/>
      <c r="J509" s="1"/>
    </row>
    <row r="510" spans="2:10" x14ac:dyDescent="0.25">
      <c r="B510" s="3"/>
      <c r="J510" s="1"/>
    </row>
    <row r="511" spans="2:10" x14ac:dyDescent="0.25">
      <c r="B511" s="3"/>
    </row>
    <row r="512" spans="2:10" x14ac:dyDescent="0.25">
      <c r="B512" s="3"/>
    </row>
  </sheetData>
  <phoneticPr fontId="1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K30"/>
  <sheetViews>
    <sheetView workbookViewId="0">
      <selection activeCell="C3" sqref="C3"/>
    </sheetView>
  </sheetViews>
  <sheetFormatPr baseColWidth="10" defaultRowHeight="15" x14ac:dyDescent="0.25"/>
  <cols>
    <col min="1" max="1" width="10.7109375" style="5" customWidth="1"/>
    <col min="2" max="2" width="20.28515625" customWidth="1"/>
    <col min="3" max="3" width="13" style="5" customWidth="1"/>
    <col min="4" max="4" width="17.7109375" customWidth="1"/>
    <col min="5" max="5" width="11.42578125" style="7"/>
  </cols>
  <sheetData>
    <row r="1" spans="1:11" ht="30" customHeight="1" x14ac:dyDescent="0.25">
      <c r="A1" s="2" t="s">
        <v>0</v>
      </c>
      <c r="B1" s="4" t="s">
        <v>27</v>
      </c>
      <c r="C1" s="18" t="s">
        <v>29</v>
      </c>
      <c r="D1" s="4" t="s">
        <v>28</v>
      </c>
      <c r="E1" s="1" t="s">
        <v>24</v>
      </c>
      <c r="F1" s="1" t="s">
        <v>25</v>
      </c>
      <c r="G1" s="1" t="s">
        <v>26</v>
      </c>
      <c r="H1" s="1" t="s">
        <v>30</v>
      </c>
      <c r="I1" s="4" t="s">
        <v>74</v>
      </c>
      <c r="K1" s="1" t="s">
        <v>200</v>
      </c>
    </row>
    <row r="2" spans="1:11" x14ac:dyDescent="0.25">
      <c r="A2" s="5">
        <v>41913</v>
      </c>
      <c r="B2" s="6">
        <v>79</v>
      </c>
      <c r="C2" s="8">
        <v>41925</v>
      </c>
      <c r="D2" s="6">
        <v>1541</v>
      </c>
      <c r="E2" s="7">
        <f>((D2-B2)-I2)*K$2</f>
        <v>994.16000000000008</v>
      </c>
      <c r="F2" s="6"/>
      <c r="G2">
        <f t="shared" ref="G2:G30" si="0">E2-F2</f>
        <v>994.16000000000008</v>
      </c>
      <c r="H2">
        <f>1000-G2</f>
        <v>5.8399999999999181</v>
      </c>
      <c r="K2">
        <v>0.68</v>
      </c>
    </row>
    <row r="3" spans="1:11" x14ac:dyDescent="0.25">
      <c r="E3" s="7">
        <f>(((D3-B3)-I3)*K$2)+G2</f>
        <v>994.16000000000008</v>
      </c>
      <c r="G3">
        <f t="shared" si="0"/>
        <v>994.16000000000008</v>
      </c>
      <c r="H3">
        <f t="shared" ref="H3:H30" si="1">1000-G3</f>
        <v>5.8399999999999181</v>
      </c>
    </row>
    <row r="4" spans="1:11" x14ac:dyDescent="0.25">
      <c r="E4" s="7">
        <f>(((D4-B4)-I4)*K$2)+G3</f>
        <v>994.16000000000008</v>
      </c>
      <c r="G4">
        <f t="shared" si="0"/>
        <v>994.16000000000008</v>
      </c>
      <c r="H4">
        <f t="shared" si="1"/>
        <v>5.8399999999999181</v>
      </c>
    </row>
    <row r="5" spans="1:11" x14ac:dyDescent="0.25">
      <c r="E5" s="7">
        <f t="shared" ref="E5:E30" si="2">(((D5-B5)-I5)*K$2)+G4</f>
        <v>994.16000000000008</v>
      </c>
      <c r="G5">
        <f t="shared" si="0"/>
        <v>994.16000000000008</v>
      </c>
      <c r="H5">
        <f t="shared" si="1"/>
        <v>5.8399999999999181</v>
      </c>
    </row>
    <row r="6" spans="1:11" x14ac:dyDescent="0.25">
      <c r="E6" s="7">
        <f t="shared" si="2"/>
        <v>994.16000000000008</v>
      </c>
      <c r="G6">
        <f t="shared" si="0"/>
        <v>994.16000000000008</v>
      </c>
      <c r="H6">
        <f t="shared" si="1"/>
        <v>5.8399999999999181</v>
      </c>
    </row>
    <row r="7" spans="1:11" x14ac:dyDescent="0.25">
      <c r="E7" s="7">
        <f t="shared" si="2"/>
        <v>994.16000000000008</v>
      </c>
      <c r="F7" s="7"/>
      <c r="G7">
        <f t="shared" si="0"/>
        <v>994.16000000000008</v>
      </c>
      <c r="H7">
        <f t="shared" si="1"/>
        <v>5.8399999999999181</v>
      </c>
    </row>
    <row r="8" spans="1:11" x14ac:dyDescent="0.25">
      <c r="E8" s="7">
        <f t="shared" si="2"/>
        <v>994.16000000000008</v>
      </c>
      <c r="G8">
        <f t="shared" si="0"/>
        <v>994.16000000000008</v>
      </c>
      <c r="H8">
        <f t="shared" si="1"/>
        <v>5.8399999999999181</v>
      </c>
    </row>
    <row r="9" spans="1:11" x14ac:dyDescent="0.25">
      <c r="E9" s="7">
        <f t="shared" si="2"/>
        <v>994.16000000000008</v>
      </c>
      <c r="G9">
        <f t="shared" si="0"/>
        <v>994.16000000000008</v>
      </c>
      <c r="H9">
        <f t="shared" si="1"/>
        <v>5.8399999999999181</v>
      </c>
    </row>
    <row r="10" spans="1:11" x14ac:dyDescent="0.25">
      <c r="E10" s="7">
        <f t="shared" si="2"/>
        <v>994.16000000000008</v>
      </c>
      <c r="G10">
        <f t="shared" si="0"/>
        <v>994.16000000000008</v>
      </c>
      <c r="H10">
        <f t="shared" si="1"/>
        <v>5.8399999999999181</v>
      </c>
    </row>
    <row r="11" spans="1:11" x14ac:dyDescent="0.25">
      <c r="E11" s="7">
        <f t="shared" si="2"/>
        <v>994.16000000000008</v>
      </c>
      <c r="G11">
        <f t="shared" si="0"/>
        <v>994.16000000000008</v>
      </c>
      <c r="H11">
        <f t="shared" si="1"/>
        <v>5.8399999999999181</v>
      </c>
    </row>
    <row r="12" spans="1:11" x14ac:dyDescent="0.25">
      <c r="E12" s="7">
        <f t="shared" si="2"/>
        <v>994.16000000000008</v>
      </c>
      <c r="G12">
        <f t="shared" si="0"/>
        <v>994.16000000000008</v>
      </c>
      <c r="H12">
        <f t="shared" si="1"/>
        <v>5.8399999999999181</v>
      </c>
    </row>
    <row r="13" spans="1:11" x14ac:dyDescent="0.25">
      <c r="E13" s="7">
        <f t="shared" si="2"/>
        <v>994.16000000000008</v>
      </c>
      <c r="G13">
        <f t="shared" si="0"/>
        <v>994.16000000000008</v>
      </c>
      <c r="H13">
        <f t="shared" si="1"/>
        <v>5.8399999999999181</v>
      </c>
    </row>
    <row r="14" spans="1:11" x14ac:dyDescent="0.25">
      <c r="E14" s="7">
        <f t="shared" si="2"/>
        <v>994.16000000000008</v>
      </c>
      <c r="G14">
        <f t="shared" si="0"/>
        <v>994.16000000000008</v>
      </c>
      <c r="H14">
        <f t="shared" si="1"/>
        <v>5.8399999999999181</v>
      </c>
    </row>
    <row r="15" spans="1:11" x14ac:dyDescent="0.25">
      <c r="E15" s="7">
        <f t="shared" si="2"/>
        <v>994.16000000000008</v>
      </c>
      <c r="G15">
        <f t="shared" si="0"/>
        <v>994.16000000000008</v>
      </c>
      <c r="H15">
        <f t="shared" si="1"/>
        <v>5.8399999999999181</v>
      </c>
    </row>
    <row r="16" spans="1:11" x14ac:dyDescent="0.25">
      <c r="E16" s="7">
        <f t="shared" si="2"/>
        <v>994.16000000000008</v>
      </c>
      <c r="G16">
        <f t="shared" si="0"/>
        <v>994.16000000000008</v>
      </c>
      <c r="H16">
        <f t="shared" si="1"/>
        <v>5.8399999999999181</v>
      </c>
    </row>
    <row r="17" spans="5:8" x14ac:dyDescent="0.25">
      <c r="E17" s="7">
        <f t="shared" si="2"/>
        <v>994.16000000000008</v>
      </c>
      <c r="G17">
        <f t="shared" si="0"/>
        <v>994.16000000000008</v>
      </c>
      <c r="H17">
        <f t="shared" si="1"/>
        <v>5.8399999999999181</v>
      </c>
    </row>
    <row r="18" spans="5:8" x14ac:dyDescent="0.25">
      <c r="E18" s="7">
        <f t="shared" si="2"/>
        <v>994.16000000000008</v>
      </c>
      <c r="G18">
        <f t="shared" si="0"/>
        <v>994.16000000000008</v>
      </c>
      <c r="H18">
        <f t="shared" si="1"/>
        <v>5.8399999999999181</v>
      </c>
    </row>
    <row r="19" spans="5:8" x14ac:dyDescent="0.25">
      <c r="E19" s="7">
        <f t="shared" si="2"/>
        <v>994.16000000000008</v>
      </c>
      <c r="G19">
        <f t="shared" si="0"/>
        <v>994.16000000000008</v>
      </c>
      <c r="H19">
        <f t="shared" si="1"/>
        <v>5.8399999999999181</v>
      </c>
    </row>
    <row r="20" spans="5:8" x14ac:dyDescent="0.25">
      <c r="E20" s="7">
        <f t="shared" si="2"/>
        <v>994.16000000000008</v>
      </c>
      <c r="G20">
        <f t="shared" si="0"/>
        <v>994.16000000000008</v>
      </c>
      <c r="H20">
        <f t="shared" si="1"/>
        <v>5.8399999999999181</v>
      </c>
    </row>
    <row r="21" spans="5:8" x14ac:dyDescent="0.25">
      <c r="E21" s="7">
        <f t="shared" si="2"/>
        <v>994.16000000000008</v>
      </c>
      <c r="G21">
        <f t="shared" si="0"/>
        <v>994.16000000000008</v>
      </c>
      <c r="H21">
        <f t="shared" si="1"/>
        <v>5.8399999999999181</v>
      </c>
    </row>
    <row r="22" spans="5:8" x14ac:dyDescent="0.25">
      <c r="E22" s="7">
        <f t="shared" si="2"/>
        <v>994.16000000000008</v>
      </c>
      <c r="G22">
        <f t="shared" si="0"/>
        <v>994.16000000000008</v>
      </c>
      <c r="H22">
        <f t="shared" si="1"/>
        <v>5.8399999999999181</v>
      </c>
    </row>
    <row r="23" spans="5:8" x14ac:dyDescent="0.25">
      <c r="E23" s="7">
        <f t="shared" si="2"/>
        <v>994.16000000000008</v>
      </c>
      <c r="G23">
        <f t="shared" si="0"/>
        <v>994.16000000000008</v>
      </c>
      <c r="H23">
        <f t="shared" si="1"/>
        <v>5.8399999999999181</v>
      </c>
    </row>
    <row r="24" spans="5:8" x14ac:dyDescent="0.25">
      <c r="E24" s="7">
        <f t="shared" si="2"/>
        <v>994.16000000000008</v>
      </c>
      <c r="G24">
        <f t="shared" si="0"/>
        <v>994.16000000000008</v>
      </c>
      <c r="H24">
        <f t="shared" si="1"/>
        <v>5.8399999999999181</v>
      </c>
    </row>
    <row r="25" spans="5:8" x14ac:dyDescent="0.25">
      <c r="E25" s="7">
        <f t="shared" si="2"/>
        <v>994.16000000000008</v>
      </c>
      <c r="G25">
        <f t="shared" si="0"/>
        <v>994.16000000000008</v>
      </c>
      <c r="H25">
        <f t="shared" si="1"/>
        <v>5.8399999999999181</v>
      </c>
    </row>
    <row r="26" spans="5:8" x14ac:dyDescent="0.25">
      <c r="E26" s="7">
        <f t="shared" si="2"/>
        <v>994.16000000000008</v>
      </c>
      <c r="G26">
        <f t="shared" si="0"/>
        <v>994.16000000000008</v>
      </c>
      <c r="H26">
        <f t="shared" si="1"/>
        <v>5.8399999999999181</v>
      </c>
    </row>
    <row r="27" spans="5:8" x14ac:dyDescent="0.25">
      <c r="E27" s="7">
        <f t="shared" si="2"/>
        <v>994.16000000000008</v>
      </c>
      <c r="F27" s="7"/>
      <c r="G27">
        <f t="shared" si="0"/>
        <v>994.16000000000008</v>
      </c>
      <c r="H27">
        <f t="shared" si="1"/>
        <v>5.8399999999999181</v>
      </c>
    </row>
    <row r="28" spans="5:8" x14ac:dyDescent="0.25">
      <c r="E28" s="7">
        <f t="shared" si="2"/>
        <v>994.16000000000008</v>
      </c>
      <c r="G28">
        <f t="shared" si="0"/>
        <v>994.16000000000008</v>
      </c>
      <c r="H28">
        <f t="shared" si="1"/>
        <v>5.8399999999999181</v>
      </c>
    </row>
    <row r="29" spans="5:8" x14ac:dyDescent="0.25">
      <c r="E29" s="7">
        <f t="shared" si="2"/>
        <v>994.16000000000008</v>
      </c>
      <c r="G29">
        <f t="shared" si="0"/>
        <v>994.16000000000008</v>
      </c>
      <c r="H29">
        <f t="shared" si="1"/>
        <v>5.8399999999999181</v>
      </c>
    </row>
    <row r="30" spans="5:8" x14ac:dyDescent="0.25">
      <c r="E30" s="7">
        <f t="shared" si="2"/>
        <v>994.16000000000008</v>
      </c>
      <c r="G30">
        <f t="shared" si="0"/>
        <v>994.16000000000008</v>
      </c>
      <c r="H30">
        <f t="shared" si="1"/>
        <v>5.8399999999999181</v>
      </c>
    </row>
  </sheetData>
  <phoneticPr fontId="1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30"/>
  <sheetViews>
    <sheetView workbookViewId="0">
      <selection activeCell="D3" sqref="D3"/>
    </sheetView>
  </sheetViews>
  <sheetFormatPr baseColWidth="10" defaultRowHeight="15" x14ac:dyDescent="0.25"/>
  <cols>
    <col min="1" max="1" width="10.7109375" style="5" customWidth="1"/>
    <col min="2" max="2" width="20.28515625" customWidth="1"/>
    <col min="3" max="3" width="13" style="5" customWidth="1"/>
    <col min="4" max="4" width="17.7109375" customWidth="1"/>
    <col min="5" max="5" width="11.42578125" style="7"/>
  </cols>
  <sheetData>
    <row r="1" spans="1:11" ht="30" customHeight="1" x14ac:dyDescent="0.25">
      <c r="A1" s="5" t="s">
        <v>0</v>
      </c>
      <c r="B1" s="6" t="s">
        <v>27</v>
      </c>
      <c r="C1" s="8" t="s">
        <v>29</v>
      </c>
      <c r="D1" s="6" t="s">
        <v>28</v>
      </c>
      <c r="E1" s="7" t="s">
        <v>24</v>
      </c>
      <c r="F1" t="s">
        <v>25</v>
      </c>
      <c r="G1" t="s">
        <v>26</v>
      </c>
      <c r="H1" t="s">
        <v>30</v>
      </c>
      <c r="I1" s="4" t="s">
        <v>74</v>
      </c>
      <c r="K1" t="s">
        <v>200</v>
      </c>
    </row>
    <row r="2" spans="1:11" x14ac:dyDescent="0.25">
      <c r="A2" s="5">
        <v>41925</v>
      </c>
      <c r="B2" s="6">
        <v>1542</v>
      </c>
      <c r="C2" s="8"/>
      <c r="D2" s="6">
        <v>1700</v>
      </c>
      <c r="E2" s="7">
        <f>((D2-B2)-I2)*K2</f>
        <v>107.44000000000001</v>
      </c>
      <c r="G2">
        <f>E2-F2</f>
        <v>107.44000000000001</v>
      </c>
      <c r="H2">
        <f>1000-G2</f>
        <v>892.56</v>
      </c>
      <c r="K2">
        <v>0.68</v>
      </c>
    </row>
    <row r="3" spans="1:11" x14ac:dyDescent="0.25">
      <c r="E3" s="7">
        <f>(((D3-B3)-I3)*K$2)+G2</f>
        <v>107.44000000000001</v>
      </c>
      <c r="G3">
        <f>E3-F3</f>
        <v>107.44000000000001</v>
      </c>
      <c r="H3">
        <f t="shared" ref="H3:H30" si="0">1000-G3</f>
        <v>892.56</v>
      </c>
    </row>
    <row r="4" spans="1:11" x14ac:dyDescent="0.25">
      <c r="E4" s="7">
        <f t="shared" ref="E4:E30" si="1">(((D4-B4)-I4)*K$2)+G3</f>
        <v>107.44000000000001</v>
      </c>
      <c r="F4" s="7"/>
      <c r="G4">
        <f t="shared" ref="G4:G30" si="2">E4-F4</f>
        <v>107.44000000000001</v>
      </c>
      <c r="H4">
        <f t="shared" si="0"/>
        <v>892.56</v>
      </c>
    </row>
    <row r="5" spans="1:11" x14ac:dyDescent="0.25">
      <c r="E5" s="7">
        <f t="shared" si="1"/>
        <v>107.44000000000001</v>
      </c>
      <c r="G5">
        <f t="shared" si="2"/>
        <v>107.44000000000001</v>
      </c>
      <c r="H5">
        <f t="shared" si="0"/>
        <v>892.56</v>
      </c>
    </row>
    <row r="6" spans="1:11" x14ac:dyDescent="0.25">
      <c r="E6" s="7">
        <f t="shared" si="1"/>
        <v>107.44000000000001</v>
      </c>
      <c r="G6">
        <f t="shared" si="2"/>
        <v>107.44000000000001</v>
      </c>
      <c r="H6">
        <f t="shared" si="0"/>
        <v>892.56</v>
      </c>
    </row>
    <row r="7" spans="1:11" x14ac:dyDescent="0.25">
      <c r="E7" s="7">
        <f t="shared" si="1"/>
        <v>107.44000000000001</v>
      </c>
      <c r="G7">
        <f t="shared" si="2"/>
        <v>107.44000000000001</v>
      </c>
      <c r="H7">
        <f t="shared" si="0"/>
        <v>892.56</v>
      </c>
    </row>
    <row r="8" spans="1:11" x14ac:dyDescent="0.25">
      <c r="E8" s="7">
        <f t="shared" si="1"/>
        <v>107.44000000000001</v>
      </c>
      <c r="G8">
        <f t="shared" si="2"/>
        <v>107.44000000000001</v>
      </c>
      <c r="H8">
        <f t="shared" si="0"/>
        <v>892.56</v>
      </c>
    </row>
    <row r="9" spans="1:11" x14ac:dyDescent="0.25">
      <c r="E9" s="7">
        <f t="shared" si="1"/>
        <v>107.44000000000001</v>
      </c>
      <c r="F9" s="7"/>
      <c r="G9">
        <f t="shared" si="2"/>
        <v>107.44000000000001</v>
      </c>
      <c r="H9">
        <f t="shared" si="0"/>
        <v>892.56</v>
      </c>
    </row>
    <row r="10" spans="1:11" x14ac:dyDescent="0.25">
      <c r="D10" s="19"/>
      <c r="E10" s="7">
        <f t="shared" si="1"/>
        <v>107.44000000000001</v>
      </c>
      <c r="G10">
        <f>E10-F10</f>
        <v>107.44000000000001</v>
      </c>
      <c r="H10">
        <f t="shared" si="0"/>
        <v>892.56</v>
      </c>
    </row>
    <row r="11" spans="1:11" x14ac:dyDescent="0.25">
      <c r="E11" s="7">
        <f t="shared" si="1"/>
        <v>107.44000000000001</v>
      </c>
      <c r="G11">
        <f t="shared" si="2"/>
        <v>107.44000000000001</v>
      </c>
      <c r="H11">
        <f t="shared" si="0"/>
        <v>892.56</v>
      </c>
    </row>
    <row r="12" spans="1:11" x14ac:dyDescent="0.25">
      <c r="E12" s="7">
        <f t="shared" si="1"/>
        <v>107.44000000000001</v>
      </c>
      <c r="G12">
        <f t="shared" si="2"/>
        <v>107.44000000000001</v>
      </c>
      <c r="H12">
        <f t="shared" si="0"/>
        <v>892.56</v>
      </c>
    </row>
    <row r="13" spans="1:11" x14ac:dyDescent="0.25">
      <c r="E13" s="7">
        <f t="shared" si="1"/>
        <v>107.44000000000001</v>
      </c>
      <c r="G13">
        <f t="shared" si="2"/>
        <v>107.44000000000001</v>
      </c>
      <c r="H13">
        <f t="shared" si="0"/>
        <v>892.56</v>
      </c>
    </row>
    <row r="14" spans="1:11" x14ac:dyDescent="0.25">
      <c r="E14" s="7">
        <f t="shared" si="1"/>
        <v>107.44000000000001</v>
      </c>
      <c r="G14">
        <f t="shared" si="2"/>
        <v>107.44000000000001</v>
      </c>
      <c r="H14">
        <f t="shared" si="0"/>
        <v>892.56</v>
      </c>
    </row>
    <row r="15" spans="1:11" x14ac:dyDescent="0.25">
      <c r="E15" s="7">
        <f t="shared" si="1"/>
        <v>107.44000000000001</v>
      </c>
      <c r="G15">
        <f t="shared" si="2"/>
        <v>107.44000000000001</v>
      </c>
      <c r="H15">
        <f t="shared" si="0"/>
        <v>892.56</v>
      </c>
    </row>
    <row r="16" spans="1:11" x14ac:dyDescent="0.25">
      <c r="E16" s="7">
        <f t="shared" si="1"/>
        <v>107.44000000000001</v>
      </c>
      <c r="F16" s="7"/>
      <c r="G16">
        <f t="shared" si="2"/>
        <v>107.44000000000001</v>
      </c>
      <c r="H16">
        <f t="shared" si="0"/>
        <v>892.56</v>
      </c>
    </row>
    <row r="17" spans="5:8" x14ac:dyDescent="0.25">
      <c r="E17" s="7">
        <f t="shared" si="1"/>
        <v>107.44000000000001</v>
      </c>
      <c r="G17">
        <f t="shared" si="2"/>
        <v>107.44000000000001</v>
      </c>
      <c r="H17">
        <f t="shared" si="0"/>
        <v>892.56</v>
      </c>
    </row>
    <row r="18" spans="5:8" x14ac:dyDescent="0.25">
      <c r="E18" s="7">
        <f t="shared" si="1"/>
        <v>107.44000000000001</v>
      </c>
      <c r="G18">
        <f t="shared" si="2"/>
        <v>107.44000000000001</v>
      </c>
      <c r="H18">
        <f t="shared" si="0"/>
        <v>892.56</v>
      </c>
    </row>
    <row r="19" spans="5:8" x14ac:dyDescent="0.25">
      <c r="E19" s="7">
        <f t="shared" si="1"/>
        <v>107.44000000000001</v>
      </c>
      <c r="G19">
        <f t="shared" si="2"/>
        <v>107.44000000000001</v>
      </c>
      <c r="H19">
        <f t="shared" si="0"/>
        <v>892.56</v>
      </c>
    </row>
    <row r="20" spans="5:8" x14ac:dyDescent="0.25">
      <c r="E20" s="7">
        <f t="shared" si="1"/>
        <v>107.44000000000001</v>
      </c>
      <c r="G20">
        <f t="shared" si="2"/>
        <v>107.44000000000001</v>
      </c>
      <c r="H20">
        <f t="shared" si="0"/>
        <v>892.56</v>
      </c>
    </row>
    <row r="21" spans="5:8" x14ac:dyDescent="0.25">
      <c r="E21" s="7">
        <f t="shared" si="1"/>
        <v>107.44000000000001</v>
      </c>
      <c r="G21">
        <f t="shared" si="2"/>
        <v>107.44000000000001</v>
      </c>
      <c r="H21">
        <f t="shared" si="0"/>
        <v>892.56</v>
      </c>
    </row>
    <row r="22" spans="5:8" x14ac:dyDescent="0.25">
      <c r="E22" s="7">
        <f t="shared" si="1"/>
        <v>107.44000000000001</v>
      </c>
      <c r="G22">
        <f t="shared" si="2"/>
        <v>107.44000000000001</v>
      </c>
      <c r="H22">
        <f t="shared" si="0"/>
        <v>892.56</v>
      </c>
    </row>
    <row r="23" spans="5:8" x14ac:dyDescent="0.25">
      <c r="E23" s="7">
        <f t="shared" si="1"/>
        <v>107.44000000000001</v>
      </c>
      <c r="G23">
        <f t="shared" si="2"/>
        <v>107.44000000000001</v>
      </c>
      <c r="H23">
        <f t="shared" si="0"/>
        <v>892.56</v>
      </c>
    </row>
    <row r="24" spans="5:8" x14ac:dyDescent="0.25">
      <c r="E24" s="7">
        <f t="shared" si="1"/>
        <v>107.44000000000001</v>
      </c>
      <c r="G24">
        <f t="shared" si="2"/>
        <v>107.44000000000001</v>
      </c>
      <c r="H24">
        <f t="shared" si="0"/>
        <v>892.56</v>
      </c>
    </row>
    <row r="25" spans="5:8" x14ac:dyDescent="0.25">
      <c r="E25" s="7">
        <f t="shared" si="1"/>
        <v>107.44000000000001</v>
      </c>
      <c r="G25">
        <f t="shared" si="2"/>
        <v>107.44000000000001</v>
      </c>
      <c r="H25">
        <f t="shared" si="0"/>
        <v>892.56</v>
      </c>
    </row>
    <row r="26" spans="5:8" x14ac:dyDescent="0.25">
      <c r="E26" s="7">
        <f t="shared" si="1"/>
        <v>107.44000000000001</v>
      </c>
      <c r="G26">
        <f t="shared" si="2"/>
        <v>107.44000000000001</v>
      </c>
      <c r="H26">
        <f t="shared" si="0"/>
        <v>892.56</v>
      </c>
    </row>
    <row r="27" spans="5:8" x14ac:dyDescent="0.25">
      <c r="E27" s="7">
        <f t="shared" si="1"/>
        <v>107.44000000000001</v>
      </c>
      <c r="G27">
        <f t="shared" si="2"/>
        <v>107.44000000000001</v>
      </c>
      <c r="H27">
        <f t="shared" si="0"/>
        <v>892.56</v>
      </c>
    </row>
    <row r="28" spans="5:8" x14ac:dyDescent="0.25">
      <c r="E28" s="7">
        <f t="shared" si="1"/>
        <v>107.44000000000001</v>
      </c>
      <c r="G28">
        <f t="shared" si="2"/>
        <v>107.44000000000001</v>
      </c>
      <c r="H28">
        <f t="shared" si="0"/>
        <v>892.56</v>
      </c>
    </row>
    <row r="29" spans="5:8" x14ac:dyDescent="0.25">
      <c r="E29" s="7">
        <f t="shared" si="1"/>
        <v>107.44000000000001</v>
      </c>
      <c r="G29">
        <f t="shared" si="2"/>
        <v>107.44000000000001</v>
      </c>
      <c r="H29">
        <f t="shared" si="0"/>
        <v>892.56</v>
      </c>
    </row>
    <row r="30" spans="5:8" x14ac:dyDescent="0.25">
      <c r="E30" s="7">
        <f t="shared" si="1"/>
        <v>107.44000000000001</v>
      </c>
      <c r="G30">
        <f t="shared" si="2"/>
        <v>107.44000000000001</v>
      </c>
      <c r="H30">
        <f t="shared" si="0"/>
        <v>892.56</v>
      </c>
    </row>
  </sheetData>
  <phoneticPr fontId="1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I49"/>
  <sheetViews>
    <sheetView topLeftCell="A7" workbookViewId="0">
      <selection activeCell="A27" sqref="A27:XFD27"/>
    </sheetView>
  </sheetViews>
  <sheetFormatPr baseColWidth="10" defaultRowHeight="15.75" x14ac:dyDescent="0.25"/>
  <cols>
    <col min="1" max="1" width="10" style="9" customWidth="1"/>
    <col min="2" max="2" width="15.140625" style="9" customWidth="1"/>
    <col min="3" max="3" width="9" style="9" customWidth="1"/>
    <col min="4" max="4" width="12.42578125" style="9" bestFit="1" customWidth="1"/>
    <col min="5" max="5" width="17.7109375" style="9" customWidth="1"/>
    <col min="6" max="6" width="21.140625" style="9" customWidth="1"/>
    <col min="7" max="7" width="9.5703125" style="9" customWidth="1"/>
    <col min="8" max="8" width="10.140625" style="9" bestFit="1" customWidth="1"/>
    <col min="9" max="9" width="10" style="9" bestFit="1" customWidth="1"/>
    <col min="10" max="16384" width="11.42578125" style="9"/>
  </cols>
  <sheetData>
    <row r="1" spans="1:9" ht="23.25" x14ac:dyDescent="0.35">
      <c r="A1" s="232" t="s">
        <v>31</v>
      </c>
      <c r="B1" s="232"/>
      <c r="C1" s="232"/>
      <c r="D1" s="232"/>
      <c r="E1" s="232"/>
      <c r="F1" s="232"/>
      <c r="G1" s="232"/>
      <c r="H1" s="232"/>
      <c r="I1" s="232"/>
    </row>
    <row r="2" spans="1:9" ht="23.25" x14ac:dyDescent="0.35">
      <c r="A2" s="232" t="s">
        <v>41</v>
      </c>
      <c r="B2" s="232"/>
      <c r="C2" s="232"/>
      <c r="D2" s="232"/>
      <c r="E2" s="232"/>
      <c r="F2" s="232"/>
      <c r="G2" s="232"/>
      <c r="H2" s="232"/>
      <c r="I2" s="232"/>
    </row>
    <row r="4" spans="1:9" ht="31.5" customHeight="1" x14ac:dyDescent="0.25">
      <c r="A4" s="10" t="s">
        <v>32</v>
      </c>
      <c r="B4" s="11" t="s">
        <v>33</v>
      </c>
      <c r="C4" s="11" t="s">
        <v>34</v>
      </c>
      <c r="D4" s="11" t="s">
        <v>36</v>
      </c>
      <c r="E4" s="11" t="s">
        <v>37</v>
      </c>
      <c r="F4" s="11" t="s">
        <v>38</v>
      </c>
      <c r="G4" s="11" t="s">
        <v>35</v>
      </c>
      <c r="H4" s="11" t="s">
        <v>39</v>
      </c>
      <c r="I4" s="11" t="s">
        <v>40</v>
      </c>
    </row>
    <row r="5" spans="1:9" x14ac:dyDescent="0.25">
      <c r="A5" s="15">
        <v>20</v>
      </c>
      <c r="B5" s="15">
        <v>120</v>
      </c>
      <c r="C5" s="15">
        <v>29.64</v>
      </c>
      <c r="D5" s="15">
        <v>0.66</v>
      </c>
      <c r="E5" s="16">
        <f>C5/D5</f>
        <v>44.909090909090907</v>
      </c>
      <c r="F5" s="17">
        <f>3600/E5</f>
        <v>80.161943319838059</v>
      </c>
      <c r="G5" s="15">
        <f>C5*24</f>
        <v>711.36</v>
      </c>
      <c r="H5" s="12">
        <v>176</v>
      </c>
      <c r="I5" s="13">
        <f>(H5/E5)</f>
        <v>3.9190283400809718</v>
      </c>
    </row>
    <row r="6" spans="1:9" x14ac:dyDescent="0.25">
      <c r="A6" s="15"/>
      <c r="B6" s="15">
        <v>100</v>
      </c>
      <c r="C6" s="15">
        <v>25.1</v>
      </c>
      <c r="D6" s="15">
        <f t="shared" ref="D6:D16" si="0">D5</f>
        <v>0.66</v>
      </c>
      <c r="E6" s="16">
        <f t="shared" ref="E6:E35" si="1">C6/D6</f>
        <v>38.030303030303031</v>
      </c>
      <c r="F6" s="17">
        <f t="shared" ref="F6:F49" si="2">3600/E6</f>
        <v>94.661354581673308</v>
      </c>
      <c r="G6" s="15">
        <f t="shared" ref="G6:G49" si="3">C6*24</f>
        <v>602.40000000000009</v>
      </c>
      <c r="H6" s="12">
        <v>152</v>
      </c>
      <c r="I6" s="13">
        <f t="shared" ref="I6:I49" si="4">(H6/E6)</f>
        <v>3.996812749003984</v>
      </c>
    </row>
    <row r="7" spans="1:9" x14ac:dyDescent="0.25">
      <c r="A7" s="12">
        <v>21</v>
      </c>
      <c r="B7" s="12">
        <v>120</v>
      </c>
      <c r="C7" s="12">
        <v>26.05</v>
      </c>
      <c r="D7" s="15">
        <f t="shared" si="0"/>
        <v>0.66</v>
      </c>
      <c r="E7" s="13">
        <f t="shared" si="1"/>
        <v>39.469696969696969</v>
      </c>
      <c r="F7" s="14">
        <f t="shared" si="2"/>
        <v>91.209213051823411</v>
      </c>
      <c r="G7" s="12">
        <f t="shared" si="3"/>
        <v>625.20000000000005</v>
      </c>
      <c r="H7" s="12">
        <v>186</v>
      </c>
      <c r="I7" s="13">
        <f t="shared" si="4"/>
        <v>4.7124760076775436</v>
      </c>
    </row>
    <row r="8" spans="1:9" x14ac:dyDescent="0.25">
      <c r="A8" s="12"/>
      <c r="B8" s="12">
        <v>100</v>
      </c>
      <c r="C8" s="12">
        <v>21.87</v>
      </c>
      <c r="D8" s="15">
        <f t="shared" si="0"/>
        <v>0.66</v>
      </c>
      <c r="E8" s="13">
        <f t="shared" si="1"/>
        <v>33.136363636363633</v>
      </c>
      <c r="F8" s="14">
        <f t="shared" si="2"/>
        <v>108.64197530864199</v>
      </c>
      <c r="G8" s="12">
        <f t="shared" si="3"/>
        <v>524.88</v>
      </c>
      <c r="H8" s="12">
        <v>160</v>
      </c>
      <c r="I8" s="13">
        <f t="shared" si="4"/>
        <v>4.8285322359396439</v>
      </c>
    </row>
    <row r="9" spans="1:9" x14ac:dyDescent="0.25">
      <c r="A9" s="15">
        <v>22</v>
      </c>
      <c r="B9" s="15">
        <v>120</v>
      </c>
      <c r="C9" s="15">
        <v>23.24</v>
      </c>
      <c r="D9" s="15">
        <f t="shared" si="0"/>
        <v>0.66</v>
      </c>
      <c r="E9" s="16">
        <f t="shared" si="1"/>
        <v>35.212121212121211</v>
      </c>
      <c r="F9" s="17">
        <f t="shared" si="2"/>
        <v>102.23752151462995</v>
      </c>
      <c r="G9" s="15">
        <f t="shared" si="3"/>
        <v>557.76</v>
      </c>
      <c r="H9" s="12">
        <v>194</v>
      </c>
      <c r="I9" s="13">
        <f t="shared" si="4"/>
        <v>5.5094664371772808</v>
      </c>
    </row>
    <row r="10" spans="1:9" x14ac:dyDescent="0.25">
      <c r="A10" s="15"/>
      <c r="B10" s="15">
        <v>100</v>
      </c>
      <c r="C10" s="15">
        <v>19.38</v>
      </c>
      <c r="D10" s="15">
        <f t="shared" si="0"/>
        <v>0.66</v>
      </c>
      <c r="E10" s="16">
        <f t="shared" si="1"/>
        <v>29.36363636363636</v>
      </c>
      <c r="F10" s="17">
        <f t="shared" si="2"/>
        <v>122.60061919504646</v>
      </c>
      <c r="G10" s="15">
        <f t="shared" si="3"/>
        <v>465.12</v>
      </c>
      <c r="H10" s="12">
        <v>165</v>
      </c>
      <c r="I10" s="13">
        <f t="shared" si="4"/>
        <v>5.6191950464396294</v>
      </c>
    </row>
    <row r="11" spans="1:9" x14ac:dyDescent="0.25">
      <c r="A11" s="12">
        <v>23</v>
      </c>
      <c r="B11" s="12">
        <v>120</v>
      </c>
      <c r="C11" s="12">
        <v>20.99</v>
      </c>
      <c r="D11" s="15">
        <f t="shared" si="0"/>
        <v>0.66</v>
      </c>
      <c r="E11" s="13">
        <f t="shared" si="1"/>
        <v>31.803030303030297</v>
      </c>
      <c r="F11" s="14">
        <f t="shared" si="2"/>
        <v>113.1967603620772</v>
      </c>
      <c r="G11" s="12">
        <f t="shared" si="3"/>
        <v>503.76</v>
      </c>
      <c r="H11" s="12">
        <v>200</v>
      </c>
      <c r="I11" s="13">
        <f t="shared" si="4"/>
        <v>6.2887089090042885</v>
      </c>
    </row>
    <row r="12" spans="1:9" x14ac:dyDescent="0.25">
      <c r="A12" s="12"/>
      <c r="B12" s="12">
        <v>100</v>
      </c>
      <c r="C12" s="12">
        <v>17.420000000000002</v>
      </c>
      <c r="D12" s="15">
        <f t="shared" si="0"/>
        <v>0.66</v>
      </c>
      <c r="E12" s="13">
        <f t="shared" si="1"/>
        <v>26.393939393939394</v>
      </c>
      <c r="F12" s="14">
        <f t="shared" si="2"/>
        <v>136.39494833524685</v>
      </c>
      <c r="G12" s="12">
        <f t="shared" si="3"/>
        <v>418.08000000000004</v>
      </c>
      <c r="H12" s="12">
        <v>170</v>
      </c>
      <c r="I12" s="13">
        <f t="shared" si="4"/>
        <v>6.4408725602755448</v>
      </c>
    </row>
    <row r="13" spans="1:9" x14ac:dyDescent="0.25">
      <c r="A13" s="15">
        <v>24</v>
      </c>
      <c r="B13" s="15">
        <v>120</v>
      </c>
      <c r="C13" s="15">
        <v>19.16</v>
      </c>
      <c r="D13" s="15">
        <f t="shared" si="0"/>
        <v>0.66</v>
      </c>
      <c r="E13" s="16">
        <f t="shared" si="1"/>
        <v>29.030303030303028</v>
      </c>
      <c r="F13" s="17">
        <f t="shared" si="2"/>
        <v>124.00835073068895</v>
      </c>
      <c r="G13" s="15">
        <f t="shared" si="3"/>
        <v>459.84000000000003</v>
      </c>
      <c r="H13" s="12">
        <v>206</v>
      </c>
      <c r="I13" s="13">
        <f t="shared" si="4"/>
        <v>7.0960334029227567</v>
      </c>
    </row>
    <row r="14" spans="1:9" x14ac:dyDescent="0.25">
      <c r="A14" s="15"/>
      <c r="B14" s="15">
        <v>100</v>
      </c>
      <c r="C14" s="15">
        <v>15.83</v>
      </c>
      <c r="D14" s="15">
        <f t="shared" si="0"/>
        <v>0.66</v>
      </c>
      <c r="E14" s="16">
        <f t="shared" si="1"/>
        <v>23.984848484848484</v>
      </c>
      <c r="F14" s="17">
        <f t="shared" si="2"/>
        <v>150.09475679090335</v>
      </c>
      <c r="G14" s="15">
        <f t="shared" si="3"/>
        <v>379.92</v>
      </c>
      <c r="H14" s="12">
        <v>174</v>
      </c>
      <c r="I14" s="13">
        <f t="shared" si="4"/>
        <v>7.2545799115603282</v>
      </c>
    </row>
    <row r="15" spans="1:9" x14ac:dyDescent="0.25">
      <c r="A15" s="12">
        <v>25</v>
      </c>
      <c r="B15" s="12">
        <v>120</v>
      </c>
      <c r="C15" s="12">
        <v>17.649999999999999</v>
      </c>
      <c r="D15" s="15">
        <f t="shared" si="0"/>
        <v>0.66</v>
      </c>
      <c r="E15" s="13">
        <f t="shared" si="1"/>
        <v>26.742424242424239</v>
      </c>
      <c r="F15" s="14">
        <f t="shared" si="2"/>
        <v>134.61756373937678</v>
      </c>
      <c r="G15" s="12">
        <f t="shared" si="3"/>
        <v>423.59999999999997</v>
      </c>
      <c r="H15" s="12">
        <v>210</v>
      </c>
      <c r="I15" s="13">
        <f t="shared" si="4"/>
        <v>7.852691218130313</v>
      </c>
    </row>
    <row r="16" spans="1:9" x14ac:dyDescent="0.25">
      <c r="A16" s="12"/>
      <c r="B16" s="12">
        <v>100</v>
      </c>
      <c r="C16" s="12">
        <v>14.53</v>
      </c>
      <c r="D16" s="15">
        <f t="shared" si="0"/>
        <v>0.66</v>
      </c>
      <c r="E16" s="13">
        <f t="shared" si="1"/>
        <v>22.015151515151512</v>
      </c>
      <c r="F16" s="14">
        <f t="shared" si="2"/>
        <v>163.52374397797664</v>
      </c>
      <c r="G16" s="12">
        <f t="shared" si="3"/>
        <v>348.71999999999997</v>
      </c>
      <c r="H16" s="12">
        <v>177</v>
      </c>
      <c r="I16" s="13">
        <f t="shared" si="4"/>
        <v>8.0399174122505173</v>
      </c>
    </row>
    <row r="17" spans="1:9" x14ac:dyDescent="0.25">
      <c r="A17" s="15">
        <v>26</v>
      </c>
      <c r="B17" s="15">
        <v>130</v>
      </c>
      <c r="C17" s="15">
        <v>17.78</v>
      </c>
      <c r="D17" s="15">
        <f>D15</f>
        <v>0.66</v>
      </c>
      <c r="E17" s="16">
        <f>C17/D17</f>
        <v>26.939393939393941</v>
      </c>
      <c r="F17" s="17">
        <f>3600/E17</f>
        <v>133.63329583802025</v>
      </c>
      <c r="G17" s="15">
        <f>C17*24</f>
        <v>426.72</v>
      </c>
      <c r="H17" s="12">
        <v>213</v>
      </c>
      <c r="I17" s="13">
        <f>(H17/E17)</f>
        <v>7.906636670416197</v>
      </c>
    </row>
    <row r="18" spans="1:9" x14ac:dyDescent="0.25">
      <c r="A18" s="15"/>
      <c r="B18" s="15">
        <v>120</v>
      </c>
      <c r="C18" s="15">
        <v>16.39</v>
      </c>
      <c r="D18" s="15">
        <f>D16</f>
        <v>0.66</v>
      </c>
      <c r="E18" s="16">
        <f t="shared" si="1"/>
        <v>24.833333333333332</v>
      </c>
      <c r="F18" s="17">
        <f t="shared" si="2"/>
        <v>144.96644295302013</v>
      </c>
      <c r="G18" s="15">
        <f t="shared" si="3"/>
        <v>393.36</v>
      </c>
      <c r="H18" s="12">
        <v>214</v>
      </c>
      <c r="I18" s="13">
        <f t="shared" si="4"/>
        <v>8.6174496644295306</v>
      </c>
    </row>
    <row r="19" spans="1:9" x14ac:dyDescent="0.25">
      <c r="A19" s="15"/>
      <c r="B19" s="15">
        <v>100</v>
      </c>
      <c r="C19" s="15">
        <v>13.45</v>
      </c>
      <c r="D19" s="15">
        <f t="shared" ref="D19:D38" si="5">D17</f>
        <v>0.66</v>
      </c>
      <c r="E19" s="16">
        <f t="shared" si="1"/>
        <v>20.378787878787875</v>
      </c>
      <c r="F19" s="17">
        <f t="shared" si="2"/>
        <v>176.65427509293684</v>
      </c>
      <c r="G19" s="15">
        <f t="shared" si="3"/>
        <v>322.79999999999995</v>
      </c>
      <c r="H19" s="12">
        <v>180</v>
      </c>
      <c r="I19" s="13">
        <f t="shared" si="4"/>
        <v>8.8327137546468411</v>
      </c>
    </row>
    <row r="20" spans="1:9" x14ac:dyDescent="0.25">
      <c r="A20" s="12">
        <v>27</v>
      </c>
      <c r="B20" s="12">
        <v>130</v>
      </c>
      <c r="C20" s="12">
        <v>16.649999999999999</v>
      </c>
      <c r="D20" s="15">
        <f t="shared" si="5"/>
        <v>0.66</v>
      </c>
      <c r="E20" s="13">
        <f>C20/D20</f>
        <v>25.227272727272723</v>
      </c>
      <c r="F20" s="14">
        <f>3600/E20</f>
        <v>142.70270270270274</v>
      </c>
      <c r="G20" s="12">
        <f>C20*24</f>
        <v>399.59999999999997</v>
      </c>
      <c r="H20" s="12">
        <v>216</v>
      </c>
      <c r="I20" s="13">
        <f>(H20/E20)</f>
        <v>8.5621621621621635</v>
      </c>
    </row>
    <row r="21" spans="1:9" x14ac:dyDescent="0.25">
      <c r="A21" s="12"/>
      <c r="B21" s="12">
        <v>120</v>
      </c>
      <c r="C21" s="12">
        <v>15.33</v>
      </c>
      <c r="D21" s="15">
        <f t="shared" si="5"/>
        <v>0.66</v>
      </c>
      <c r="E21" s="13">
        <f t="shared" si="1"/>
        <v>23.227272727272727</v>
      </c>
      <c r="F21" s="14">
        <f t="shared" si="2"/>
        <v>154.99021526418787</v>
      </c>
      <c r="G21" s="12">
        <f t="shared" si="3"/>
        <v>367.92</v>
      </c>
      <c r="H21" s="12">
        <v>217</v>
      </c>
      <c r="I21" s="13">
        <f t="shared" si="4"/>
        <v>9.3424657534246585</v>
      </c>
    </row>
    <row r="22" spans="1:9" x14ac:dyDescent="0.25">
      <c r="A22" s="12"/>
      <c r="B22" s="12">
        <v>100</v>
      </c>
      <c r="C22" s="12">
        <v>12.55</v>
      </c>
      <c r="D22" s="15">
        <f t="shared" si="5"/>
        <v>0.66</v>
      </c>
      <c r="E22" s="13">
        <f t="shared" si="1"/>
        <v>19.015151515151516</v>
      </c>
      <c r="F22" s="14">
        <f t="shared" si="2"/>
        <v>189.32270916334662</v>
      </c>
      <c r="G22" s="12">
        <f t="shared" si="3"/>
        <v>301.20000000000005</v>
      </c>
      <c r="H22" s="12">
        <v>182</v>
      </c>
      <c r="I22" s="13">
        <f t="shared" si="4"/>
        <v>9.5713147410358559</v>
      </c>
    </row>
    <row r="23" spans="1:9" x14ac:dyDescent="0.25">
      <c r="A23" s="15">
        <v>28</v>
      </c>
      <c r="B23" s="15">
        <v>130</v>
      </c>
      <c r="C23" s="15">
        <v>15.68</v>
      </c>
      <c r="D23" s="15">
        <f t="shared" si="5"/>
        <v>0.66</v>
      </c>
      <c r="E23" s="16">
        <f>C23/D23</f>
        <v>23.757575757575758</v>
      </c>
      <c r="F23" s="17">
        <f>3600/E23</f>
        <v>151.53061224489795</v>
      </c>
      <c r="G23" s="15">
        <f>C23*24</f>
        <v>376.32</v>
      </c>
      <c r="H23" s="12">
        <v>219</v>
      </c>
      <c r="I23" s="13">
        <f>(H23/E23)</f>
        <v>9.2181122448979593</v>
      </c>
    </row>
    <row r="24" spans="1:9" x14ac:dyDescent="0.25">
      <c r="A24" s="15"/>
      <c r="B24" s="15">
        <v>120</v>
      </c>
      <c r="C24" s="15">
        <v>14.43</v>
      </c>
      <c r="D24" s="15">
        <f t="shared" si="5"/>
        <v>0.66</v>
      </c>
      <c r="E24" s="16">
        <f t="shared" si="1"/>
        <v>21.863636363636363</v>
      </c>
      <c r="F24" s="17">
        <f t="shared" si="2"/>
        <v>164.65696465696465</v>
      </c>
      <c r="G24" s="15">
        <f t="shared" si="3"/>
        <v>346.32</v>
      </c>
      <c r="H24" s="12">
        <v>220</v>
      </c>
      <c r="I24" s="13">
        <f t="shared" si="4"/>
        <v>10.062370062370062</v>
      </c>
    </row>
    <row r="25" spans="1:9" x14ac:dyDescent="0.25">
      <c r="A25" s="15"/>
      <c r="B25" s="15">
        <v>100</v>
      </c>
      <c r="C25" s="15">
        <v>11.79</v>
      </c>
      <c r="D25" s="15">
        <f t="shared" si="5"/>
        <v>0.66</v>
      </c>
      <c r="E25" s="16">
        <f t="shared" si="1"/>
        <v>17.86363636363636</v>
      </c>
      <c r="F25" s="17">
        <f t="shared" si="2"/>
        <v>201.52671755725194</v>
      </c>
      <c r="G25" s="15">
        <f t="shared" si="3"/>
        <v>282.95999999999998</v>
      </c>
      <c r="H25" s="12">
        <v>184</v>
      </c>
      <c r="I25" s="13">
        <f t="shared" si="4"/>
        <v>10.300254452926211</v>
      </c>
    </row>
    <row r="26" spans="1:9" x14ac:dyDescent="0.25">
      <c r="A26" s="12">
        <v>29</v>
      </c>
      <c r="B26" s="12">
        <v>130</v>
      </c>
      <c r="C26" s="12">
        <v>14.85</v>
      </c>
      <c r="D26" s="15">
        <f t="shared" si="5"/>
        <v>0.66</v>
      </c>
      <c r="E26" s="13">
        <f>C26/D26</f>
        <v>22.5</v>
      </c>
      <c r="F26" s="14">
        <f>3600/E26</f>
        <v>160</v>
      </c>
      <c r="G26" s="12">
        <f>C26*24</f>
        <v>356.4</v>
      </c>
      <c r="H26" s="12">
        <v>222</v>
      </c>
      <c r="I26" s="13">
        <f>(H26/E26)</f>
        <v>9.8666666666666671</v>
      </c>
    </row>
    <row r="27" spans="1:9" x14ac:dyDescent="0.25">
      <c r="A27" s="12"/>
      <c r="B27" s="12">
        <v>120</v>
      </c>
      <c r="C27" s="12">
        <v>13.65</v>
      </c>
      <c r="D27" s="15">
        <f t="shared" si="5"/>
        <v>0.66</v>
      </c>
      <c r="E27" s="13">
        <f t="shared" si="1"/>
        <v>20.68181818181818</v>
      </c>
      <c r="F27" s="14">
        <f t="shared" si="2"/>
        <v>174.06593406593407</v>
      </c>
      <c r="G27" s="12">
        <f t="shared" si="3"/>
        <v>327.60000000000002</v>
      </c>
      <c r="H27" s="12">
        <v>223</v>
      </c>
      <c r="I27" s="13">
        <f t="shared" si="4"/>
        <v>10.782417582417583</v>
      </c>
    </row>
    <row r="28" spans="1:9" x14ac:dyDescent="0.25">
      <c r="A28" s="12"/>
      <c r="B28" s="12">
        <v>100</v>
      </c>
      <c r="C28" s="12">
        <v>11.13</v>
      </c>
      <c r="D28" s="15">
        <f t="shared" si="5"/>
        <v>0.66</v>
      </c>
      <c r="E28" s="13">
        <f t="shared" si="1"/>
        <v>16.863636363636363</v>
      </c>
      <c r="F28" s="14">
        <f t="shared" si="2"/>
        <v>213.47708894878707</v>
      </c>
      <c r="G28" s="12">
        <f t="shared" si="3"/>
        <v>267.12</v>
      </c>
      <c r="H28" s="12">
        <v>186</v>
      </c>
      <c r="I28" s="13">
        <f t="shared" si="4"/>
        <v>11.029649595687331</v>
      </c>
    </row>
    <row r="29" spans="1:9" x14ac:dyDescent="0.25">
      <c r="A29" s="15">
        <v>30</v>
      </c>
      <c r="B29" s="15">
        <v>130</v>
      </c>
      <c r="C29" s="15">
        <v>14.12</v>
      </c>
      <c r="D29" s="15">
        <f t="shared" si="5"/>
        <v>0.66</v>
      </c>
      <c r="E29" s="16">
        <f>C29/D29</f>
        <v>21.393939393939391</v>
      </c>
      <c r="F29" s="17">
        <f>3600/E29</f>
        <v>168.27195467422098</v>
      </c>
      <c r="G29" s="15">
        <f>C29*24</f>
        <v>338.88</v>
      </c>
      <c r="H29" s="12">
        <v>224</v>
      </c>
      <c r="I29" s="13">
        <f>(H29/E29)</f>
        <v>10.470254957507084</v>
      </c>
    </row>
    <row r="30" spans="1:9" x14ac:dyDescent="0.25">
      <c r="A30" s="15"/>
      <c r="B30" s="15">
        <v>120</v>
      </c>
      <c r="C30" s="15">
        <v>12.97</v>
      </c>
      <c r="D30" s="15">
        <f t="shared" si="5"/>
        <v>0.66</v>
      </c>
      <c r="E30" s="16">
        <f t="shared" si="1"/>
        <v>19.651515151515152</v>
      </c>
      <c r="F30" s="17">
        <f t="shared" si="2"/>
        <v>183.19198149575945</v>
      </c>
      <c r="G30" s="15">
        <f t="shared" si="3"/>
        <v>311.28000000000003</v>
      </c>
      <c r="H30" s="12">
        <v>225</v>
      </c>
      <c r="I30" s="13">
        <f t="shared" si="4"/>
        <v>11.449498843484966</v>
      </c>
    </row>
    <row r="31" spans="1:9" x14ac:dyDescent="0.25">
      <c r="A31" s="15"/>
      <c r="B31" s="15">
        <v>100</v>
      </c>
      <c r="C31" s="15">
        <v>10.56</v>
      </c>
      <c r="D31" s="15">
        <f t="shared" si="5"/>
        <v>0.66</v>
      </c>
      <c r="E31" s="16">
        <f t="shared" si="1"/>
        <v>16</v>
      </c>
      <c r="F31" s="17">
        <f t="shared" si="2"/>
        <v>225</v>
      </c>
      <c r="G31" s="15">
        <f t="shared" si="3"/>
        <v>253.44</v>
      </c>
      <c r="H31" s="12">
        <v>188</v>
      </c>
      <c r="I31" s="13">
        <f t="shared" si="4"/>
        <v>11.75</v>
      </c>
    </row>
    <row r="32" spans="1:9" x14ac:dyDescent="0.25">
      <c r="A32" s="12">
        <v>31</v>
      </c>
      <c r="B32" s="12">
        <v>130</v>
      </c>
      <c r="C32" s="12">
        <v>13.46</v>
      </c>
      <c r="D32" s="15">
        <f t="shared" si="5"/>
        <v>0.66</v>
      </c>
      <c r="E32" s="13">
        <f>C32/D32</f>
        <v>20.393939393939394</v>
      </c>
      <c r="F32" s="14">
        <f>3600/E32</f>
        <v>176.52303120356612</v>
      </c>
      <c r="G32" s="12">
        <f>C32*24</f>
        <v>323.04000000000002</v>
      </c>
      <c r="H32" s="12">
        <v>226</v>
      </c>
      <c r="I32" s="13">
        <f>(H32/E32)</f>
        <v>11.081723625557206</v>
      </c>
    </row>
    <row r="33" spans="1:9" x14ac:dyDescent="0.25">
      <c r="A33" s="12"/>
      <c r="B33" s="12">
        <v>120</v>
      </c>
      <c r="C33" s="12">
        <v>12.36</v>
      </c>
      <c r="D33" s="15">
        <f t="shared" si="5"/>
        <v>0.66</v>
      </c>
      <c r="E33" s="13">
        <f t="shared" si="1"/>
        <v>18.727272727272727</v>
      </c>
      <c r="F33" s="14">
        <f t="shared" si="2"/>
        <v>192.23300970873788</v>
      </c>
      <c r="G33" s="12">
        <f t="shared" si="3"/>
        <v>296.64</v>
      </c>
      <c r="H33" s="12">
        <v>227</v>
      </c>
      <c r="I33" s="13">
        <f t="shared" si="4"/>
        <v>12.121359223300971</v>
      </c>
    </row>
    <row r="34" spans="1:9" x14ac:dyDescent="0.25">
      <c r="A34" s="12"/>
      <c r="B34" s="12">
        <v>100</v>
      </c>
      <c r="C34" s="12">
        <v>10.050000000000001</v>
      </c>
      <c r="D34" s="15">
        <f t="shared" si="5"/>
        <v>0.66</v>
      </c>
      <c r="E34" s="13">
        <f t="shared" si="1"/>
        <v>15.227272727272728</v>
      </c>
      <c r="F34" s="14">
        <f t="shared" si="2"/>
        <v>236.41791044776119</v>
      </c>
      <c r="G34" s="12">
        <f t="shared" si="3"/>
        <v>241.20000000000002</v>
      </c>
      <c r="H34" s="12">
        <v>189</v>
      </c>
      <c r="I34" s="13">
        <f t="shared" si="4"/>
        <v>12.411940298507462</v>
      </c>
    </row>
    <row r="35" spans="1:9" x14ac:dyDescent="0.25">
      <c r="A35" s="15">
        <v>32</v>
      </c>
      <c r="B35" s="15">
        <v>130</v>
      </c>
      <c r="C35" s="15">
        <v>12.86</v>
      </c>
      <c r="D35" s="15">
        <f t="shared" si="5"/>
        <v>0.66</v>
      </c>
      <c r="E35" s="16">
        <f t="shared" si="1"/>
        <v>19.484848484848484</v>
      </c>
      <c r="F35" s="17">
        <f>3600/E35</f>
        <v>184.75894245723174</v>
      </c>
      <c r="G35" s="15">
        <f>C35*24</f>
        <v>308.64</v>
      </c>
      <c r="H35" s="12">
        <v>228</v>
      </c>
      <c r="I35" s="13">
        <f>(H35/E35)</f>
        <v>11.701399688958009</v>
      </c>
    </row>
    <row r="36" spans="1:9" x14ac:dyDescent="0.25">
      <c r="A36" s="15"/>
      <c r="B36" s="15">
        <v>120</v>
      </c>
      <c r="C36" s="15">
        <v>11.79</v>
      </c>
      <c r="D36" s="15">
        <f t="shared" si="5"/>
        <v>0.66</v>
      </c>
      <c r="E36" s="16">
        <f t="shared" ref="E36:E49" si="6">C36/D36</f>
        <v>17.86363636363636</v>
      </c>
      <c r="F36" s="17">
        <f t="shared" si="2"/>
        <v>201.52671755725194</v>
      </c>
      <c r="G36" s="15">
        <f t="shared" si="3"/>
        <v>282.95999999999998</v>
      </c>
      <c r="H36" s="12">
        <v>229</v>
      </c>
      <c r="I36" s="13">
        <f t="shared" si="4"/>
        <v>12.81933842239186</v>
      </c>
    </row>
    <row r="37" spans="1:9" x14ac:dyDescent="0.25">
      <c r="A37" s="15"/>
      <c r="B37" s="15">
        <v>100</v>
      </c>
      <c r="C37" s="15">
        <v>9.58</v>
      </c>
      <c r="D37" s="15">
        <f t="shared" si="5"/>
        <v>0.66</v>
      </c>
      <c r="E37" s="16">
        <f t="shared" si="6"/>
        <v>14.515151515151514</v>
      </c>
      <c r="F37" s="17">
        <f t="shared" si="2"/>
        <v>248.01670146137789</v>
      </c>
      <c r="G37" s="15">
        <f t="shared" si="3"/>
        <v>229.92000000000002</v>
      </c>
      <c r="H37" s="12">
        <v>191</v>
      </c>
      <c r="I37" s="13">
        <f t="shared" si="4"/>
        <v>13.158663883089771</v>
      </c>
    </row>
    <row r="38" spans="1:9" x14ac:dyDescent="0.25">
      <c r="A38" s="12">
        <v>33</v>
      </c>
      <c r="B38" s="12">
        <v>130</v>
      </c>
      <c r="C38" s="12">
        <v>12.28</v>
      </c>
      <c r="D38" s="15">
        <f t="shared" si="5"/>
        <v>0.66</v>
      </c>
      <c r="E38" s="13">
        <f>C38/D38</f>
        <v>18.606060606060606</v>
      </c>
      <c r="F38" s="14">
        <f>3600/E38</f>
        <v>193.48534201954399</v>
      </c>
      <c r="G38" s="12">
        <f>C38*24</f>
        <v>294.71999999999997</v>
      </c>
      <c r="H38" s="12">
        <v>250</v>
      </c>
      <c r="I38" s="13">
        <f>(H38/E38)</f>
        <v>13.436482084690555</v>
      </c>
    </row>
    <row r="39" spans="1:9" x14ac:dyDescent="0.25">
      <c r="A39" s="12"/>
      <c r="B39" s="12">
        <v>120</v>
      </c>
      <c r="C39" s="12">
        <v>11.26</v>
      </c>
      <c r="D39" s="15">
        <f>D38</f>
        <v>0.66</v>
      </c>
      <c r="E39" s="13">
        <f t="shared" si="6"/>
        <v>17.060606060606059</v>
      </c>
      <c r="F39" s="14">
        <f t="shared" si="2"/>
        <v>211.01243339253998</v>
      </c>
      <c r="G39" s="12">
        <f t="shared" si="3"/>
        <v>270.24</v>
      </c>
      <c r="H39" s="12">
        <v>231</v>
      </c>
      <c r="I39" s="13">
        <f t="shared" si="4"/>
        <v>13.539964476021316</v>
      </c>
    </row>
    <row r="40" spans="1:9" x14ac:dyDescent="0.25">
      <c r="A40" s="12"/>
      <c r="B40" s="12">
        <v>100</v>
      </c>
      <c r="C40" s="12">
        <v>9.1300000000000008</v>
      </c>
      <c r="D40" s="15">
        <f>D39</f>
        <v>0.66</v>
      </c>
      <c r="E40" s="13">
        <f t="shared" si="6"/>
        <v>13.833333333333334</v>
      </c>
      <c r="F40" s="14">
        <f t="shared" si="2"/>
        <v>260.24096385542168</v>
      </c>
      <c r="G40" s="12">
        <f t="shared" si="3"/>
        <v>219.12</v>
      </c>
      <c r="H40" s="12">
        <v>192</v>
      </c>
      <c r="I40" s="13">
        <f t="shared" si="4"/>
        <v>13.879518072289157</v>
      </c>
    </row>
    <row r="41" spans="1:9" x14ac:dyDescent="0.25">
      <c r="A41" s="15">
        <v>34</v>
      </c>
      <c r="B41" s="15">
        <v>130</v>
      </c>
      <c r="C41" s="15">
        <v>11.7</v>
      </c>
      <c r="D41" s="15">
        <f>D40</f>
        <v>0.66</v>
      </c>
      <c r="E41" s="16">
        <f>C41/D41</f>
        <v>17.727272727272727</v>
      </c>
      <c r="F41" s="17">
        <f>3600/E41</f>
        <v>203.07692307692309</v>
      </c>
      <c r="G41" s="15">
        <f>C41*24</f>
        <v>280.79999999999995</v>
      </c>
      <c r="H41" s="12">
        <v>253</v>
      </c>
      <c r="I41" s="13">
        <f>(H41/E41)</f>
        <v>14.271794871794873</v>
      </c>
    </row>
    <row r="42" spans="1:9" x14ac:dyDescent="0.25">
      <c r="A42" s="15"/>
      <c r="B42" s="15">
        <v>120</v>
      </c>
      <c r="C42" s="15">
        <v>10.72</v>
      </c>
      <c r="D42" s="15">
        <f>D41</f>
        <v>0.66</v>
      </c>
      <c r="E42" s="16">
        <f t="shared" si="6"/>
        <v>16.242424242424242</v>
      </c>
      <c r="F42" s="17">
        <f t="shared" si="2"/>
        <v>221.64179104477611</v>
      </c>
      <c r="G42" s="15">
        <f t="shared" si="3"/>
        <v>257.28000000000003</v>
      </c>
      <c r="H42" s="12">
        <v>233</v>
      </c>
      <c r="I42" s="13">
        <f t="shared" si="4"/>
        <v>14.345149253731343</v>
      </c>
    </row>
    <row r="43" spans="1:9" x14ac:dyDescent="0.25">
      <c r="A43" s="15"/>
      <c r="B43" s="15">
        <v>100</v>
      </c>
      <c r="C43" s="15">
        <v>8.69</v>
      </c>
      <c r="D43" s="15">
        <f>D42</f>
        <v>0.66</v>
      </c>
      <c r="E43" s="16">
        <f t="shared" si="6"/>
        <v>13.166666666666666</v>
      </c>
      <c r="F43" s="17">
        <f t="shared" si="2"/>
        <v>273.41772151898738</v>
      </c>
      <c r="G43" s="15">
        <f t="shared" si="3"/>
        <v>208.56</v>
      </c>
      <c r="H43" s="12">
        <v>194</v>
      </c>
      <c r="I43" s="13">
        <f t="shared" si="4"/>
        <v>14.734177215189874</v>
      </c>
    </row>
    <row r="44" spans="1:9" x14ac:dyDescent="0.25">
      <c r="A44" s="12">
        <v>35</v>
      </c>
      <c r="B44" s="12">
        <v>130</v>
      </c>
      <c r="C44" s="12">
        <v>11.11</v>
      </c>
      <c r="D44" s="15">
        <f>D42</f>
        <v>0.66</v>
      </c>
      <c r="E44" s="13">
        <f>C44/D44</f>
        <v>16.833333333333332</v>
      </c>
      <c r="F44" s="14">
        <f>3600/E44</f>
        <v>213.86138613861388</v>
      </c>
      <c r="G44" s="12">
        <f>C44*24</f>
        <v>266.64</v>
      </c>
      <c r="H44" s="12">
        <v>255</v>
      </c>
      <c r="I44" s="13">
        <f>(H44/E44)</f>
        <v>15.14851485148515</v>
      </c>
    </row>
    <row r="45" spans="1:9" x14ac:dyDescent="0.25">
      <c r="A45" s="12"/>
      <c r="B45" s="12">
        <v>120</v>
      </c>
      <c r="C45" s="12">
        <v>10.17</v>
      </c>
      <c r="D45" s="15">
        <f>D43</f>
        <v>0.66</v>
      </c>
      <c r="E45" s="13">
        <f t="shared" si="6"/>
        <v>15.409090909090908</v>
      </c>
      <c r="F45" s="14">
        <f t="shared" si="2"/>
        <v>233.6283185840708</v>
      </c>
      <c r="G45" s="12">
        <f t="shared" si="3"/>
        <v>244.07999999999998</v>
      </c>
      <c r="H45" s="12">
        <v>235</v>
      </c>
      <c r="I45" s="13">
        <f t="shared" si="4"/>
        <v>15.250737463126844</v>
      </c>
    </row>
    <row r="46" spans="1:9" x14ac:dyDescent="0.25">
      <c r="A46" s="12"/>
      <c r="B46" s="12">
        <v>100</v>
      </c>
      <c r="C46" s="12">
        <v>8.24</v>
      </c>
      <c r="D46" s="15">
        <f>D44</f>
        <v>0.66</v>
      </c>
      <c r="E46" s="13">
        <f t="shared" si="6"/>
        <v>12.484848484848484</v>
      </c>
      <c r="F46" s="14">
        <f t="shared" si="2"/>
        <v>288.34951456310682</v>
      </c>
      <c r="G46" s="12">
        <f t="shared" si="3"/>
        <v>197.76</v>
      </c>
      <c r="H46" s="12">
        <v>195</v>
      </c>
      <c r="I46" s="13">
        <f t="shared" si="4"/>
        <v>15.618932038834952</v>
      </c>
    </row>
    <row r="47" spans="1:9" x14ac:dyDescent="0.25">
      <c r="A47" s="15">
        <v>36</v>
      </c>
      <c r="B47" s="15">
        <v>130</v>
      </c>
      <c r="C47" s="15">
        <v>10.48</v>
      </c>
      <c r="D47" s="15">
        <f>D45</f>
        <v>0.66</v>
      </c>
      <c r="E47" s="16">
        <f>C47/D47</f>
        <v>15.878787878787879</v>
      </c>
      <c r="F47" s="17">
        <f>3600/E47</f>
        <v>226.7175572519084</v>
      </c>
      <c r="G47" s="15">
        <f>C47*24</f>
        <v>251.52</v>
      </c>
      <c r="H47" s="12">
        <v>257</v>
      </c>
      <c r="I47" s="13">
        <f>(H47/E47)</f>
        <v>16.185114503816795</v>
      </c>
    </row>
    <row r="48" spans="1:9" x14ac:dyDescent="0.25">
      <c r="A48" s="15"/>
      <c r="B48" s="15">
        <v>120</v>
      </c>
      <c r="C48" s="15">
        <v>9.59</v>
      </c>
      <c r="D48" s="15">
        <f>D46</f>
        <v>0.66</v>
      </c>
      <c r="E48" s="16">
        <f t="shared" si="6"/>
        <v>14.530303030303029</v>
      </c>
      <c r="F48" s="17">
        <f t="shared" si="2"/>
        <v>247.7580813347237</v>
      </c>
      <c r="G48" s="15">
        <f t="shared" si="3"/>
        <v>230.16</v>
      </c>
      <c r="H48" s="12">
        <v>237</v>
      </c>
      <c r="I48" s="13">
        <f t="shared" si="4"/>
        <v>16.310740354535977</v>
      </c>
    </row>
    <row r="49" spans="1:9" x14ac:dyDescent="0.25">
      <c r="A49" s="15"/>
      <c r="B49" s="15">
        <v>100</v>
      </c>
      <c r="C49" s="15">
        <v>7.76</v>
      </c>
      <c r="D49" s="15">
        <f>D48</f>
        <v>0.66</v>
      </c>
      <c r="E49" s="16">
        <f t="shared" si="6"/>
        <v>11.757575757575756</v>
      </c>
      <c r="F49" s="17">
        <f t="shared" si="2"/>
        <v>306.18556701030934</v>
      </c>
      <c r="G49" s="15">
        <f t="shared" si="3"/>
        <v>186.24</v>
      </c>
      <c r="H49" s="12">
        <v>197</v>
      </c>
      <c r="I49" s="13">
        <f t="shared" si="4"/>
        <v>16.755154639175259</v>
      </c>
    </row>
  </sheetData>
  <mergeCells count="2">
    <mergeCell ref="A1:I1"/>
    <mergeCell ref="A2:I2"/>
  </mergeCells>
  <phoneticPr fontId="1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3:O23"/>
  <sheetViews>
    <sheetView workbookViewId="0">
      <selection activeCell="D5" sqref="D5"/>
    </sheetView>
  </sheetViews>
  <sheetFormatPr baseColWidth="10" defaultRowHeight="15" x14ac:dyDescent="0.25"/>
  <cols>
    <col min="1" max="1" width="15.5703125" customWidth="1"/>
    <col min="2" max="2" width="16.7109375" bestFit="1" customWidth="1"/>
    <col min="3" max="3" width="8.7109375" customWidth="1"/>
    <col min="4" max="4" width="17.42578125" customWidth="1"/>
    <col min="5" max="5" width="15.28515625" bestFit="1" customWidth="1"/>
    <col min="6" max="6" width="9" customWidth="1"/>
    <col min="7" max="7" width="15.5703125" customWidth="1"/>
    <col min="8" max="8" width="17" customWidth="1"/>
    <col min="9" max="9" width="8.28515625" bestFit="1" customWidth="1"/>
    <col min="10" max="10" width="11.42578125" bestFit="1" customWidth="1"/>
    <col min="11" max="11" width="12.85546875" bestFit="1" customWidth="1"/>
    <col min="12" max="12" width="15" customWidth="1"/>
    <col min="13" max="13" width="16.42578125" customWidth="1"/>
    <col min="14" max="14" width="13.28515625" customWidth="1"/>
    <col min="15" max="15" width="14.7109375" customWidth="1"/>
  </cols>
  <sheetData>
    <row r="3" spans="1:15" s="37" customFormat="1" ht="32.25" customHeight="1" x14ac:dyDescent="0.25">
      <c r="A3" s="40" t="s">
        <v>52</v>
      </c>
      <c r="B3" s="40" t="s">
        <v>55</v>
      </c>
      <c r="C3" s="41" t="s">
        <v>63</v>
      </c>
      <c r="D3" s="59" t="s">
        <v>61</v>
      </c>
      <c r="E3" s="36" t="s">
        <v>56</v>
      </c>
      <c r="F3" s="41" t="s">
        <v>63</v>
      </c>
      <c r="G3" s="54" t="s">
        <v>57</v>
      </c>
      <c r="H3" s="36" t="s">
        <v>58</v>
      </c>
      <c r="I3" s="41" t="s">
        <v>63</v>
      </c>
      <c r="J3" s="44" t="s">
        <v>54</v>
      </c>
      <c r="K3" s="44" t="s">
        <v>53</v>
      </c>
      <c r="L3" s="40" t="s">
        <v>62</v>
      </c>
      <c r="M3" s="40" t="s">
        <v>59</v>
      </c>
      <c r="N3" s="41" t="s">
        <v>64</v>
      </c>
      <c r="O3" s="46" t="s">
        <v>60</v>
      </c>
    </row>
    <row r="4" spans="1:15" s="9" customFormat="1" ht="15.75" x14ac:dyDescent="0.25">
      <c r="A4" s="51">
        <v>1512</v>
      </c>
      <c r="B4" s="52">
        <v>41925.552546296298</v>
      </c>
      <c r="C4" s="43">
        <f>(HOUR(B4)+MINUTE(B4)/60)</f>
        <v>13.25</v>
      </c>
      <c r="D4" s="60">
        <v>1628</v>
      </c>
      <c r="E4" s="38">
        <f ca="1">NOW()</f>
        <v>41925.796483564816</v>
      </c>
      <c r="F4" s="43">
        <f ca="1">(HOUR(E4)+MINUTE(E4)/60)</f>
        <v>19.100000000000001</v>
      </c>
      <c r="G4" s="55">
        <f>D4-A4</f>
        <v>116</v>
      </c>
      <c r="H4" s="65">
        <f ca="1">E4-B4</f>
        <v>0.24393726851849351</v>
      </c>
      <c r="I4" s="43">
        <f ca="1">H4*24</f>
        <v>5.8544944444438443</v>
      </c>
      <c r="J4" s="45">
        <f>D14</f>
        <v>89.023923999999994</v>
      </c>
      <c r="K4" s="45">
        <f>G4*K5</f>
        <v>77.72</v>
      </c>
      <c r="L4" s="45">
        <f>J4-K4</f>
        <v>11.303923999999995</v>
      </c>
      <c r="M4" s="48">
        <f ca="1">K4/I4</f>
        <v>13.275270945685067</v>
      </c>
      <c r="N4" s="39">
        <f ca="1">IF(N5&gt;24,N5-24,N5)</f>
        <v>19.95150231933113</v>
      </c>
      <c r="O4" s="47" t="str">
        <f ca="1">INT(N4)&amp;":"&amp;TEXT((N4-INT(N4))*60,"00")</f>
        <v>19:57</v>
      </c>
    </row>
    <row r="5" spans="1:15" x14ac:dyDescent="0.25">
      <c r="D5" s="6"/>
      <c r="G5" s="49" t="s">
        <v>67</v>
      </c>
      <c r="I5" s="233" t="s">
        <v>65</v>
      </c>
      <c r="J5" s="233"/>
      <c r="K5" s="50">
        <v>0.67</v>
      </c>
      <c r="L5" s="58">
        <f>L4/J4</f>
        <v>0.1269762496652023</v>
      </c>
      <c r="M5" s="214">
        <f ca="1">M4*24</f>
        <v>318.60650269644162</v>
      </c>
      <c r="N5" s="42">
        <f ca="1">F4+L6</f>
        <v>19.95150231933113</v>
      </c>
    </row>
    <row r="6" spans="1:15" x14ac:dyDescent="0.25">
      <c r="D6" s="227" t="s">
        <v>224</v>
      </c>
      <c r="G6" s="56">
        <f ca="1">(I4/G4)*3600</f>
        <v>181.69120689653309</v>
      </c>
      <c r="I6" s="233" t="s">
        <v>66</v>
      </c>
      <c r="J6" s="233"/>
      <c r="K6" s="50">
        <f>J4/G4</f>
        <v>0.76744762068965511</v>
      </c>
      <c r="L6" s="66">
        <f ca="1">L4/M4</f>
        <v>0.85150231933112974</v>
      </c>
    </row>
    <row r="7" spans="1:15" x14ac:dyDescent="0.25">
      <c r="D7" s="228">
        <f>(D14/E14)+A4</f>
        <v>1644.8715283582089</v>
      </c>
      <c r="I7" s="233" t="s">
        <v>68</v>
      </c>
      <c r="J7" s="233"/>
      <c r="K7" s="57">
        <v>0.68899999999999995</v>
      </c>
    </row>
    <row r="8" spans="1:15" x14ac:dyDescent="0.25">
      <c r="A8" t="s">
        <v>71</v>
      </c>
      <c r="I8" s="234" t="s">
        <v>79</v>
      </c>
      <c r="J8" s="234"/>
      <c r="K8" s="61">
        <v>190</v>
      </c>
      <c r="L8" s="62">
        <f>L4*K9+L4</f>
        <v>13.564708799999995</v>
      </c>
    </row>
    <row r="9" spans="1:15" x14ac:dyDescent="0.25">
      <c r="A9" t="s">
        <v>32</v>
      </c>
      <c r="B9" t="s">
        <v>72</v>
      </c>
      <c r="K9" s="64">
        <v>0.2</v>
      </c>
      <c r="L9" s="63">
        <f>L8/K8</f>
        <v>7.1393204210526293E-2</v>
      </c>
    </row>
    <row r="10" spans="1:15" x14ac:dyDescent="0.25">
      <c r="A10">
        <v>27</v>
      </c>
      <c r="B10">
        <v>0.65600000000000003</v>
      </c>
    </row>
    <row r="11" spans="1:15" x14ac:dyDescent="0.25">
      <c r="A11">
        <v>32</v>
      </c>
      <c r="B11">
        <v>0.60799999999999998</v>
      </c>
    </row>
    <row r="12" spans="1:15" x14ac:dyDescent="0.25">
      <c r="A12">
        <v>35</v>
      </c>
      <c r="B12">
        <v>0.55000000000000004</v>
      </c>
    </row>
    <row r="13" spans="1:15" x14ac:dyDescent="0.25">
      <c r="A13">
        <v>28</v>
      </c>
      <c r="B13">
        <v>0.63</v>
      </c>
      <c r="D13" s="203" t="s">
        <v>193</v>
      </c>
      <c r="E13" s="203" t="s">
        <v>194</v>
      </c>
      <c r="F13" s="203" t="s">
        <v>197</v>
      </c>
      <c r="G13" s="203" t="s">
        <v>196</v>
      </c>
      <c r="H13" s="203" t="s">
        <v>195</v>
      </c>
      <c r="I13" s="203" t="s">
        <v>199</v>
      </c>
      <c r="J13" s="203" t="s">
        <v>198</v>
      </c>
    </row>
    <row r="14" spans="1:15" ht="18.75" x14ac:dyDescent="0.3">
      <c r="D14" s="218">
        <f>D15+D16</f>
        <v>89.023923999999994</v>
      </c>
      <c r="E14" s="207">
        <v>0.67</v>
      </c>
      <c r="F14" s="204">
        <v>180</v>
      </c>
      <c r="G14" s="206">
        <v>0.55208333333333337</v>
      </c>
      <c r="H14" s="202">
        <f>(3600/F14)*E14</f>
        <v>13.4</v>
      </c>
      <c r="I14" s="202" t="str">
        <f>TEXT(I15/24, "h:mm")</f>
        <v>6:38</v>
      </c>
      <c r="J14" s="205" t="str">
        <f>INT(J16)&amp;":"&amp;TEXT((J16-INT(J16))*60,"00")</f>
        <v>19:54</v>
      </c>
    </row>
    <row r="15" spans="1:15" x14ac:dyDescent="0.25">
      <c r="D15" s="207">
        <f>SUM(SUMIF('Registre Global'!B70:B499,"Apport",'Registre Global'!Q70:Q499),SUMIF('Registre Global'!B70:B499,"Transfert E",'Registre Global'!Q70:Q499))/1000</f>
        <v>89.023923999999994</v>
      </c>
      <c r="G15" s="202">
        <f>(HOUR(G14)+MINUTE(G14)/60)</f>
        <v>13.25</v>
      </c>
      <c r="H15" s="202">
        <f>H14*24</f>
        <v>321.60000000000002</v>
      </c>
      <c r="I15" s="202">
        <f>(D14/H14)</f>
        <v>6.6435764179104471</v>
      </c>
      <c r="J15" s="202">
        <f>G15+I15</f>
        <v>19.893576417910445</v>
      </c>
    </row>
    <row r="16" spans="1:15" ht="15.75" x14ac:dyDescent="0.25">
      <c r="A16" s="235" t="s">
        <v>228</v>
      </c>
      <c r="B16" s="235"/>
      <c r="C16" s="235"/>
      <c r="D16" s="231"/>
      <c r="E16" t="s">
        <v>229</v>
      </c>
      <c r="F16">
        <v>70</v>
      </c>
      <c r="J16" s="202">
        <f>IF(J15&gt;24,J15-24,J15)</f>
        <v>19.893576417910445</v>
      </c>
    </row>
    <row r="17" spans="2:6" x14ac:dyDescent="0.25">
      <c r="E17" t="s">
        <v>230</v>
      </c>
      <c r="F17">
        <v>499</v>
      </c>
    </row>
    <row r="19" spans="2:6" x14ac:dyDescent="0.25">
      <c r="D19" s="230">
        <f>SUM(SUMIF('Registre Global'!B70:B499,"Apport",'Registre Global'!Q70:Q499),SUMIF('Registre Global'!B70:B499,"Transfert E",'Registre Global'!Q70:Q499))/1000</f>
        <v>89.023923999999994</v>
      </c>
    </row>
    <row r="23" spans="2:6" x14ac:dyDescent="0.25">
      <c r="B23" s="53"/>
    </row>
  </sheetData>
  <mergeCells count="5">
    <mergeCell ref="I5:J5"/>
    <mergeCell ref="I6:J6"/>
    <mergeCell ref="I7:J7"/>
    <mergeCell ref="I8:J8"/>
    <mergeCell ref="A16:C16"/>
  </mergeCells>
  <phoneticPr fontId="1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33"/>
  <sheetViews>
    <sheetView workbookViewId="0">
      <selection activeCell="E5" sqref="E5"/>
    </sheetView>
  </sheetViews>
  <sheetFormatPr baseColWidth="10" defaultRowHeight="15" x14ac:dyDescent="0.25"/>
  <cols>
    <col min="1" max="1" width="14.140625" bestFit="1" customWidth="1"/>
    <col min="2" max="2" width="9.42578125" bestFit="1" customWidth="1"/>
    <col min="3" max="4" width="14.28515625" customWidth="1"/>
    <col min="5" max="5" width="14.140625" customWidth="1"/>
    <col min="6" max="6" width="13.85546875" customWidth="1"/>
    <col min="7" max="7" width="14.140625" bestFit="1" customWidth="1"/>
  </cols>
  <sheetData>
    <row r="1" spans="1:6" ht="18.75" x14ac:dyDescent="0.3">
      <c r="A1" s="237" t="s">
        <v>42</v>
      </c>
      <c r="B1" s="237"/>
      <c r="C1" s="237"/>
      <c r="D1" s="237"/>
      <c r="E1" s="237"/>
      <c r="F1" s="237"/>
    </row>
    <row r="3" spans="1:6" x14ac:dyDescent="0.25">
      <c r="A3" s="236" t="s">
        <v>43</v>
      </c>
      <c r="B3" s="236"/>
      <c r="C3" s="20">
        <v>15</v>
      </c>
      <c r="D3" s="20"/>
      <c r="E3" s="21" t="s">
        <v>44</v>
      </c>
      <c r="F3" s="22">
        <v>0.51</v>
      </c>
    </row>
    <row r="4" spans="1:6" x14ac:dyDescent="0.25">
      <c r="A4" s="1" t="s">
        <v>48</v>
      </c>
      <c r="B4" s="23">
        <v>750</v>
      </c>
      <c r="E4" t="s">
        <v>214</v>
      </c>
      <c r="F4" s="216">
        <v>176</v>
      </c>
    </row>
    <row r="6" spans="1:6" x14ac:dyDescent="0.25">
      <c r="A6" s="24" t="s">
        <v>0</v>
      </c>
      <c r="B6" s="24" t="s">
        <v>45</v>
      </c>
      <c r="C6" s="24" t="s">
        <v>46</v>
      </c>
      <c r="D6" s="24" t="s">
        <v>49</v>
      </c>
      <c r="E6" s="24" t="s">
        <v>44</v>
      </c>
      <c r="F6" s="24" t="s">
        <v>47</v>
      </c>
    </row>
    <row r="7" spans="1:6" x14ac:dyDescent="0.25">
      <c r="A7" s="25">
        <v>41904</v>
      </c>
      <c r="B7" s="26">
        <v>15</v>
      </c>
      <c r="C7" s="27">
        <v>36251</v>
      </c>
      <c r="D7" s="33">
        <v>0.51500000000000001</v>
      </c>
      <c r="E7" s="35">
        <f>C7*D7</f>
        <v>18669.264999999999</v>
      </c>
      <c r="F7" s="28">
        <f>(E7/1000)*714.56</f>
        <v>13340.309998399998</v>
      </c>
    </row>
    <row r="8" spans="1:6" x14ac:dyDescent="0.25">
      <c r="A8" s="25"/>
      <c r="B8" s="26"/>
      <c r="C8" s="27"/>
      <c r="D8" s="33"/>
      <c r="E8" s="35">
        <f t="shared" ref="E8:E13" si="0">C8*D8</f>
        <v>0</v>
      </c>
      <c r="F8" s="28">
        <f t="shared" ref="F8:F16" si="1">(E8/1000)*B$4</f>
        <v>0</v>
      </c>
    </row>
    <row r="9" spans="1:6" x14ac:dyDescent="0.25">
      <c r="A9" s="25"/>
      <c r="B9" s="26"/>
      <c r="C9" s="27"/>
      <c r="D9" s="33"/>
      <c r="E9" s="35">
        <f t="shared" si="0"/>
        <v>0</v>
      </c>
      <c r="F9" s="28">
        <f t="shared" si="1"/>
        <v>0</v>
      </c>
    </row>
    <row r="10" spans="1:6" x14ac:dyDescent="0.25">
      <c r="A10" s="25"/>
      <c r="B10" s="26"/>
      <c r="C10" s="27"/>
      <c r="D10" s="33"/>
      <c r="E10" s="35">
        <f t="shared" si="0"/>
        <v>0</v>
      </c>
      <c r="F10" s="28">
        <f t="shared" si="1"/>
        <v>0</v>
      </c>
    </row>
    <row r="11" spans="1:6" x14ac:dyDescent="0.25">
      <c r="A11" s="25"/>
      <c r="B11" s="26"/>
      <c r="C11" s="27"/>
      <c r="D11" s="33"/>
      <c r="E11" s="35">
        <f t="shared" si="0"/>
        <v>0</v>
      </c>
      <c r="F11" s="28">
        <f t="shared" si="1"/>
        <v>0</v>
      </c>
    </row>
    <row r="12" spans="1:6" x14ac:dyDescent="0.25">
      <c r="A12" s="25"/>
      <c r="B12" s="26"/>
      <c r="C12" s="27"/>
      <c r="D12" s="33"/>
      <c r="E12" s="35">
        <f t="shared" si="0"/>
        <v>0</v>
      </c>
      <c r="F12" s="28">
        <f t="shared" si="1"/>
        <v>0</v>
      </c>
    </row>
    <row r="13" spans="1:6" x14ac:dyDescent="0.25">
      <c r="A13" s="25"/>
      <c r="B13" s="26"/>
      <c r="C13" s="27"/>
      <c r="D13" s="33"/>
      <c r="E13" s="35">
        <f t="shared" si="0"/>
        <v>0</v>
      </c>
      <c r="F13" s="28">
        <f t="shared" si="1"/>
        <v>0</v>
      </c>
    </row>
    <row r="14" spans="1:6" x14ac:dyDescent="0.25">
      <c r="A14" s="25"/>
      <c r="B14" s="26"/>
      <c r="C14" s="27"/>
      <c r="D14" s="33"/>
      <c r="E14" s="35">
        <f t="shared" ref="E14:E32" si="2">C14*D14</f>
        <v>0</v>
      </c>
      <c r="F14" s="28">
        <f t="shared" si="1"/>
        <v>0</v>
      </c>
    </row>
    <row r="15" spans="1:6" x14ac:dyDescent="0.25">
      <c r="A15" s="25"/>
      <c r="B15" s="26"/>
      <c r="C15" s="27"/>
      <c r="D15" s="33"/>
      <c r="E15" s="35">
        <f t="shared" si="2"/>
        <v>0</v>
      </c>
      <c r="F15" s="28">
        <f t="shared" si="1"/>
        <v>0</v>
      </c>
    </row>
    <row r="16" spans="1:6" x14ac:dyDescent="0.25">
      <c r="A16" s="25"/>
      <c r="B16" s="26"/>
      <c r="C16" s="27"/>
      <c r="D16" s="33"/>
      <c r="E16" s="35">
        <f t="shared" si="2"/>
        <v>0</v>
      </c>
      <c r="F16" s="28">
        <f t="shared" si="1"/>
        <v>0</v>
      </c>
    </row>
    <row r="17" spans="1:6" x14ac:dyDescent="0.25">
      <c r="A17" s="25"/>
      <c r="B17" s="26"/>
      <c r="C17" s="27"/>
      <c r="D17" s="33"/>
      <c r="E17" s="35">
        <f t="shared" si="2"/>
        <v>0</v>
      </c>
      <c r="F17" s="28">
        <f t="shared" ref="F17:F32" si="3">(E17/1000)*B$4</f>
        <v>0</v>
      </c>
    </row>
    <row r="18" spans="1:6" x14ac:dyDescent="0.25">
      <c r="A18" s="25"/>
      <c r="B18" s="26"/>
      <c r="C18" s="27"/>
      <c r="D18" s="33"/>
      <c r="E18" s="35">
        <f t="shared" si="2"/>
        <v>0</v>
      </c>
      <c r="F18" s="28">
        <f t="shared" si="3"/>
        <v>0</v>
      </c>
    </row>
    <row r="19" spans="1:6" x14ac:dyDescent="0.25">
      <c r="A19" s="25"/>
      <c r="B19" s="26"/>
      <c r="C19" s="27"/>
      <c r="D19" s="33"/>
      <c r="E19" s="35">
        <f t="shared" si="2"/>
        <v>0</v>
      </c>
      <c r="F19" s="28">
        <f t="shared" si="3"/>
        <v>0</v>
      </c>
    </row>
    <row r="20" spans="1:6" x14ac:dyDescent="0.25">
      <c r="A20" s="25"/>
      <c r="B20" s="26"/>
      <c r="C20" s="27"/>
      <c r="D20" s="33"/>
      <c r="E20" s="35">
        <f t="shared" si="2"/>
        <v>0</v>
      </c>
      <c r="F20" s="28">
        <f t="shared" si="3"/>
        <v>0</v>
      </c>
    </row>
    <row r="21" spans="1:6" x14ac:dyDescent="0.25">
      <c r="A21" s="25"/>
      <c r="B21" s="26"/>
      <c r="C21" s="27"/>
      <c r="D21" s="33"/>
      <c r="E21" s="35">
        <f t="shared" si="2"/>
        <v>0</v>
      </c>
      <c r="F21" s="28">
        <f t="shared" si="3"/>
        <v>0</v>
      </c>
    </row>
    <row r="22" spans="1:6" x14ac:dyDescent="0.25">
      <c r="A22" s="25"/>
      <c r="B22" s="26"/>
      <c r="C22" s="27"/>
      <c r="D22" s="33"/>
      <c r="E22" s="35">
        <f t="shared" si="2"/>
        <v>0</v>
      </c>
      <c r="F22" s="28">
        <f t="shared" si="3"/>
        <v>0</v>
      </c>
    </row>
    <row r="23" spans="1:6" x14ac:dyDescent="0.25">
      <c r="A23" s="25"/>
      <c r="B23" s="26"/>
      <c r="C23" s="27"/>
      <c r="D23" s="33"/>
      <c r="E23" s="35">
        <f t="shared" si="2"/>
        <v>0</v>
      </c>
      <c r="F23" s="28">
        <f t="shared" si="3"/>
        <v>0</v>
      </c>
    </row>
    <row r="24" spans="1:6" x14ac:dyDescent="0.25">
      <c r="A24" s="25"/>
      <c r="B24" s="26"/>
      <c r="C24" s="27"/>
      <c r="D24" s="33"/>
      <c r="E24" s="35">
        <f t="shared" si="2"/>
        <v>0</v>
      </c>
      <c r="F24" s="28">
        <f t="shared" si="3"/>
        <v>0</v>
      </c>
    </row>
    <row r="25" spans="1:6" x14ac:dyDescent="0.25">
      <c r="A25" s="25"/>
      <c r="B25" s="26"/>
      <c r="C25" s="27"/>
      <c r="D25" s="33"/>
      <c r="E25" s="35">
        <f t="shared" si="2"/>
        <v>0</v>
      </c>
      <c r="F25" s="28">
        <f t="shared" si="3"/>
        <v>0</v>
      </c>
    </row>
    <row r="26" spans="1:6" x14ac:dyDescent="0.25">
      <c r="A26" s="25"/>
      <c r="B26" s="26"/>
      <c r="C26" s="27"/>
      <c r="D26" s="33"/>
      <c r="E26" s="35">
        <f t="shared" si="2"/>
        <v>0</v>
      </c>
      <c r="F26" s="28">
        <f t="shared" si="3"/>
        <v>0</v>
      </c>
    </row>
    <row r="27" spans="1:6" x14ac:dyDescent="0.25">
      <c r="A27" s="25"/>
      <c r="B27" s="26"/>
      <c r="C27" s="27"/>
      <c r="D27" s="33"/>
      <c r="E27" s="35">
        <f t="shared" si="2"/>
        <v>0</v>
      </c>
      <c r="F27" s="28">
        <f t="shared" si="3"/>
        <v>0</v>
      </c>
    </row>
    <row r="28" spans="1:6" x14ac:dyDescent="0.25">
      <c r="A28" s="25"/>
      <c r="B28" s="26"/>
      <c r="C28" s="27"/>
      <c r="D28" s="33"/>
      <c r="E28" s="35">
        <f t="shared" si="2"/>
        <v>0</v>
      </c>
      <c r="F28" s="28">
        <f t="shared" si="3"/>
        <v>0</v>
      </c>
    </row>
    <row r="29" spans="1:6" x14ac:dyDescent="0.25">
      <c r="A29" s="25"/>
      <c r="B29" s="26"/>
      <c r="C29" s="27"/>
      <c r="D29" s="33"/>
      <c r="E29" s="35">
        <f t="shared" si="2"/>
        <v>0</v>
      </c>
      <c r="F29" s="28">
        <f t="shared" si="3"/>
        <v>0</v>
      </c>
    </row>
    <row r="30" spans="1:6" x14ac:dyDescent="0.25">
      <c r="A30" s="25"/>
      <c r="B30" s="26"/>
      <c r="C30" s="27"/>
      <c r="D30" s="33"/>
      <c r="E30" s="35">
        <f t="shared" si="2"/>
        <v>0</v>
      </c>
      <c r="F30" s="28">
        <f t="shared" si="3"/>
        <v>0</v>
      </c>
    </row>
    <row r="31" spans="1:6" x14ac:dyDescent="0.25">
      <c r="A31" s="25"/>
      <c r="B31" s="26"/>
      <c r="C31" s="27"/>
      <c r="D31" s="33"/>
      <c r="E31" s="35">
        <f t="shared" si="2"/>
        <v>0</v>
      </c>
      <c r="F31" s="28">
        <f t="shared" si="3"/>
        <v>0</v>
      </c>
    </row>
    <row r="32" spans="1:6" x14ac:dyDescent="0.25">
      <c r="A32" s="25"/>
      <c r="B32" s="26"/>
      <c r="C32" s="27"/>
      <c r="D32" s="33"/>
      <c r="E32" s="35">
        <f t="shared" si="2"/>
        <v>0</v>
      </c>
      <c r="F32" s="28">
        <f t="shared" si="3"/>
        <v>0</v>
      </c>
    </row>
    <row r="33" spans="4:6" x14ac:dyDescent="0.25">
      <c r="D33" s="24" t="s">
        <v>7</v>
      </c>
      <c r="E33" s="35">
        <f>SUM(E7:E32)</f>
        <v>18669.264999999999</v>
      </c>
      <c r="F33" s="34">
        <f>SUM(F7:F32)</f>
        <v>13340.309998399998</v>
      </c>
    </row>
  </sheetData>
  <mergeCells count="2">
    <mergeCell ref="A3:B3"/>
    <mergeCell ref="A1:F1"/>
  </mergeCells>
  <phoneticPr fontId="17"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F981"/>
  <sheetViews>
    <sheetView workbookViewId="0">
      <pane ySplit="4" topLeftCell="A47" activePane="bottomLeft" state="frozen"/>
      <selection pane="bottomLeft" activeCell="D67" sqref="D67"/>
    </sheetView>
  </sheetViews>
  <sheetFormatPr baseColWidth="10" defaultRowHeight="15" x14ac:dyDescent="0.25"/>
  <cols>
    <col min="1" max="1" width="31.7109375" customWidth="1"/>
    <col min="2" max="2" width="16.28515625" style="182" customWidth="1"/>
    <col min="3" max="3" width="14.140625" style="180" customWidth="1"/>
    <col min="4" max="4" width="18.5703125" style="219" customWidth="1"/>
    <col min="5" max="5" width="33.85546875" style="181" customWidth="1"/>
    <col min="6" max="6" width="33.7109375" bestFit="1" customWidth="1"/>
    <col min="7" max="7" width="11.42578125" customWidth="1"/>
    <col min="8" max="59" width="10.7109375" customWidth="1"/>
    <col min="60" max="60" width="14.140625" customWidth="1"/>
    <col min="61" max="88" width="10.7109375" customWidth="1"/>
    <col min="89" max="89" width="24.42578125" customWidth="1"/>
    <col min="90" max="146" width="10.7109375" customWidth="1"/>
    <col min="147" max="147" width="19.42578125" bestFit="1" customWidth="1"/>
    <col min="148" max="148" width="9.5703125" customWidth="1"/>
    <col min="149" max="149" width="19.140625" customWidth="1"/>
    <col min="150" max="150" width="38.7109375" bestFit="1" customWidth="1"/>
    <col min="151" max="151" width="38.5703125" bestFit="1" customWidth="1"/>
    <col min="152" max="152" width="33.85546875" bestFit="1" customWidth="1"/>
    <col min="153" max="153" width="33.7109375" bestFit="1" customWidth="1"/>
    <col min="154" max="154" width="13.42578125" bestFit="1" customWidth="1"/>
    <col min="155" max="155" width="14.140625" bestFit="1" customWidth="1"/>
    <col min="156" max="156" width="33.85546875" bestFit="1" customWidth="1"/>
    <col min="157" max="157" width="33.7109375" bestFit="1" customWidth="1"/>
    <col min="158" max="158" width="13.42578125" bestFit="1" customWidth="1"/>
    <col min="159" max="159" width="14.140625" bestFit="1" customWidth="1"/>
    <col min="160" max="160" width="33.85546875" bestFit="1" customWidth="1"/>
    <col min="161" max="161" width="33.7109375" bestFit="1" customWidth="1"/>
    <col min="162" max="162" width="13.42578125" bestFit="1" customWidth="1"/>
    <col min="163" max="163" width="14.140625" bestFit="1" customWidth="1"/>
    <col min="164" max="164" width="33.85546875" bestFit="1" customWidth="1"/>
    <col min="165" max="165" width="33.7109375" bestFit="1" customWidth="1"/>
    <col min="166" max="166" width="13.42578125" bestFit="1" customWidth="1"/>
    <col min="167" max="167" width="14.140625" bestFit="1" customWidth="1"/>
    <col min="168" max="168" width="33.85546875" bestFit="1" customWidth="1"/>
    <col min="169" max="169" width="33.7109375" bestFit="1" customWidth="1"/>
    <col min="170" max="170" width="13.42578125" bestFit="1" customWidth="1"/>
    <col min="171" max="171" width="14.140625" bestFit="1" customWidth="1"/>
    <col min="172" max="172" width="33.85546875" bestFit="1" customWidth="1"/>
    <col min="173" max="173" width="33.7109375" bestFit="1" customWidth="1"/>
    <col min="174" max="174" width="13.42578125" bestFit="1" customWidth="1"/>
    <col min="175" max="175" width="14.140625" bestFit="1" customWidth="1"/>
    <col min="176" max="176" width="33.85546875" bestFit="1" customWidth="1"/>
    <col min="177" max="177" width="33.7109375" bestFit="1" customWidth="1"/>
    <col min="178" max="178" width="13.42578125" bestFit="1" customWidth="1"/>
    <col min="179" max="179" width="14.140625" bestFit="1" customWidth="1"/>
    <col min="180" max="180" width="33.85546875" bestFit="1" customWidth="1"/>
    <col min="181" max="181" width="33.7109375" bestFit="1" customWidth="1"/>
    <col min="182" max="182" width="13.42578125" bestFit="1" customWidth="1"/>
    <col min="183" max="183" width="14.140625" bestFit="1" customWidth="1"/>
    <col min="184" max="184" width="33.85546875" bestFit="1" customWidth="1"/>
    <col min="185" max="185" width="33.7109375" bestFit="1" customWidth="1"/>
    <col min="186" max="186" width="13.42578125" bestFit="1" customWidth="1"/>
    <col min="187" max="187" width="14.140625" bestFit="1" customWidth="1"/>
    <col min="188" max="188" width="33.85546875" bestFit="1" customWidth="1"/>
    <col min="189" max="189" width="33.7109375" bestFit="1" customWidth="1"/>
    <col min="190" max="190" width="13.42578125" bestFit="1" customWidth="1"/>
    <col min="191" max="191" width="14.140625" bestFit="1" customWidth="1"/>
    <col min="192" max="192" width="33.85546875" bestFit="1" customWidth="1"/>
    <col min="193" max="193" width="33.7109375" bestFit="1" customWidth="1"/>
    <col min="194" max="194" width="13.42578125" bestFit="1" customWidth="1"/>
    <col min="195" max="195" width="14.140625" bestFit="1" customWidth="1"/>
    <col min="196" max="196" width="33.85546875" bestFit="1" customWidth="1"/>
    <col min="197" max="197" width="33.7109375" bestFit="1" customWidth="1"/>
    <col min="198" max="198" width="13.42578125" bestFit="1" customWidth="1"/>
    <col min="199" max="199" width="14.140625" bestFit="1" customWidth="1"/>
    <col min="200" max="200" width="33.85546875" bestFit="1" customWidth="1"/>
    <col min="201" max="201" width="33.7109375" bestFit="1" customWidth="1"/>
    <col min="202" max="202" width="13.42578125" bestFit="1" customWidth="1"/>
    <col min="203" max="203" width="14.140625" bestFit="1" customWidth="1"/>
    <col min="204" max="204" width="33.85546875" bestFit="1" customWidth="1"/>
    <col min="205" max="205" width="33.7109375" bestFit="1" customWidth="1"/>
    <col min="206" max="206" width="13.42578125" bestFit="1" customWidth="1"/>
    <col min="207" max="207" width="14.140625" bestFit="1" customWidth="1"/>
    <col min="208" max="208" width="33.85546875" bestFit="1" customWidth="1"/>
    <col min="209" max="209" width="33.7109375" bestFit="1" customWidth="1"/>
    <col min="210" max="210" width="13.42578125" bestFit="1" customWidth="1"/>
    <col min="211" max="211" width="14.140625" bestFit="1" customWidth="1"/>
    <col min="212" max="212" width="33.85546875" bestFit="1" customWidth="1"/>
    <col min="213" max="213" width="33.7109375" bestFit="1" customWidth="1"/>
    <col min="214" max="214" width="13.42578125" bestFit="1" customWidth="1"/>
    <col min="215" max="215" width="14.140625" bestFit="1" customWidth="1"/>
    <col min="216" max="216" width="33.85546875" bestFit="1" customWidth="1"/>
    <col min="217" max="217" width="33.7109375" bestFit="1" customWidth="1"/>
    <col min="218" max="218" width="13.42578125" bestFit="1" customWidth="1"/>
    <col min="219" max="219" width="14.140625" bestFit="1" customWidth="1"/>
    <col min="220" max="220" width="33.85546875" bestFit="1" customWidth="1"/>
    <col min="221" max="221" width="33.7109375" bestFit="1" customWidth="1"/>
    <col min="222" max="222" width="13.42578125" bestFit="1" customWidth="1"/>
    <col min="223" max="223" width="14.140625" bestFit="1" customWidth="1"/>
    <col min="224" max="224" width="33.85546875" bestFit="1" customWidth="1"/>
    <col min="225" max="225" width="33.7109375" bestFit="1" customWidth="1"/>
    <col min="226" max="226" width="13.42578125" bestFit="1" customWidth="1"/>
    <col min="227" max="227" width="14.140625" bestFit="1" customWidth="1"/>
    <col min="228" max="228" width="33.85546875" bestFit="1" customWidth="1"/>
    <col min="229" max="229" width="33.7109375" bestFit="1" customWidth="1"/>
    <col min="230" max="230" width="13.42578125" bestFit="1" customWidth="1"/>
    <col min="231" max="231" width="14.140625" bestFit="1" customWidth="1"/>
    <col min="232" max="232" width="33.85546875" bestFit="1" customWidth="1"/>
    <col min="233" max="233" width="33.7109375" bestFit="1" customWidth="1"/>
    <col min="234" max="234" width="13.42578125" bestFit="1" customWidth="1"/>
    <col min="235" max="235" width="14.140625" bestFit="1" customWidth="1"/>
    <col min="236" max="236" width="33.85546875" bestFit="1" customWidth="1"/>
    <col min="237" max="237" width="33.7109375" bestFit="1" customWidth="1"/>
    <col min="238" max="238" width="13.42578125" bestFit="1" customWidth="1"/>
    <col min="239" max="239" width="14.140625" bestFit="1" customWidth="1"/>
    <col min="240" max="240" width="33.85546875" bestFit="1" customWidth="1"/>
    <col min="241" max="241" width="33.7109375" bestFit="1" customWidth="1"/>
    <col min="242" max="242" width="13.42578125" bestFit="1" customWidth="1"/>
    <col min="243" max="243" width="14.140625" bestFit="1" customWidth="1"/>
    <col min="244" max="244" width="33.85546875" bestFit="1" customWidth="1"/>
    <col min="245" max="245" width="33.7109375" bestFit="1" customWidth="1"/>
    <col min="246" max="246" width="13.42578125" bestFit="1" customWidth="1"/>
    <col min="247" max="247" width="14.140625" bestFit="1" customWidth="1"/>
    <col min="248" max="248" width="33.85546875" bestFit="1" customWidth="1"/>
    <col min="249" max="249" width="33.7109375" bestFit="1" customWidth="1"/>
    <col min="250" max="250" width="13.42578125" bestFit="1" customWidth="1"/>
    <col min="251" max="251" width="14.140625" bestFit="1" customWidth="1"/>
    <col min="252" max="252" width="33.85546875" bestFit="1" customWidth="1"/>
    <col min="253" max="253" width="33.7109375" bestFit="1" customWidth="1"/>
    <col min="254" max="254" width="13.42578125" bestFit="1" customWidth="1"/>
    <col min="255" max="255" width="14.140625" bestFit="1" customWidth="1"/>
    <col min="256" max="256" width="33.85546875" bestFit="1" customWidth="1"/>
    <col min="257" max="257" width="33.7109375" bestFit="1" customWidth="1"/>
    <col min="258" max="258" width="13.42578125" bestFit="1" customWidth="1"/>
    <col min="259" max="259" width="14.140625" bestFit="1" customWidth="1"/>
    <col min="260" max="260" width="33.85546875" bestFit="1" customWidth="1"/>
    <col min="261" max="261" width="33.7109375" bestFit="1" customWidth="1"/>
    <col min="262" max="262" width="13.42578125" bestFit="1" customWidth="1"/>
    <col min="263" max="263" width="14.140625" bestFit="1" customWidth="1"/>
    <col min="264" max="264" width="33.85546875" bestFit="1" customWidth="1"/>
    <col min="265" max="265" width="33.7109375" bestFit="1" customWidth="1"/>
    <col min="266" max="266" width="13.42578125" bestFit="1" customWidth="1"/>
    <col min="267" max="267" width="14.140625" bestFit="1" customWidth="1"/>
    <col min="268" max="268" width="33.85546875" bestFit="1" customWidth="1"/>
    <col min="269" max="269" width="33.7109375" bestFit="1" customWidth="1"/>
    <col min="270" max="270" width="13.42578125" bestFit="1" customWidth="1"/>
    <col min="271" max="271" width="14.140625" bestFit="1" customWidth="1"/>
    <col min="272" max="272" width="33.85546875" bestFit="1" customWidth="1"/>
    <col min="273" max="273" width="33.7109375" bestFit="1" customWidth="1"/>
    <col min="274" max="274" width="13.42578125" bestFit="1" customWidth="1"/>
    <col min="275" max="275" width="14.140625" bestFit="1" customWidth="1"/>
    <col min="276" max="276" width="33.85546875" bestFit="1" customWidth="1"/>
    <col min="277" max="277" width="33.7109375" bestFit="1" customWidth="1"/>
    <col min="278" max="278" width="13.42578125" bestFit="1" customWidth="1"/>
    <col min="279" max="279" width="14.140625" bestFit="1" customWidth="1"/>
    <col min="280" max="280" width="33.85546875" bestFit="1" customWidth="1"/>
    <col min="281" max="281" width="33.7109375" bestFit="1" customWidth="1"/>
    <col min="282" max="282" width="13.42578125" bestFit="1" customWidth="1"/>
    <col min="283" max="283" width="14.140625" bestFit="1" customWidth="1"/>
    <col min="284" max="284" width="33.85546875" bestFit="1" customWidth="1"/>
    <col min="285" max="285" width="33.7109375" bestFit="1" customWidth="1"/>
    <col min="286" max="286" width="13.42578125" bestFit="1" customWidth="1"/>
    <col min="287" max="287" width="14.140625" bestFit="1" customWidth="1"/>
    <col min="288" max="288" width="33.85546875" bestFit="1" customWidth="1"/>
    <col min="289" max="289" width="33.7109375" bestFit="1" customWidth="1"/>
    <col min="290" max="290" width="13.42578125" bestFit="1" customWidth="1"/>
    <col min="291" max="291" width="14.140625" bestFit="1" customWidth="1"/>
    <col min="292" max="292" width="33.85546875" bestFit="1" customWidth="1"/>
    <col min="293" max="293" width="33.7109375" bestFit="1" customWidth="1"/>
    <col min="294" max="294" width="13.42578125" bestFit="1" customWidth="1"/>
    <col min="295" max="295" width="14.140625" bestFit="1" customWidth="1"/>
    <col min="296" max="296" width="33.85546875" bestFit="1" customWidth="1"/>
    <col min="297" max="297" width="33.7109375" bestFit="1" customWidth="1"/>
    <col min="298" max="298" width="13.42578125" bestFit="1" customWidth="1"/>
    <col min="299" max="299" width="14.140625" bestFit="1" customWidth="1"/>
    <col min="300" max="300" width="33.85546875" bestFit="1" customWidth="1"/>
    <col min="301" max="301" width="33.7109375" bestFit="1" customWidth="1"/>
    <col min="302" max="302" width="13.42578125" bestFit="1" customWidth="1"/>
    <col min="303" max="303" width="14.140625" bestFit="1" customWidth="1"/>
    <col min="304" max="304" width="33.85546875" bestFit="1" customWidth="1"/>
    <col min="305" max="305" width="33.7109375" bestFit="1" customWidth="1"/>
    <col min="306" max="306" width="13.42578125" bestFit="1" customWidth="1"/>
    <col min="307" max="307" width="14.140625" bestFit="1" customWidth="1"/>
    <col min="308" max="308" width="33.85546875" bestFit="1" customWidth="1"/>
    <col min="309" max="309" width="33.7109375" bestFit="1" customWidth="1"/>
    <col min="310" max="310" width="13.42578125" bestFit="1" customWidth="1"/>
    <col min="311" max="311" width="14.140625" bestFit="1" customWidth="1"/>
    <col min="312" max="312" width="33.85546875" bestFit="1" customWidth="1"/>
    <col min="313" max="313" width="33.7109375" bestFit="1" customWidth="1"/>
    <col min="314" max="314" width="13.42578125" bestFit="1" customWidth="1"/>
    <col min="315" max="315" width="14.140625" bestFit="1" customWidth="1"/>
    <col min="316" max="316" width="33.85546875" bestFit="1" customWidth="1"/>
    <col min="317" max="317" width="33.7109375" bestFit="1" customWidth="1"/>
    <col min="318" max="318" width="13.42578125" bestFit="1" customWidth="1"/>
    <col min="319" max="319" width="14.140625" bestFit="1" customWidth="1"/>
    <col min="320" max="320" width="33.85546875" bestFit="1" customWidth="1"/>
    <col min="321" max="321" width="33.7109375" bestFit="1" customWidth="1"/>
    <col min="322" max="322" width="13.42578125" bestFit="1" customWidth="1"/>
    <col min="323" max="323" width="14.140625" bestFit="1" customWidth="1"/>
    <col min="324" max="324" width="33.85546875" bestFit="1" customWidth="1"/>
    <col min="325" max="325" width="33.7109375" bestFit="1" customWidth="1"/>
    <col min="326" max="326" width="13.42578125" bestFit="1" customWidth="1"/>
    <col min="327" max="327" width="14.140625" bestFit="1" customWidth="1"/>
    <col min="328" max="328" width="33.85546875" bestFit="1" customWidth="1"/>
    <col min="329" max="329" width="33.7109375" bestFit="1" customWidth="1"/>
    <col min="330" max="330" width="13.42578125" bestFit="1" customWidth="1"/>
    <col min="331" max="331" width="14.140625" bestFit="1" customWidth="1"/>
    <col min="332" max="332" width="33.85546875" bestFit="1" customWidth="1"/>
    <col min="333" max="333" width="33.7109375" bestFit="1" customWidth="1"/>
    <col min="334" max="334" width="13.42578125" bestFit="1" customWidth="1"/>
    <col min="335" max="335" width="14.140625" bestFit="1" customWidth="1"/>
    <col min="336" max="336" width="33.85546875" bestFit="1" customWidth="1"/>
    <col min="337" max="337" width="33.7109375" bestFit="1" customWidth="1"/>
    <col min="338" max="338" width="13.42578125" bestFit="1" customWidth="1"/>
    <col min="339" max="339" width="14.140625" bestFit="1" customWidth="1"/>
    <col min="340" max="340" width="33.85546875" bestFit="1" customWidth="1"/>
    <col min="341" max="341" width="33.7109375" bestFit="1" customWidth="1"/>
    <col min="342" max="342" width="13.42578125" bestFit="1" customWidth="1"/>
    <col min="343" max="343" width="14.140625" bestFit="1" customWidth="1"/>
    <col min="344" max="344" width="33.85546875" bestFit="1" customWidth="1"/>
    <col min="345" max="345" width="33.7109375" bestFit="1" customWidth="1"/>
    <col min="346" max="346" width="13.42578125" bestFit="1" customWidth="1"/>
    <col min="347" max="347" width="14.140625" bestFit="1" customWidth="1"/>
    <col min="348" max="348" width="33.85546875" bestFit="1" customWidth="1"/>
    <col min="349" max="349" width="33.7109375" bestFit="1" customWidth="1"/>
    <col min="350" max="350" width="13.42578125" bestFit="1" customWidth="1"/>
    <col min="351" max="351" width="14.140625" bestFit="1" customWidth="1"/>
    <col min="352" max="352" width="33.85546875" bestFit="1" customWidth="1"/>
    <col min="353" max="353" width="33.7109375" bestFit="1" customWidth="1"/>
    <col min="354" max="354" width="13.42578125" bestFit="1" customWidth="1"/>
    <col min="355" max="355" width="14.140625" bestFit="1" customWidth="1"/>
    <col min="356" max="356" width="33.85546875" bestFit="1" customWidth="1"/>
    <col min="357" max="357" width="33.7109375" bestFit="1" customWidth="1"/>
    <col min="358" max="358" width="13.42578125" bestFit="1" customWidth="1"/>
    <col min="359" max="359" width="14.140625" bestFit="1" customWidth="1"/>
    <col min="360" max="360" width="33.85546875" bestFit="1" customWidth="1"/>
    <col min="361" max="361" width="33.7109375" bestFit="1" customWidth="1"/>
    <col min="362" max="362" width="13.42578125" bestFit="1" customWidth="1"/>
    <col min="363" max="363" width="14.140625" bestFit="1" customWidth="1"/>
    <col min="364" max="364" width="33.85546875" bestFit="1" customWidth="1"/>
    <col min="365" max="365" width="33.7109375" bestFit="1" customWidth="1"/>
    <col min="366" max="366" width="13.42578125" bestFit="1" customWidth="1"/>
    <col min="367" max="367" width="14.140625" bestFit="1" customWidth="1"/>
    <col min="368" max="368" width="33.85546875" bestFit="1" customWidth="1"/>
    <col min="369" max="369" width="33.7109375" bestFit="1" customWidth="1"/>
    <col min="370" max="370" width="13.42578125" bestFit="1" customWidth="1"/>
    <col min="371" max="371" width="14.140625" bestFit="1" customWidth="1"/>
    <col min="372" max="372" width="33.85546875" bestFit="1" customWidth="1"/>
    <col min="373" max="373" width="33.7109375" bestFit="1" customWidth="1"/>
    <col min="374" max="374" width="13.42578125" bestFit="1" customWidth="1"/>
    <col min="375" max="375" width="14.140625" bestFit="1" customWidth="1"/>
    <col min="376" max="376" width="33.85546875" bestFit="1" customWidth="1"/>
    <col min="377" max="377" width="33.7109375" bestFit="1" customWidth="1"/>
    <col min="378" max="378" width="13.42578125" bestFit="1" customWidth="1"/>
    <col min="379" max="379" width="14.140625" bestFit="1" customWidth="1"/>
    <col min="380" max="380" width="33.85546875" bestFit="1" customWidth="1"/>
    <col min="381" max="381" width="33.7109375" bestFit="1" customWidth="1"/>
    <col min="382" max="382" width="13.42578125" bestFit="1" customWidth="1"/>
    <col min="383" max="383" width="14.140625" bestFit="1" customWidth="1"/>
    <col min="384" max="384" width="33.85546875" bestFit="1" customWidth="1"/>
    <col min="385" max="385" width="33.7109375" bestFit="1" customWidth="1"/>
    <col min="386" max="386" width="13.42578125" bestFit="1" customWidth="1"/>
    <col min="387" max="387" width="14.140625" bestFit="1" customWidth="1"/>
    <col min="388" max="388" width="33.85546875" bestFit="1" customWidth="1"/>
    <col min="389" max="389" width="33.7109375" bestFit="1" customWidth="1"/>
    <col min="390" max="390" width="13.42578125" bestFit="1" customWidth="1"/>
    <col min="391" max="391" width="14.140625" bestFit="1" customWidth="1"/>
    <col min="392" max="392" width="33.85546875" bestFit="1" customWidth="1"/>
    <col min="393" max="393" width="33.7109375" bestFit="1" customWidth="1"/>
    <col min="394" max="394" width="13.42578125" bestFit="1" customWidth="1"/>
    <col min="395" max="395" width="14.140625" bestFit="1" customWidth="1"/>
    <col min="396" max="396" width="33.85546875" bestFit="1" customWidth="1"/>
    <col min="397" max="397" width="33.7109375" bestFit="1" customWidth="1"/>
    <col min="398" max="398" width="13.42578125" bestFit="1" customWidth="1"/>
    <col min="399" max="399" width="14.140625" bestFit="1" customWidth="1"/>
    <col min="400" max="400" width="33.85546875" bestFit="1" customWidth="1"/>
    <col min="401" max="401" width="33.7109375" bestFit="1" customWidth="1"/>
    <col min="402" max="402" width="13.42578125" bestFit="1" customWidth="1"/>
    <col min="403" max="403" width="14.140625" bestFit="1" customWidth="1"/>
    <col min="404" max="404" width="33.85546875" bestFit="1" customWidth="1"/>
    <col min="405" max="405" width="33.7109375" bestFit="1" customWidth="1"/>
    <col min="406" max="406" width="13.42578125" bestFit="1" customWidth="1"/>
    <col min="407" max="407" width="14.140625" bestFit="1" customWidth="1"/>
    <col min="408" max="408" width="33.85546875" bestFit="1" customWidth="1"/>
    <col min="409" max="409" width="33.7109375" bestFit="1" customWidth="1"/>
    <col min="410" max="410" width="13.42578125" bestFit="1" customWidth="1"/>
    <col min="411" max="411" width="14.140625" bestFit="1" customWidth="1"/>
    <col min="412" max="412" width="33.85546875" bestFit="1" customWidth="1"/>
    <col min="413" max="413" width="33.7109375" bestFit="1" customWidth="1"/>
    <col min="414" max="414" width="13.42578125" bestFit="1" customWidth="1"/>
    <col min="415" max="415" width="14.140625" bestFit="1" customWidth="1"/>
    <col min="416" max="416" width="33.85546875" bestFit="1" customWidth="1"/>
    <col min="417" max="417" width="33.7109375" bestFit="1" customWidth="1"/>
    <col min="418" max="418" width="13.42578125" bestFit="1" customWidth="1"/>
    <col min="419" max="419" width="14.140625" bestFit="1" customWidth="1"/>
    <col min="420" max="420" width="33.85546875" bestFit="1" customWidth="1"/>
    <col min="421" max="421" width="33.7109375" bestFit="1" customWidth="1"/>
    <col min="422" max="422" width="13.42578125" bestFit="1" customWidth="1"/>
    <col min="423" max="423" width="14.140625" bestFit="1" customWidth="1"/>
    <col min="424" max="424" width="33.85546875" bestFit="1" customWidth="1"/>
    <col min="425" max="425" width="33.7109375" bestFit="1" customWidth="1"/>
    <col min="426" max="426" width="13.42578125" bestFit="1" customWidth="1"/>
    <col min="427" max="427" width="14.140625" bestFit="1" customWidth="1"/>
    <col min="428" max="428" width="33.85546875" bestFit="1" customWidth="1"/>
    <col min="429" max="429" width="33.7109375" bestFit="1" customWidth="1"/>
    <col min="430" max="430" width="13.42578125" bestFit="1" customWidth="1"/>
    <col min="431" max="431" width="14.140625" bestFit="1" customWidth="1"/>
    <col min="432" max="432" width="33.85546875" bestFit="1" customWidth="1"/>
    <col min="433" max="433" width="33.7109375" bestFit="1" customWidth="1"/>
    <col min="434" max="434" width="13.42578125" bestFit="1" customWidth="1"/>
    <col min="435" max="435" width="14.140625" bestFit="1" customWidth="1"/>
    <col min="436" max="436" width="33.85546875" bestFit="1" customWidth="1"/>
    <col min="437" max="437" width="33.7109375" bestFit="1" customWidth="1"/>
    <col min="438" max="438" width="13.42578125" bestFit="1" customWidth="1"/>
    <col min="439" max="439" width="14.140625" bestFit="1" customWidth="1"/>
    <col min="440" max="440" width="33.85546875" bestFit="1" customWidth="1"/>
    <col min="441" max="441" width="33.7109375" bestFit="1" customWidth="1"/>
    <col min="442" max="442" width="13.42578125" bestFit="1" customWidth="1"/>
    <col min="443" max="443" width="14.140625" bestFit="1" customWidth="1"/>
    <col min="444" max="444" width="33.85546875" bestFit="1" customWidth="1"/>
    <col min="445" max="445" width="33.7109375" bestFit="1" customWidth="1"/>
    <col min="446" max="446" width="13.42578125" bestFit="1" customWidth="1"/>
    <col min="447" max="447" width="14.140625" bestFit="1" customWidth="1"/>
    <col min="448" max="448" width="33.85546875" bestFit="1" customWidth="1"/>
    <col min="449" max="449" width="33.7109375" bestFit="1" customWidth="1"/>
    <col min="450" max="450" width="13.42578125" bestFit="1" customWidth="1"/>
    <col min="451" max="451" width="14.140625" bestFit="1" customWidth="1"/>
    <col min="452" max="452" width="33.85546875" bestFit="1" customWidth="1"/>
    <col min="453" max="453" width="33.7109375" bestFit="1" customWidth="1"/>
    <col min="454" max="454" width="13.42578125" bestFit="1" customWidth="1"/>
    <col min="455" max="455" width="14.140625" bestFit="1" customWidth="1"/>
    <col min="456" max="456" width="33.85546875" bestFit="1" customWidth="1"/>
    <col min="457" max="457" width="33.7109375" bestFit="1" customWidth="1"/>
    <col min="458" max="458" width="13.42578125" bestFit="1" customWidth="1"/>
    <col min="459" max="459" width="14.140625" bestFit="1" customWidth="1"/>
    <col min="460" max="460" width="33.85546875" bestFit="1" customWidth="1"/>
    <col min="461" max="461" width="33.7109375" bestFit="1" customWidth="1"/>
    <col min="462" max="462" width="13.42578125" bestFit="1" customWidth="1"/>
    <col min="463" max="463" width="14.140625" bestFit="1" customWidth="1"/>
    <col min="464" max="464" width="33.85546875" bestFit="1" customWidth="1"/>
    <col min="465" max="465" width="33.7109375" bestFit="1" customWidth="1"/>
    <col min="466" max="466" width="13.42578125" bestFit="1" customWidth="1"/>
    <col min="467" max="467" width="14.140625" bestFit="1" customWidth="1"/>
    <col min="468" max="468" width="33.85546875" bestFit="1" customWidth="1"/>
    <col min="469" max="469" width="33.7109375" bestFit="1" customWidth="1"/>
    <col min="470" max="470" width="13.42578125" bestFit="1" customWidth="1"/>
    <col min="471" max="471" width="14.140625" bestFit="1" customWidth="1"/>
    <col min="472" max="472" width="33.85546875" bestFit="1" customWidth="1"/>
    <col min="473" max="473" width="33.7109375" bestFit="1" customWidth="1"/>
    <col min="474" max="474" width="13.42578125" bestFit="1" customWidth="1"/>
    <col min="475" max="475" width="14.140625" bestFit="1" customWidth="1"/>
    <col min="476" max="476" width="33.85546875" bestFit="1" customWidth="1"/>
    <col min="477" max="477" width="33.7109375" bestFit="1" customWidth="1"/>
    <col min="478" max="478" width="13.42578125" bestFit="1" customWidth="1"/>
    <col min="479" max="479" width="14.140625" bestFit="1" customWidth="1"/>
    <col min="480" max="480" width="33.85546875" bestFit="1" customWidth="1"/>
    <col min="481" max="481" width="33.7109375" bestFit="1" customWidth="1"/>
    <col min="482" max="482" width="13.42578125" bestFit="1" customWidth="1"/>
    <col min="483" max="483" width="14.140625" bestFit="1" customWidth="1"/>
    <col min="484" max="484" width="33.85546875" bestFit="1" customWidth="1"/>
    <col min="485" max="485" width="33.7109375" bestFit="1" customWidth="1"/>
    <col min="486" max="486" width="13.42578125" bestFit="1" customWidth="1"/>
    <col min="487" max="487" width="14.140625" bestFit="1" customWidth="1"/>
    <col min="488" max="488" width="33.85546875" bestFit="1" customWidth="1"/>
    <col min="489" max="489" width="33.7109375" bestFit="1" customWidth="1"/>
    <col min="490" max="490" width="13.42578125" bestFit="1" customWidth="1"/>
    <col min="491" max="491" width="14.140625" bestFit="1" customWidth="1"/>
    <col min="492" max="492" width="33.85546875" bestFit="1" customWidth="1"/>
    <col min="493" max="493" width="33.7109375" bestFit="1" customWidth="1"/>
    <col min="494" max="494" width="13.42578125" bestFit="1" customWidth="1"/>
    <col min="495" max="495" width="14.140625" bestFit="1" customWidth="1"/>
    <col min="496" max="496" width="33.85546875" bestFit="1" customWidth="1"/>
    <col min="497" max="497" width="33.7109375" bestFit="1" customWidth="1"/>
    <col min="498" max="498" width="13.42578125" bestFit="1" customWidth="1"/>
    <col min="499" max="499" width="14.140625" bestFit="1" customWidth="1"/>
    <col min="500" max="500" width="33.85546875" bestFit="1" customWidth="1"/>
    <col min="501" max="501" width="33.7109375" bestFit="1" customWidth="1"/>
    <col min="502" max="502" width="13.42578125" bestFit="1" customWidth="1"/>
    <col min="503" max="503" width="14.140625" bestFit="1" customWidth="1"/>
    <col min="504" max="504" width="33.85546875" bestFit="1" customWidth="1"/>
    <col min="505" max="505" width="33.7109375" bestFit="1" customWidth="1"/>
    <col min="506" max="506" width="13.42578125" bestFit="1" customWidth="1"/>
    <col min="507" max="507" width="14.140625" bestFit="1" customWidth="1"/>
    <col min="508" max="508" width="33.85546875" bestFit="1" customWidth="1"/>
    <col min="509" max="509" width="33.7109375" bestFit="1" customWidth="1"/>
    <col min="510" max="510" width="13.42578125" bestFit="1" customWidth="1"/>
    <col min="511" max="511" width="14.140625" bestFit="1" customWidth="1"/>
    <col min="512" max="512" width="33.85546875" bestFit="1" customWidth="1"/>
    <col min="513" max="513" width="33.7109375" bestFit="1" customWidth="1"/>
    <col min="514" max="514" width="13.42578125" bestFit="1" customWidth="1"/>
    <col min="515" max="515" width="14.140625" bestFit="1" customWidth="1"/>
    <col min="516" max="516" width="33.85546875" bestFit="1" customWidth="1"/>
    <col min="517" max="517" width="33.7109375" bestFit="1" customWidth="1"/>
    <col min="518" max="518" width="13.42578125" bestFit="1" customWidth="1"/>
    <col min="519" max="519" width="14.140625" bestFit="1" customWidth="1"/>
    <col min="520" max="520" width="33.85546875" bestFit="1" customWidth="1"/>
    <col min="521" max="521" width="33.7109375" bestFit="1" customWidth="1"/>
    <col min="522" max="522" width="13.42578125" bestFit="1" customWidth="1"/>
    <col min="523" max="523" width="14.140625" bestFit="1" customWidth="1"/>
    <col min="524" max="524" width="33.85546875" bestFit="1" customWidth="1"/>
    <col min="525" max="525" width="33.7109375" bestFit="1" customWidth="1"/>
    <col min="526" max="526" width="13.42578125" bestFit="1" customWidth="1"/>
    <col min="527" max="527" width="14.140625" bestFit="1" customWidth="1"/>
    <col min="528" max="528" width="33.85546875" bestFit="1" customWidth="1"/>
    <col min="529" max="529" width="33.7109375" bestFit="1" customWidth="1"/>
    <col min="530" max="530" width="13.42578125" bestFit="1" customWidth="1"/>
    <col min="531" max="531" width="14.140625" bestFit="1" customWidth="1"/>
    <col min="532" max="532" width="33.85546875" bestFit="1" customWidth="1"/>
    <col min="533" max="533" width="33.7109375" bestFit="1" customWidth="1"/>
    <col min="534" max="534" width="13.42578125" bestFit="1" customWidth="1"/>
    <col min="535" max="535" width="14.140625" bestFit="1" customWidth="1"/>
    <col min="536" max="536" width="33.85546875" bestFit="1" customWidth="1"/>
    <col min="537" max="537" width="33.7109375" bestFit="1" customWidth="1"/>
    <col min="538" max="538" width="13.42578125" bestFit="1" customWidth="1"/>
    <col min="539" max="539" width="14.140625" bestFit="1" customWidth="1"/>
    <col min="540" max="540" width="33.85546875" bestFit="1" customWidth="1"/>
    <col min="541" max="541" width="33.7109375" bestFit="1" customWidth="1"/>
    <col min="542" max="542" width="13.42578125" bestFit="1" customWidth="1"/>
    <col min="543" max="543" width="14.140625" bestFit="1" customWidth="1"/>
    <col min="544" max="544" width="33.85546875" bestFit="1" customWidth="1"/>
    <col min="545" max="545" width="33.7109375" bestFit="1" customWidth="1"/>
    <col min="546" max="546" width="13.42578125" bestFit="1" customWidth="1"/>
    <col min="547" max="547" width="14.140625" bestFit="1" customWidth="1"/>
    <col min="548" max="548" width="33.85546875" bestFit="1" customWidth="1"/>
    <col min="549" max="549" width="33.7109375" bestFit="1" customWidth="1"/>
    <col min="550" max="550" width="13.42578125" bestFit="1" customWidth="1"/>
    <col min="551" max="551" width="14.140625" bestFit="1" customWidth="1"/>
    <col min="552" max="552" width="33.85546875" bestFit="1" customWidth="1"/>
    <col min="553" max="553" width="33.7109375" bestFit="1" customWidth="1"/>
    <col min="554" max="554" width="13.42578125" bestFit="1" customWidth="1"/>
    <col min="555" max="555" width="14.140625" bestFit="1" customWidth="1"/>
    <col min="556" max="556" width="33.85546875" bestFit="1" customWidth="1"/>
    <col min="557" max="557" width="33.7109375" bestFit="1" customWidth="1"/>
    <col min="558" max="558" width="13.42578125" bestFit="1" customWidth="1"/>
    <col min="559" max="559" width="14.140625" bestFit="1" customWidth="1"/>
    <col min="560" max="560" width="33.85546875" bestFit="1" customWidth="1"/>
    <col min="561" max="561" width="33.7109375" bestFit="1" customWidth="1"/>
    <col min="562" max="562" width="13.42578125" bestFit="1" customWidth="1"/>
    <col min="563" max="563" width="14.140625" bestFit="1" customWidth="1"/>
    <col min="564" max="564" width="33.85546875" bestFit="1" customWidth="1"/>
    <col min="565" max="565" width="33.7109375" bestFit="1" customWidth="1"/>
    <col min="566" max="566" width="13.42578125" bestFit="1" customWidth="1"/>
    <col min="567" max="567" width="14.140625" bestFit="1" customWidth="1"/>
    <col min="568" max="568" width="33.85546875" bestFit="1" customWidth="1"/>
    <col min="569" max="569" width="33.7109375" bestFit="1" customWidth="1"/>
    <col min="570" max="570" width="13.42578125" bestFit="1" customWidth="1"/>
    <col min="571" max="571" width="14.140625" bestFit="1" customWidth="1"/>
    <col min="572" max="572" width="33.85546875" bestFit="1" customWidth="1"/>
    <col min="573" max="573" width="33.7109375" bestFit="1" customWidth="1"/>
    <col min="574" max="574" width="13.42578125" bestFit="1" customWidth="1"/>
    <col min="575" max="575" width="14.140625" bestFit="1" customWidth="1"/>
    <col min="576" max="576" width="33.85546875" bestFit="1" customWidth="1"/>
    <col min="577" max="577" width="33.7109375" bestFit="1" customWidth="1"/>
    <col min="578" max="578" width="13.42578125" bestFit="1" customWidth="1"/>
    <col min="579" max="579" width="14.140625" bestFit="1" customWidth="1"/>
    <col min="580" max="580" width="33.85546875" bestFit="1" customWidth="1"/>
    <col min="581" max="581" width="33.7109375" bestFit="1" customWidth="1"/>
    <col min="582" max="582" width="13.42578125" bestFit="1" customWidth="1"/>
    <col min="583" max="583" width="14.140625" bestFit="1" customWidth="1"/>
    <col min="584" max="584" width="33.85546875" bestFit="1" customWidth="1"/>
    <col min="585" max="585" width="33.7109375" bestFit="1" customWidth="1"/>
    <col min="586" max="586" width="13.42578125" bestFit="1" customWidth="1"/>
    <col min="587" max="587" width="14.140625" bestFit="1" customWidth="1"/>
    <col min="588" max="588" width="33.85546875" bestFit="1" customWidth="1"/>
    <col min="589" max="589" width="33.7109375" bestFit="1" customWidth="1"/>
    <col min="590" max="590" width="13.42578125" bestFit="1" customWidth="1"/>
    <col min="591" max="591" width="14.140625" bestFit="1" customWidth="1"/>
    <col min="592" max="592" width="33.85546875" bestFit="1" customWidth="1"/>
    <col min="593" max="593" width="33.7109375" bestFit="1" customWidth="1"/>
    <col min="594" max="594" width="13.42578125" bestFit="1" customWidth="1"/>
    <col min="595" max="595" width="14.140625" bestFit="1" customWidth="1"/>
    <col min="596" max="596" width="33.85546875" bestFit="1" customWidth="1"/>
    <col min="597" max="597" width="33.7109375" bestFit="1" customWidth="1"/>
    <col min="598" max="598" width="13.42578125" bestFit="1" customWidth="1"/>
    <col min="599" max="599" width="14.140625" bestFit="1" customWidth="1"/>
    <col min="600" max="600" width="33.85546875" bestFit="1" customWidth="1"/>
    <col min="601" max="601" width="33.7109375" bestFit="1" customWidth="1"/>
    <col min="602" max="602" width="13.42578125" bestFit="1" customWidth="1"/>
    <col min="603" max="603" width="14.140625" bestFit="1" customWidth="1"/>
    <col min="604" max="604" width="33.85546875" bestFit="1" customWidth="1"/>
    <col min="605" max="605" width="33.7109375" bestFit="1" customWidth="1"/>
    <col min="606" max="606" width="13.42578125" bestFit="1" customWidth="1"/>
    <col min="607" max="607" width="14.140625" bestFit="1" customWidth="1"/>
    <col min="608" max="608" width="33.85546875" bestFit="1" customWidth="1"/>
    <col min="609" max="609" width="33.7109375" bestFit="1" customWidth="1"/>
    <col min="610" max="610" width="13.42578125" bestFit="1" customWidth="1"/>
    <col min="611" max="611" width="14.140625" bestFit="1" customWidth="1"/>
    <col min="612" max="612" width="33.85546875" bestFit="1" customWidth="1"/>
    <col min="613" max="613" width="33.7109375" bestFit="1" customWidth="1"/>
    <col min="614" max="614" width="13.42578125" bestFit="1" customWidth="1"/>
    <col min="615" max="615" width="14.140625" bestFit="1" customWidth="1"/>
    <col min="616" max="616" width="33.85546875" bestFit="1" customWidth="1"/>
    <col min="617" max="617" width="33.7109375" bestFit="1" customWidth="1"/>
    <col min="618" max="618" width="13.42578125" bestFit="1" customWidth="1"/>
    <col min="619" max="619" width="14.140625" bestFit="1" customWidth="1"/>
    <col min="620" max="620" width="33.85546875" bestFit="1" customWidth="1"/>
    <col min="621" max="621" width="33.7109375" bestFit="1" customWidth="1"/>
    <col min="622" max="622" width="13.42578125" bestFit="1" customWidth="1"/>
    <col min="623" max="623" width="14.140625" bestFit="1" customWidth="1"/>
    <col min="624" max="624" width="33.85546875" bestFit="1" customWidth="1"/>
    <col min="625" max="625" width="33.7109375" bestFit="1" customWidth="1"/>
    <col min="626" max="626" width="13.42578125" bestFit="1" customWidth="1"/>
    <col min="627" max="627" width="14.140625" bestFit="1" customWidth="1"/>
    <col min="628" max="628" width="33.85546875" bestFit="1" customWidth="1"/>
    <col min="629" max="629" width="33.7109375" bestFit="1" customWidth="1"/>
    <col min="630" max="630" width="13.42578125" bestFit="1" customWidth="1"/>
    <col min="631" max="631" width="14.140625" bestFit="1" customWidth="1"/>
    <col min="632" max="632" width="33.85546875" bestFit="1" customWidth="1"/>
    <col min="633" max="633" width="33.7109375" bestFit="1" customWidth="1"/>
    <col min="634" max="634" width="13.42578125" bestFit="1" customWidth="1"/>
    <col min="635" max="635" width="14.140625" bestFit="1" customWidth="1"/>
    <col min="636" max="636" width="33.85546875" bestFit="1" customWidth="1"/>
    <col min="637" max="637" width="33.7109375" bestFit="1" customWidth="1"/>
    <col min="638" max="638" width="13.42578125" bestFit="1" customWidth="1"/>
    <col min="639" max="639" width="14.140625" bestFit="1" customWidth="1"/>
    <col min="640" max="640" width="33.85546875" bestFit="1" customWidth="1"/>
    <col min="641" max="641" width="33.7109375" bestFit="1" customWidth="1"/>
    <col min="642" max="642" width="13.42578125" bestFit="1" customWidth="1"/>
    <col min="643" max="643" width="14.140625" bestFit="1" customWidth="1"/>
    <col min="644" max="644" width="33.85546875" bestFit="1" customWidth="1"/>
    <col min="645" max="645" width="33.7109375" bestFit="1" customWidth="1"/>
    <col min="646" max="646" width="13.42578125" bestFit="1" customWidth="1"/>
    <col min="647" max="647" width="14.140625" bestFit="1" customWidth="1"/>
    <col min="648" max="648" width="33.85546875" bestFit="1" customWidth="1"/>
    <col min="649" max="649" width="33.7109375" bestFit="1" customWidth="1"/>
    <col min="650" max="650" width="13.42578125" bestFit="1" customWidth="1"/>
    <col min="651" max="651" width="14.140625" bestFit="1" customWidth="1"/>
    <col min="652" max="652" width="33.85546875" bestFit="1" customWidth="1"/>
    <col min="653" max="653" width="33.7109375" bestFit="1" customWidth="1"/>
    <col min="654" max="654" width="13.42578125" bestFit="1" customWidth="1"/>
    <col min="655" max="655" width="14.140625" bestFit="1" customWidth="1"/>
    <col min="656" max="656" width="33.85546875" bestFit="1" customWidth="1"/>
    <col min="657" max="657" width="33.7109375" bestFit="1" customWidth="1"/>
    <col min="658" max="658" width="13.42578125" bestFit="1" customWidth="1"/>
    <col min="659" max="659" width="14.140625" bestFit="1" customWidth="1"/>
    <col min="660" max="660" width="33.85546875" bestFit="1" customWidth="1"/>
    <col min="661" max="661" width="33.7109375" bestFit="1" customWidth="1"/>
    <col min="662" max="662" width="13.42578125" bestFit="1" customWidth="1"/>
    <col min="663" max="663" width="14.140625" bestFit="1" customWidth="1"/>
    <col min="664" max="664" width="33.85546875" bestFit="1" customWidth="1"/>
    <col min="665" max="665" width="33.7109375" bestFit="1" customWidth="1"/>
    <col min="666" max="666" width="13.42578125" bestFit="1" customWidth="1"/>
    <col min="667" max="667" width="14.140625" bestFit="1" customWidth="1"/>
    <col min="668" max="668" width="33.85546875" bestFit="1" customWidth="1"/>
    <col min="669" max="669" width="33.7109375" bestFit="1" customWidth="1"/>
    <col min="670" max="670" width="13.42578125" bestFit="1" customWidth="1"/>
    <col min="671" max="671" width="14.140625" bestFit="1" customWidth="1"/>
    <col min="672" max="672" width="33.85546875" bestFit="1" customWidth="1"/>
    <col min="673" max="673" width="33.7109375" bestFit="1" customWidth="1"/>
    <col min="674" max="674" width="13.42578125" bestFit="1" customWidth="1"/>
    <col min="675" max="675" width="14.140625" bestFit="1" customWidth="1"/>
    <col min="676" max="676" width="33.85546875" bestFit="1" customWidth="1"/>
    <col min="677" max="677" width="33.7109375" bestFit="1" customWidth="1"/>
    <col min="678" max="678" width="13.42578125" bestFit="1" customWidth="1"/>
    <col min="679" max="679" width="14.140625" bestFit="1" customWidth="1"/>
    <col min="680" max="680" width="33.85546875" bestFit="1" customWidth="1"/>
    <col min="681" max="681" width="33.7109375" bestFit="1" customWidth="1"/>
    <col min="682" max="682" width="13.42578125" bestFit="1" customWidth="1"/>
    <col min="683" max="683" width="14.140625" bestFit="1" customWidth="1"/>
    <col min="684" max="684" width="33.85546875" bestFit="1" customWidth="1"/>
    <col min="685" max="685" width="33.7109375" bestFit="1" customWidth="1"/>
    <col min="686" max="686" width="13.42578125" customWidth="1"/>
    <col min="687" max="687" width="14.140625" bestFit="1" customWidth="1"/>
    <col min="688" max="688" width="33.85546875" bestFit="1" customWidth="1"/>
    <col min="689" max="689" width="33.7109375" bestFit="1" customWidth="1"/>
    <col min="690" max="690" width="13.42578125" bestFit="1" customWidth="1"/>
    <col min="691" max="691" width="14.140625" bestFit="1" customWidth="1"/>
    <col min="692" max="692" width="33.85546875" bestFit="1" customWidth="1"/>
    <col min="693" max="693" width="33.7109375" bestFit="1" customWidth="1"/>
    <col min="694" max="694" width="13.42578125" bestFit="1" customWidth="1"/>
    <col min="695" max="695" width="14.140625" bestFit="1" customWidth="1"/>
    <col min="696" max="696" width="33.85546875" bestFit="1" customWidth="1"/>
    <col min="697" max="697" width="33.7109375" bestFit="1" customWidth="1"/>
    <col min="698" max="698" width="13.42578125" bestFit="1" customWidth="1"/>
    <col min="699" max="699" width="14.140625" bestFit="1" customWidth="1"/>
    <col min="700" max="700" width="33.85546875" bestFit="1" customWidth="1"/>
    <col min="701" max="701" width="33.7109375" bestFit="1" customWidth="1"/>
    <col min="702" max="702" width="13.42578125" bestFit="1" customWidth="1"/>
    <col min="703" max="703" width="14.140625" bestFit="1" customWidth="1"/>
    <col min="704" max="704" width="33.85546875" bestFit="1" customWidth="1"/>
    <col min="705" max="705" width="33.7109375" bestFit="1" customWidth="1"/>
    <col min="706" max="706" width="13.42578125" bestFit="1" customWidth="1"/>
    <col min="707" max="707" width="14.140625" bestFit="1" customWidth="1"/>
    <col min="708" max="708" width="33.85546875" bestFit="1" customWidth="1"/>
    <col min="709" max="709" width="33.7109375" bestFit="1" customWidth="1"/>
    <col min="710" max="710" width="13.42578125" bestFit="1" customWidth="1"/>
    <col min="711" max="711" width="14.140625" bestFit="1" customWidth="1"/>
    <col min="712" max="712" width="33.85546875" bestFit="1" customWidth="1"/>
    <col min="713" max="713" width="33.7109375" bestFit="1" customWidth="1"/>
    <col min="714" max="714" width="13.42578125" bestFit="1" customWidth="1"/>
    <col min="715" max="715" width="14.140625" bestFit="1" customWidth="1"/>
    <col min="716" max="716" width="33.85546875" bestFit="1" customWidth="1"/>
    <col min="717" max="717" width="33.7109375" bestFit="1" customWidth="1"/>
    <col min="718" max="718" width="13.42578125" bestFit="1" customWidth="1"/>
    <col min="719" max="719" width="14.140625" bestFit="1" customWidth="1"/>
    <col min="720" max="720" width="33.85546875" bestFit="1" customWidth="1"/>
    <col min="721" max="721" width="33.7109375" bestFit="1" customWidth="1"/>
    <col min="722" max="722" width="13.42578125" bestFit="1" customWidth="1"/>
    <col min="723" max="723" width="14.140625" bestFit="1" customWidth="1"/>
    <col min="724" max="724" width="33.85546875" bestFit="1" customWidth="1"/>
    <col min="725" max="725" width="33.7109375" bestFit="1" customWidth="1"/>
    <col min="726" max="726" width="13.42578125" bestFit="1" customWidth="1"/>
    <col min="727" max="727" width="14.140625" bestFit="1" customWidth="1"/>
    <col min="728" max="728" width="33.85546875" bestFit="1" customWidth="1"/>
    <col min="729" max="729" width="33.7109375" bestFit="1" customWidth="1"/>
    <col min="730" max="730" width="13.42578125" bestFit="1" customWidth="1"/>
    <col min="731" max="731" width="14.140625" bestFit="1" customWidth="1"/>
    <col min="732" max="732" width="33.85546875" bestFit="1" customWidth="1"/>
    <col min="733" max="733" width="33.7109375" bestFit="1" customWidth="1"/>
    <col min="734" max="734" width="13.42578125" bestFit="1" customWidth="1"/>
    <col min="735" max="735" width="14.140625" bestFit="1" customWidth="1"/>
    <col min="736" max="736" width="33.85546875" bestFit="1" customWidth="1"/>
    <col min="737" max="737" width="33.7109375" bestFit="1" customWidth="1"/>
    <col min="738" max="738" width="13.42578125" bestFit="1" customWidth="1"/>
    <col min="739" max="739" width="14.140625" bestFit="1" customWidth="1"/>
    <col min="740" max="740" width="33.85546875" bestFit="1" customWidth="1"/>
    <col min="741" max="741" width="33.7109375" bestFit="1" customWidth="1"/>
    <col min="742" max="742" width="13.42578125" bestFit="1" customWidth="1"/>
    <col min="743" max="743" width="14.140625" bestFit="1" customWidth="1"/>
    <col min="744" max="744" width="33.85546875" bestFit="1" customWidth="1"/>
    <col min="745" max="745" width="33.7109375" bestFit="1" customWidth="1"/>
    <col min="746" max="746" width="13.42578125" bestFit="1" customWidth="1"/>
    <col min="747" max="747" width="14.140625" bestFit="1" customWidth="1"/>
    <col min="748" max="748" width="33.85546875" bestFit="1" customWidth="1"/>
    <col min="749" max="749" width="33.7109375" bestFit="1" customWidth="1"/>
    <col min="750" max="750" width="13.42578125" bestFit="1" customWidth="1"/>
    <col min="751" max="751" width="14.140625" bestFit="1" customWidth="1"/>
    <col min="752" max="752" width="33.85546875" bestFit="1" customWidth="1"/>
    <col min="753" max="753" width="33.7109375" bestFit="1" customWidth="1"/>
    <col min="754" max="754" width="13.42578125" bestFit="1" customWidth="1"/>
    <col min="755" max="755" width="14.140625" bestFit="1" customWidth="1"/>
    <col min="756" max="756" width="33.85546875" bestFit="1" customWidth="1"/>
    <col min="757" max="757" width="33.7109375" bestFit="1" customWidth="1"/>
    <col min="758" max="758" width="13.42578125" bestFit="1" customWidth="1"/>
    <col min="759" max="759" width="14.140625" bestFit="1" customWidth="1"/>
    <col min="760" max="760" width="33.85546875" bestFit="1" customWidth="1"/>
    <col min="761" max="761" width="33.7109375" bestFit="1" customWidth="1"/>
    <col min="762" max="762" width="13.42578125" bestFit="1" customWidth="1"/>
    <col min="763" max="763" width="14.140625" bestFit="1" customWidth="1"/>
    <col min="764" max="764" width="33.85546875" bestFit="1" customWidth="1"/>
    <col min="765" max="765" width="33.7109375" bestFit="1" customWidth="1"/>
    <col min="766" max="766" width="13.42578125" bestFit="1" customWidth="1"/>
    <col min="767" max="767" width="14.140625" bestFit="1" customWidth="1"/>
    <col min="768" max="768" width="33.85546875" bestFit="1" customWidth="1"/>
    <col min="769" max="769" width="33.7109375" bestFit="1" customWidth="1"/>
    <col min="770" max="770" width="13.42578125" bestFit="1" customWidth="1"/>
    <col min="771" max="771" width="14.140625" bestFit="1" customWidth="1"/>
    <col min="772" max="772" width="33.85546875" bestFit="1" customWidth="1"/>
    <col min="773" max="773" width="33.7109375" bestFit="1" customWidth="1"/>
    <col min="774" max="774" width="13.42578125" bestFit="1" customWidth="1"/>
    <col min="775" max="775" width="14.140625" bestFit="1" customWidth="1"/>
    <col min="776" max="776" width="33.85546875" bestFit="1" customWidth="1"/>
    <col min="777" max="777" width="33.7109375" bestFit="1" customWidth="1"/>
    <col min="778" max="778" width="13.42578125" bestFit="1" customWidth="1"/>
    <col min="779" max="779" width="14.140625" bestFit="1" customWidth="1"/>
    <col min="780" max="780" width="33.85546875" bestFit="1" customWidth="1"/>
    <col min="781" max="781" width="33.7109375" bestFit="1" customWidth="1"/>
    <col min="782" max="782" width="13.42578125" bestFit="1" customWidth="1"/>
    <col min="783" max="783" width="14.140625" bestFit="1" customWidth="1"/>
    <col min="784" max="784" width="33.85546875" bestFit="1" customWidth="1"/>
    <col min="785" max="785" width="33.7109375" bestFit="1" customWidth="1"/>
    <col min="786" max="786" width="13.42578125" bestFit="1" customWidth="1"/>
    <col min="787" max="787" width="14.140625" bestFit="1" customWidth="1"/>
    <col min="788" max="788" width="33.85546875" bestFit="1" customWidth="1"/>
    <col min="789" max="789" width="33.7109375" bestFit="1" customWidth="1"/>
    <col min="790" max="790" width="13.42578125" bestFit="1" customWidth="1"/>
    <col min="791" max="791" width="14.140625" bestFit="1" customWidth="1"/>
    <col min="792" max="792" width="33.85546875" bestFit="1" customWidth="1"/>
    <col min="793" max="793" width="33.7109375" bestFit="1" customWidth="1"/>
    <col min="794" max="794" width="13.42578125" bestFit="1" customWidth="1"/>
    <col min="795" max="795" width="14.140625" bestFit="1" customWidth="1"/>
    <col min="796" max="796" width="33.85546875" bestFit="1" customWidth="1"/>
    <col min="797" max="797" width="33.7109375" bestFit="1" customWidth="1"/>
    <col min="798" max="798" width="13.42578125" bestFit="1" customWidth="1"/>
    <col min="799" max="799" width="14.140625" bestFit="1" customWidth="1"/>
    <col min="800" max="800" width="33.85546875" bestFit="1" customWidth="1"/>
    <col min="801" max="801" width="33.7109375" bestFit="1" customWidth="1"/>
    <col min="802" max="802" width="13.42578125" bestFit="1" customWidth="1"/>
    <col min="803" max="803" width="14.140625" bestFit="1" customWidth="1"/>
    <col min="804" max="804" width="33.85546875" bestFit="1" customWidth="1"/>
    <col min="805" max="805" width="33.7109375" bestFit="1" customWidth="1"/>
    <col min="806" max="806" width="13.42578125" bestFit="1" customWidth="1"/>
    <col min="807" max="807" width="14.140625" bestFit="1" customWidth="1"/>
    <col min="808" max="808" width="33.85546875" bestFit="1" customWidth="1"/>
    <col min="809" max="809" width="33.7109375" bestFit="1" customWidth="1"/>
    <col min="810" max="810" width="13.42578125" bestFit="1" customWidth="1"/>
    <col min="811" max="811" width="14.140625" bestFit="1" customWidth="1"/>
    <col min="812" max="812" width="33.85546875" bestFit="1" customWidth="1"/>
    <col min="813" max="813" width="33.7109375" bestFit="1" customWidth="1"/>
    <col min="814" max="814" width="13.42578125" bestFit="1" customWidth="1"/>
    <col min="815" max="815" width="14.140625" bestFit="1" customWidth="1"/>
    <col min="816" max="816" width="33.85546875" bestFit="1" customWidth="1"/>
    <col min="817" max="817" width="33.7109375" bestFit="1" customWidth="1"/>
    <col min="818" max="818" width="13.42578125" bestFit="1" customWidth="1"/>
    <col min="819" max="819" width="14.140625" bestFit="1" customWidth="1"/>
    <col min="820" max="820" width="33.85546875" bestFit="1" customWidth="1"/>
    <col min="821" max="821" width="33.7109375" bestFit="1" customWidth="1"/>
    <col min="822" max="822" width="13.42578125" bestFit="1" customWidth="1"/>
    <col min="823" max="823" width="14.140625" bestFit="1" customWidth="1"/>
    <col min="824" max="824" width="33.85546875" bestFit="1" customWidth="1"/>
    <col min="825" max="825" width="33.7109375" bestFit="1" customWidth="1"/>
    <col min="826" max="826" width="13.42578125" bestFit="1" customWidth="1"/>
    <col min="827" max="827" width="14.140625" bestFit="1" customWidth="1"/>
    <col min="828" max="828" width="33.85546875" bestFit="1" customWidth="1"/>
    <col min="829" max="829" width="33.7109375" bestFit="1" customWidth="1"/>
    <col min="830" max="830" width="13.42578125" bestFit="1" customWidth="1"/>
    <col min="831" max="831" width="14.140625" bestFit="1" customWidth="1"/>
    <col min="832" max="832" width="33.85546875" bestFit="1" customWidth="1"/>
    <col min="833" max="833" width="33.7109375" bestFit="1" customWidth="1"/>
    <col min="834" max="834" width="13.42578125" bestFit="1" customWidth="1"/>
    <col min="835" max="835" width="14.140625" bestFit="1" customWidth="1"/>
    <col min="836" max="836" width="33.85546875" bestFit="1" customWidth="1"/>
    <col min="837" max="837" width="33.7109375" bestFit="1" customWidth="1"/>
    <col min="838" max="838" width="13.42578125" bestFit="1" customWidth="1"/>
    <col min="839" max="839" width="14.140625" bestFit="1" customWidth="1"/>
    <col min="840" max="840" width="33.85546875" bestFit="1" customWidth="1"/>
    <col min="841" max="841" width="33.7109375" bestFit="1" customWidth="1"/>
    <col min="842" max="842" width="13.42578125" bestFit="1" customWidth="1"/>
    <col min="843" max="843" width="14.140625" bestFit="1" customWidth="1"/>
    <col min="844" max="844" width="33.85546875" bestFit="1" customWidth="1"/>
    <col min="845" max="845" width="33.7109375" bestFit="1" customWidth="1"/>
    <col min="846" max="846" width="13.42578125" bestFit="1" customWidth="1"/>
    <col min="847" max="847" width="14.140625" bestFit="1" customWidth="1"/>
    <col min="848" max="848" width="33.85546875" bestFit="1" customWidth="1"/>
    <col min="849" max="849" width="33.7109375" bestFit="1" customWidth="1"/>
    <col min="850" max="850" width="13.42578125" bestFit="1" customWidth="1"/>
    <col min="851" max="851" width="14.140625" bestFit="1" customWidth="1"/>
    <col min="852" max="852" width="33.85546875" bestFit="1" customWidth="1"/>
    <col min="853" max="853" width="33.7109375" bestFit="1" customWidth="1"/>
    <col min="854" max="854" width="13.42578125" bestFit="1" customWidth="1"/>
    <col min="855" max="855" width="14.140625" bestFit="1" customWidth="1"/>
    <col min="856" max="856" width="33.85546875" bestFit="1" customWidth="1"/>
    <col min="857" max="857" width="33.7109375" bestFit="1" customWidth="1"/>
    <col min="858" max="858" width="13.42578125" bestFit="1" customWidth="1"/>
    <col min="859" max="859" width="14.140625" bestFit="1" customWidth="1"/>
    <col min="860" max="860" width="33.85546875" bestFit="1" customWidth="1"/>
    <col min="861" max="861" width="33.7109375" bestFit="1" customWidth="1"/>
    <col min="862" max="862" width="13.42578125" bestFit="1" customWidth="1"/>
    <col min="863" max="863" width="14.140625" bestFit="1" customWidth="1"/>
    <col min="864" max="864" width="33.85546875" bestFit="1" customWidth="1"/>
    <col min="865" max="865" width="33.7109375" bestFit="1" customWidth="1"/>
    <col min="866" max="866" width="13.42578125" bestFit="1" customWidth="1"/>
    <col min="867" max="867" width="14.140625" bestFit="1" customWidth="1"/>
    <col min="868" max="868" width="33.85546875" bestFit="1" customWidth="1"/>
    <col min="869" max="869" width="33.7109375" bestFit="1" customWidth="1"/>
    <col min="870" max="870" width="13.42578125" bestFit="1" customWidth="1"/>
    <col min="871" max="871" width="14.140625" bestFit="1" customWidth="1"/>
    <col min="872" max="872" width="33.85546875" bestFit="1" customWidth="1"/>
    <col min="873" max="873" width="33.7109375" bestFit="1" customWidth="1"/>
    <col min="874" max="874" width="13.42578125" bestFit="1" customWidth="1"/>
    <col min="875" max="875" width="14.140625" bestFit="1" customWidth="1"/>
    <col min="876" max="876" width="33.85546875" bestFit="1" customWidth="1"/>
    <col min="877" max="877" width="33.7109375" bestFit="1" customWidth="1"/>
    <col min="878" max="878" width="13.42578125" bestFit="1" customWidth="1"/>
    <col min="879" max="879" width="14.140625" bestFit="1" customWidth="1"/>
    <col min="880" max="880" width="33.85546875" bestFit="1" customWidth="1"/>
    <col min="881" max="881" width="33.7109375" bestFit="1" customWidth="1"/>
    <col min="882" max="882" width="13.42578125" bestFit="1" customWidth="1"/>
    <col min="883" max="883" width="14.140625" bestFit="1" customWidth="1"/>
    <col min="884" max="884" width="33.85546875" bestFit="1" customWidth="1"/>
    <col min="885" max="885" width="33.7109375" bestFit="1" customWidth="1"/>
    <col min="886" max="886" width="13.42578125" bestFit="1" customWidth="1"/>
    <col min="887" max="887" width="14.140625" bestFit="1" customWidth="1"/>
    <col min="888" max="888" width="33.85546875" bestFit="1" customWidth="1"/>
    <col min="889" max="889" width="33.7109375" bestFit="1" customWidth="1"/>
    <col min="890" max="890" width="13.42578125" bestFit="1" customWidth="1"/>
    <col min="891" max="891" width="14.140625" bestFit="1" customWidth="1"/>
    <col min="892" max="892" width="33.85546875" bestFit="1" customWidth="1"/>
    <col min="893" max="893" width="33.7109375" bestFit="1" customWidth="1"/>
    <col min="894" max="894" width="13.42578125" bestFit="1" customWidth="1"/>
    <col min="895" max="895" width="14.140625" bestFit="1" customWidth="1"/>
    <col min="896" max="896" width="33.85546875" bestFit="1" customWidth="1"/>
    <col min="897" max="897" width="33.7109375" bestFit="1" customWidth="1"/>
    <col min="898" max="898" width="13.42578125" bestFit="1" customWidth="1"/>
    <col min="899" max="899" width="14.140625" bestFit="1" customWidth="1"/>
    <col min="900" max="900" width="33.85546875" bestFit="1" customWidth="1"/>
    <col min="901" max="901" width="33.7109375" bestFit="1" customWidth="1"/>
    <col min="902" max="902" width="13.42578125" bestFit="1" customWidth="1"/>
    <col min="903" max="903" width="14.140625" bestFit="1" customWidth="1"/>
    <col min="904" max="904" width="33.85546875" bestFit="1" customWidth="1"/>
    <col min="905" max="905" width="33.7109375" bestFit="1" customWidth="1"/>
    <col min="906" max="906" width="13.42578125" bestFit="1" customWidth="1"/>
    <col min="907" max="907" width="14.140625" bestFit="1" customWidth="1"/>
    <col min="908" max="908" width="33.85546875" bestFit="1" customWidth="1"/>
    <col min="909" max="909" width="33.7109375" bestFit="1" customWidth="1"/>
    <col min="910" max="910" width="13.42578125" bestFit="1" customWidth="1"/>
    <col min="911" max="911" width="14.140625" bestFit="1" customWidth="1"/>
    <col min="912" max="912" width="33.85546875" bestFit="1" customWidth="1"/>
    <col min="913" max="913" width="33.7109375" bestFit="1" customWidth="1"/>
    <col min="914" max="914" width="13.42578125" bestFit="1" customWidth="1"/>
    <col min="915" max="915" width="14.140625" bestFit="1" customWidth="1"/>
    <col min="916" max="916" width="33.85546875" bestFit="1" customWidth="1"/>
    <col min="917" max="917" width="33.7109375" bestFit="1" customWidth="1"/>
    <col min="918" max="918" width="13.42578125" bestFit="1" customWidth="1"/>
    <col min="919" max="919" width="14.140625" bestFit="1" customWidth="1"/>
    <col min="920" max="920" width="33.85546875" bestFit="1" customWidth="1"/>
    <col min="921" max="921" width="33.7109375" bestFit="1" customWidth="1"/>
    <col min="922" max="922" width="13.42578125" bestFit="1" customWidth="1"/>
    <col min="923" max="923" width="14.140625" bestFit="1" customWidth="1"/>
    <col min="924" max="924" width="33.85546875" bestFit="1" customWidth="1"/>
    <col min="925" max="925" width="33.7109375" bestFit="1" customWidth="1"/>
    <col min="926" max="926" width="13.42578125" bestFit="1" customWidth="1"/>
    <col min="927" max="927" width="14.140625" bestFit="1" customWidth="1"/>
    <col min="928" max="928" width="33.85546875" bestFit="1" customWidth="1"/>
    <col min="929" max="929" width="33.7109375" bestFit="1" customWidth="1"/>
    <col min="930" max="930" width="13.42578125" bestFit="1" customWidth="1"/>
    <col min="931" max="931" width="14.140625" bestFit="1" customWidth="1"/>
    <col min="932" max="932" width="33.85546875" bestFit="1" customWidth="1"/>
    <col min="933" max="933" width="33.7109375" bestFit="1" customWidth="1"/>
    <col min="934" max="934" width="13.42578125" bestFit="1" customWidth="1"/>
    <col min="935" max="935" width="14.140625" bestFit="1" customWidth="1"/>
    <col min="936" max="936" width="33.85546875" bestFit="1" customWidth="1"/>
    <col min="937" max="937" width="33.7109375" bestFit="1" customWidth="1"/>
    <col min="938" max="938" width="13.42578125" bestFit="1" customWidth="1"/>
    <col min="939" max="939" width="14.140625" bestFit="1" customWidth="1"/>
    <col min="940" max="940" width="33.85546875" bestFit="1" customWidth="1"/>
    <col min="941" max="941" width="33.7109375" bestFit="1" customWidth="1"/>
    <col min="942" max="942" width="13.42578125" bestFit="1" customWidth="1"/>
    <col min="943" max="943" width="14.140625" bestFit="1" customWidth="1"/>
    <col min="944" max="944" width="33.85546875" bestFit="1" customWidth="1"/>
    <col min="945" max="945" width="33.7109375" bestFit="1" customWidth="1"/>
    <col min="946" max="946" width="13.42578125" bestFit="1" customWidth="1"/>
    <col min="947" max="947" width="14.140625" bestFit="1" customWidth="1"/>
    <col min="948" max="948" width="33.85546875" bestFit="1" customWidth="1"/>
    <col min="949" max="949" width="33.7109375" bestFit="1" customWidth="1"/>
    <col min="950" max="950" width="13.42578125" bestFit="1" customWidth="1"/>
    <col min="951" max="951" width="14.140625" bestFit="1" customWidth="1"/>
    <col min="952" max="952" width="33.85546875" bestFit="1" customWidth="1"/>
    <col min="953" max="953" width="33.7109375" bestFit="1" customWidth="1"/>
    <col min="954" max="954" width="13.42578125" bestFit="1" customWidth="1"/>
    <col min="955" max="955" width="14.140625" bestFit="1" customWidth="1"/>
    <col min="956" max="956" width="33.85546875" bestFit="1" customWidth="1"/>
    <col min="957" max="957" width="33.7109375" bestFit="1" customWidth="1"/>
    <col min="958" max="958" width="13.42578125" bestFit="1" customWidth="1"/>
    <col min="959" max="959" width="14.140625" bestFit="1" customWidth="1"/>
    <col min="960" max="960" width="33.85546875" bestFit="1" customWidth="1"/>
    <col min="961" max="961" width="33.7109375" bestFit="1" customWidth="1"/>
    <col min="962" max="962" width="13.42578125" bestFit="1" customWidth="1"/>
    <col min="963" max="963" width="14.140625" bestFit="1" customWidth="1"/>
    <col min="964" max="964" width="33.85546875" bestFit="1" customWidth="1"/>
    <col min="965" max="965" width="33.7109375" bestFit="1" customWidth="1"/>
    <col min="966" max="966" width="13.42578125" bestFit="1" customWidth="1"/>
    <col min="967" max="967" width="14.140625" bestFit="1" customWidth="1"/>
    <col min="968" max="968" width="33.85546875" bestFit="1" customWidth="1"/>
    <col min="969" max="969" width="33.7109375" bestFit="1" customWidth="1"/>
    <col min="970" max="970" width="13.42578125" bestFit="1" customWidth="1"/>
    <col min="971" max="971" width="14.140625" bestFit="1" customWidth="1"/>
    <col min="972" max="972" width="33.85546875" bestFit="1" customWidth="1"/>
    <col min="973" max="973" width="33.7109375" bestFit="1" customWidth="1"/>
    <col min="974" max="974" width="13.42578125" bestFit="1" customWidth="1"/>
    <col min="975" max="975" width="14.140625" bestFit="1" customWidth="1"/>
    <col min="976" max="976" width="33.85546875" bestFit="1" customWidth="1"/>
    <col min="977" max="977" width="33.7109375" bestFit="1" customWidth="1"/>
    <col min="978" max="978" width="13.42578125" bestFit="1" customWidth="1"/>
    <col min="979" max="979" width="14.140625" bestFit="1" customWidth="1"/>
    <col min="980" max="980" width="33.85546875" bestFit="1" customWidth="1"/>
    <col min="981" max="981" width="33.7109375" bestFit="1" customWidth="1"/>
    <col min="982" max="982" width="13.42578125" bestFit="1" customWidth="1"/>
    <col min="983" max="983" width="14.140625" bestFit="1" customWidth="1"/>
    <col min="984" max="984" width="33.85546875" bestFit="1" customWidth="1"/>
    <col min="985" max="985" width="33.7109375" bestFit="1" customWidth="1"/>
    <col min="986" max="986" width="13.42578125" bestFit="1" customWidth="1"/>
    <col min="987" max="987" width="14.140625" bestFit="1" customWidth="1"/>
    <col min="988" max="988" width="33.85546875" bestFit="1" customWidth="1"/>
    <col min="989" max="989" width="33.7109375" bestFit="1" customWidth="1"/>
    <col min="990" max="990" width="13.42578125" bestFit="1" customWidth="1"/>
    <col min="991" max="991" width="14.140625" bestFit="1" customWidth="1"/>
    <col min="992" max="992" width="33.85546875" bestFit="1" customWidth="1"/>
    <col min="993" max="993" width="33.7109375" bestFit="1" customWidth="1"/>
    <col min="994" max="994" width="13.42578125" bestFit="1" customWidth="1"/>
    <col min="995" max="995" width="14.140625" bestFit="1" customWidth="1"/>
    <col min="996" max="996" width="33.85546875" bestFit="1" customWidth="1"/>
    <col min="997" max="997" width="33.7109375" bestFit="1" customWidth="1"/>
    <col min="998" max="998" width="13.42578125" bestFit="1" customWidth="1"/>
    <col min="999" max="999" width="14.140625" bestFit="1" customWidth="1"/>
    <col min="1000" max="1000" width="33.85546875" bestFit="1" customWidth="1"/>
    <col min="1001" max="1001" width="33.7109375" bestFit="1" customWidth="1"/>
    <col min="1002" max="1002" width="13.42578125" bestFit="1" customWidth="1"/>
    <col min="1003" max="1003" width="14.140625" bestFit="1" customWidth="1"/>
    <col min="1004" max="1004" width="33.85546875" bestFit="1" customWidth="1"/>
    <col min="1005" max="1005" width="33.7109375" bestFit="1" customWidth="1"/>
    <col min="1006" max="1006" width="13.42578125" bestFit="1" customWidth="1"/>
    <col min="1007" max="1007" width="14.140625" bestFit="1" customWidth="1"/>
    <col min="1008" max="1008" width="33.85546875" bestFit="1" customWidth="1"/>
    <col min="1009" max="1009" width="33.7109375" bestFit="1" customWidth="1"/>
    <col min="1010" max="1010" width="13.42578125" bestFit="1" customWidth="1"/>
    <col min="1011" max="1011" width="14.140625" bestFit="1" customWidth="1"/>
    <col min="1012" max="1012" width="33.85546875" bestFit="1" customWidth="1"/>
    <col min="1013" max="1013" width="33.7109375" bestFit="1" customWidth="1"/>
    <col min="1014" max="1014" width="13.42578125" bestFit="1" customWidth="1"/>
    <col min="1015" max="1015" width="14.140625" bestFit="1" customWidth="1"/>
    <col min="1016" max="1016" width="33.85546875" bestFit="1" customWidth="1"/>
    <col min="1017" max="1017" width="33.7109375" bestFit="1" customWidth="1"/>
    <col min="1018" max="1018" width="13.42578125" bestFit="1" customWidth="1"/>
    <col min="1019" max="1019" width="14.140625" bestFit="1" customWidth="1"/>
    <col min="1020" max="1020" width="33.85546875" bestFit="1" customWidth="1"/>
    <col min="1021" max="1021" width="33.7109375" bestFit="1" customWidth="1"/>
    <col min="1022" max="1022" width="13.42578125" bestFit="1" customWidth="1"/>
    <col min="1023" max="1023" width="14.140625" bestFit="1" customWidth="1"/>
    <col min="1024" max="1024" width="33.85546875" bestFit="1" customWidth="1"/>
    <col min="1025" max="1025" width="33.7109375" bestFit="1" customWidth="1"/>
    <col min="1026" max="1026" width="13.42578125" bestFit="1" customWidth="1"/>
    <col min="1027" max="1027" width="14.140625" bestFit="1" customWidth="1"/>
    <col min="1028" max="1028" width="33.85546875" bestFit="1" customWidth="1"/>
    <col min="1029" max="1029" width="33.7109375" bestFit="1" customWidth="1"/>
    <col min="1030" max="1030" width="13.42578125" bestFit="1" customWidth="1"/>
    <col min="1031" max="1031" width="14.140625" bestFit="1" customWidth="1"/>
    <col min="1032" max="1032" width="33.85546875" bestFit="1" customWidth="1"/>
    <col min="1033" max="1033" width="33.7109375" bestFit="1" customWidth="1"/>
    <col min="1034" max="1034" width="13.42578125" bestFit="1" customWidth="1"/>
    <col min="1035" max="1035" width="14.140625" bestFit="1" customWidth="1"/>
    <col min="1036" max="1036" width="33.85546875" bestFit="1" customWidth="1"/>
    <col min="1037" max="1037" width="33.7109375" bestFit="1" customWidth="1"/>
    <col min="1038" max="1038" width="13.42578125" bestFit="1" customWidth="1"/>
    <col min="1039" max="1039" width="14.140625" bestFit="1" customWidth="1"/>
    <col min="1040" max="1040" width="33.85546875" bestFit="1" customWidth="1"/>
    <col min="1041" max="1041" width="33.7109375" bestFit="1" customWidth="1"/>
    <col min="1042" max="1042" width="13.42578125" bestFit="1" customWidth="1"/>
    <col min="1043" max="1043" width="14.140625" bestFit="1" customWidth="1"/>
    <col min="1044" max="1044" width="33.85546875" bestFit="1" customWidth="1"/>
    <col min="1045" max="1045" width="33.7109375" bestFit="1" customWidth="1"/>
    <col min="1046" max="1046" width="13.42578125" bestFit="1" customWidth="1"/>
    <col min="1047" max="1047" width="14.140625" bestFit="1" customWidth="1"/>
    <col min="1048" max="1048" width="33.85546875" bestFit="1" customWidth="1"/>
    <col min="1049" max="1049" width="33.7109375" bestFit="1" customWidth="1"/>
    <col min="1050" max="1050" width="13.42578125" bestFit="1" customWidth="1"/>
    <col min="1051" max="1051" width="14.140625" bestFit="1" customWidth="1"/>
    <col min="1052" max="1052" width="33.85546875" bestFit="1" customWidth="1"/>
    <col min="1053" max="1053" width="33.7109375" bestFit="1" customWidth="1"/>
    <col min="1054" max="1054" width="13.42578125" bestFit="1" customWidth="1"/>
    <col min="1055" max="1055" width="14.140625" bestFit="1" customWidth="1"/>
    <col min="1056" max="1056" width="33.85546875" bestFit="1" customWidth="1"/>
    <col min="1057" max="1057" width="33.7109375" bestFit="1" customWidth="1"/>
    <col min="1058" max="1058" width="13.42578125" bestFit="1" customWidth="1"/>
    <col min="1059" max="1059" width="14.140625" bestFit="1" customWidth="1"/>
    <col min="1060" max="1060" width="33.85546875" bestFit="1" customWidth="1"/>
    <col min="1061" max="1061" width="33.7109375" bestFit="1" customWidth="1"/>
    <col min="1062" max="1062" width="13.42578125" bestFit="1" customWidth="1"/>
    <col min="1063" max="1063" width="14.140625" bestFit="1" customWidth="1"/>
    <col min="1064" max="1064" width="33.85546875" bestFit="1" customWidth="1"/>
    <col min="1065" max="1065" width="33.7109375" bestFit="1" customWidth="1"/>
    <col min="1066" max="1066" width="13.42578125" bestFit="1" customWidth="1"/>
    <col min="1067" max="1067" width="14.140625" bestFit="1" customWidth="1"/>
    <col min="1068" max="1068" width="33.85546875" bestFit="1" customWidth="1"/>
    <col min="1069" max="1069" width="33.7109375" bestFit="1" customWidth="1"/>
    <col min="1070" max="1070" width="13.42578125" bestFit="1" customWidth="1"/>
    <col min="1071" max="1071" width="14.140625" bestFit="1" customWidth="1"/>
    <col min="1072" max="1072" width="33.85546875" bestFit="1" customWidth="1"/>
    <col min="1073" max="1073" width="33.7109375" bestFit="1" customWidth="1"/>
    <col min="1074" max="1074" width="13.42578125" bestFit="1" customWidth="1"/>
    <col min="1075" max="1075" width="14.140625" bestFit="1" customWidth="1"/>
    <col min="1076" max="1076" width="33.85546875" bestFit="1" customWidth="1"/>
    <col min="1077" max="1077" width="33.7109375" bestFit="1" customWidth="1"/>
    <col min="1078" max="1078" width="13.42578125" bestFit="1" customWidth="1"/>
    <col min="1079" max="1079" width="14.140625" bestFit="1" customWidth="1"/>
    <col min="1080" max="1080" width="33.85546875" bestFit="1" customWidth="1"/>
    <col min="1081" max="1081" width="33.7109375" bestFit="1" customWidth="1"/>
    <col min="1082" max="1082" width="13.42578125" bestFit="1" customWidth="1"/>
    <col min="1083" max="1083" width="14.140625" bestFit="1" customWidth="1"/>
    <col min="1084" max="1084" width="33.85546875" bestFit="1" customWidth="1"/>
    <col min="1085" max="1085" width="33.7109375" bestFit="1" customWidth="1"/>
    <col min="1086" max="1086" width="13.42578125" bestFit="1" customWidth="1"/>
    <col min="1087" max="1087" width="14.140625" bestFit="1" customWidth="1"/>
    <col min="1088" max="1088" width="33.85546875" bestFit="1" customWidth="1"/>
    <col min="1089" max="1089" width="33.7109375" bestFit="1" customWidth="1"/>
    <col min="1090" max="1090" width="13.42578125" bestFit="1" customWidth="1"/>
    <col min="1091" max="1091" width="14.140625" bestFit="1" customWidth="1"/>
    <col min="1092" max="1092" width="33.85546875" bestFit="1" customWidth="1"/>
    <col min="1093" max="1093" width="33.7109375" bestFit="1" customWidth="1"/>
    <col min="1094" max="1094" width="13.42578125" bestFit="1" customWidth="1"/>
    <col min="1095" max="1095" width="14.140625" bestFit="1" customWidth="1"/>
    <col min="1096" max="1096" width="33.85546875" bestFit="1" customWidth="1"/>
    <col min="1097" max="1097" width="33.7109375" bestFit="1" customWidth="1"/>
    <col min="1098" max="1098" width="13.42578125" bestFit="1" customWidth="1"/>
    <col min="1099" max="1099" width="14.140625" bestFit="1" customWidth="1"/>
    <col min="1100" max="1100" width="33.85546875" bestFit="1" customWidth="1"/>
    <col min="1101" max="1101" width="33.7109375" bestFit="1" customWidth="1"/>
    <col min="1102" max="1102" width="13.42578125" bestFit="1" customWidth="1"/>
    <col min="1103" max="1103" width="14.140625" bestFit="1" customWidth="1"/>
    <col min="1104" max="1104" width="33.85546875" bestFit="1" customWidth="1"/>
    <col min="1105" max="1105" width="33.7109375" bestFit="1" customWidth="1"/>
    <col min="1106" max="1106" width="13.42578125" bestFit="1" customWidth="1"/>
    <col min="1107" max="1107" width="14.140625" bestFit="1" customWidth="1"/>
    <col min="1108" max="1108" width="33.85546875" bestFit="1" customWidth="1"/>
    <col min="1109" max="1109" width="33.7109375" bestFit="1" customWidth="1"/>
    <col min="1110" max="1110" width="13.42578125" bestFit="1" customWidth="1"/>
    <col min="1111" max="1111" width="14.140625" bestFit="1" customWidth="1"/>
    <col min="1112" max="1112" width="33.85546875" bestFit="1" customWidth="1"/>
    <col min="1113" max="1113" width="33.7109375" bestFit="1" customWidth="1"/>
    <col min="1114" max="1114" width="13.42578125" bestFit="1" customWidth="1"/>
    <col min="1115" max="1115" width="14.140625" bestFit="1" customWidth="1"/>
    <col min="1116" max="1116" width="33.85546875" bestFit="1" customWidth="1"/>
    <col min="1117" max="1117" width="33.7109375" bestFit="1" customWidth="1"/>
    <col min="1118" max="1118" width="13.42578125" bestFit="1" customWidth="1"/>
    <col min="1119" max="1119" width="14.140625" bestFit="1" customWidth="1"/>
    <col min="1120" max="1120" width="33.85546875" bestFit="1" customWidth="1"/>
    <col min="1121" max="1121" width="33.7109375" bestFit="1" customWidth="1"/>
    <col min="1122" max="1122" width="13.42578125" bestFit="1" customWidth="1"/>
    <col min="1123" max="1123" width="14.140625" bestFit="1" customWidth="1"/>
    <col min="1124" max="1124" width="33.85546875" bestFit="1" customWidth="1"/>
    <col min="1125" max="1125" width="33.7109375" bestFit="1" customWidth="1"/>
    <col min="1126" max="1126" width="13.42578125" bestFit="1" customWidth="1"/>
    <col min="1127" max="1127" width="14.140625" bestFit="1" customWidth="1"/>
    <col min="1128" max="1128" width="33.85546875" bestFit="1" customWidth="1"/>
    <col min="1129" max="1129" width="33.7109375" bestFit="1" customWidth="1"/>
    <col min="1130" max="1130" width="13.42578125" bestFit="1" customWidth="1"/>
    <col min="1131" max="1131" width="14.140625" bestFit="1" customWidth="1"/>
    <col min="1132" max="1132" width="33.85546875" bestFit="1" customWidth="1"/>
    <col min="1133" max="1133" width="33.7109375" bestFit="1" customWidth="1"/>
    <col min="1134" max="1134" width="13.42578125" bestFit="1" customWidth="1"/>
    <col min="1135" max="1135" width="14.140625" bestFit="1" customWidth="1"/>
    <col min="1136" max="1136" width="33.85546875" bestFit="1" customWidth="1"/>
    <col min="1137" max="1137" width="33.7109375" bestFit="1" customWidth="1"/>
    <col min="1138" max="1138" width="13.42578125" bestFit="1" customWidth="1"/>
    <col min="1139" max="1139" width="14.140625" bestFit="1" customWidth="1"/>
    <col min="1140" max="1140" width="33.85546875" bestFit="1" customWidth="1"/>
    <col min="1141" max="1141" width="33.7109375" bestFit="1" customWidth="1"/>
    <col min="1142" max="1142" width="13.42578125" bestFit="1" customWidth="1"/>
    <col min="1143" max="1143" width="14.140625" bestFit="1" customWidth="1"/>
    <col min="1144" max="1144" width="33.85546875" bestFit="1" customWidth="1"/>
    <col min="1145" max="1145" width="33.7109375" bestFit="1" customWidth="1"/>
    <col min="1146" max="1146" width="13.42578125" bestFit="1" customWidth="1"/>
    <col min="1147" max="1147" width="14.140625" bestFit="1" customWidth="1"/>
    <col min="1148" max="1148" width="33.85546875" bestFit="1" customWidth="1"/>
    <col min="1149" max="1149" width="33.7109375" bestFit="1" customWidth="1"/>
    <col min="1150" max="1150" width="13.42578125" bestFit="1" customWidth="1"/>
    <col min="1151" max="1151" width="14.140625" bestFit="1" customWidth="1"/>
    <col min="1152" max="1152" width="33.85546875" bestFit="1" customWidth="1"/>
    <col min="1153" max="1153" width="33.7109375" bestFit="1" customWidth="1"/>
    <col min="1154" max="1154" width="13.42578125" bestFit="1" customWidth="1"/>
    <col min="1155" max="1155" width="14.140625" bestFit="1" customWidth="1"/>
    <col min="1156" max="1156" width="33.85546875" bestFit="1" customWidth="1"/>
    <col min="1157" max="1157" width="33.7109375" bestFit="1" customWidth="1"/>
    <col min="1158" max="1158" width="13.42578125" bestFit="1" customWidth="1"/>
    <col min="1159" max="1159" width="14.140625" bestFit="1" customWidth="1"/>
    <col min="1160" max="1160" width="33.85546875" bestFit="1" customWidth="1"/>
    <col min="1161" max="1161" width="33.7109375" bestFit="1" customWidth="1"/>
    <col min="1162" max="1162" width="13.42578125" bestFit="1" customWidth="1"/>
    <col min="1163" max="1163" width="14.140625" bestFit="1" customWidth="1"/>
    <col min="1164" max="1164" width="33.85546875" bestFit="1" customWidth="1"/>
    <col min="1165" max="1165" width="33.7109375" bestFit="1" customWidth="1"/>
    <col min="1166" max="1166" width="13.42578125" bestFit="1" customWidth="1"/>
    <col min="1167" max="1167" width="14.140625" bestFit="1" customWidth="1"/>
    <col min="1168" max="1168" width="33.85546875" bestFit="1" customWidth="1"/>
    <col min="1169" max="1169" width="33.7109375" bestFit="1" customWidth="1"/>
    <col min="1170" max="1170" width="13.42578125" bestFit="1" customWidth="1"/>
    <col min="1171" max="1171" width="14.140625" bestFit="1" customWidth="1"/>
    <col min="1172" max="1172" width="33.85546875" bestFit="1" customWidth="1"/>
    <col min="1173" max="1173" width="33.7109375" bestFit="1" customWidth="1"/>
    <col min="1174" max="1174" width="13.42578125" bestFit="1" customWidth="1"/>
    <col min="1175" max="1175" width="14.140625" bestFit="1" customWidth="1"/>
    <col min="1176" max="1176" width="33.85546875" bestFit="1" customWidth="1"/>
    <col min="1177" max="1177" width="33.7109375" bestFit="1" customWidth="1"/>
    <col min="1178" max="1178" width="13.42578125" bestFit="1" customWidth="1"/>
    <col min="1179" max="1179" width="14.140625" bestFit="1" customWidth="1"/>
    <col min="1180" max="1180" width="33.85546875" bestFit="1" customWidth="1"/>
    <col min="1181" max="1181" width="33.7109375" bestFit="1" customWidth="1"/>
    <col min="1182" max="1182" width="13.42578125" bestFit="1" customWidth="1"/>
    <col min="1183" max="1183" width="14.140625" bestFit="1" customWidth="1"/>
    <col min="1184" max="1184" width="33.85546875" bestFit="1" customWidth="1"/>
    <col min="1185" max="1185" width="33.7109375" bestFit="1" customWidth="1"/>
    <col min="1186" max="1186" width="13.42578125" bestFit="1" customWidth="1"/>
    <col min="1187" max="1187" width="14.140625" bestFit="1" customWidth="1"/>
    <col min="1188" max="1188" width="33.85546875" bestFit="1" customWidth="1"/>
    <col min="1189" max="1189" width="33.7109375" bestFit="1" customWidth="1"/>
    <col min="1190" max="1190" width="13.42578125" bestFit="1" customWidth="1"/>
    <col min="1191" max="1191" width="14.140625" bestFit="1" customWidth="1"/>
    <col min="1192" max="1192" width="33.85546875" bestFit="1" customWidth="1"/>
    <col min="1193" max="1193" width="33.7109375" bestFit="1" customWidth="1"/>
    <col min="1194" max="1194" width="13.42578125" bestFit="1" customWidth="1"/>
    <col min="1195" max="1195" width="14.140625" bestFit="1" customWidth="1"/>
    <col min="1196" max="1196" width="33.85546875" bestFit="1" customWidth="1"/>
    <col min="1197" max="1197" width="33.7109375" bestFit="1" customWidth="1"/>
    <col min="1198" max="1198" width="13.42578125" bestFit="1" customWidth="1"/>
    <col min="1199" max="1199" width="14.140625" bestFit="1" customWidth="1"/>
    <col min="1200" max="1200" width="33.85546875" bestFit="1" customWidth="1"/>
    <col min="1201" max="1201" width="33.7109375" bestFit="1" customWidth="1"/>
    <col min="1202" max="1202" width="13.42578125" bestFit="1" customWidth="1"/>
    <col min="1203" max="1203" width="14.140625" bestFit="1" customWidth="1"/>
    <col min="1204" max="1204" width="33.85546875" bestFit="1" customWidth="1"/>
    <col min="1205" max="1205" width="33.7109375" bestFit="1" customWidth="1"/>
    <col min="1206" max="1206" width="13.42578125" bestFit="1" customWidth="1"/>
    <col min="1207" max="1207" width="14.140625" bestFit="1" customWidth="1"/>
    <col min="1208" max="1208" width="33.85546875" bestFit="1" customWidth="1"/>
    <col min="1209" max="1209" width="33.7109375" bestFit="1" customWidth="1"/>
    <col min="1210" max="1210" width="13.42578125" bestFit="1" customWidth="1"/>
    <col min="1211" max="1211" width="14.140625" bestFit="1" customWidth="1"/>
    <col min="1212" max="1212" width="33.85546875" bestFit="1" customWidth="1"/>
    <col min="1213" max="1213" width="33.7109375" bestFit="1" customWidth="1"/>
    <col min="1214" max="1214" width="13.42578125" bestFit="1" customWidth="1"/>
    <col min="1215" max="1215" width="14.140625" bestFit="1" customWidth="1"/>
    <col min="1216" max="1216" width="33.85546875" bestFit="1" customWidth="1"/>
    <col min="1217" max="1217" width="33.7109375" bestFit="1" customWidth="1"/>
    <col min="1218" max="1218" width="13.42578125" bestFit="1" customWidth="1"/>
    <col min="1219" max="1219" width="14.140625" bestFit="1" customWidth="1"/>
    <col min="1220" max="1220" width="33.85546875" bestFit="1" customWidth="1"/>
    <col min="1221" max="1221" width="33.7109375" bestFit="1" customWidth="1"/>
    <col min="1222" max="1222" width="13.42578125" bestFit="1" customWidth="1"/>
    <col min="1223" max="1223" width="14.140625" bestFit="1" customWidth="1"/>
    <col min="1224" max="1224" width="33.85546875" bestFit="1" customWidth="1"/>
    <col min="1225" max="1225" width="33.7109375" bestFit="1" customWidth="1"/>
    <col min="1226" max="1226" width="13.42578125" bestFit="1" customWidth="1"/>
    <col min="1227" max="1227" width="14.140625" bestFit="1" customWidth="1"/>
    <col min="1228" max="1228" width="33.85546875" bestFit="1" customWidth="1"/>
    <col min="1229" max="1229" width="33.7109375" bestFit="1" customWidth="1"/>
    <col min="1230" max="1230" width="13.42578125" bestFit="1" customWidth="1"/>
    <col min="1231" max="1231" width="14.140625" bestFit="1" customWidth="1"/>
    <col min="1232" max="1232" width="33.85546875" bestFit="1" customWidth="1"/>
    <col min="1233" max="1233" width="33.7109375" bestFit="1" customWidth="1"/>
    <col min="1234" max="1234" width="13.42578125" bestFit="1" customWidth="1"/>
    <col min="1235" max="1235" width="14.140625" bestFit="1" customWidth="1"/>
    <col min="1236" max="1236" width="33.85546875" bestFit="1" customWidth="1"/>
    <col min="1237" max="1237" width="33.7109375" bestFit="1" customWidth="1"/>
    <col min="1238" max="1238" width="13.42578125" bestFit="1" customWidth="1"/>
    <col min="1239" max="1239" width="14.140625" bestFit="1" customWidth="1"/>
    <col min="1240" max="1240" width="33.85546875" bestFit="1" customWidth="1"/>
    <col min="1241" max="1241" width="33.7109375" bestFit="1" customWidth="1"/>
    <col min="1242" max="1242" width="13.42578125" bestFit="1" customWidth="1"/>
    <col min="1243" max="1243" width="14.140625" bestFit="1" customWidth="1"/>
    <col min="1244" max="1244" width="33.85546875" bestFit="1" customWidth="1"/>
    <col min="1245" max="1245" width="33.7109375" bestFit="1" customWidth="1"/>
    <col min="1246" max="1246" width="13.42578125" bestFit="1" customWidth="1"/>
    <col min="1247" max="1247" width="14.140625" bestFit="1" customWidth="1"/>
    <col min="1248" max="1248" width="33.85546875" bestFit="1" customWidth="1"/>
    <col min="1249" max="1249" width="33.7109375" bestFit="1" customWidth="1"/>
    <col min="1250" max="1250" width="13.42578125" bestFit="1" customWidth="1"/>
    <col min="1251" max="1251" width="14.140625" bestFit="1" customWidth="1"/>
    <col min="1252" max="1252" width="33.85546875" bestFit="1" customWidth="1"/>
    <col min="1253" max="1253" width="33.7109375" bestFit="1" customWidth="1"/>
    <col min="1254" max="1254" width="13.42578125" bestFit="1" customWidth="1"/>
    <col min="1255" max="1255" width="14.140625" bestFit="1" customWidth="1"/>
    <col min="1256" max="1256" width="33.85546875" bestFit="1" customWidth="1"/>
    <col min="1257" max="1257" width="33.7109375" bestFit="1" customWidth="1"/>
    <col min="1258" max="1258" width="13.42578125" bestFit="1" customWidth="1"/>
    <col min="1259" max="1259" width="14.140625" bestFit="1" customWidth="1"/>
    <col min="1260" max="1260" width="33.85546875" bestFit="1" customWidth="1"/>
    <col min="1261" max="1261" width="33.7109375" bestFit="1" customWidth="1"/>
    <col min="1262" max="1262" width="13.42578125" bestFit="1" customWidth="1"/>
    <col min="1263" max="1263" width="14.140625" bestFit="1" customWidth="1"/>
    <col min="1264" max="1264" width="33.85546875" bestFit="1" customWidth="1"/>
    <col min="1265" max="1265" width="33.7109375" bestFit="1" customWidth="1"/>
    <col min="1266" max="1266" width="13.42578125" bestFit="1" customWidth="1"/>
    <col min="1267" max="1267" width="14.140625" bestFit="1" customWidth="1"/>
    <col min="1268" max="1268" width="33.85546875" bestFit="1" customWidth="1"/>
    <col min="1269" max="1269" width="33.7109375" bestFit="1" customWidth="1"/>
    <col min="1270" max="1270" width="13.42578125" bestFit="1" customWidth="1"/>
    <col min="1271" max="1271" width="14.140625" bestFit="1" customWidth="1"/>
    <col min="1272" max="1272" width="33.85546875" bestFit="1" customWidth="1"/>
    <col min="1273" max="1273" width="33.7109375" bestFit="1" customWidth="1"/>
    <col min="1274" max="1274" width="13.42578125" bestFit="1" customWidth="1"/>
    <col min="1275" max="1275" width="14.140625" bestFit="1" customWidth="1"/>
    <col min="1276" max="1276" width="33.85546875" bestFit="1" customWidth="1"/>
    <col min="1277" max="1277" width="33.7109375" bestFit="1" customWidth="1"/>
    <col min="1278" max="1278" width="13.42578125" bestFit="1" customWidth="1"/>
    <col min="1279" max="1279" width="14.140625" bestFit="1" customWidth="1"/>
    <col min="1280" max="1280" width="33.85546875" bestFit="1" customWidth="1"/>
    <col min="1281" max="1281" width="33.7109375" bestFit="1" customWidth="1"/>
    <col min="1282" max="1282" width="13.42578125" bestFit="1" customWidth="1"/>
    <col min="1283" max="1283" width="14.140625" bestFit="1" customWidth="1"/>
    <col min="1284" max="1284" width="33.85546875" bestFit="1" customWidth="1"/>
    <col min="1285" max="1285" width="33.7109375" bestFit="1" customWidth="1"/>
    <col min="1286" max="1286" width="13.42578125" bestFit="1" customWidth="1"/>
    <col min="1287" max="1287" width="14.140625" bestFit="1" customWidth="1"/>
    <col min="1288" max="1288" width="33.85546875" bestFit="1" customWidth="1"/>
    <col min="1289" max="1289" width="33.7109375" bestFit="1" customWidth="1"/>
    <col min="1290" max="1290" width="13.42578125" bestFit="1" customWidth="1"/>
    <col min="1291" max="1291" width="14.140625" bestFit="1" customWidth="1"/>
    <col min="1292" max="1292" width="33.85546875" bestFit="1" customWidth="1"/>
    <col min="1293" max="1293" width="33.7109375" bestFit="1" customWidth="1"/>
    <col min="1294" max="1294" width="13.42578125" bestFit="1" customWidth="1"/>
    <col min="1295" max="1295" width="14.140625" bestFit="1" customWidth="1"/>
    <col min="1296" max="1296" width="33.85546875" bestFit="1" customWidth="1"/>
    <col min="1297" max="1297" width="33.7109375" bestFit="1" customWidth="1"/>
    <col min="1298" max="1298" width="13.42578125" bestFit="1" customWidth="1"/>
    <col min="1299" max="1299" width="14.140625" bestFit="1" customWidth="1"/>
    <col min="1300" max="1300" width="33.85546875" bestFit="1" customWidth="1"/>
    <col min="1301" max="1301" width="33.7109375" bestFit="1" customWidth="1"/>
    <col min="1302" max="1302" width="13.42578125" bestFit="1" customWidth="1"/>
    <col min="1303" max="1303" width="14.140625" bestFit="1" customWidth="1"/>
    <col min="1304" max="1304" width="33.85546875" bestFit="1" customWidth="1"/>
    <col min="1305" max="1305" width="33.7109375" bestFit="1" customWidth="1"/>
    <col min="1306" max="1306" width="13.42578125" bestFit="1" customWidth="1"/>
    <col min="1307" max="1307" width="14.140625" bestFit="1" customWidth="1"/>
    <col min="1308" max="1308" width="33.85546875" bestFit="1" customWidth="1"/>
    <col min="1309" max="1309" width="33.7109375" bestFit="1" customWidth="1"/>
    <col min="1310" max="1310" width="13.42578125" bestFit="1" customWidth="1"/>
    <col min="1311" max="1311" width="14.140625" bestFit="1" customWidth="1"/>
    <col min="1312" max="1312" width="33.85546875" bestFit="1" customWidth="1"/>
    <col min="1313" max="1313" width="33.7109375" bestFit="1" customWidth="1"/>
    <col min="1314" max="1314" width="13.42578125" bestFit="1" customWidth="1"/>
    <col min="1315" max="1315" width="14.140625" bestFit="1" customWidth="1"/>
    <col min="1316" max="1316" width="33.85546875" bestFit="1" customWidth="1"/>
    <col min="1317" max="1317" width="33.7109375" bestFit="1" customWidth="1"/>
    <col min="1318" max="1318" width="13.42578125" bestFit="1" customWidth="1"/>
    <col min="1319" max="1319" width="14.140625" bestFit="1" customWidth="1"/>
    <col min="1320" max="1320" width="33.85546875" bestFit="1" customWidth="1"/>
    <col min="1321" max="1321" width="33.7109375" bestFit="1" customWidth="1"/>
    <col min="1322" max="1322" width="13.42578125" bestFit="1" customWidth="1"/>
    <col min="1323" max="1323" width="14.140625" bestFit="1" customWidth="1"/>
    <col min="1324" max="1324" width="33.85546875" bestFit="1" customWidth="1"/>
    <col min="1325" max="1325" width="33.7109375" bestFit="1" customWidth="1"/>
    <col min="1326" max="1326" width="13.42578125" bestFit="1" customWidth="1"/>
    <col min="1327" max="1327" width="14.140625" bestFit="1" customWidth="1"/>
    <col min="1328" max="1328" width="33.85546875" bestFit="1" customWidth="1"/>
    <col min="1329" max="1329" width="33.7109375" bestFit="1" customWidth="1"/>
    <col min="1330" max="1330" width="13.42578125" bestFit="1" customWidth="1"/>
    <col min="1331" max="1331" width="14.140625" bestFit="1" customWidth="1"/>
    <col min="1332" max="1332" width="33.85546875" bestFit="1" customWidth="1"/>
    <col min="1333" max="1333" width="33.7109375" bestFit="1" customWidth="1"/>
    <col min="1334" max="1334" width="13.42578125" bestFit="1" customWidth="1"/>
    <col min="1335" max="1335" width="14.140625" bestFit="1" customWidth="1"/>
    <col min="1336" max="1336" width="33.85546875" bestFit="1" customWidth="1"/>
    <col min="1337" max="1337" width="33.7109375" bestFit="1" customWidth="1"/>
    <col min="1338" max="1338" width="13.42578125" bestFit="1" customWidth="1"/>
    <col min="1339" max="1339" width="14.140625" bestFit="1" customWidth="1"/>
    <col min="1340" max="1340" width="33.85546875" bestFit="1" customWidth="1"/>
    <col min="1341" max="1341" width="33.7109375" bestFit="1" customWidth="1"/>
    <col min="1342" max="1342" width="13.42578125" bestFit="1" customWidth="1"/>
    <col min="1343" max="1343" width="14.140625" bestFit="1" customWidth="1"/>
    <col min="1344" max="1344" width="33.85546875" bestFit="1" customWidth="1"/>
    <col min="1345" max="1345" width="33.7109375" bestFit="1" customWidth="1"/>
    <col min="1346" max="1346" width="13.42578125" bestFit="1" customWidth="1"/>
    <col min="1347" max="1347" width="14.140625" bestFit="1" customWidth="1"/>
    <col min="1348" max="1348" width="33.85546875" bestFit="1" customWidth="1"/>
    <col min="1349" max="1349" width="33.7109375" bestFit="1" customWidth="1"/>
    <col min="1350" max="1350" width="13.42578125" bestFit="1" customWidth="1"/>
    <col min="1351" max="1351" width="14.140625" bestFit="1" customWidth="1"/>
    <col min="1352" max="1352" width="33.85546875" bestFit="1" customWidth="1"/>
    <col min="1353" max="1353" width="33.7109375" bestFit="1" customWidth="1"/>
    <col min="1354" max="1354" width="13.42578125" bestFit="1" customWidth="1"/>
    <col min="1355" max="1355" width="14.140625" bestFit="1" customWidth="1"/>
    <col min="1356" max="1356" width="33.85546875" bestFit="1" customWidth="1"/>
    <col min="1357" max="1357" width="33.7109375" bestFit="1" customWidth="1"/>
    <col min="1358" max="1358" width="13.42578125" bestFit="1" customWidth="1"/>
    <col min="1359" max="1359" width="14.140625" bestFit="1" customWidth="1"/>
    <col min="1360" max="1360" width="33.85546875" bestFit="1" customWidth="1"/>
    <col min="1361" max="1361" width="33.7109375" bestFit="1" customWidth="1"/>
    <col min="1362" max="1362" width="13.42578125" bestFit="1" customWidth="1"/>
    <col min="1363" max="1363" width="14.140625" bestFit="1" customWidth="1"/>
    <col min="1364" max="1364" width="33.85546875" bestFit="1" customWidth="1"/>
    <col min="1365" max="1365" width="33.7109375" bestFit="1" customWidth="1"/>
    <col min="1366" max="1366" width="13.42578125" bestFit="1" customWidth="1"/>
    <col min="1367" max="1367" width="14.140625" bestFit="1" customWidth="1"/>
    <col min="1368" max="1368" width="33.85546875" bestFit="1" customWidth="1"/>
    <col min="1369" max="1369" width="33.7109375" bestFit="1" customWidth="1"/>
    <col min="1370" max="1370" width="13.42578125" customWidth="1"/>
    <col min="1371" max="1371" width="14.140625" customWidth="1"/>
    <col min="1372" max="1372" width="33.85546875" bestFit="1" customWidth="1"/>
    <col min="1373" max="1373" width="33.7109375" bestFit="1" customWidth="1"/>
    <col min="1374" max="1374" width="13.42578125" bestFit="1" customWidth="1"/>
    <col min="1375" max="1375" width="14.140625" bestFit="1" customWidth="1"/>
    <col min="1376" max="1376" width="33.85546875" bestFit="1" customWidth="1"/>
    <col min="1377" max="1377" width="33.7109375" bestFit="1" customWidth="1"/>
    <col min="1378" max="1378" width="13.42578125" bestFit="1" customWidth="1"/>
    <col min="1379" max="1379" width="14.140625" bestFit="1" customWidth="1"/>
    <col min="1380" max="1380" width="33.85546875" bestFit="1" customWidth="1"/>
    <col min="1381" max="1381" width="33.7109375" bestFit="1" customWidth="1"/>
    <col min="1382" max="1382" width="13.42578125" bestFit="1" customWidth="1"/>
    <col min="1383" max="1383" width="14.140625" bestFit="1" customWidth="1"/>
    <col min="1384" max="1384" width="33.85546875" bestFit="1" customWidth="1"/>
    <col min="1385" max="1385" width="33.7109375" bestFit="1" customWidth="1"/>
    <col min="1386" max="1386" width="13.42578125" bestFit="1" customWidth="1"/>
    <col min="1387" max="1387" width="14.140625" bestFit="1" customWidth="1"/>
    <col min="1388" max="1388" width="33.85546875" bestFit="1" customWidth="1"/>
    <col min="1389" max="1389" width="33.7109375" bestFit="1" customWidth="1"/>
    <col min="1390" max="1390" width="13.42578125" bestFit="1" customWidth="1"/>
    <col min="1391" max="1391" width="14.140625" bestFit="1" customWidth="1"/>
    <col min="1392" max="1392" width="33.85546875" bestFit="1" customWidth="1"/>
    <col min="1393" max="1393" width="33.7109375" bestFit="1" customWidth="1"/>
    <col min="1394" max="1394" width="13.42578125" bestFit="1" customWidth="1"/>
    <col min="1395" max="1395" width="14.140625" bestFit="1" customWidth="1"/>
    <col min="1396" max="1396" width="33.85546875" bestFit="1" customWidth="1"/>
    <col min="1397" max="1397" width="33.7109375" bestFit="1" customWidth="1"/>
    <col min="1398" max="1398" width="13.42578125" bestFit="1" customWidth="1"/>
    <col min="1399" max="1399" width="14.140625" bestFit="1" customWidth="1"/>
    <col min="1400" max="1400" width="33.85546875" bestFit="1" customWidth="1"/>
    <col min="1401" max="1401" width="33.7109375" bestFit="1" customWidth="1"/>
    <col min="1402" max="1402" width="13.42578125" bestFit="1" customWidth="1"/>
    <col min="1403" max="1403" width="14.140625" bestFit="1" customWidth="1"/>
    <col min="1404" max="1404" width="33.85546875" bestFit="1" customWidth="1"/>
    <col min="1405" max="1405" width="33.7109375" bestFit="1" customWidth="1"/>
    <col min="1406" max="1406" width="13.42578125" bestFit="1" customWidth="1"/>
    <col min="1407" max="1407" width="14.140625" bestFit="1" customWidth="1"/>
    <col min="1408" max="1408" width="33.85546875" bestFit="1" customWidth="1"/>
    <col min="1409" max="1409" width="33.7109375" bestFit="1" customWidth="1"/>
    <col min="1410" max="1410" width="13.42578125" bestFit="1" customWidth="1"/>
    <col min="1411" max="1411" width="14.140625" bestFit="1" customWidth="1"/>
    <col min="1412" max="1412" width="33.85546875" bestFit="1" customWidth="1"/>
    <col min="1413" max="1413" width="33.7109375" bestFit="1" customWidth="1"/>
    <col min="1414" max="1414" width="13.42578125" bestFit="1" customWidth="1"/>
    <col min="1415" max="1415" width="14.140625" bestFit="1" customWidth="1"/>
    <col min="1416" max="1416" width="33.85546875" bestFit="1" customWidth="1"/>
    <col min="1417" max="1417" width="33.7109375" bestFit="1" customWidth="1"/>
    <col min="1418" max="1418" width="13.42578125" bestFit="1" customWidth="1"/>
    <col min="1419" max="1419" width="14.140625" bestFit="1" customWidth="1"/>
    <col min="1420" max="1420" width="33.85546875" bestFit="1" customWidth="1"/>
    <col min="1421" max="1421" width="33.7109375" bestFit="1" customWidth="1"/>
    <col min="1422" max="1422" width="13.42578125" bestFit="1" customWidth="1"/>
    <col min="1423" max="1423" width="14.140625" bestFit="1" customWidth="1"/>
    <col min="1424" max="1424" width="33.85546875" bestFit="1" customWidth="1"/>
    <col min="1425" max="1425" width="33.7109375" bestFit="1" customWidth="1"/>
    <col min="1426" max="1426" width="13.42578125" bestFit="1" customWidth="1"/>
    <col min="1427" max="1427" width="14.140625" bestFit="1" customWidth="1"/>
    <col min="1428" max="1428" width="33.85546875" bestFit="1" customWidth="1"/>
    <col min="1429" max="1429" width="33.7109375" bestFit="1" customWidth="1"/>
    <col min="1430" max="1430" width="13.42578125" bestFit="1" customWidth="1"/>
    <col min="1431" max="1431" width="14.140625" bestFit="1" customWidth="1"/>
    <col min="1432" max="1432" width="33.85546875" bestFit="1" customWidth="1"/>
    <col min="1433" max="1433" width="33.7109375" bestFit="1" customWidth="1"/>
    <col min="1434" max="1434" width="13.42578125" bestFit="1" customWidth="1"/>
    <col min="1435" max="1435" width="14.140625" bestFit="1" customWidth="1"/>
    <col min="1436" max="1436" width="33.85546875" bestFit="1" customWidth="1"/>
    <col min="1437" max="1437" width="33.7109375" bestFit="1" customWidth="1"/>
    <col min="1438" max="1438" width="13.42578125" bestFit="1" customWidth="1"/>
    <col min="1439" max="1439" width="14.140625" bestFit="1" customWidth="1"/>
    <col min="1440" max="1440" width="33.85546875" bestFit="1" customWidth="1"/>
    <col min="1441" max="1441" width="33.7109375" bestFit="1" customWidth="1"/>
    <col min="1442" max="1442" width="13.42578125" bestFit="1" customWidth="1"/>
    <col min="1443" max="1443" width="14.140625" bestFit="1" customWidth="1"/>
    <col min="1444" max="1444" width="33.85546875" bestFit="1" customWidth="1"/>
    <col min="1445" max="1445" width="33.7109375" bestFit="1" customWidth="1"/>
    <col min="1446" max="1446" width="13.42578125" bestFit="1" customWidth="1"/>
    <col min="1447" max="1447" width="14.140625" bestFit="1" customWidth="1"/>
    <col min="1448" max="1448" width="33.85546875" bestFit="1" customWidth="1"/>
    <col min="1449" max="1449" width="33.7109375" bestFit="1" customWidth="1"/>
    <col min="1450" max="1450" width="13.42578125" bestFit="1" customWidth="1"/>
    <col min="1451" max="1451" width="14.140625" bestFit="1" customWidth="1"/>
    <col min="1452" max="1452" width="33.85546875" bestFit="1" customWidth="1"/>
    <col min="1453" max="1453" width="33.7109375" bestFit="1" customWidth="1"/>
    <col min="1454" max="1454" width="13.42578125" bestFit="1" customWidth="1"/>
    <col min="1455" max="1455" width="14.140625" bestFit="1" customWidth="1"/>
    <col min="1456" max="1456" width="33.85546875" bestFit="1" customWidth="1"/>
    <col min="1457" max="1457" width="33.7109375" bestFit="1" customWidth="1"/>
    <col min="1458" max="1458" width="13.42578125" bestFit="1" customWidth="1"/>
    <col min="1459" max="1459" width="14.140625" bestFit="1" customWidth="1"/>
    <col min="1460" max="1460" width="33.85546875" bestFit="1" customWidth="1"/>
    <col min="1461" max="1461" width="33.7109375" bestFit="1" customWidth="1"/>
    <col min="1462" max="1462" width="13.42578125" bestFit="1" customWidth="1"/>
    <col min="1463" max="1463" width="14.140625" bestFit="1" customWidth="1"/>
    <col min="1464" max="1464" width="33.85546875" bestFit="1" customWidth="1"/>
    <col min="1465" max="1465" width="33.7109375" bestFit="1" customWidth="1"/>
    <col min="1466" max="1466" width="13.42578125" bestFit="1" customWidth="1"/>
    <col min="1467" max="1467" width="14.140625" bestFit="1" customWidth="1"/>
    <col min="1468" max="1468" width="33.85546875" bestFit="1" customWidth="1"/>
    <col min="1469" max="1469" width="33.7109375" bestFit="1" customWidth="1"/>
    <col min="1470" max="1470" width="13.42578125" bestFit="1" customWidth="1"/>
    <col min="1471" max="1471" width="14.140625" bestFit="1" customWidth="1"/>
    <col min="1472" max="1472" width="33.85546875" bestFit="1" customWidth="1"/>
    <col min="1473" max="1473" width="33.7109375" bestFit="1" customWidth="1"/>
    <col min="1474" max="1474" width="13.42578125" bestFit="1" customWidth="1"/>
    <col min="1475" max="1475" width="14.140625" bestFit="1" customWidth="1"/>
    <col min="1476" max="1476" width="33.85546875" bestFit="1" customWidth="1"/>
    <col min="1477" max="1477" width="33.7109375" bestFit="1" customWidth="1"/>
    <col min="1478" max="1478" width="13.42578125" bestFit="1" customWidth="1"/>
    <col min="1479" max="1479" width="14.140625" bestFit="1" customWidth="1"/>
    <col min="1480" max="1480" width="33.85546875" bestFit="1" customWidth="1"/>
    <col min="1481" max="1481" width="33.7109375" bestFit="1" customWidth="1"/>
    <col min="1482" max="1482" width="13.42578125" bestFit="1" customWidth="1"/>
    <col min="1483" max="1483" width="14.140625" bestFit="1" customWidth="1"/>
    <col min="1484" max="1484" width="33.85546875" bestFit="1" customWidth="1"/>
    <col min="1485" max="1485" width="33.7109375" bestFit="1" customWidth="1"/>
    <col min="1486" max="1486" width="13.42578125" bestFit="1" customWidth="1"/>
    <col min="1487" max="1487" width="14.140625" bestFit="1" customWidth="1"/>
    <col min="1488" max="1488" width="33.85546875" bestFit="1" customWidth="1"/>
    <col min="1489" max="1489" width="33.7109375" bestFit="1" customWidth="1"/>
    <col min="1490" max="1490" width="13.42578125" bestFit="1" customWidth="1"/>
    <col min="1491" max="1491" width="14.140625" bestFit="1" customWidth="1"/>
    <col min="1492" max="1492" width="33.85546875" bestFit="1" customWidth="1"/>
    <col min="1493" max="1493" width="33.7109375" bestFit="1" customWidth="1"/>
    <col min="1494" max="1494" width="13.42578125" bestFit="1" customWidth="1"/>
    <col min="1495" max="1495" width="14.140625" bestFit="1" customWidth="1"/>
    <col min="1496" max="1496" width="33.85546875" bestFit="1" customWidth="1"/>
    <col min="1497" max="1497" width="33.7109375" bestFit="1" customWidth="1"/>
    <col min="1498" max="1498" width="13.42578125" bestFit="1" customWidth="1"/>
    <col min="1499" max="1499" width="14.140625" bestFit="1" customWidth="1"/>
    <col min="1500" max="1500" width="33.85546875" bestFit="1" customWidth="1"/>
    <col min="1501" max="1501" width="33.7109375" bestFit="1" customWidth="1"/>
    <col min="1502" max="1502" width="13.42578125" bestFit="1" customWidth="1"/>
    <col min="1503" max="1503" width="14.140625" bestFit="1" customWidth="1"/>
    <col min="1504" max="1504" width="33.85546875" bestFit="1" customWidth="1"/>
    <col min="1505" max="1505" width="33.7109375" bestFit="1" customWidth="1"/>
    <col min="1506" max="1506" width="13.42578125" bestFit="1" customWidth="1"/>
    <col min="1507" max="1507" width="14.140625" bestFit="1" customWidth="1"/>
    <col min="1508" max="1508" width="33.85546875" bestFit="1" customWidth="1"/>
    <col min="1509" max="1509" width="33.7109375" bestFit="1" customWidth="1"/>
    <col min="1510" max="1510" width="13.42578125" bestFit="1" customWidth="1"/>
    <col min="1511" max="1511" width="14.140625" bestFit="1" customWidth="1"/>
    <col min="1512" max="1512" width="33.85546875" bestFit="1" customWidth="1"/>
    <col min="1513" max="1513" width="33.7109375" bestFit="1" customWidth="1"/>
    <col min="1514" max="1514" width="13.42578125" bestFit="1" customWidth="1"/>
    <col min="1515" max="1515" width="14.140625" bestFit="1" customWidth="1"/>
    <col min="1516" max="1516" width="33.85546875" bestFit="1" customWidth="1"/>
    <col min="1517" max="1517" width="33.7109375" bestFit="1" customWidth="1"/>
    <col min="1518" max="1518" width="13.42578125" bestFit="1" customWidth="1"/>
    <col min="1519" max="1519" width="14.140625" bestFit="1" customWidth="1"/>
    <col min="1520" max="1520" width="33.85546875" bestFit="1" customWidth="1"/>
    <col min="1521" max="1521" width="33.7109375" bestFit="1" customWidth="1"/>
    <col min="1522" max="1522" width="13.42578125" bestFit="1" customWidth="1"/>
    <col min="1523" max="1523" width="14.140625" bestFit="1" customWidth="1"/>
    <col min="1524" max="1524" width="33.85546875" bestFit="1" customWidth="1"/>
    <col min="1525" max="1525" width="33.7109375" bestFit="1" customWidth="1"/>
    <col min="1526" max="1526" width="13.42578125" bestFit="1" customWidth="1"/>
    <col min="1527" max="1527" width="14.140625" bestFit="1" customWidth="1"/>
    <col min="1528" max="1528" width="33.85546875" bestFit="1" customWidth="1"/>
    <col min="1529" max="1529" width="33.7109375" bestFit="1" customWidth="1"/>
    <col min="1530" max="1530" width="13.42578125" bestFit="1" customWidth="1"/>
    <col min="1531" max="1531" width="14.140625" bestFit="1" customWidth="1"/>
    <col min="1532" max="1532" width="33.85546875" bestFit="1" customWidth="1"/>
    <col min="1533" max="1533" width="33.7109375" bestFit="1" customWidth="1"/>
    <col min="1534" max="1534" width="13.42578125" bestFit="1" customWidth="1"/>
    <col min="1535" max="1535" width="14.140625" bestFit="1" customWidth="1"/>
    <col min="1536" max="1536" width="33.85546875" bestFit="1" customWidth="1"/>
    <col min="1537" max="1537" width="33.7109375" bestFit="1" customWidth="1"/>
    <col min="1538" max="1538" width="13.42578125" bestFit="1" customWidth="1"/>
    <col min="1539" max="1539" width="14.140625" bestFit="1" customWidth="1"/>
    <col min="1540" max="1540" width="33.85546875" bestFit="1" customWidth="1"/>
    <col min="1541" max="1541" width="33.7109375" bestFit="1" customWidth="1"/>
    <col min="1542" max="1542" width="13.42578125" bestFit="1" customWidth="1"/>
    <col min="1543" max="1543" width="14.140625" bestFit="1" customWidth="1"/>
    <col min="1544" max="1544" width="33.85546875" bestFit="1" customWidth="1"/>
    <col min="1545" max="1545" width="33.7109375" bestFit="1" customWidth="1"/>
    <col min="1546" max="1546" width="13.42578125" bestFit="1" customWidth="1"/>
    <col min="1547" max="1547" width="14.140625" bestFit="1" customWidth="1"/>
    <col min="1548" max="1548" width="33.85546875" bestFit="1" customWidth="1"/>
    <col min="1549" max="1549" width="33.7109375" bestFit="1" customWidth="1"/>
    <col min="1550" max="1550" width="13.42578125" bestFit="1" customWidth="1"/>
    <col min="1551" max="1551" width="14.140625" bestFit="1" customWidth="1"/>
    <col min="1552" max="1552" width="33.85546875" bestFit="1" customWidth="1"/>
    <col min="1553" max="1553" width="33.7109375" bestFit="1" customWidth="1"/>
    <col min="1554" max="1554" width="13.42578125" bestFit="1" customWidth="1"/>
    <col min="1555" max="1555" width="14.140625" bestFit="1" customWidth="1"/>
    <col min="1556" max="1556" width="33.85546875" bestFit="1" customWidth="1"/>
    <col min="1557" max="1557" width="33.7109375" bestFit="1" customWidth="1"/>
    <col min="1558" max="1558" width="13.42578125" bestFit="1" customWidth="1"/>
    <col min="1559" max="1559" width="14.140625" bestFit="1" customWidth="1"/>
    <col min="1560" max="1560" width="33.85546875" bestFit="1" customWidth="1"/>
    <col min="1561" max="1561" width="33.7109375" bestFit="1" customWidth="1"/>
    <col min="1562" max="1562" width="13.42578125" bestFit="1" customWidth="1"/>
    <col min="1563" max="1563" width="14.140625" bestFit="1" customWidth="1"/>
    <col min="1564" max="1564" width="33.85546875" bestFit="1" customWidth="1"/>
    <col min="1565" max="1565" width="33.7109375" bestFit="1" customWidth="1"/>
    <col min="1566" max="1566" width="13.42578125" bestFit="1" customWidth="1"/>
    <col min="1567" max="1567" width="14.140625" bestFit="1" customWidth="1"/>
    <col min="1568" max="1568" width="33.85546875" bestFit="1" customWidth="1"/>
    <col min="1569" max="1569" width="33.7109375" bestFit="1" customWidth="1"/>
    <col min="1570" max="1570" width="13.42578125" bestFit="1" customWidth="1"/>
    <col min="1571" max="1571" width="14.140625" bestFit="1" customWidth="1"/>
    <col min="1572" max="1572" width="33.85546875" bestFit="1" customWidth="1"/>
    <col min="1573" max="1573" width="33.7109375" bestFit="1" customWidth="1"/>
    <col min="1574" max="1574" width="13.42578125" bestFit="1" customWidth="1"/>
    <col min="1575" max="1575" width="14.140625" bestFit="1" customWidth="1"/>
    <col min="1576" max="1576" width="33.85546875" bestFit="1" customWidth="1"/>
    <col min="1577" max="1577" width="33.7109375" bestFit="1" customWidth="1"/>
    <col min="1578" max="1578" width="13.42578125" bestFit="1" customWidth="1"/>
    <col min="1579" max="1579" width="14.140625" bestFit="1" customWidth="1"/>
    <col min="1580" max="1580" width="33.85546875" bestFit="1" customWidth="1"/>
    <col min="1581" max="1581" width="33.7109375" bestFit="1" customWidth="1"/>
    <col min="1582" max="1582" width="13.42578125" bestFit="1" customWidth="1"/>
    <col min="1583" max="1583" width="14.140625" bestFit="1" customWidth="1"/>
    <col min="1584" max="1584" width="33.85546875" bestFit="1" customWidth="1"/>
    <col min="1585" max="1585" width="33.7109375" bestFit="1" customWidth="1"/>
    <col min="1586" max="1586" width="13.42578125" bestFit="1" customWidth="1"/>
    <col min="1587" max="1587" width="14.140625" bestFit="1" customWidth="1"/>
    <col min="1588" max="1588" width="33.85546875" bestFit="1" customWidth="1"/>
    <col min="1589" max="1589" width="33.7109375" bestFit="1" customWidth="1"/>
    <col min="1590" max="1590" width="13.42578125" bestFit="1" customWidth="1"/>
    <col min="1591" max="1591" width="14.140625" bestFit="1" customWidth="1"/>
    <col min="1592" max="1592" width="33.85546875" bestFit="1" customWidth="1"/>
    <col min="1593" max="1593" width="33.7109375" bestFit="1" customWidth="1"/>
    <col min="1594" max="1594" width="13.42578125" bestFit="1" customWidth="1"/>
    <col min="1595" max="1595" width="14.140625" bestFit="1" customWidth="1"/>
    <col min="1596" max="1596" width="33.85546875" bestFit="1" customWidth="1"/>
    <col min="1597" max="1597" width="33.7109375" bestFit="1" customWidth="1"/>
    <col min="1598" max="1598" width="13.42578125" bestFit="1" customWidth="1"/>
    <col min="1599" max="1599" width="14.140625" bestFit="1" customWidth="1"/>
    <col min="1600" max="1600" width="33.85546875" bestFit="1" customWidth="1"/>
    <col min="1601" max="1601" width="33.7109375" bestFit="1" customWidth="1"/>
    <col min="1602" max="1602" width="13.42578125" bestFit="1" customWidth="1"/>
    <col min="1603" max="1603" width="14.140625" bestFit="1" customWidth="1"/>
    <col min="1604" max="1604" width="33.85546875" bestFit="1" customWidth="1"/>
    <col min="1605" max="1605" width="33.7109375" bestFit="1" customWidth="1"/>
    <col min="1606" max="1606" width="13.42578125" bestFit="1" customWidth="1"/>
    <col min="1607" max="1607" width="14.140625" bestFit="1" customWidth="1"/>
    <col min="1608" max="1608" width="33.85546875" bestFit="1" customWidth="1"/>
    <col min="1609" max="1609" width="33.7109375" bestFit="1" customWidth="1"/>
    <col min="1610" max="1610" width="13.42578125" bestFit="1" customWidth="1"/>
    <col min="1611" max="1611" width="14.140625" bestFit="1" customWidth="1"/>
    <col min="1612" max="1612" width="33.85546875" bestFit="1" customWidth="1"/>
    <col min="1613" max="1613" width="33.7109375" bestFit="1" customWidth="1"/>
    <col min="1614" max="1614" width="13.42578125" bestFit="1" customWidth="1"/>
    <col min="1615" max="1615" width="14.140625" bestFit="1" customWidth="1"/>
    <col min="1616" max="1616" width="33.85546875" bestFit="1" customWidth="1"/>
    <col min="1617" max="1617" width="33.7109375" bestFit="1" customWidth="1"/>
    <col min="1618" max="1618" width="13.42578125" bestFit="1" customWidth="1"/>
    <col min="1619" max="1619" width="14.140625" bestFit="1" customWidth="1"/>
    <col min="1620" max="1620" width="33.85546875" bestFit="1" customWidth="1"/>
    <col min="1621" max="1621" width="33.7109375" bestFit="1" customWidth="1"/>
    <col min="1622" max="1622" width="13.42578125" bestFit="1" customWidth="1"/>
    <col min="1623" max="1623" width="14.140625" bestFit="1" customWidth="1"/>
    <col min="1624" max="1624" width="33.85546875" bestFit="1" customWidth="1"/>
    <col min="1625" max="1625" width="33.7109375" bestFit="1" customWidth="1"/>
    <col min="1626" max="1626" width="13.42578125" bestFit="1" customWidth="1"/>
    <col min="1627" max="1627" width="14.140625" bestFit="1" customWidth="1"/>
    <col min="1628" max="1628" width="33.85546875" bestFit="1" customWidth="1"/>
    <col min="1629" max="1629" width="33.7109375" bestFit="1" customWidth="1"/>
    <col min="1630" max="1630" width="13.42578125" bestFit="1" customWidth="1"/>
    <col min="1631" max="1631" width="14.140625" bestFit="1" customWidth="1"/>
    <col min="1632" max="1632" width="33.85546875" bestFit="1" customWidth="1"/>
    <col min="1633" max="1633" width="33.7109375" bestFit="1" customWidth="1"/>
    <col min="1634" max="1634" width="13.42578125" bestFit="1" customWidth="1"/>
    <col min="1635" max="1635" width="14.140625" bestFit="1" customWidth="1"/>
    <col min="1636" max="1636" width="33.85546875" bestFit="1" customWidth="1"/>
    <col min="1637" max="1637" width="33.7109375" bestFit="1" customWidth="1"/>
    <col min="1638" max="1638" width="13.42578125" bestFit="1" customWidth="1"/>
    <col min="1639" max="1639" width="14.140625" bestFit="1" customWidth="1"/>
    <col min="1640" max="1640" width="33.85546875" bestFit="1" customWidth="1"/>
    <col min="1641" max="1641" width="33.7109375" bestFit="1" customWidth="1"/>
    <col min="1642" max="1642" width="13.42578125" bestFit="1" customWidth="1"/>
    <col min="1643" max="1643" width="14.140625" bestFit="1" customWidth="1"/>
    <col min="1644" max="1644" width="33.85546875" bestFit="1" customWidth="1"/>
    <col min="1645" max="1645" width="33.7109375" bestFit="1" customWidth="1"/>
    <col min="1646" max="1646" width="13.42578125" bestFit="1" customWidth="1"/>
    <col min="1647" max="1647" width="14.140625" bestFit="1" customWidth="1"/>
    <col min="1648" max="1648" width="33.85546875" bestFit="1" customWidth="1"/>
    <col min="1649" max="1649" width="33.7109375" bestFit="1" customWidth="1"/>
    <col min="1650" max="1650" width="13.42578125" bestFit="1" customWidth="1"/>
    <col min="1651" max="1651" width="14.140625" bestFit="1" customWidth="1"/>
    <col min="1652" max="1652" width="33.85546875" bestFit="1" customWidth="1"/>
    <col min="1653" max="1653" width="33.7109375" bestFit="1" customWidth="1"/>
    <col min="1654" max="1654" width="13.42578125" bestFit="1" customWidth="1"/>
    <col min="1655" max="1655" width="14.140625" bestFit="1" customWidth="1"/>
    <col min="1656" max="1656" width="33.85546875" bestFit="1" customWidth="1"/>
    <col min="1657" max="1657" width="33.7109375" bestFit="1" customWidth="1"/>
    <col min="1658" max="1658" width="13.42578125" bestFit="1" customWidth="1"/>
    <col min="1659" max="1659" width="14.140625" bestFit="1" customWidth="1"/>
    <col min="1660" max="1660" width="33.85546875" bestFit="1" customWidth="1"/>
    <col min="1661" max="1661" width="33.7109375" bestFit="1" customWidth="1"/>
    <col min="1662" max="1662" width="13.42578125" bestFit="1" customWidth="1"/>
    <col min="1663" max="1663" width="14.140625" bestFit="1" customWidth="1"/>
    <col min="1664" max="1664" width="33.85546875" bestFit="1" customWidth="1"/>
    <col min="1665" max="1665" width="33.7109375" bestFit="1" customWidth="1"/>
    <col min="1666" max="1666" width="13.42578125" bestFit="1" customWidth="1"/>
    <col min="1667" max="1667" width="14.140625" bestFit="1" customWidth="1"/>
    <col min="1668" max="1668" width="33.85546875" bestFit="1" customWidth="1"/>
    <col min="1669" max="1669" width="33.7109375" bestFit="1" customWidth="1"/>
    <col min="1670" max="1670" width="13.42578125" bestFit="1" customWidth="1"/>
    <col min="1671" max="1671" width="14.140625" bestFit="1" customWidth="1"/>
    <col min="1672" max="1672" width="33.85546875" bestFit="1" customWidth="1"/>
    <col min="1673" max="1673" width="33.7109375" bestFit="1" customWidth="1"/>
    <col min="1674" max="1674" width="13.42578125" bestFit="1" customWidth="1"/>
    <col min="1675" max="1675" width="14.140625" bestFit="1" customWidth="1"/>
    <col min="1676" max="1676" width="33.85546875" bestFit="1" customWidth="1"/>
    <col min="1677" max="1677" width="33.7109375" bestFit="1" customWidth="1"/>
    <col min="1678" max="1678" width="13.42578125" bestFit="1" customWidth="1"/>
    <col min="1679" max="1679" width="14.140625" bestFit="1" customWidth="1"/>
    <col min="1680" max="1680" width="33.85546875" bestFit="1" customWidth="1"/>
    <col min="1681" max="1681" width="33.7109375" bestFit="1" customWidth="1"/>
    <col min="1682" max="1682" width="13.42578125" bestFit="1" customWidth="1"/>
    <col min="1683" max="1683" width="14.140625" bestFit="1" customWidth="1"/>
    <col min="1684" max="1684" width="33.85546875" bestFit="1" customWidth="1"/>
    <col min="1685" max="1685" width="33.7109375" bestFit="1" customWidth="1"/>
    <col min="1686" max="1686" width="13.42578125" bestFit="1" customWidth="1"/>
    <col min="1687" max="1687" width="14.140625" bestFit="1" customWidth="1"/>
    <col min="1688" max="1688" width="33.85546875" bestFit="1" customWidth="1"/>
    <col min="1689" max="1689" width="33.7109375" bestFit="1" customWidth="1"/>
    <col min="1690" max="1690" width="13.42578125" bestFit="1" customWidth="1"/>
    <col min="1691" max="1691" width="14.140625" bestFit="1" customWidth="1"/>
    <col min="1692" max="1692" width="33.85546875" bestFit="1" customWidth="1"/>
    <col min="1693" max="1693" width="33.7109375" bestFit="1" customWidth="1"/>
    <col min="1694" max="1694" width="13.42578125" bestFit="1" customWidth="1"/>
    <col min="1695" max="1695" width="14.140625" bestFit="1" customWidth="1"/>
    <col min="1696" max="1696" width="33.85546875" bestFit="1" customWidth="1"/>
    <col min="1697" max="1697" width="33.7109375" bestFit="1" customWidth="1"/>
    <col min="1698" max="1698" width="13.42578125" bestFit="1" customWidth="1"/>
    <col min="1699" max="1699" width="14.140625" bestFit="1" customWidth="1"/>
    <col min="1700" max="1700" width="33.85546875" bestFit="1" customWidth="1"/>
    <col min="1701" max="1701" width="33.7109375" bestFit="1" customWidth="1"/>
    <col min="1702" max="1702" width="13.42578125" bestFit="1" customWidth="1"/>
    <col min="1703" max="1703" width="14.140625" bestFit="1" customWidth="1"/>
    <col min="1704" max="1704" width="33.85546875" bestFit="1" customWidth="1"/>
    <col min="1705" max="1705" width="33.7109375" bestFit="1" customWidth="1"/>
    <col min="1706" max="1706" width="13.42578125" bestFit="1" customWidth="1"/>
    <col min="1707" max="1707" width="14.140625" bestFit="1" customWidth="1"/>
    <col min="1708" max="1708" width="33.85546875" bestFit="1" customWidth="1"/>
    <col min="1709" max="1709" width="33.7109375" bestFit="1" customWidth="1"/>
    <col min="1710" max="1710" width="13.42578125" bestFit="1" customWidth="1"/>
    <col min="1711" max="1711" width="14.140625" bestFit="1" customWidth="1"/>
    <col min="1712" max="1712" width="33.85546875" bestFit="1" customWidth="1"/>
    <col min="1713" max="1713" width="33.7109375" bestFit="1" customWidth="1"/>
    <col min="1714" max="1714" width="13.42578125" bestFit="1" customWidth="1"/>
    <col min="1715" max="1715" width="14.140625" bestFit="1" customWidth="1"/>
    <col min="1716" max="1716" width="33.85546875" bestFit="1" customWidth="1"/>
    <col min="1717" max="1717" width="33.7109375" bestFit="1" customWidth="1"/>
    <col min="1718" max="1718" width="13.42578125" bestFit="1" customWidth="1"/>
    <col min="1719" max="1719" width="14.140625" bestFit="1" customWidth="1"/>
    <col min="1720" max="1720" width="33.85546875" bestFit="1" customWidth="1"/>
    <col min="1721" max="1721" width="33.7109375" bestFit="1" customWidth="1"/>
    <col min="1722" max="1722" width="13.42578125" bestFit="1" customWidth="1"/>
    <col min="1723" max="1723" width="14.140625" bestFit="1" customWidth="1"/>
    <col min="1724" max="1724" width="33.85546875" bestFit="1" customWidth="1"/>
    <col min="1725" max="1725" width="33.7109375" bestFit="1" customWidth="1"/>
    <col min="1726" max="1726" width="13.42578125" bestFit="1" customWidth="1"/>
    <col min="1727" max="1727" width="14.140625" bestFit="1" customWidth="1"/>
    <col min="1728" max="1728" width="33.85546875" bestFit="1" customWidth="1"/>
    <col min="1729" max="1729" width="33.7109375" bestFit="1" customWidth="1"/>
    <col min="1730" max="1730" width="13.42578125" bestFit="1" customWidth="1"/>
    <col min="1731" max="1731" width="14.140625" bestFit="1" customWidth="1"/>
    <col min="1732" max="1732" width="33.85546875" bestFit="1" customWidth="1"/>
    <col min="1733" max="1733" width="33.7109375" bestFit="1" customWidth="1"/>
    <col min="1734" max="1734" width="13.42578125" bestFit="1" customWidth="1"/>
    <col min="1735" max="1735" width="14.140625" bestFit="1" customWidth="1"/>
    <col min="1736" max="1736" width="33.85546875" bestFit="1" customWidth="1"/>
    <col min="1737" max="1737" width="33.7109375" bestFit="1" customWidth="1"/>
    <col min="1738" max="1738" width="13.42578125" bestFit="1" customWidth="1"/>
    <col min="1739" max="1739" width="14.140625" bestFit="1" customWidth="1"/>
    <col min="1740" max="1740" width="33.85546875" bestFit="1" customWidth="1"/>
    <col min="1741" max="1741" width="33.7109375" bestFit="1" customWidth="1"/>
    <col min="1742" max="1742" width="13.42578125" bestFit="1" customWidth="1"/>
    <col min="1743" max="1743" width="14.140625" bestFit="1" customWidth="1"/>
    <col min="1744" max="1744" width="33.85546875" bestFit="1" customWidth="1"/>
    <col min="1745" max="1745" width="33.7109375" bestFit="1" customWidth="1"/>
    <col min="1746" max="1746" width="13.42578125" bestFit="1" customWidth="1"/>
    <col min="1747" max="1747" width="14.140625" bestFit="1" customWidth="1"/>
    <col min="1748" max="1748" width="33.85546875" bestFit="1" customWidth="1"/>
    <col min="1749" max="1749" width="33.7109375" bestFit="1" customWidth="1"/>
    <col min="1750" max="1750" width="13.42578125" bestFit="1" customWidth="1"/>
    <col min="1751" max="1751" width="14.140625" bestFit="1" customWidth="1"/>
    <col min="1752" max="1752" width="33.85546875" bestFit="1" customWidth="1"/>
    <col min="1753" max="1753" width="33.7109375" bestFit="1" customWidth="1"/>
    <col min="1754" max="1754" width="13.42578125" bestFit="1" customWidth="1"/>
    <col min="1755" max="1755" width="14.140625" bestFit="1" customWidth="1"/>
    <col min="1756" max="1756" width="33.85546875" bestFit="1" customWidth="1"/>
    <col min="1757" max="1757" width="33.7109375" bestFit="1" customWidth="1"/>
    <col min="1758" max="1758" width="13.42578125" bestFit="1" customWidth="1"/>
    <col min="1759" max="1759" width="14.140625" bestFit="1" customWidth="1"/>
    <col min="1760" max="1760" width="33.85546875" bestFit="1" customWidth="1"/>
    <col min="1761" max="1761" width="33.7109375" bestFit="1" customWidth="1"/>
    <col min="1762" max="1762" width="13.42578125" bestFit="1" customWidth="1"/>
    <col min="1763" max="1763" width="14.140625" bestFit="1" customWidth="1"/>
    <col min="1764" max="1764" width="33.85546875" bestFit="1" customWidth="1"/>
    <col min="1765" max="1765" width="33.7109375" bestFit="1" customWidth="1"/>
    <col min="1766" max="1766" width="13.42578125" bestFit="1" customWidth="1"/>
    <col min="1767" max="1767" width="14.140625" bestFit="1" customWidth="1"/>
    <col min="1768" max="1768" width="33.85546875" bestFit="1" customWidth="1"/>
    <col min="1769" max="1769" width="33.7109375" bestFit="1" customWidth="1"/>
    <col min="1770" max="1770" width="13.42578125" bestFit="1" customWidth="1"/>
    <col min="1771" max="1771" width="14.140625" bestFit="1" customWidth="1"/>
    <col min="1772" max="1772" width="33.85546875" bestFit="1" customWidth="1"/>
    <col min="1773" max="1773" width="33.7109375" bestFit="1" customWidth="1"/>
    <col min="1774" max="1774" width="13.42578125" bestFit="1" customWidth="1"/>
    <col min="1775" max="1775" width="14.140625" bestFit="1" customWidth="1"/>
    <col min="1776" max="1776" width="33.85546875" bestFit="1" customWidth="1"/>
    <col min="1777" max="1777" width="33.7109375" bestFit="1" customWidth="1"/>
    <col min="1778" max="1778" width="13.42578125" bestFit="1" customWidth="1"/>
    <col min="1779" max="1779" width="14.140625" bestFit="1" customWidth="1"/>
    <col min="1780" max="1780" width="33.85546875" bestFit="1" customWidth="1"/>
    <col min="1781" max="1781" width="33.7109375" bestFit="1" customWidth="1"/>
    <col min="1782" max="1782" width="13.42578125" bestFit="1" customWidth="1"/>
    <col min="1783" max="1783" width="14.140625" bestFit="1" customWidth="1"/>
    <col min="1784" max="1784" width="33.85546875" bestFit="1" customWidth="1"/>
    <col min="1785" max="1785" width="33.7109375" bestFit="1" customWidth="1"/>
    <col min="1786" max="1786" width="13.42578125" bestFit="1" customWidth="1"/>
    <col min="1787" max="1787" width="14.140625" bestFit="1" customWidth="1"/>
    <col min="1788" max="1788" width="33.85546875" bestFit="1" customWidth="1"/>
    <col min="1789" max="1789" width="33.7109375" bestFit="1" customWidth="1"/>
    <col min="1790" max="1790" width="13.42578125" bestFit="1" customWidth="1"/>
    <col min="1791" max="1791" width="14.140625" bestFit="1" customWidth="1"/>
    <col min="1792" max="1792" width="33.85546875" bestFit="1" customWidth="1"/>
    <col min="1793" max="1793" width="33.7109375" bestFit="1" customWidth="1"/>
    <col min="1794" max="1794" width="13.42578125" bestFit="1" customWidth="1"/>
    <col min="1795" max="1795" width="14.140625" bestFit="1" customWidth="1"/>
    <col min="1796" max="1796" width="33.85546875" bestFit="1" customWidth="1"/>
    <col min="1797" max="1797" width="33.7109375" bestFit="1" customWidth="1"/>
    <col min="1798" max="1798" width="13.42578125" bestFit="1" customWidth="1"/>
    <col min="1799" max="1799" width="14.140625" bestFit="1" customWidth="1"/>
    <col min="1800" max="1800" width="33.85546875" bestFit="1" customWidth="1"/>
    <col min="1801" max="1801" width="33.7109375" bestFit="1" customWidth="1"/>
    <col min="1802" max="1802" width="13.42578125" bestFit="1" customWidth="1"/>
    <col min="1803" max="1803" width="14.140625" bestFit="1" customWidth="1"/>
    <col min="1804" max="1804" width="33.85546875" bestFit="1" customWidth="1"/>
    <col min="1805" max="1805" width="33.7109375" bestFit="1" customWidth="1"/>
    <col min="1806" max="1806" width="13.42578125" bestFit="1" customWidth="1"/>
    <col min="1807" max="1807" width="14.140625" bestFit="1" customWidth="1"/>
    <col min="1808" max="1808" width="33.85546875" bestFit="1" customWidth="1"/>
    <col min="1809" max="1809" width="33.7109375" bestFit="1" customWidth="1"/>
    <col min="1810" max="1810" width="13.42578125" bestFit="1" customWidth="1"/>
    <col min="1811" max="1811" width="14.140625" bestFit="1" customWidth="1"/>
    <col min="1812" max="1812" width="33.85546875" bestFit="1" customWidth="1"/>
    <col min="1813" max="1813" width="33.7109375" bestFit="1" customWidth="1"/>
    <col min="1814" max="1814" width="13.42578125" bestFit="1" customWidth="1"/>
    <col min="1815" max="1815" width="14.140625" bestFit="1" customWidth="1"/>
    <col min="1816" max="1816" width="33.85546875" bestFit="1" customWidth="1"/>
    <col min="1817" max="1817" width="33.7109375" bestFit="1" customWidth="1"/>
    <col min="1818" max="1818" width="13.42578125" bestFit="1" customWidth="1"/>
    <col min="1819" max="1819" width="14.140625" bestFit="1" customWidth="1"/>
    <col min="1820" max="1820" width="33.85546875" bestFit="1" customWidth="1"/>
    <col min="1821" max="1821" width="33.7109375" bestFit="1" customWidth="1"/>
    <col min="1822" max="1822" width="13.42578125" bestFit="1" customWidth="1"/>
    <col min="1823" max="1823" width="14.140625" bestFit="1" customWidth="1"/>
    <col min="1824" max="1824" width="33.85546875" bestFit="1" customWidth="1"/>
    <col min="1825" max="1825" width="33.7109375" bestFit="1" customWidth="1"/>
    <col min="1826" max="1826" width="13.42578125" bestFit="1" customWidth="1"/>
    <col min="1827" max="1827" width="14.140625" bestFit="1" customWidth="1"/>
    <col min="1828" max="1828" width="33.85546875" bestFit="1" customWidth="1"/>
    <col min="1829" max="1829" width="33.7109375" bestFit="1" customWidth="1"/>
    <col min="1830" max="1830" width="13.42578125" bestFit="1" customWidth="1"/>
    <col min="1831" max="1831" width="14.140625" bestFit="1" customWidth="1"/>
    <col min="1832" max="1832" width="33.85546875" bestFit="1" customWidth="1"/>
    <col min="1833" max="1833" width="33.7109375" bestFit="1" customWidth="1"/>
    <col min="1834" max="1834" width="13.42578125" bestFit="1" customWidth="1"/>
    <col min="1835" max="1835" width="14.140625" bestFit="1" customWidth="1"/>
    <col min="1836" max="1836" width="33.85546875" bestFit="1" customWidth="1"/>
    <col min="1837" max="1837" width="33.7109375" bestFit="1" customWidth="1"/>
    <col min="1838" max="1838" width="13.42578125" bestFit="1" customWidth="1"/>
    <col min="1839" max="1839" width="14.140625" bestFit="1" customWidth="1"/>
    <col min="1840" max="1840" width="33.85546875" bestFit="1" customWidth="1"/>
    <col min="1841" max="1841" width="33.7109375" bestFit="1" customWidth="1"/>
    <col min="1842" max="1842" width="13.42578125" bestFit="1" customWidth="1"/>
    <col min="1843" max="1843" width="14.140625" bestFit="1" customWidth="1"/>
    <col min="1844" max="1844" width="33.85546875" bestFit="1" customWidth="1"/>
    <col min="1845" max="1845" width="33.7109375" bestFit="1" customWidth="1"/>
    <col min="1846" max="1846" width="13.42578125" bestFit="1" customWidth="1"/>
    <col min="1847" max="1847" width="14.140625" bestFit="1" customWidth="1"/>
    <col min="1848" max="1848" width="33.85546875" bestFit="1" customWidth="1"/>
    <col min="1849" max="1849" width="33.7109375" bestFit="1" customWidth="1"/>
    <col min="1850" max="1850" width="13.42578125" bestFit="1" customWidth="1"/>
    <col min="1851" max="1851" width="14.140625" bestFit="1" customWidth="1"/>
    <col min="1852" max="1852" width="33.85546875" bestFit="1" customWidth="1"/>
    <col min="1853" max="1853" width="33.7109375" bestFit="1" customWidth="1"/>
    <col min="1854" max="1854" width="13.42578125" bestFit="1" customWidth="1"/>
    <col min="1855" max="1855" width="14.140625" bestFit="1" customWidth="1"/>
    <col min="1856" max="1856" width="33.85546875" bestFit="1" customWidth="1"/>
    <col min="1857" max="1857" width="33.7109375" bestFit="1" customWidth="1"/>
    <col min="1858" max="1858" width="13.42578125" bestFit="1" customWidth="1"/>
    <col min="1859" max="1859" width="14.140625" bestFit="1" customWidth="1"/>
    <col min="1860" max="1860" width="33.85546875" bestFit="1" customWidth="1"/>
    <col min="1861" max="1861" width="33.7109375" bestFit="1" customWidth="1"/>
    <col min="1862" max="1862" width="13.42578125" bestFit="1" customWidth="1"/>
    <col min="1863" max="1863" width="14.140625" bestFit="1" customWidth="1"/>
    <col min="1864" max="1864" width="33.85546875" bestFit="1" customWidth="1"/>
    <col min="1865" max="1865" width="33.7109375" bestFit="1" customWidth="1"/>
    <col min="1866" max="1866" width="13.42578125" bestFit="1" customWidth="1"/>
    <col min="1867" max="1867" width="14.140625" bestFit="1" customWidth="1"/>
    <col min="1868" max="1868" width="33.85546875" bestFit="1" customWidth="1"/>
    <col min="1869" max="1869" width="33.7109375" bestFit="1" customWidth="1"/>
    <col min="1870" max="1870" width="13.42578125" bestFit="1" customWidth="1"/>
    <col min="1871" max="1871" width="14.140625" bestFit="1" customWidth="1"/>
    <col min="1872" max="1872" width="33.85546875" bestFit="1" customWidth="1"/>
    <col min="1873" max="1873" width="33.7109375" bestFit="1" customWidth="1"/>
    <col min="1874" max="1874" width="13.42578125" bestFit="1" customWidth="1"/>
    <col min="1875" max="1875" width="14.140625" bestFit="1" customWidth="1"/>
    <col min="1876" max="1876" width="33.85546875" bestFit="1" customWidth="1"/>
    <col min="1877" max="1877" width="33.7109375" bestFit="1" customWidth="1"/>
    <col min="1878" max="1878" width="13.42578125" bestFit="1" customWidth="1"/>
    <col min="1879" max="1879" width="14.140625" bestFit="1" customWidth="1"/>
    <col min="1880" max="1880" width="33.85546875" bestFit="1" customWidth="1"/>
    <col min="1881" max="1881" width="33.7109375" bestFit="1" customWidth="1"/>
    <col min="1882" max="1882" width="13.42578125" bestFit="1" customWidth="1"/>
    <col min="1883" max="1883" width="14.140625" bestFit="1" customWidth="1"/>
    <col min="1884" max="1884" width="33.85546875" bestFit="1" customWidth="1"/>
    <col min="1885" max="1885" width="33.7109375" bestFit="1" customWidth="1"/>
    <col min="1886" max="1886" width="13.42578125" bestFit="1" customWidth="1"/>
    <col min="1887" max="1887" width="14.140625" bestFit="1" customWidth="1"/>
    <col min="1888" max="1888" width="33.85546875" bestFit="1" customWidth="1"/>
    <col min="1889" max="1889" width="33.7109375" bestFit="1" customWidth="1"/>
    <col min="1890" max="1890" width="13.42578125" bestFit="1" customWidth="1"/>
    <col min="1891" max="1891" width="14.140625" bestFit="1" customWidth="1"/>
    <col min="1892" max="1892" width="33.85546875" bestFit="1" customWidth="1"/>
    <col min="1893" max="1893" width="33.7109375" bestFit="1" customWidth="1"/>
    <col min="1894" max="1894" width="13.42578125" bestFit="1" customWidth="1"/>
    <col min="1895" max="1895" width="14.140625" bestFit="1" customWidth="1"/>
    <col min="1896" max="1896" width="33.85546875" bestFit="1" customWidth="1"/>
    <col min="1897" max="1897" width="33.7109375" bestFit="1" customWidth="1"/>
    <col min="1898" max="1898" width="13.42578125" bestFit="1" customWidth="1"/>
    <col min="1899" max="1899" width="14.140625" bestFit="1" customWidth="1"/>
    <col min="1900" max="1900" width="33.85546875" bestFit="1" customWidth="1"/>
    <col min="1901" max="1901" width="33.7109375" bestFit="1" customWidth="1"/>
    <col min="1902" max="1902" width="13.42578125" bestFit="1" customWidth="1"/>
    <col min="1903" max="1903" width="14.140625" bestFit="1" customWidth="1"/>
    <col min="1904" max="1904" width="33.85546875" bestFit="1" customWidth="1"/>
    <col min="1905" max="1905" width="33.7109375" bestFit="1" customWidth="1"/>
    <col min="1906" max="1906" width="13.42578125" bestFit="1" customWidth="1"/>
    <col min="1907" max="1907" width="14.140625" bestFit="1" customWidth="1"/>
    <col min="1908" max="1908" width="33.85546875" bestFit="1" customWidth="1"/>
    <col min="1909" max="1909" width="33.7109375" bestFit="1" customWidth="1"/>
    <col min="1910" max="1910" width="13.42578125" bestFit="1" customWidth="1"/>
    <col min="1911" max="1911" width="14.140625" bestFit="1" customWidth="1"/>
    <col min="1912" max="1912" width="33.85546875" bestFit="1" customWidth="1"/>
    <col min="1913" max="1913" width="33.7109375" bestFit="1" customWidth="1"/>
    <col min="1914" max="1914" width="13.42578125" bestFit="1" customWidth="1"/>
    <col min="1915" max="1915" width="14.140625" bestFit="1" customWidth="1"/>
    <col min="1916" max="1916" width="33.85546875" bestFit="1" customWidth="1"/>
    <col min="1917" max="1917" width="33.7109375" bestFit="1" customWidth="1"/>
    <col min="1918" max="1918" width="13.42578125" bestFit="1" customWidth="1"/>
    <col min="1919" max="1919" width="14.140625" bestFit="1" customWidth="1"/>
    <col min="1920" max="1920" width="33.85546875" bestFit="1" customWidth="1"/>
    <col min="1921" max="1921" width="33.7109375" bestFit="1" customWidth="1"/>
    <col min="1922" max="1922" width="13.42578125" bestFit="1" customWidth="1"/>
    <col min="1923" max="1923" width="14.140625" bestFit="1" customWidth="1"/>
    <col min="1924" max="1924" width="33.85546875" bestFit="1" customWidth="1"/>
    <col min="1925" max="1925" width="33.7109375" bestFit="1" customWidth="1"/>
    <col min="1926" max="1926" width="13.42578125" bestFit="1" customWidth="1"/>
    <col min="1927" max="1927" width="14.140625" bestFit="1" customWidth="1"/>
    <col min="1928" max="1928" width="33.85546875" bestFit="1" customWidth="1"/>
    <col min="1929" max="1929" width="33.7109375" bestFit="1" customWidth="1"/>
    <col min="1930" max="1930" width="13.42578125" bestFit="1" customWidth="1"/>
    <col min="1931" max="1931" width="14.140625" bestFit="1" customWidth="1"/>
    <col min="1932" max="1932" width="33.85546875" bestFit="1" customWidth="1"/>
    <col min="1933" max="1933" width="33.7109375" bestFit="1" customWidth="1"/>
    <col min="1934" max="1934" width="13.42578125" bestFit="1" customWidth="1"/>
    <col min="1935" max="1935" width="14.140625" bestFit="1" customWidth="1"/>
    <col min="1936" max="1936" width="33.85546875" bestFit="1" customWidth="1"/>
    <col min="1937" max="1937" width="33.7109375" bestFit="1" customWidth="1"/>
    <col min="1938" max="1938" width="13.42578125" bestFit="1" customWidth="1"/>
    <col min="1939" max="1939" width="14.140625" bestFit="1" customWidth="1"/>
    <col min="1940" max="1940" width="33.85546875" bestFit="1" customWidth="1"/>
    <col min="1941" max="1941" width="33.7109375" bestFit="1" customWidth="1"/>
    <col min="1942" max="1942" width="13.42578125" bestFit="1" customWidth="1"/>
    <col min="1943" max="1943" width="14.140625" bestFit="1" customWidth="1"/>
    <col min="1944" max="1944" width="33.85546875" bestFit="1" customWidth="1"/>
    <col min="1945" max="1945" width="33.7109375" bestFit="1" customWidth="1"/>
    <col min="1946" max="1946" width="13.42578125" bestFit="1" customWidth="1"/>
    <col min="1947" max="1947" width="14.140625" bestFit="1" customWidth="1"/>
    <col min="1948" max="1948" width="33.85546875" bestFit="1" customWidth="1"/>
    <col min="1949" max="1949" width="33.7109375" bestFit="1" customWidth="1"/>
    <col min="1950" max="1950" width="13.42578125" bestFit="1" customWidth="1"/>
    <col min="1951" max="1951" width="14.140625" bestFit="1" customWidth="1"/>
    <col min="1952" max="1952" width="33.85546875" bestFit="1" customWidth="1"/>
    <col min="1953" max="1953" width="33.7109375" bestFit="1" customWidth="1"/>
    <col min="1954" max="1954" width="13.42578125" bestFit="1" customWidth="1"/>
    <col min="1955" max="1955" width="14.140625" bestFit="1" customWidth="1"/>
    <col min="1956" max="1956" width="33.85546875" bestFit="1" customWidth="1"/>
    <col min="1957" max="1957" width="33.7109375" bestFit="1" customWidth="1"/>
    <col min="1958" max="1958" width="13.42578125" bestFit="1" customWidth="1"/>
    <col min="1959" max="1959" width="14.140625" bestFit="1" customWidth="1"/>
    <col min="1960" max="1960" width="33.85546875" bestFit="1" customWidth="1"/>
    <col min="1961" max="1961" width="33.7109375" bestFit="1" customWidth="1"/>
    <col min="1962" max="1962" width="13.42578125" bestFit="1" customWidth="1"/>
    <col min="1963" max="1963" width="14.140625" bestFit="1" customWidth="1"/>
    <col min="1964" max="1964" width="33.85546875" bestFit="1" customWidth="1"/>
    <col min="1965" max="1965" width="33.7109375" bestFit="1" customWidth="1"/>
    <col min="1966" max="1966" width="13.42578125" bestFit="1" customWidth="1"/>
    <col min="1967" max="1967" width="14.140625" bestFit="1" customWidth="1"/>
    <col min="1968" max="1968" width="33.85546875" bestFit="1" customWidth="1"/>
    <col min="1969" max="1969" width="33.7109375" bestFit="1" customWidth="1"/>
    <col min="1970" max="1970" width="13.42578125" bestFit="1" customWidth="1"/>
    <col min="1971" max="1971" width="14.140625" bestFit="1" customWidth="1"/>
    <col min="1972" max="1972" width="33.85546875" bestFit="1" customWidth="1"/>
    <col min="1973" max="1973" width="33.7109375" bestFit="1" customWidth="1"/>
    <col min="1974" max="1974" width="13.42578125" bestFit="1" customWidth="1"/>
    <col min="1975" max="1975" width="14.140625" bestFit="1" customWidth="1"/>
    <col min="1976" max="1976" width="33.85546875" bestFit="1" customWidth="1"/>
    <col min="1977" max="1977" width="33.7109375" bestFit="1" customWidth="1"/>
    <col min="1978" max="1978" width="13.42578125" bestFit="1" customWidth="1"/>
    <col min="1979" max="1979" width="14.140625" bestFit="1" customWidth="1"/>
    <col min="1980" max="1980" width="33.85546875" bestFit="1" customWidth="1"/>
    <col min="1981" max="1981" width="33.7109375" bestFit="1" customWidth="1"/>
    <col min="1982" max="1982" width="13.42578125" bestFit="1" customWidth="1"/>
    <col min="1983" max="1983" width="14.140625" bestFit="1" customWidth="1"/>
    <col min="1984" max="1984" width="33.85546875" bestFit="1" customWidth="1"/>
    <col min="1985" max="1985" width="33.7109375" bestFit="1" customWidth="1"/>
    <col min="1986" max="1986" width="13.42578125" bestFit="1" customWidth="1"/>
    <col min="1987" max="1987" width="14.140625" bestFit="1" customWidth="1"/>
    <col min="1988" max="1988" width="33.85546875" bestFit="1" customWidth="1"/>
    <col min="1989" max="1989" width="33.7109375" bestFit="1" customWidth="1"/>
    <col min="1990" max="1990" width="13.42578125" bestFit="1" customWidth="1"/>
    <col min="1991" max="1991" width="14.140625" bestFit="1" customWidth="1"/>
    <col min="1992" max="1992" width="33.85546875" bestFit="1" customWidth="1"/>
    <col min="1993" max="1993" width="33.7109375" bestFit="1" customWidth="1"/>
    <col min="1994" max="1994" width="13.42578125" bestFit="1" customWidth="1"/>
    <col min="1995" max="1995" width="14.140625" bestFit="1" customWidth="1"/>
    <col min="1996" max="1996" width="33.85546875" bestFit="1" customWidth="1"/>
    <col min="1997" max="1997" width="33.7109375" bestFit="1" customWidth="1"/>
    <col min="1998" max="1998" width="13.42578125" bestFit="1" customWidth="1"/>
    <col min="1999" max="1999" width="14.140625" bestFit="1" customWidth="1"/>
    <col min="2000" max="2000" width="33.85546875" bestFit="1" customWidth="1"/>
    <col min="2001" max="2001" width="33.7109375" bestFit="1" customWidth="1"/>
    <col min="2002" max="2002" width="13.42578125" bestFit="1" customWidth="1"/>
    <col min="2003" max="2003" width="14.140625" bestFit="1" customWidth="1"/>
    <col min="2004" max="2004" width="33.85546875" bestFit="1" customWidth="1"/>
    <col min="2005" max="2005" width="33.7109375" bestFit="1" customWidth="1"/>
    <col min="2006" max="2006" width="13.42578125" bestFit="1" customWidth="1"/>
    <col min="2007" max="2007" width="14.140625" bestFit="1" customWidth="1"/>
    <col min="2008" max="2008" width="33.85546875" bestFit="1" customWidth="1"/>
    <col min="2009" max="2009" width="33.7109375" bestFit="1" customWidth="1"/>
    <col min="2010" max="2010" width="13.42578125" bestFit="1" customWidth="1"/>
    <col min="2011" max="2011" width="14.140625" bestFit="1" customWidth="1"/>
    <col min="2012" max="2012" width="33.85546875" bestFit="1" customWidth="1"/>
    <col min="2013" max="2013" width="33.7109375" bestFit="1" customWidth="1"/>
    <col min="2014" max="2014" width="13.42578125" bestFit="1" customWidth="1"/>
    <col min="2015" max="2015" width="14.140625" bestFit="1" customWidth="1"/>
    <col min="2016" max="2016" width="33.85546875" bestFit="1" customWidth="1"/>
    <col min="2017" max="2017" width="33.7109375" bestFit="1" customWidth="1"/>
    <col min="2018" max="2018" width="13.42578125" bestFit="1" customWidth="1"/>
    <col min="2019" max="2019" width="14.140625" bestFit="1" customWidth="1"/>
    <col min="2020" max="2020" width="33.85546875" bestFit="1" customWidth="1"/>
    <col min="2021" max="2021" width="33.7109375" bestFit="1" customWidth="1"/>
    <col min="2022" max="2022" width="13.42578125" bestFit="1" customWidth="1"/>
    <col min="2023" max="2023" width="14.140625" bestFit="1" customWidth="1"/>
    <col min="2024" max="2024" width="33.85546875" bestFit="1" customWidth="1"/>
    <col min="2025" max="2025" width="33.7109375" bestFit="1" customWidth="1"/>
    <col min="2026" max="2026" width="13.42578125" bestFit="1" customWidth="1"/>
    <col min="2027" max="2027" width="14.140625" bestFit="1" customWidth="1"/>
    <col min="2028" max="2028" width="33.85546875" bestFit="1" customWidth="1"/>
    <col min="2029" max="2029" width="33.7109375" bestFit="1" customWidth="1"/>
    <col min="2030" max="2030" width="13.42578125" bestFit="1" customWidth="1"/>
    <col min="2031" max="2031" width="14.140625" bestFit="1" customWidth="1"/>
    <col min="2032" max="2032" width="33.85546875" bestFit="1" customWidth="1"/>
    <col min="2033" max="2033" width="33.7109375" bestFit="1" customWidth="1"/>
    <col min="2034" max="2034" width="13.42578125" bestFit="1" customWidth="1"/>
    <col min="2035" max="2035" width="14.140625" bestFit="1" customWidth="1"/>
    <col min="2036" max="2036" width="33.85546875" bestFit="1" customWidth="1"/>
    <col min="2037" max="2037" width="33.7109375" bestFit="1" customWidth="1"/>
    <col min="2038" max="2038" width="13.42578125" bestFit="1" customWidth="1"/>
    <col min="2039" max="2039" width="14.140625" bestFit="1" customWidth="1"/>
    <col min="2040" max="2040" width="33.85546875" bestFit="1" customWidth="1"/>
    <col min="2041" max="2041" width="33.7109375" bestFit="1" customWidth="1"/>
    <col min="2042" max="2042" width="13.42578125" bestFit="1" customWidth="1"/>
    <col min="2043" max="2043" width="14.140625" bestFit="1" customWidth="1"/>
    <col min="2044" max="2044" width="33.85546875" bestFit="1" customWidth="1"/>
    <col min="2045" max="2045" width="33.7109375" bestFit="1" customWidth="1"/>
    <col min="2046" max="2046" width="13.42578125" bestFit="1" customWidth="1"/>
    <col min="2047" max="2047" width="14.140625" bestFit="1" customWidth="1"/>
    <col min="2048" max="2048" width="33.85546875" bestFit="1" customWidth="1"/>
    <col min="2049" max="2049" width="33.7109375" bestFit="1" customWidth="1"/>
    <col min="2050" max="2050" width="13.42578125" bestFit="1" customWidth="1"/>
    <col min="2051" max="2051" width="14.140625" bestFit="1" customWidth="1"/>
    <col min="2052" max="2052" width="33.85546875" bestFit="1" customWidth="1"/>
    <col min="2053" max="2053" width="33.7109375" bestFit="1" customWidth="1"/>
    <col min="2054" max="2054" width="13.42578125" bestFit="1" customWidth="1"/>
    <col min="2055" max="2055" width="14.140625" bestFit="1" customWidth="1"/>
    <col min="2056" max="2056" width="33.85546875" bestFit="1" customWidth="1"/>
    <col min="2057" max="2057" width="33.7109375" bestFit="1" customWidth="1"/>
    <col min="2058" max="2058" width="13.42578125" bestFit="1" customWidth="1"/>
    <col min="2059" max="2059" width="14.140625" bestFit="1" customWidth="1"/>
    <col min="2060" max="2060" width="33.85546875" bestFit="1" customWidth="1"/>
    <col min="2061" max="2061" width="33.7109375" bestFit="1" customWidth="1"/>
    <col min="2062" max="2062" width="13.42578125" bestFit="1" customWidth="1"/>
    <col min="2063" max="2063" width="14.140625" bestFit="1" customWidth="1"/>
    <col min="2064" max="2064" width="33.85546875" bestFit="1" customWidth="1"/>
    <col min="2065" max="2065" width="33.7109375" bestFit="1" customWidth="1"/>
    <col min="2066" max="2066" width="13.42578125" bestFit="1" customWidth="1"/>
    <col min="2067" max="2067" width="14.140625" bestFit="1" customWidth="1"/>
    <col min="2068" max="2068" width="33.85546875" bestFit="1" customWidth="1"/>
    <col min="2069" max="2069" width="33.7109375" bestFit="1" customWidth="1"/>
    <col min="2070" max="2070" width="13.42578125" bestFit="1" customWidth="1"/>
    <col min="2071" max="2071" width="14.140625" bestFit="1" customWidth="1"/>
    <col min="2072" max="2072" width="33.85546875" bestFit="1" customWidth="1"/>
    <col min="2073" max="2073" width="33.7109375" bestFit="1" customWidth="1"/>
    <col min="2074" max="2074" width="13.42578125" bestFit="1" customWidth="1"/>
    <col min="2075" max="2075" width="14.140625" bestFit="1" customWidth="1"/>
    <col min="2076" max="2076" width="33.85546875" bestFit="1" customWidth="1"/>
    <col min="2077" max="2077" width="33.7109375" bestFit="1" customWidth="1"/>
    <col min="2078" max="2078" width="13.42578125" bestFit="1" customWidth="1"/>
    <col min="2079" max="2079" width="14.140625" bestFit="1" customWidth="1"/>
    <col min="2080" max="2080" width="33.85546875" bestFit="1" customWidth="1"/>
    <col min="2081" max="2081" width="33.7109375" bestFit="1" customWidth="1"/>
    <col min="2082" max="2082" width="13.42578125" bestFit="1" customWidth="1"/>
    <col min="2083" max="2083" width="14.140625" bestFit="1" customWidth="1"/>
    <col min="2084" max="2084" width="33.85546875" bestFit="1" customWidth="1"/>
    <col min="2085" max="2085" width="33.7109375" bestFit="1" customWidth="1"/>
    <col min="2086" max="2086" width="13.42578125" bestFit="1" customWidth="1"/>
    <col min="2087" max="2087" width="14.140625" bestFit="1" customWidth="1"/>
    <col min="2088" max="2088" width="33.85546875" bestFit="1" customWidth="1"/>
    <col min="2089" max="2089" width="33.7109375" bestFit="1" customWidth="1"/>
    <col min="2090" max="2090" width="13.42578125" bestFit="1" customWidth="1"/>
    <col min="2091" max="2091" width="14.140625" bestFit="1" customWidth="1"/>
    <col min="2092" max="2092" width="33.85546875" bestFit="1" customWidth="1"/>
    <col min="2093" max="2093" width="33.7109375" bestFit="1" customWidth="1"/>
    <col min="2094" max="2094" width="13.42578125" bestFit="1" customWidth="1"/>
    <col min="2095" max="2095" width="14.140625" bestFit="1" customWidth="1"/>
    <col min="2096" max="2096" width="33.85546875" bestFit="1" customWidth="1"/>
    <col min="2097" max="2097" width="33.7109375" bestFit="1" customWidth="1"/>
    <col min="2098" max="2098" width="13.42578125" bestFit="1" customWidth="1"/>
    <col min="2099" max="2099" width="14.140625" bestFit="1" customWidth="1"/>
    <col min="2100" max="2100" width="33.85546875" bestFit="1" customWidth="1"/>
    <col min="2101" max="2101" width="33.7109375" bestFit="1" customWidth="1"/>
    <col min="2102" max="2102" width="13.42578125" bestFit="1" customWidth="1"/>
    <col min="2103" max="2103" width="14.140625" bestFit="1" customWidth="1"/>
    <col min="2104" max="2104" width="33.85546875" bestFit="1" customWidth="1"/>
    <col min="2105" max="2105" width="33.7109375" bestFit="1" customWidth="1"/>
    <col min="2106" max="2106" width="13.42578125" bestFit="1" customWidth="1"/>
    <col min="2107" max="2107" width="14.140625" bestFit="1" customWidth="1"/>
    <col min="2108" max="2108" width="33.85546875" bestFit="1" customWidth="1"/>
    <col min="2109" max="2109" width="33.7109375" bestFit="1" customWidth="1"/>
    <col min="2110" max="2110" width="13.42578125" bestFit="1" customWidth="1"/>
    <col min="2111" max="2111" width="14.140625" bestFit="1" customWidth="1"/>
    <col min="2112" max="2112" width="33.85546875" bestFit="1" customWidth="1"/>
    <col min="2113" max="2113" width="33.7109375" bestFit="1" customWidth="1"/>
    <col min="2114" max="2114" width="13.42578125" bestFit="1" customWidth="1"/>
    <col min="2115" max="2115" width="14.140625" bestFit="1" customWidth="1"/>
    <col min="2116" max="2116" width="33.85546875" bestFit="1" customWidth="1"/>
    <col min="2117" max="2117" width="33.7109375" bestFit="1" customWidth="1"/>
    <col min="2118" max="2118" width="13.42578125" bestFit="1" customWidth="1"/>
    <col min="2119" max="2119" width="14.140625" bestFit="1" customWidth="1"/>
    <col min="2120" max="2120" width="33.85546875" bestFit="1" customWidth="1"/>
    <col min="2121" max="2121" width="33.7109375" bestFit="1" customWidth="1"/>
    <col min="2122" max="2122" width="13.42578125" bestFit="1" customWidth="1"/>
    <col min="2123" max="2123" width="14.140625" bestFit="1" customWidth="1"/>
    <col min="2124" max="2124" width="33.85546875" bestFit="1" customWidth="1"/>
    <col min="2125" max="2125" width="33.7109375" bestFit="1" customWidth="1"/>
    <col min="2126" max="2126" width="13.42578125" bestFit="1" customWidth="1"/>
    <col min="2127" max="2127" width="14.140625" bestFit="1" customWidth="1"/>
    <col min="2128" max="2128" width="33.85546875" bestFit="1" customWidth="1"/>
    <col min="2129" max="2129" width="33.7109375" bestFit="1" customWidth="1"/>
    <col min="2130" max="2130" width="13.42578125" bestFit="1" customWidth="1"/>
    <col min="2131" max="2131" width="14.140625" bestFit="1" customWidth="1"/>
    <col min="2132" max="2132" width="33.85546875" bestFit="1" customWidth="1"/>
    <col min="2133" max="2133" width="33.7109375" bestFit="1" customWidth="1"/>
    <col min="2134" max="2134" width="13.42578125" bestFit="1" customWidth="1"/>
    <col min="2135" max="2135" width="14.140625" bestFit="1" customWidth="1"/>
    <col min="2136" max="2136" width="33.85546875" bestFit="1" customWidth="1"/>
    <col min="2137" max="2137" width="33.7109375" bestFit="1" customWidth="1"/>
    <col min="2138" max="2138" width="13.42578125" bestFit="1" customWidth="1"/>
    <col min="2139" max="2139" width="14.140625" bestFit="1" customWidth="1"/>
    <col min="2140" max="2140" width="33.85546875" bestFit="1" customWidth="1"/>
    <col min="2141" max="2141" width="33.7109375" bestFit="1" customWidth="1"/>
    <col min="2142" max="2142" width="13.42578125" bestFit="1" customWidth="1"/>
    <col min="2143" max="2143" width="14.140625" bestFit="1" customWidth="1"/>
    <col min="2144" max="2144" width="33.85546875" bestFit="1" customWidth="1"/>
    <col min="2145" max="2145" width="33.7109375" bestFit="1" customWidth="1"/>
    <col min="2146" max="2146" width="13.42578125" bestFit="1" customWidth="1"/>
    <col min="2147" max="2147" width="14.140625" bestFit="1" customWidth="1"/>
    <col min="2148" max="2148" width="33.85546875" bestFit="1" customWidth="1"/>
    <col min="2149" max="2149" width="33.7109375" bestFit="1" customWidth="1"/>
    <col min="2150" max="2150" width="13.42578125" bestFit="1" customWidth="1"/>
    <col min="2151" max="2151" width="14.140625" bestFit="1" customWidth="1"/>
    <col min="2152" max="2152" width="33.85546875" bestFit="1" customWidth="1"/>
    <col min="2153" max="2153" width="33.7109375" bestFit="1" customWidth="1"/>
    <col min="2154" max="2154" width="13.42578125" bestFit="1" customWidth="1"/>
    <col min="2155" max="2155" width="14.140625" bestFit="1" customWidth="1"/>
    <col min="2156" max="2156" width="33.85546875" bestFit="1" customWidth="1"/>
    <col min="2157" max="2157" width="33.7109375" bestFit="1" customWidth="1"/>
    <col min="2158" max="2158" width="13.42578125" bestFit="1" customWidth="1"/>
    <col min="2159" max="2159" width="14.140625" bestFit="1" customWidth="1"/>
    <col min="2160" max="2160" width="33.85546875" bestFit="1" customWidth="1"/>
    <col min="2161" max="2161" width="33.7109375" bestFit="1" customWidth="1"/>
    <col min="2162" max="2162" width="13.42578125" bestFit="1" customWidth="1"/>
    <col min="2163" max="2163" width="14.140625" bestFit="1" customWidth="1"/>
    <col min="2164" max="2164" width="33.85546875" bestFit="1" customWidth="1"/>
    <col min="2165" max="2165" width="33.7109375" bestFit="1" customWidth="1"/>
    <col min="2166" max="2166" width="13.42578125" bestFit="1" customWidth="1"/>
    <col min="2167" max="2167" width="14.140625" bestFit="1" customWidth="1"/>
    <col min="2168" max="2168" width="33.85546875" bestFit="1" customWidth="1"/>
    <col min="2169" max="2169" width="33.7109375" bestFit="1" customWidth="1"/>
    <col min="2170" max="2170" width="13.42578125" bestFit="1" customWidth="1"/>
    <col min="2171" max="2171" width="14.140625" bestFit="1" customWidth="1"/>
    <col min="2172" max="2172" width="33.85546875" bestFit="1" customWidth="1"/>
    <col min="2173" max="2173" width="33.7109375" bestFit="1" customWidth="1"/>
    <col min="2174" max="2174" width="13.42578125" bestFit="1" customWidth="1"/>
    <col min="2175" max="2175" width="14.140625" bestFit="1" customWidth="1"/>
    <col min="2176" max="2176" width="33.85546875" bestFit="1" customWidth="1"/>
    <col min="2177" max="2177" width="33.7109375" bestFit="1" customWidth="1"/>
    <col min="2178" max="2178" width="13.42578125" bestFit="1" customWidth="1"/>
    <col min="2179" max="2179" width="14.140625" bestFit="1" customWidth="1"/>
    <col min="2180" max="2180" width="33.85546875" bestFit="1" customWidth="1"/>
    <col min="2181" max="2181" width="33.7109375" bestFit="1" customWidth="1"/>
    <col min="2182" max="2182" width="13.42578125" bestFit="1" customWidth="1"/>
    <col min="2183" max="2183" width="14.140625" bestFit="1" customWidth="1"/>
    <col min="2184" max="2184" width="33.85546875" bestFit="1" customWidth="1"/>
    <col min="2185" max="2185" width="33.7109375" bestFit="1" customWidth="1"/>
    <col min="2186" max="2186" width="13.42578125" bestFit="1" customWidth="1"/>
    <col min="2187" max="2187" width="14.140625" bestFit="1" customWidth="1"/>
    <col min="2188" max="2188" width="33.85546875" bestFit="1" customWidth="1"/>
    <col min="2189" max="2189" width="33.7109375" bestFit="1" customWidth="1"/>
    <col min="2190" max="2190" width="13.42578125" bestFit="1" customWidth="1"/>
    <col min="2191" max="2191" width="14.140625" bestFit="1" customWidth="1"/>
    <col min="2192" max="2192" width="33.85546875" bestFit="1" customWidth="1"/>
    <col min="2193" max="2193" width="33.7109375" bestFit="1" customWidth="1"/>
    <col min="2194" max="2194" width="13.42578125" bestFit="1" customWidth="1"/>
    <col min="2195" max="2195" width="14.140625" bestFit="1" customWidth="1"/>
    <col min="2196" max="2196" width="33.85546875" bestFit="1" customWidth="1"/>
    <col min="2197" max="2197" width="33.7109375" bestFit="1" customWidth="1"/>
    <col min="2198" max="2198" width="13.42578125" bestFit="1" customWidth="1"/>
    <col min="2199" max="2199" width="14.140625" bestFit="1" customWidth="1"/>
    <col min="2200" max="2200" width="33.85546875" bestFit="1" customWidth="1"/>
    <col min="2201" max="2201" width="33.7109375" bestFit="1" customWidth="1"/>
    <col min="2202" max="2202" width="13.42578125" bestFit="1" customWidth="1"/>
    <col min="2203" max="2203" width="14.140625" bestFit="1" customWidth="1"/>
    <col min="2204" max="2204" width="33.85546875" bestFit="1" customWidth="1"/>
    <col min="2205" max="2205" width="33.7109375" bestFit="1" customWidth="1"/>
    <col min="2206" max="2206" width="13.42578125" bestFit="1" customWidth="1"/>
    <col min="2207" max="2207" width="14.140625" bestFit="1" customWidth="1"/>
    <col min="2208" max="2208" width="33.85546875" bestFit="1" customWidth="1"/>
    <col min="2209" max="2209" width="33.7109375" bestFit="1" customWidth="1"/>
    <col min="2210" max="2210" width="13.42578125" bestFit="1" customWidth="1"/>
    <col min="2211" max="2211" width="14.140625" bestFit="1" customWidth="1"/>
    <col min="2212" max="2212" width="33.85546875" bestFit="1" customWidth="1"/>
    <col min="2213" max="2213" width="33.7109375" bestFit="1" customWidth="1"/>
    <col min="2214" max="2214" width="13.42578125" bestFit="1" customWidth="1"/>
    <col min="2215" max="2215" width="14.140625" bestFit="1" customWidth="1"/>
    <col min="2216" max="2216" width="33.85546875" bestFit="1" customWidth="1"/>
    <col min="2217" max="2217" width="33.7109375" bestFit="1" customWidth="1"/>
    <col min="2218" max="2218" width="13.42578125" bestFit="1" customWidth="1"/>
    <col min="2219" max="2219" width="14.140625" bestFit="1" customWidth="1"/>
    <col min="2220" max="2220" width="33.85546875" bestFit="1" customWidth="1"/>
    <col min="2221" max="2221" width="33.7109375" bestFit="1" customWidth="1"/>
    <col min="2222" max="2222" width="13.42578125" bestFit="1" customWidth="1"/>
    <col min="2223" max="2223" width="14.140625" bestFit="1" customWidth="1"/>
    <col min="2224" max="2224" width="33.85546875" bestFit="1" customWidth="1"/>
    <col min="2225" max="2225" width="33.7109375" bestFit="1" customWidth="1"/>
    <col min="2226" max="2226" width="13.42578125" bestFit="1" customWidth="1"/>
    <col min="2227" max="2227" width="14.140625" bestFit="1" customWidth="1"/>
    <col min="2228" max="2228" width="33.85546875" bestFit="1" customWidth="1"/>
    <col min="2229" max="2229" width="33.7109375" bestFit="1" customWidth="1"/>
    <col min="2230" max="2230" width="13.42578125" bestFit="1" customWidth="1"/>
    <col min="2231" max="2231" width="14.140625" bestFit="1" customWidth="1"/>
    <col min="2232" max="2232" width="33.85546875" bestFit="1" customWidth="1"/>
    <col min="2233" max="2233" width="33.7109375" bestFit="1" customWidth="1"/>
    <col min="2234" max="2234" width="13.42578125" bestFit="1" customWidth="1"/>
    <col min="2235" max="2235" width="14.140625" bestFit="1" customWidth="1"/>
    <col min="2236" max="2236" width="33.85546875" bestFit="1" customWidth="1"/>
    <col min="2237" max="2237" width="33.7109375" bestFit="1" customWidth="1"/>
    <col min="2238" max="2238" width="13.42578125" bestFit="1" customWidth="1"/>
    <col min="2239" max="2239" width="14.140625" bestFit="1" customWidth="1"/>
    <col min="2240" max="2240" width="33.85546875" bestFit="1" customWidth="1"/>
    <col min="2241" max="2241" width="33.7109375" bestFit="1" customWidth="1"/>
    <col min="2242" max="2242" width="13.42578125" bestFit="1" customWidth="1"/>
    <col min="2243" max="2243" width="14.140625" bestFit="1" customWidth="1"/>
    <col min="2244" max="2244" width="33.85546875" bestFit="1" customWidth="1"/>
    <col min="2245" max="2245" width="33.7109375" bestFit="1" customWidth="1"/>
    <col min="2246" max="2246" width="13.42578125" bestFit="1" customWidth="1"/>
    <col min="2247" max="2247" width="14.140625" bestFit="1" customWidth="1"/>
    <col min="2248" max="2248" width="33.85546875" bestFit="1" customWidth="1"/>
    <col min="2249" max="2249" width="33.7109375" bestFit="1" customWidth="1"/>
    <col min="2250" max="2250" width="13.42578125" bestFit="1" customWidth="1"/>
    <col min="2251" max="2251" width="14.140625" bestFit="1" customWidth="1"/>
    <col min="2252" max="2252" width="33.85546875" bestFit="1" customWidth="1"/>
    <col min="2253" max="2253" width="33.7109375" bestFit="1" customWidth="1"/>
    <col min="2254" max="2254" width="13.42578125" bestFit="1" customWidth="1"/>
    <col min="2255" max="2255" width="14.140625" bestFit="1" customWidth="1"/>
    <col min="2256" max="2256" width="33.85546875" bestFit="1" customWidth="1"/>
    <col min="2257" max="2257" width="33.7109375" bestFit="1" customWidth="1"/>
    <col min="2258" max="2258" width="13.42578125" bestFit="1" customWidth="1"/>
    <col min="2259" max="2259" width="14.140625" bestFit="1" customWidth="1"/>
    <col min="2260" max="2260" width="33.85546875" bestFit="1" customWidth="1"/>
    <col min="2261" max="2261" width="33.7109375" bestFit="1" customWidth="1"/>
    <col min="2262" max="2262" width="13.42578125" bestFit="1" customWidth="1"/>
    <col min="2263" max="2263" width="14.140625" bestFit="1" customWidth="1"/>
    <col min="2264" max="2264" width="33.85546875" bestFit="1" customWidth="1"/>
    <col min="2265" max="2265" width="33.7109375" bestFit="1" customWidth="1"/>
    <col min="2266" max="2266" width="13.42578125" bestFit="1" customWidth="1"/>
    <col min="2267" max="2267" width="14.140625" bestFit="1" customWidth="1"/>
    <col min="2268" max="2268" width="33.85546875" bestFit="1" customWidth="1"/>
    <col min="2269" max="2269" width="33.7109375" bestFit="1" customWidth="1"/>
    <col min="2270" max="2270" width="13.42578125" bestFit="1" customWidth="1"/>
    <col min="2271" max="2271" width="14.140625" bestFit="1" customWidth="1"/>
    <col min="2272" max="2272" width="33.85546875" bestFit="1" customWidth="1"/>
    <col min="2273" max="2273" width="33.7109375" bestFit="1" customWidth="1"/>
    <col min="2274" max="2274" width="13.42578125" bestFit="1" customWidth="1"/>
    <col min="2275" max="2275" width="14.140625" bestFit="1" customWidth="1"/>
    <col min="2276" max="2276" width="33.85546875" bestFit="1" customWidth="1"/>
    <col min="2277" max="2277" width="33.7109375" bestFit="1" customWidth="1"/>
    <col min="2278" max="2278" width="13.42578125" bestFit="1" customWidth="1"/>
    <col min="2279" max="2279" width="14.140625" bestFit="1" customWidth="1"/>
    <col min="2280" max="2280" width="33.85546875" bestFit="1" customWidth="1"/>
    <col min="2281" max="2281" width="33.7109375" bestFit="1" customWidth="1"/>
    <col min="2282" max="2282" width="13.42578125" bestFit="1" customWidth="1"/>
    <col min="2283" max="2283" width="14.140625" bestFit="1" customWidth="1"/>
    <col min="2284" max="2284" width="33.85546875" bestFit="1" customWidth="1"/>
    <col min="2285" max="2285" width="33.7109375" bestFit="1" customWidth="1"/>
    <col min="2286" max="2286" width="13.42578125" bestFit="1" customWidth="1"/>
    <col min="2287" max="2287" width="14.140625" bestFit="1" customWidth="1"/>
    <col min="2288" max="2288" width="33.85546875" bestFit="1" customWidth="1"/>
    <col min="2289" max="2289" width="33.7109375" bestFit="1" customWidth="1"/>
    <col min="2290" max="2290" width="13.42578125" bestFit="1" customWidth="1"/>
    <col min="2291" max="2291" width="14.140625" bestFit="1" customWidth="1"/>
    <col min="2292" max="2292" width="33.85546875" bestFit="1" customWidth="1"/>
    <col min="2293" max="2293" width="33.7109375" bestFit="1" customWidth="1"/>
    <col min="2294" max="2294" width="13.42578125" bestFit="1" customWidth="1"/>
    <col min="2295" max="2295" width="14.140625" bestFit="1" customWidth="1"/>
    <col min="2296" max="2296" width="33.85546875" bestFit="1" customWidth="1"/>
    <col min="2297" max="2297" width="33.7109375" bestFit="1" customWidth="1"/>
    <col min="2298" max="2298" width="13.42578125" bestFit="1" customWidth="1"/>
    <col min="2299" max="2299" width="14.140625" bestFit="1" customWidth="1"/>
    <col min="2300" max="2300" width="33.85546875" bestFit="1" customWidth="1"/>
    <col min="2301" max="2301" width="33.7109375" bestFit="1" customWidth="1"/>
    <col min="2302" max="2302" width="13.42578125" bestFit="1" customWidth="1"/>
    <col min="2303" max="2303" width="14.140625" bestFit="1" customWidth="1"/>
    <col min="2304" max="2304" width="33.85546875" bestFit="1" customWidth="1"/>
    <col min="2305" max="2305" width="33.7109375" bestFit="1" customWidth="1"/>
    <col min="2306" max="2306" width="13.42578125" bestFit="1" customWidth="1"/>
    <col min="2307" max="2307" width="14.140625" bestFit="1" customWidth="1"/>
    <col min="2308" max="2308" width="33.85546875" bestFit="1" customWidth="1"/>
    <col min="2309" max="2309" width="33.7109375" bestFit="1" customWidth="1"/>
    <col min="2310" max="2310" width="13.42578125" bestFit="1" customWidth="1"/>
    <col min="2311" max="2311" width="14.140625" bestFit="1" customWidth="1"/>
    <col min="2312" max="2312" width="33.85546875" bestFit="1" customWidth="1"/>
    <col min="2313" max="2313" width="33.7109375" bestFit="1" customWidth="1"/>
    <col min="2314" max="2314" width="13.42578125" bestFit="1" customWidth="1"/>
    <col min="2315" max="2315" width="14.140625" bestFit="1" customWidth="1"/>
    <col min="2316" max="2316" width="33.85546875" bestFit="1" customWidth="1"/>
    <col min="2317" max="2317" width="33.7109375" bestFit="1" customWidth="1"/>
    <col min="2318" max="2318" width="13.42578125" bestFit="1" customWidth="1"/>
    <col min="2319" max="2319" width="14.140625" bestFit="1" customWidth="1"/>
    <col min="2320" max="2320" width="33.85546875" bestFit="1" customWidth="1"/>
    <col min="2321" max="2321" width="33.7109375" bestFit="1" customWidth="1"/>
    <col min="2322" max="2322" width="13.42578125" bestFit="1" customWidth="1"/>
    <col min="2323" max="2323" width="14.140625" bestFit="1" customWidth="1"/>
    <col min="2324" max="2324" width="33.85546875" bestFit="1" customWidth="1"/>
    <col min="2325" max="2325" width="33.7109375" bestFit="1" customWidth="1"/>
    <col min="2326" max="2326" width="13.42578125" bestFit="1" customWidth="1"/>
    <col min="2327" max="2327" width="14.140625" bestFit="1" customWidth="1"/>
    <col min="2328" max="2328" width="33.85546875" bestFit="1" customWidth="1"/>
    <col min="2329" max="2329" width="33.7109375" bestFit="1" customWidth="1"/>
    <col min="2330" max="2330" width="13.42578125" bestFit="1" customWidth="1"/>
    <col min="2331" max="2331" width="14.140625" bestFit="1" customWidth="1"/>
    <col min="2332" max="2332" width="33.85546875" bestFit="1" customWidth="1"/>
    <col min="2333" max="2333" width="33.7109375" bestFit="1" customWidth="1"/>
    <col min="2334" max="2334" width="13.42578125" bestFit="1" customWidth="1"/>
    <col min="2335" max="2335" width="14.140625" bestFit="1" customWidth="1"/>
    <col min="2336" max="2336" width="33.85546875" bestFit="1" customWidth="1"/>
    <col min="2337" max="2337" width="33.7109375" bestFit="1" customWidth="1"/>
    <col min="2338" max="2338" width="13.42578125" bestFit="1" customWidth="1"/>
    <col min="2339" max="2339" width="14.140625" bestFit="1" customWidth="1"/>
    <col min="2340" max="2340" width="33.85546875" bestFit="1" customWidth="1"/>
    <col min="2341" max="2341" width="33.7109375" bestFit="1" customWidth="1"/>
    <col min="2342" max="2342" width="13.42578125" bestFit="1" customWidth="1"/>
    <col min="2343" max="2343" width="14.140625" bestFit="1" customWidth="1"/>
    <col min="2344" max="2344" width="33.85546875" bestFit="1" customWidth="1"/>
    <col min="2345" max="2345" width="33.7109375" bestFit="1" customWidth="1"/>
    <col min="2346" max="2346" width="13.42578125" bestFit="1" customWidth="1"/>
    <col min="2347" max="2347" width="14.140625" bestFit="1" customWidth="1"/>
    <col min="2348" max="2348" width="33.85546875" bestFit="1" customWidth="1"/>
    <col min="2349" max="2349" width="33.7109375" bestFit="1" customWidth="1"/>
    <col min="2350" max="2350" width="13.42578125" bestFit="1" customWidth="1"/>
    <col min="2351" max="2351" width="14.140625" bestFit="1" customWidth="1"/>
    <col min="2352" max="2352" width="33.85546875" bestFit="1" customWidth="1"/>
    <col min="2353" max="2353" width="33.7109375" bestFit="1" customWidth="1"/>
    <col min="2354" max="2354" width="13.42578125" bestFit="1" customWidth="1"/>
    <col min="2355" max="2355" width="14.140625" bestFit="1" customWidth="1"/>
    <col min="2356" max="2356" width="33.85546875" bestFit="1" customWidth="1"/>
    <col min="2357" max="2357" width="33.7109375" bestFit="1" customWidth="1"/>
    <col min="2358" max="2358" width="13.42578125" bestFit="1" customWidth="1"/>
    <col min="2359" max="2359" width="14.140625" bestFit="1" customWidth="1"/>
    <col min="2360" max="2360" width="33.85546875" bestFit="1" customWidth="1"/>
    <col min="2361" max="2361" width="33.7109375" bestFit="1" customWidth="1"/>
    <col min="2362" max="2362" width="13.42578125" bestFit="1" customWidth="1"/>
    <col min="2363" max="2363" width="14.140625" bestFit="1" customWidth="1"/>
    <col min="2364" max="2364" width="33.85546875" bestFit="1" customWidth="1"/>
    <col min="2365" max="2365" width="33.7109375" bestFit="1" customWidth="1"/>
    <col min="2366" max="2366" width="13.42578125" bestFit="1" customWidth="1"/>
    <col min="2367" max="2367" width="14.140625" bestFit="1" customWidth="1"/>
    <col min="2368" max="2368" width="33.85546875" bestFit="1" customWidth="1"/>
    <col min="2369" max="2369" width="33.7109375" bestFit="1" customWidth="1"/>
    <col min="2370" max="2370" width="13.42578125" bestFit="1" customWidth="1"/>
    <col min="2371" max="2371" width="14.140625" bestFit="1" customWidth="1"/>
    <col min="2372" max="2372" width="33.85546875" bestFit="1" customWidth="1"/>
    <col min="2373" max="2373" width="33.7109375" bestFit="1" customWidth="1"/>
    <col min="2374" max="2374" width="13.42578125" bestFit="1" customWidth="1"/>
    <col min="2375" max="2375" width="14.140625" bestFit="1" customWidth="1"/>
    <col min="2376" max="2376" width="33.85546875" bestFit="1" customWidth="1"/>
    <col min="2377" max="2377" width="33.7109375" bestFit="1" customWidth="1"/>
    <col min="2378" max="2378" width="13.42578125" bestFit="1" customWidth="1"/>
    <col min="2379" max="2379" width="14.140625" bestFit="1" customWidth="1"/>
    <col min="2380" max="2380" width="33.85546875" bestFit="1" customWidth="1"/>
    <col min="2381" max="2381" width="33.7109375" bestFit="1" customWidth="1"/>
    <col min="2382" max="2382" width="13.42578125" bestFit="1" customWidth="1"/>
    <col min="2383" max="2383" width="14.140625" bestFit="1" customWidth="1"/>
    <col min="2384" max="2384" width="33.85546875" bestFit="1" customWidth="1"/>
    <col min="2385" max="2385" width="33.7109375" bestFit="1" customWidth="1"/>
    <col min="2386" max="2386" width="13.42578125" bestFit="1" customWidth="1"/>
    <col min="2387" max="2387" width="14.140625" bestFit="1" customWidth="1"/>
    <col min="2388" max="2388" width="33.85546875" bestFit="1" customWidth="1"/>
    <col min="2389" max="2389" width="33.7109375" bestFit="1" customWidth="1"/>
    <col min="2390" max="2390" width="13.42578125" bestFit="1" customWidth="1"/>
    <col min="2391" max="2391" width="14.140625" bestFit="1" customWidth="1"/>
    <col min="2392" max="2392" width="33.85546875" bestFit="1" customWidth="1"/>
    <col min="2393" max="2393" width="33.7109375" bestFit="1" customWidth="1"/>
    <col min="2394" max="2394" width="13.42578125" bestFit="1" customWidth="1"/>
    <col min="2395" max="2395" width="14.140625" bestFit="1" customWidth="1"/>
    <col min="2396" max="2396" width="33.85546875" bestFit="1" customWidth="1"/>
    <col min="2397" max="2397" width="33.7109375" bestFit="1" customWidth="1"/>
    <col min="2398" max="2398" width="13.42578125" bestFit="1" customWidth="1"/>
    <col min="2399" max="2399" width="14.140625" bestFit="1" customWidth="1"/>
    <col min="2400" max="2400" width="33.85546875" bestFit="1" customWidth="1"/>
    <col min="2401" max="2401" width="33.7109375" bestFit="1" customWidth="1"/>
    <col min="2402" max="2402" width="13.42578125" bestFit="1" customWidth="1"/>
    <col min="2403" max="2403" width="14.140625" bestFit="1" customWidth="1"/>
    <col min="2404" max="2404" width="33.85546875" bestFit="1" customWidth="1"/>
    <col min="2405" max="2405" width="33.7109375" bestFit="1" customWidth="1"/>
    <col min="2406" max="2406" width="13.42578125" bestFit="1" customWidth="1"/>
    <col min="2407" max="2407" width="14.140625" bestFit="1" customWidth="1"/>
    <col min="2408" max="2408" width="33.85546875" bestFit="1" customWidth="1"/>
    <col min="2409" max="2409" width="33.7109375" bestFit="1" customWidth="1"/>
    <col min="2410" max="2410" width="13.42578125" bestFit="1" customWidth="1"/>
    <col min="2411" max="2411" width="14.140625" bestFit="1" customWidth="1"/>
    <col min="2412" max="2412" width="33.85546875" bestFit="1" customWidth="1"/>
    <col min="2413" max="2413" width="33.7109375" bestFit="1" customWidth="1"/>
    <col min="2414" max="2414" width="13.42578125" bestFit="1" customWidth="1"/>
    <col min="2415" max="2415" width="14.140625" bestFit="1" customWidth="1"/>
    <col min="2416" max="2416" width="33.85546875" bestFit="1" customWidth="1"/>
    <col min="2417" max="2417" width="33.7109375" bestFit="1" customWidth="1"/>
    <col min="2418" max="2418" width="13.42578125" bestFit="1" customWidth="1"/>
    <col min="2419" max="2419" width="14.140625" bestFit="1" customWidth="1"/>
    <col min="2420" max="2420" width="33.85546875" bestFit="1" customWidth="1"/>
    <col min="2421" max="2421" width="33.7109375" bestFit="1" customWidth="1"/>
    <col min="2422" max="2422" width="13.42578125" bestFit="1" customWidth="1"/>
    <col min="2423" max="2423" width="14.140625" bestFit="1" customWidth="1"/>
    <col min="2424" max="2424" width="33.85546875" bestFit="1" customWidth="1"/>
    <col min="2425" max="2425" width="33.7109375" bestFit="1" customWidth="1"/>
    <col min="2426" max="2426" width="13.42578125" bestFit="1" customWidth="1"/>
    <col min="2427" max="2427" width="14.140625" bestFit="1" customWidth="1"/>
    <col min="2428" max="2428" width="33.85546875" bestFit="1" customWidth="1"/>
    <col min="2429" max="2429" width="33.7109375" bestFit="1" customWidth="1"/>
    <col min="2430" max="2430" width="13.42578125" bestFit="1" customWidth="1"/>
    <col min="2431" max="2431" width="14.140625" bestFit="1" customWidth="1"/>
    <col min="2432" max="2432" width="33.85546875" bestFit="1" customWidth="1"/>
    <col min="2433" max="2433" width="33.7109375" bestFit="1" customWidth="1"/>
    <col min="2434" max="2434" width="13.42578125" bestFit="1" customWidth="1"/>
    <col min="2435" max="2435" width="14.140625" bestFit="1" customWidth="1"/>
    <col min="2436" max="2436" width="33.85546875" bestFit="1" customWidth="1"/>
    <col min="2437" max="2437" width="33.7109375" bestFit="1" customWidth="1"/>
    <col min="2438" max="2438" width="13.42578125" bestFit="1" customWidth="1"/>
    <col min="2439" max="2439" width="14.140625" bestFit="1" customWidth="1"/>
    <col min="2440" max="2440" width="33.85546875" bestFit="1" customWidth="1"/>
    <col min="2441" max="2441" width="33.7109375" bestFit="1" customWidth="1"/>
    <col min="2442" max="2442" width="13.42578125" bestFit="1" customWidth="1"/>
    <col min="2443" max="2443" width="14.140625" bestFit="1" customWidth="1"/>
    <col min="2444" max="2444" width="33.85546875" bestFit="1" customWidth="1"/>
    <col min="2445" max="2445" width="33.7109375" bestFit="1" customWidth="1"/>
    <col min="2446" max="2446" width="13.42578125" bestFit="1" customWidth="1"/>
    <col min="2447" max="2447" width="14.140625" bestFit="1" customWidth="1"/>
    <col min="2448" max="2448" width="33.85546875" bestFit="1" customWidth="1"/>
    <col min="2449" max="2449" width="33.7109375" bestFit="1" customWidth="1"/>
    <col min="2450" max="2450" width="13.42578125" bestFit="1" customWidth="1"/>
    <col min="2451" max="2451" width="14.140625" bestFit="1" customWidth="1"/>
    <col min="2452" max="2452" width="33.85546875" bestFit="1" customWidth="1"/>
    <col min="2453" max="2453" width="33.7109375" bestFit="1" customWidth="1"/>
    <col min="2454" max="2454" width="13.42578125" bestFit="1" customWidth="1"/>
    <col min="2455" max="2455" width="14.140625" bestFit="1" customWidth="1"/>
    <col min="2456" max="2456" width="33.85546875" bestFit="1" customWidth="1"/>
    <col min="2457" max="2457" width="33.7109375" bestFit="1" customWidth="1"/>
    <col min="2458" max="2458" width="13.42578125" bestFit="1" customWidth="1"/>
    <col min="2459" max="2459" width="14.140625" bestFit="1" customWidth="1"/>
    <col min="2460" max="2460" width="33.85546875" bestFit="1" customWidth="1"/>
    <col min="2461" max="2461" width="33.7109375" bestFit="1" customWidth="1"/>
    <col min="2462" max="2462" width="13.42578125" bestFit="1" customWidth="1"/>
    <col min="2463" max="2463" width="14.140625" bestFit="1" customWidth="1"/>
    <col min="2464" max="2464" width="33.85546875" bestFit="1" customWidth="1"/>
    <col min="2465" max="2465" width="33.7109375" bestFit="1" customWidth="1"/>
    <col min="2466" max="2466" width="13.42578125" bestFit="1" customWidth="1"/>
    <col min="2467" max="2467" width="14.140625" bestFit="1" customWidth="1"/>
    <col min="2468" max="2468" width="33.85546875" bestFit="1" customWidth="1"/>
    <col min="2469" max="2469" width="33.7109375" bestFit="1" customWidth="1"/>
    <col min="2470" max="2470" width="13.42578125" bestFit="1" customWidth="1"/>
    <col min="2471" max="2471" width="14.140625" bestFit="1" customWidth="1"/>
    <col min="2472" max="2472" width="33.85546875" bestFit="1" customWidth="1"/>
    <col min="2473" max="2473" width="33.7109375" bestFit="1" customWidth="1"/>
    <col min="2474" max="2474" width="13.42578125" bestFit="1" customWidth="1"/>
    <col min="2475" max="2475" width="14.140625" bestFit="1" customWidth="1"/>
    <col min="2476" max="2476" width="33.85546875" bestFit="1" customWidth="1"/>
    <col min="2477" max="2477" width="33.7109375" bestFit="1" customWidth="1"/>
    <col min="2478" max="2478" width="13.42578125" bestFit="1" customWidth="1"/>
    <col min="2479" max="2479" width="14.140625" bestFit="1" customWidth="1"/>
    <col min="2480" max="2480" width="33.85546875" bestFit="1" customWidth="1"/>
    <col min="2481" max="2481" width="33.7109375" bestFit="1" customWidth="1"/>
    <col min="2482" max="2482" width="13.42578125" bestFit="1" customWidth="1"/>
    <col min="2483" max="2483" width="14.140625" bestFit="1" customWidth="1"/>
    <col min="2484" max="2484" width="33.85546875" bestFit="1" customWidth="1"/>
    <col min="2485" max="2485" width="33.7109375" bestFit="1" customWidth="1"/>
    <col min="2486" max="2486" width="13.42578125" bestFit="1" customWidth="1"/>
    <col min="2487" max="2487" width="14.140625" bestFit="1" customWidth="1"/>
    <col min="2488" max="2488" width="33.85546875" bestFit="1" customWidth="1"/>
    <col min="2489" max="2489" width="33.7109375" bestFit="1" customWidth="1"/>
    <col min="2490" max="2490" width="13.42578125" bestFit="1" customWidth="1"/>
    <col min="2491" max="2491" width="14.140625" bestFit="1" customWidth="1"/>
    <col min="2492" max="2492" width="33.85546875" bestFit="1" customWidth="1"/>
    <col min="2493" max="2493" width="33.7109375" bestFit="1" customWidth="1"/>
    <col min="2494" max="2494" width="13.42578125" bestFit="1" customWidth="1"/>
    <col min="2495" max="2495" width="14.140625" bestFit="1" customWidth="1"/>
    <col min="2496" max="2496" width="33.85546875" bestFit="1" customWidth="1"/>
    <col min="2497" max="2497" width="33.7109375" bestFit="1" customWidth="1"/>
    <col min="2498" max="2498" width="13.42578125" bestFit="1" customWidth="1"/>
    <col min="2499" max="2499" width="14.140625" bestFit="1" customWidth="1"/>
    <col min="2500" max="2500" width="33.85546875" bestFit="1" customWidth="1"/>
    <col min="2501" max="2501" width="33.7109375" bestFit="1" customWidth="1"/>
    <col min="2502" max="2502" width="13.42578125" bestFit="1" customWidth="1"/>
    <col min="2503" max="2503" width="14.140625" bestFit="1" customWidth="1"/>
    <col min="2504" max="2504" width="33.85546875" bestFit="1" customWidth="1"/>
    <col min="2505" max="2505" width="33.7109375" bestFit="1" customWidth="1"/>
    <col min="2506" max="2506" width="13.42578125" bestFit="1" customWidth="1"/>
    <col min="2507" max="2507" width="14.140625" bestFit="1" customWidth="1"/>
    <col min="2508" max="2508" width="33.85546875" bestFit="1" customWidth="1"/>
    <col min="2509" max="2509" width="33.7109375" bestFit="1" customWidth="1"/>
    <col min="2510" max="2510" width="13.42578125" bestFit="1" customWidth="1"/>
    <col min="2511" max="2511" width="14.140625" bestFit="1" customWidth="1"/>
    <col min="2512" max="2512" width="33.85546875" bestFit="1" customWidth="1"/>
    <col min="2513" max="2513" width="33.7109375" bestFit="1" customWidth="1"/>
    <col min="2514" max="2514" width="13.42578125" bestFit="1" customWidth="1"/>
    <col min="2515" max="2515" width="14.140625" bestFit="1" customWidth="1"/>
    <col min="2516" max="2516" width="33.85546875" bestFit="1" customWidth="1"/>
    <col min="2517" max="2517" width="33.7109375" bestFit="1" customWidth="1"/>
    <col min="2518" max="2518" width="13.42578125" bestFit="1" customWidth="1"/>
    <col min="2519" max="2519" width="14.140625" bestFit="1" customWidth="1"/>
    <col min="2520" max="2520" width="33.85546875" bestFit="1" customWidth="1"/>
    <col min="2521" max="2521" width="33.7109375" bestFit="1" customWidth="1"/>
    <col min="2522" max="2522" width="13.42578125" bestFit="1" customWidth="1"/>
    <col min="2523" max="2523" width="14.140625" bestFit="1" customWidth="1"/>
    <col min="2524" max="2524" width="33.85546875" bestFit="1" customWidth="1"/>
    <col min="2525" max="2525" width="33.7109375" bestFit="1" customWidth="1"/>
    <col min="2526" max="2526" width="13.42578125" bestFit="1" customWidth="1"/>
    <col min="2527" max="2527" width="14.140625" bestFit="1" customWidth="1"/>
    <col min="2528" max="2528" width="33.85546875" bestFit="1" customWidth="1"/>
    <col min="2529" max="2529" width="33.7109375" bestFit="1" customWidth="1"/>
    <col min="2530" max="2530" width="13.42578125" bestFit="1" customWidth="1"/>
    <col min="2531" max="2531" width="14.140625" bestFit="1" customWidth="1"/>
    <col min="2532" max="2532" width="33.85546875" bestFit="1" customWidth="1"/>
    <col min="2533" max="2533" width="33.7109375" bestFit="1" customWidth="1"/>
    <col min="2534" max="2534" width="13.42578125" bestFit="1" customWidth="1"/>
    <col min="2535" max="2535" width="14.140625" bestFit="1" customWidth="1"/>
    <col min="2536" max="2536" width="33.85546875" bestFit="1" customWidth="1"/>
    <col min="2537" max="2537" width="33.7109375" bestFit="1" customWidth="1"/>
    <col min="2538" max="2538" width="13.42578125" bestFit="1" customWidth="1"/>
    <col min="2539" max="2539" width="14.140625" bestFit="1" customWidth="1"/>
    <col min="2540" max="2540" width="33.85546875" bestFit="1" customWidth="1"/>
    <col min="2541" max="2541" width="33.7109375" bestFit="1" customWidth="1"/>
    <col min="2542" max="2542" width="13.42578125" bestFit="1" customWidth="1"/>
    <col min="2543" max="2543" width="14.140625" bestFit="1" customWidth="1"/>
    <col min="2544" max="2544" width="33.85546875" bestFit="1" customWidth="1"/>
    <col min="2545" max="2545" width="33.7109375" bestFit="1" customWidth="1"/>
    <col min="2546" max="2546" width="13.42578125" bestFit="1" customWidth="1"/>
    <col min="2547" max="2547" width="14.140625" bestFit="1" customWidth="1"/>
    <col min="2548" max="2548" width="33.85546875" bestFit="1" customWidth="1"/>
    <col min="2549" max="2549" width="33.7109375" bestFit="1" customWidth="1"/>
    <col min="2550" max="2550" width="13.42578125" bestFit="1" customWidth="1"/>
    <col min="2551" max="2551" width="14.140625" bestFit="1" customWidth="1"/>
    <col min="2552" max="2552" width="33.85546875" bestFit="1" customWidth="1"/>
    <col min="2553" max="2553" width="33.7109375" bestFit="1" customWidth="1"/>
    <col min="2554" max="2554" width="13.42578125" bestFit="1" customWidth="1"/>
    <col min="2555" max="2555" width="14.140625" bestFit="1" customWidth="1"/>
    <col min="2556" max="2556" width="33.85546875" bestFit="1" customWidth="1"/>
    <col min="2557" max="2557" width="33.7109375" bestFit="1" customWidth="1"/>
    <col min="2558" max="2558" width="13.42578125" bestFit="1" customWidth="1"/>
    <col min="2559" max="2559" width="14.140625" bestFit="1" customWidth="1"/>
    <col min="2560" max="2560" width="33.85546875" bestFit="1" customWidth="1"/>
    <col min="2561" max="2561" width="33.7109375" bestFit="1" customWidth="1"/>
    <col min="2562" max="2562" width="13.42578125" bestFit="1" customWidth="1"/>
    <col min="2563" max="2563" width="14.140625" bestFit="1" customWidth="1"/>
    <col min="2564" max="2564" width="33.85546875" bestFit="1" customWidth="1"/>
    <col min="2565" max="2565" width="33.7109375" bestFit="1" customWidth="1"/>
    <col min="2566" max="2566" width="13.42578125" bestFit="1" customWidth="1"/>
    <col min="2567" max="2567" width="14.140625" bestFit="1" customWidth="1"/>
    <col min="2568" max="2568" width="33.85546875" bestFit="1" customWidth="1"/>
    <col min="2569" max="2569" width="33.7109375" bestFit="1" customWidth="1"/>
    <col min="2570" max="2570" width="13.42578125" bestFit="1" customWidth="1"/>
    <col min="2571" max="2571" width="14.140625" bestFit="1" customWidth="1"/>
    <col min="2572" max="2572" width="33.85546875" bestFit="1" customWidth="1"/>
    <col min="2573" max="2573" width="33.7109375" bestFit="1" customWidth="1"/>
    <col min="2574" max="2574" width="13.42578125" bestFit="1" customWidth="1"/>
    <col min="2575" max="2575" width="14.140625" bestFit="1" customWidth="1"/>
    <col min="2576" max="2576" width="33.85546875" bestFit="1" customWidth="1"/>
    <col min="2577" max="2577" width="33.7109375" bestFit="1" customWidth="1"/>
    <col min="2578" max="2578" width="13.42578125" bestFit="1" customWidth="1"/>
    <col min="2579" max="2579" width="14.140625" bestFit="1" customWidth="1"/>
    <col min="2580" max="2580" width="33.85546875" bestFit="1" customWidth="1"/>
    <col min="2581" max="2581" width="33.7109375" bestFit="1" customWidth="1"/>
    <col min="2582" max="2582" width="13.42578125" bestFit="1" customWidth="1"/>
    <col min="2583" max="2583" width="14.140625" bestFit="1" customWidth="1"/>
    <col min="2584" max="2584" width="33.85546875" bestFit="1" customWidth="1"/>
    <col min="2585" max="2585" width="33.7109375" bestFit="1" customWidth="1"/>
    <col min="2586" max="2586" width="13.42578125" bestFit="1" customWidth="1"/>
    <col min="2587" max="2587" width="14.140625" bestFit="1" customWidth="1"/>
    <col min="2588" max="2588" width="33.85546875" bestFit="1" customWidth="1"/>
    <col min="2589" max="2589" width="33.7109375" bestFit="1" customWidth="1"/>
    <col min="2590" max="2590" width="13.42578125" bestFit="1" customWidth="1"/>
    <col min="2591" max="2591" width="14.140625" bestFit="1" customWidth="1"/>
    <col min="2592" max="2592" width="33.85546875" bestFit="1" customWidth="1"/>
    <col min="2593" max="2593" width="33.7109375" bestFit="1" customWidth="1"/>
    <col min="2594" max="2594" width="13.42578125" bestFit="1" customWidth="1"/>
    <col min="2595" max="2595" width="14.140625" bestFit="1" customWidth="1"/>
    <col min="2596" max="2596" width="33.85546875" bestFit="1" customWidth="1"/>
    <col min="2597" max="2597" width="33.7109375" bestFit="1" customWidth="1"/>
    <col min="2598" max="2598" width="13.42578125" bestFit="1" customWidth="1"/>
    <col min="2599" max="2599" width="14.140625" bestFit="1" customWidth="1"/>
    <col min="2600" max="2600" width="33.85546875" bestFit="1" customWidth="1"/>
    <col min="2601" max="2601" width="33.7109375" bestFit="1" customWidth="1"/>
    <col min="2602" max="2602" width="13.42578125" bestFit="1" customWidth="1"/>
    <col min="2603" max="2603" width="14.140625" bestFit="1" customWidth="1"/>
    <col min="2604" max="2604" width="33.85546875" bestFit="1" customWidth="1"/>
    <col min="2605" max="2605" width="33.7109375" bestFit="1" customWidth="1"/>
    <col min="2606" max="2606" width="13.42578125" bestFit="1" customWidth="1"/>
    <col min="2607" max="2607" width="14.140625" bestFit="1" customWidth="1"/>
    <col min="2608" max="2608" width="33.85546875" bestFit="1" customWidth="1"/>
    <col min="2609" max="2609" width="33.7109375" bestFit="1" customWidth="1"/>
    <col min="2610" max="2610" width="13.42578125" bestFit="1" customWidth="1"/>
    <col min="2611" max="2611" width="14.140625" bestFit="1" customWidth="1"/>
    <col min="2612" max="2612" width="33.85546875" bestFit="1" customWidth="1"/>
    <col min="2613" max="2613" width="33.7109375" bestFit="1" customWidth="1"/>
    <col min="2614" max="2614" width="13.42578125" bestFit="1" customWidth="1"/>
    <col min="2615" max="2615" width="14.140625" bestFit="1" customWidth="1"/>
    <col min="2616" max="2616" width="33.85546875" bestFit="1" customWidth="1"/>
    <col min="2617" max="2617" width="33.7109375" bestFit="1" customWidth="1"/>
    <col min="2618" max="2618" width="13.42578125" bestFit="1" customWidth="1"/>
    <col min="2619" max="2619" width="14.140625" bestFit="1" customWidth="1"/>
    <col min="2620" max="2620" width="33.85546875" bestFit="1" customWidth="1"/>
    <col min="2621" max="2621" width="33.7109375" bestFit="1" customWidth="1"/>
    <col min="2622" max="2622" width="13.42578125" bestFit="1" customWidth="1"/>
    <col min="2623" max="2623" width="14.140625" bestFit="1" customWidth="1"/>
    <col min="2624" max="2624" width="33.85546875" bestFit="1" customWidth="1"/>
    <col min="2625" max="2625" width="33.7109375" bestFit="1" customWidth="1"/>
    <col min="2626" max="2626" width="13.42578125" bestFit="1" customWidth="1"/>
    <col min="2627" max="2627" width="14.140625" bestFit="1" customWidth="1"/>
    <col min="2628" max="2628" width="33.85546875" bestFit="1" customWidth="1"/>
    <col min="2629" max="2629" width="33.7109375" bestFit="1" customWidth="1"/>
    <col min="2630" max="2630" width="13.42578125" bestFit="1" customWidth="1"/>
    <col min="2631" max="2631" width="14.140625" bestFit="1" customWidth="1"/>
    <col min="2632" max="2632" width="33.85546875" bestFit="1" customWidth="1"/>
    <col min="2633" max="2633" width="33.7109375" bestFit="1" customWidth="1"/>
    <col min="2634" max="2634" width="13.42578125" bestFit="1" customWidth="1"/>
    <col min="2635" max="2635" width="14.140625" bestFit="1" customWidth="1"/>
    <col min="2636" max="2636" width="33.85546875" bestFit="1" customWidth="1"/>
    <col min="2637" max="2637" width="33.7109375" bestFit="1" customWidth="1"/>
    <col min="2638" max="2638" width="13.42578125" bestFit="1" customWidth="1"/>
    <col min="2639" max="2639" width="14.140625" bestFit="1" customWidth="1"/>
    <col min="2640" max="2640" width="33.85546875" bestFit="1" customWidth="1"/>
    <col min="2641" max="2641" width="33.7109375" bestFit="1" customWidth="1"/>
    <col min="2642" max="2642" width="13.42578125" bestFit="1" customWidth="1"/>
    <col min="2643" max="2643" width="14.140625" bestFit="1" customWidth="1"/>
    <col min="2644" max="2644" width="33.85546875" bestFit="1" customWidth="1"/>
    <col min="2645" max="2645" width="33.7109375" bestFit="1" customWidth="1"/>
    <col min="2646" max="2646" width="13.42578125" bestFit="1" customWidth="1"/>
    <col min="2647" max="2647" width="14.140625" bestFit="1" customWidth="1"/>
    <col min="2648" max="2648" width="33.85546875" bestFit="1" customWidth="1"/>
    <col min="2649" max="2649" width="33.7109375" bestFit="1" customWidth="1"/>
    <col min="2650" max="2650" width="13.42578125" bestFit="1" customWidth="1"/>
    <col min="2651" max="2651" width="14.140625" bestFit="1" customWidth="1"/>
    <col min="2652" max="2652" width="33.85546875" bestFit="1" customWidth="1"/>
    <col min="2653" max="2653" width="33.7109375" bestFit="1" customWidth="1"/>
    <col min="2654" max="2654" width="13.42578125" bestFit="1" customWidth="1"/>
    <col min="2655" max="2655" width="14.140625" bestFit="1" customWidth="1"/>
    <col min="2656" max="2656" width="33.85546875" bestFit="1" customWidth="1"/>
    <col min="2657" max="2657" width="33.7109375" bestFit="1" customWidth="1"/>
    <col min="2658" max="2658" width="13.42578125" bestFit="1" customWidth="1"/>
    <col min="2659" max="2659" width="14.140625" bestFit="1" customWidth="1"/>
    <col min="2660" max="2660" width="33.85546875" bestFit="1" customWidth="1"/>
    <col min="2661" max="2661" width="33.7109375" bestFit="1" customWidth="1"/>
    <col min="2662" max="2662" width="13.42578125" bestFit="1" customWidth="1"/>
    <col min="2663" max="2663" width="14.140625" bestFit="1" customWidth="1"/>
    <col min="2664" max="2664" width="33.85546875" bestFit="1" customWidth="1"/>
    <col min="2665" max="2665" width="33.7109375" bestFit="1" customWidth="1"/>
    <col min="2666" max="2666" width="13.42578125" bestFit="1" customWidth="1"/>
    <col min="2667" max="2667" width="14.140625" bestFit="1" customWidth="1"/>
    <col min="2668" max="2668" width="33.85546875" bestFit="1" customWidth="1"/>
    <col min="2669" max="2669" width="33.7109375" bestFit="1" customWidth="1"/>
    <col min="2670" max="2670" width="13.42578125" bestFit="1" customWidth="1"/>
    <col min="2671" max="2671" width="14.140625" bestFit="1" customWidth="1"/>
    <col min="2672" max="2672" width="33.85546875" bestFit="1" customWidth="1"/>
    <col min="2673" max="2673" width="33.7109375" bestFit="1" customWidth="1"/>
    <col min="2674" max="2674" width="13.42578125" bestFit="1" customWidth="1"/>
    <col min="2675" max="2675" width="14.140625" bestFit="1" customWidth="1"/>
    <col min="2676" max="2676" width="33.85546875" bestFit="1" customWidth="1"/>
    <col min="2677" max="2677" width="33.7109375" bestFit="1" customWidth="1"/>
    <col min="2678" max="2678" width="13.42578125" bestFit="1" customWidth="1"/>
    <col min="2679" max="2679" width="14.140625" bestFit="1" customWidth="1"/>
    <col min="2680" max="2680" width="33.85546875" bestFit="1" customWidth="1"/>
    <col min="2681" max="2681" width="33.7109375" bestFit="1" customWidth="1"/>
    <col min="2682" max="2682" width="13.42578125" bestFit="1" customWidth="1"/>
    <col min="2683" max="2683" width="14.140625" bestFit="1" customWidth="1"/>
    <col min="2684" max="2684" width="33.85546875" bestFit="1" customWidth="1"/>
    <col min="2685" max="2685" width="33.7109375" bestFit="1" customWidth="1"/>
    <col min="2686" max="2686" width="13.42578125" bestFit="1" customWidth="1"/>
    <col min="2687" max="2687" width="14.140625" bestFit="1" customWidth="1"/>
    <col min="2688" max="2688" width="33.85546875" bestFit="1" customWidth="1"/>
    <col min="2689" max="2689" width="33.7109375" bestFit="1" customWidth="1"/>
    <col min="2690" max="2690" width="13.42578125" bestFit="1" customWidth="1"/>
    <col min="2691" max="2691" width="14.140625" bestFit="1" customWidth="1"/>
    <col min="2692" max="2692" width="33.85546875" bestFit="1" customWidth="1"/>
    <col min="2693" max="2693" width="33.7109375" bestFit="1" customWidth="1"/>
    <col min="2694" max="2694" width="13.42578125" bestFit="1" customWidth="1"/>
    <col min="2695" max="2695" width="14.140625" bestFit="1" customWidth="1"/>
    <col min="2696" max="2696" width="33.85546875" bestFit="1" customWidth="1"/>
    <col min="2697" max="2697" width="33.7109375" bestFit="1" customWidth="1"/>
    <col min="2698" max="2698" width="13.42578125" bestFit="1" customWidth="1"/>
    <col min="2699" max="2699" width="14.140625" bestFit="1" customWidth="1"/>
    <col min="2700" max="2700" width="33.85546875" bestFit="1" customWidth="1"/>
    <col min="2701" max="2701" width="33.7109375" bestFit="1" customWidth="1"/>
    <col min="2702" max="2702" width="13.42578125" bestFit="1" customWidth="1"/>
    <col min="2703" max="2703" width="14.140625" bestFit="1" customWidth="1"/>
    <col min="2704" max="2704" width="33.85546875" bestFit="1" customWidth="1"/>
    <col min="2705" max="2705" width="33.7109375" bestFit="1" customWidth="1"/>
    <col min="2706" max="2706" width="13.42578125" bestFit="1" customWidth="1"/>
    <col min="2707" max="2707" width="14.140625" bestFit="1" customWidth="1"/>
    <col min="2708" max="2708" width="33.85546875" bestFit="1" customWidth="1"/>
    <col min="2709" max="2709" width="33.7109375" bestFit="1" customWidth="1"/>
    <col min="2710" max="2710" width="13.42578125" bestFit="1" customWidth="1"/>
    <col min="2711" max="2711" width="14.140625" bestFit="1" customWidth="1"/>
    <col min="2712" max="2712" width="33.85546875" bestFit="1" customWidth="1"/>
    <col min="2713" max="2713" width="33.7109375" bestFit="1" customWidth="1"/>
    <col min="2714" max="2714" width="13.42578125" bestFit="1" customWidth="1"/>
    <col min="2715" max="2715" width="14.140625" bestFit="1" customWidth="1"/>
    <col min="2716" max="2716" width="33.85546875" bestFit="1" customWidth="1"/>
    <col min="2717" max="2717" width="33.7109375" bestFit="1" customWidth="1"/>
    <col min="2718" max="2718" width="13.42578125" bestFit="1" customWidth="1"/>
    <col min="2719" max="2719" width="14.140625" bestFit="1" customWidth="1"/>
    <col min="2720" max="2720" width="33.85546875" bestFit="1" customWidth="1"/>
    <col min="2721" max="2721" width="33.7109375" bestFit="1" customWidth="1"/>
    <col min="2722" max="2722" width="13.42578125" bestFit="1" customWidth="1"/>
    <col min="2723" max="2723" width="14.140625" bestFit="1" customWidth="1"/>
    <col min="2724" max="2724" width="33.85546875" bestFit="1" customWidth="1"/>
    <col min="2725" max="2725" width="33.7109375" bestFit="1" customWidth="1"/>
    <col min="2726" max="2726" width="13.42578125" bestFit="1" customWidth="1"/>
    <col min="2727" max="2727" width="14.140625" bestFit="1" customWidth="1"/>
    <col min="2728" max="2728" width="33.85546875" bestFit="1" customWidth="1"/>
    <col min="2729" max="2729" width="33.7109375" bestFit="1" customWidth="1"/>
    <col min="2730" max="2730" width="13.42578125" bestFit="1" customWidth="1"/>
    <col min="2731" max="2731" width="14.140625" bestFit="1" customWidth="1"/>
    <col min="2732" max="2732" width="33.85546875" bestFit="1" customWidth="1"/>
    <col min="2733" max="2733" width="33.7109375" bestFit="1" customWidth="1"/>
    <col min="2734" max="2734" width="13.42578125" bestFit="1" customWidth="1"/>
    <col min="2735" max="2735" width="14.140625" bestFit="1" customWidth="1"/>
    <col min="2736" max="2736" width="33.85546875" bestFit="1" customWidth="1"/>
    <col min="2737" max="2737" width="33.7109375" bestFit="1" customWidth="1"/>
    <col min="2738" max="2738" width="18.42578125" bestFit="1" customWidth="1"/>
    <col min="2739" max="2739" width="19.140625" bestFit="1" customWidth="1"/>
    <col min="2740" max="2740" width="38.7109375" bestFit="1" customWidth="1"/>
    <col min="2741" max="2741" width="38.5703125" bestFit="1" customWidth="1"/>
  </cols>
  <sheetData>
    <row r="1" spans="1:6" x14ac:dyDescent="0.25">
      <c r="B1"/>
    </row>
    <row r="2" spans="1:6" x14ac:dyDescent="0.25">
      <c r="A2" s="175" t="s">
        <v>50</v>
      </c>
      <c r="B2" s="229" t="s">
        <v>176</v>
      </c>
    </row>
    <row r="3" spans="1:6" x14ac:dyDescent="0.25">
      <c r="A3" s="175" t="s">
        <v>121</v>
      </c>
      <c r="B3" s="229" t="s">
        <v>176</v>
      </c>
    </row>
    <row r="4" spans="1:6" x14ac:dyDescent="0.25">
      <c r="B4"/>
      <c r="C4"/>
      <c r="E4"/>
    </row>
    <row r="5" spans="1:6" x14ac:dyDescent="0.25">
      <c r="A5" s="183" t="s">
        <v>178</v>
      </c>
      <c r="B5" s="184" t="s">
        <v>212</v>
      </c>
      <c r="C5" s="200" t="s">
        <v>177</v>
      </c>
      <c r="D5" s="220" t="s">
        <v>211</v>
      </c>
      <c r="E5" s="200" t="s">
        <v>175</v>
      </c>
      <c r="F5" s="201" t="s">
        <v>173</v>
      </c>
    </row>
    <row r="6" spans="1:6" x14ac:dyDescent="0.25">
      <c r="A6" s="176" t="s">
        <v>190</v>
      </c>
      <c r="B6" s="178">
        <v>71</v>
      </c>
      <c r="C6" s="180">
        <v>38260</v>
      </c>
      <c r="D6" s="219">
        <v>26.5</v>
      </c>
      <c r="E6" s="180">
        <v>32962.902999999998</v>
      </c>
      <c r="F6" s="181">
        <v>752.54307548999986</v>
      </c>
    </row>
    <row r="7" spans="1:6" x14ac:dyDescent="0.25">
      <c r="A7" s="177" t="s">
        <v>123</v>
      </c>
      <c r="B7" s="178">
        <v>71</v>
      </c>
      <c r="C7" s="180">
        <v>38260</v>
      </c>
      <c r="D7" s="219">
        <v>26.5</v>
      </c>
      <c r="E7" s="180">
        <v>32962.902999999998</v>
      </c>
      <c r="F7" s="181">
        <v>752.54307548999986</v>
      </c>
    </row>
    <row r="8" spans="1:6" x14ac:dyDescent="0.25">
      <c r="A8" s="179">
        <v>13</v>
      </c>
      <c r="B8" s="178">
        <v>71</v>
      </c>
      <c r="C8" s="180">
        <v>18960</v>
      </c>
      <c r="D8" s="219">
        <v>26.5</v>
      </c>
      <c r="E8" s="180">
        <v>16334.987999999999</v>
      </c>
      <c r="F8" s="181">
        <v>372.92777603999997</v>
      </c>
    </row>
    <row r="9" spans="1:6" x14ac:dyDescent="0.25">
      <c r="A9" s="179">
        <v>14</v>
      </c>
      <c r="B9" s="178">
        <v>71</v>
      </c>
      <c r="C9" s="180">
        <v>19300</v>
      </c>
      <c r="D9" s="219">
        <v>26.5</v>
      </c>
      <c r="E9" s="180">
        <v>16627.914999999997</v>
      </c>
      <c r="F9" s="181">
        <v>379.61529944999995</v>
      </c>
    </row>
    <row r="10" spans="1:6" x14ac:dyDescent="0.25">
      <c r="A10" s="176" t="s">
        <v>192</v>
      </c>
      <c r="B10" s="178">
        <v>71</v>
      </c>
      <c r="C10" s="180">
        <v>91260</v>
      </c>
      <c r="D10" s="219">
        <v>26.28</v>
      </c>
      <c r="E10" s="180">
        <v>78718.16399999999</v>
      </c>
      <c r="F10" s="181">
        <v>1789.7224666899999</v>
      </c>
    </row>
    <row r="11" spans="1:6" x14ac:dyDescent="0.25">
      <c r="A11" s="177" t="s">
        <v>123</v>
      </c>
      <c r="B11" s="178">
        <v>71</v>
      </c>
      <c r="C11" s="180">
        <v>91260</v>
      </c>
      <c r="D11" s="219">
        <v>26.28</v>
      </c>
      <c r="E11" s="180">
        <v>78718.16399999999</v>
      </c>
      <c r="F11" s="181">
        <v>1789.7224666899999</v>
      </c>
    </row>
    <row r="12" spans="1:6" x14ac:dyDescent="0.25">
      <c r="A12" s="179">
        <v>15</v>
      </c>
      <c r="B12" s="178">
        <v>71</v>
      </c>
      <c r="C12" s="180">
        <v>19020</v>
      </c>
      <c r="D12" s="219">
        <v>28.2</v>
      </c>
      <c r="E12" s="180">
        <v>15918.789000000001</v>
      </c>
      <c r="F12" s="181">
        <v>398.28810078000004</v>
      </c>
    </row>
    <row r="13" spans="1:6" x14ac:dyDescent="0.25">
      <c r="A13" s="179">
        <v>17</v>
      </c>
      <c r="B13" s="178">
        <v>71</v>
      </c>
      <c r="C13" s="180">
        <v>18980</v>
      </c>
      <c r="D13" s="219">
        <v>25.2</v>
      </c>
      <c r="E13" s="180">
        <v>16585.672999999999</v>
      </c>
      <c r="F13" s="181">
        <v>360.40667429000001</v>
      </c>
    </row>
    <row r="14" spans="1:6" x14ac:dyDescent="0.25">
      <c r="A14" s="179">
        <v>18</v>
      </c>
      <c r="B14" s="178">
        <v>71</v>
      </c>
      <c r="C14" s="180">
        <v>18620</v>
      </c>
      <c r="D14" s="219">
        <v>26</v>
      </c>
      <c r="E14" s="180">
        <v>16156.574000000001</v>
      </c>
      <c r="F14" s="181">
        <v>360.45316593999996</v>
      </c>
    </row>
    <row r="15" spans="1:6" x14ac:dyDescent="0.25">
      <c r="A15" s="179">
        <v>19</v>
      </c>
      <c r="B15" s="178">
        <v>71</v>
      </c>
      <c r="C15" s="180">
        <v>19000</v>
      </c>
      <c r="D15" s="219">
        <v>26</v>
      </c>
      <c r="E15" s="180">
        <v>16486.3</v>
      </c>
      <c r="F15" s="181">
        <v>367.80935299999993</v>
      </c>
    </row>
    <row r="16" spans="1:6" x14ac:dyDescent="0.25">
      <c r="A16" s="179">
        <v>20</v>
      </c>
      <c r="B16" s="178">
        <v>71</v>
      </c>
      <c r="C16" s="180">
        <v>15640</v>
      </c>
      <c r="D16" s="219">
        <v>26</v>
      </c>
      <c r="E16" s="180">
        <v>13570.828</v>
      </c>
      <c r="F16" s="181">
        <v>302.76517267999998</v>
      </c>
    </row>
    <row r="17" spans="1:6" x14ac:dyDescent="0.25">
      <c r="A17" s="215">
        <v>41913</v>
      </c>
      <c r="B17" s="178">
        <v>71</v>
      </c>
      <c r="C17" s="180">
        <v>30880</v>
      </c>
      <c r="D17" s="219">
        <v>33.6</v>
      </c>
      <c r="E17" s="180">
        <v>23663.424999999999</v>
      </c>
      <c r="F17" s="181">
        <v>749.87195388000009</v>
      </c>
    </row>
    <row r="18" spans="1:6" x14ac:dyDescent="0.25">
      <c r="A18" s="177" t="s">
        <v>123</v>
      </c>
      <c r="B18" s="178">
        <v>71</v>
      </c>
      <c r="C18" s="180">
        <v>30880</v>
      </c>
      <c r="D18" s="219">
        <v>33.6</v>
      </c>
      <c r="E18" s="180">
        <v>23663.424999999999</v>
      </c>
      <c r="F18" s="181">
        <v>749.87195388000009</v>
      </c>
    </row>
    <row r="19" spans="1:6" x14ac:dyDescent="0.25">
      <c r="A19" s="179">
        <v>21</v>
      </c>
      <c r="B19" s="178">
        <v>71</v>
      </c>
      <c r="C19" s="180">
        <v>21540</v>
      </c>
      <c r="D19" s="219">
        <v>34.200000000000003</v>
      </c>
      <c r="E19" s="180">
        <v>16380.093000000001</v>
      </c>
      <c r="F19" s="181">
        <v>527.43899460000011</v>
      </c>
    </row>
    <row r="20" spans="1:6" x14ac:dyDescent="0.25">
      <c r="A20" s="179">
        <v>22</v>
      </c>
      <c r="B20" s="178">
        <v>71</v>
      </c>
      <c r="C20" s="180">
        <v>9340</v>
      </c>
      <c r="D20" s="219">
        <v>33</v>
      </c>
      <c r="E20" s="180">
        <v>7283.3319999999994</v>
      </c>
      <c r="F20" s="181">
        <v>222.43295927999998</v>
      </c>
    </row>
    <row r="21" spans="1:6" x14ac:dyDescent="0.25">
      <c r="A21" s="215">
        <v>41914</v>
      </c>
      <c r="B21" s="178">
        <v>59</v>
      </c>
      <c r="C21" s="180">
        <v>24000</v>
      </c>
      <c r="D21" s="219">
        <v>29.7</v>
      </c>
      <c r="E21" s="180">
        <v>19644</v>
      </c>
      <c r="F21" s="181">
        <v>523.51260000000002</v>
      </c>
    </row>
    <row r="22" spans="1:6" x14ac:dyDescent="0.25">
      <c r="A22" s="177" t="s">
        <v>125</v>
      </c>
      <c r="B22" s="178">
        <v>59</v>
      </c>
      <c r="C22" s="180">
        <v>24000</v>
      </c>
      <c r="D22" s="219">
        <v>29.7</v>
      </c>
      <c r="E22" s="180">
        <v>19644</v>
      </c>
      <c r="F22" s="181">
        <v>523.51260000000002</v>
      </c>
    </row>
    <row r="23" spans="1:6" x14ac:dyDescent="0.25">
      <c r="A23" s="179">
        <v>16584</v>
      </c>
      <c r="B23" s="178">
        <v>59</v>
      </c>
      <c r="C23" s="180">
        <v>24000</v>
      </c>
      <c r="D23" s="219">
        <v>29.7</v>
      </c>
      <c r="E23" s="180">
        <v>19644</v>
      </c>
      <c r="F23" s="181">
        <v>523.51260000000002</v>
      </c>
    </row>
    <row r="24" spans="1:6" x14ac:dyDescent="0.25">
      <c r="A24" s="215">
        <v>41915</v>
      </c>
      <c r="B24" s="178">
        <v>59</v>
      </c>
      <c r="C24" s="180">
        <v>138320</v>
      </c>
      <c r="D24" s="219">
        <v>29.900000000000002</v>
      </c>
      <c r="E24" s="180">
        <v>112909.613</v>
      </c>
      <c r="F24" s="181">
        <v>3024.2824457400002</v>
      </c>
    </row>
    <row r="25" spans="1:6" x14ac:dyDescent="0.25">
      <c r="A25" s="177" t="s">
        <v>125</v>
      </c>
      <c r="B25" s="178">
        <v>59</v>
      </c>
      <c r="C25" s="180">
        <v>138320</v>
      </c>
      <c r="D25" s="219">
        <v>29.900000000000002</v>
      </c>
      <c r="E25" s="180">
        <v>112909.613</v>
      </c>
      <c r="F25" s="181">
        <v>3024.2824457400002</v>
      </c>
    </row>
    <row r="26" spans="1:6" x14ac:dyDescent="0.25">
      <c r="A26" s="179">
        <v>16585</v>
      </c>
      <c r="B26" s="178">
        <v>59</v>
      </c>
      <c r="C26" s="180">
        <v>25620</v>
      </c>
      <c r="D26" s="219">
        <v>28.3</v>
      </c>
      <c r="E26" s="180">
        <v>21442.659000000003</v>
      </c>
      <c r="F26" s="181">
        <v>536.49532818000012</v>
      </c>
    </row>
    <row r="27" spans="1:6" x14ac:dyDescent="0.25">
      <c r="A27" s="179">
        <v>16586</v>
      </c>
      <c r="B27" s="178">
        <v>59</v>
      </c>
      <c r="C27" s="180">
        <v>21640</v>
      </c>
      <c r="D27" s="219">
        <v>30.1</v>
      </c>
      <c r="E27" s="180">
        <v>17572.761999999999</v>
      </c>
      <c r="F27" s="181">
        <v>477.62767115999998</v>
      </c>
    </row>
    <row r="28" spans="1:6" x14ac:dyDescent="0.25">
      <c r="A28" s="179">
        <v>16587</v>
      </c>
      <c r="B28" s="178">
        <v>59</v>
      </c>
      <c r="C28" s="180">
        <v>24400</v>
      </c>
      <c r="D28" s="219">
        <v>30.6</v>
      </c>
      <c r="E28" s="180">
        <v>19656.64</v>
      </c>
      <c r="F28" s="181">
        <v>544.88206079999998</v>
      </c>
    </row>
    <row r="29" spans="1:6" x14ac:dyDescent="0.25">
      <c r="A29" s="179">
        <v>16588</v>
      </c>
      <c r="B29" s="178">
        <v>59</v>
      </c>
      <c r="C29" s="180">
        <v>21280</v>
      </c>
      <c r="D29" s="219">
        <v>28.8</v>
      </c>
      <c r="E29" s="180">
        <v>17679.423999999999</v>
      </c>
      <c r="F29" s="181">
        <v>451.88607743999995</v>
      </c>
    </row>
    <row r="30" spans="1:6" x14ac:dyDescent="0.25">
      <c r="A30" s="179">
        <v>16589</v>
      </c>
      <c r="B30" s="178">
        <v>59</v>
      </c>
      <c r="C30" s="180">
        <v>24160</v>
      </c>
      <c r="D30" s="219">
        <v>30.6</v>
      </c>
      <c r="E30" s="180">
        <v>19463.295999999998</v>
      </c>
      <c r="F30" s="181">
        <v>539.52256511999997</v>
      </c>
    </row>
    <row r="31" spans="1:6" x14ac:dyDescent="0.25">
      <c r="A31" s="179">
        <v>16590</v>
      </c>
      <c r="B31" s="178">
        <v>59</v>
      </c>
      <c r="C31" s="180">
        <v>21220</v>
      </c>
      <c r="D31" s="219">
        <v>31</v>
      </c>
      <c r="E31" s="180">
        <v>17094.831999999999</v>
      </c>
      <c r="F31" s="181">
        <v>473.86874303999991</v>
      </c>
    </row>
    <row r="32" spans="1:6" x14ac:dyDescent="0.25">
      <c r="A32" s="215">
        <v>41916</v>
      </c>
      <c r="B32" s="178">
        <v>0</v>
      </c>
      <c r="C32" s="180">
        <v>72660</v>
      </c>
      <c r="D32" s="219">
        <v>27.250000000000004</v>
      </c>
      <c r="E32" s="180">
        <v>61726.677000000003</v>
      </c>
      <c r="F32" s="181">
        <v>1340.2444658700001</v>
      </c>
    </row>
    <row r="33" spans="1:6" x14ac:dyDescent="0.25">
      <c r="A33" s="177" t="s">
        <v>124</v>
      </c>
      <c r="B33" s="178">
        <v>0</v>
      </c>
      <c r="C33" s="180">
        <v>72660</v>
      </c>
      <c r="D33" s="219">
        <v>27.250000000000004</v>
      </c>
      <c r="E33" s="180">
        <v>61726.677000000003</v>
      </c>
      <c r="F33" s="181">
        <v>1340.2444658700001</v>
      </c>
    </row>
    <row r="34" spans="1:6" x14ac:dyDescent="0.25">
      <c r="A34" s="179">
        <v>31</v>
      </c>
      <c r="B34" s="178">
        <v>0</v>
      </c>
      <c r="C34" s="180">
        <v>12720</v>
      </c>
      <c r="D34" s="219">
        <v>26.8</v>
      </c>
      <c r="E34" s="180">
        <v>10880.688</v>
      </c>
      <c r="F34" s="181">
        <v>230.34416496000003</v>
      </c>
    </row>
    <row r="35" spans="1:6" x14ac:dyDescent="0.25">
      <c r="A35" s="179">
        <v>32</v>
      </c>
      <c r="B35" s="178">
        <v>0</v>
      </c>
      <c r="C35" s="180">
        <v>12940</v>
      </c>
      <c r="D35" s="219">
        <v>28.3</v>
      </c>
      <c r="E35" s="180">
        <v>10830.133000000002</v>
      </c>
      <c r="F35" s="181">
        <v>246.38552575000003</v>
      </c>
    </row>
    <row r="36" spans="1:6" x14ac:dyDescent="0.25">
      <c r="A36" s="179">
        <v>33</v>
      </c>
      <c r="B36" s="178">
        <v>0</v>
      </c>
      <c r="C36" s="180">
        <v>12420</v>
      </c>
      <c r="D36" s="219">
        <v>26.1</v>
      </c>
      <c r="E36" s="180">
        <v>10700.450999999999</v>
      </c>
      <c r="F36" s="181">
        <v>222.14136275999999</v>
      </c>
    </row>
    <row r="37" spans="1:6" x14ac:dyDescent="0.25">
      <c r="A37" s="179">
        <v>34</v>
      </c>
      <c r="B37" s="178">
        <v>0</v>
      </c>
      <c r="C37" s="180">
        <v>13420</v>
      </c>
      <c r="D37" s="219">
        <v>27.2</v>
      </c>
      <c r="E37" s="180">
        <v>11396.934999999999</v>
      </c>
      <c r="F37" s="181">
        <v>247.9973056</v>
      </c>
    </row>
    <row r="38" spans="1:6" x14ac:dyDescent="0.25">
      <c r="A38" s="179">
        <v>35</v>
      </c>
      <c r="B38" s="178">
        <v>0</v>
      </c>
      <c r="C38" s="180">
        <v>12760</v>
      </c>
      <c r="D38" s="219">
        <v>27.3</v>
      </c>
      <c r="E38" s="180">
        <v>10836.429999999998</v>
      </c>
      <c r="F38" s="181">
        <v>235.8007168</v>
      </c>
    </row>
    <row r="39" spans="1:6" x14ac:dyDescent="0.25">
      <c r="A39" s="179">
        <v>36</v>
      </c>
      <c r="B39" s="178">
        <v>0</v>
      </c>
      <c r="C39" s="180">
        <v>8400</v>
      </c>
      <c r="D39" s="219">
        <v>27.8</v>
      </c>
      <c r="E39" s="180">
        <v>7082.0400000000009</v>
      </c>
      <c r="F39" s="181">
        <v>157.57539000000003</v>
      </c>
    </row>
    <row r="40" spans="1:6" x14ac:dyDescent="0.25">
      <c r="A40" s="215">
        <v>41918</v>
      </c>
      <c r="B40" s="178">
        <v>0</v>
      </c>
      <c r="C40" s="180">
        <v>176660</v>
      </c>
      <c r="D40" s="219">
        <v>29.389999999999997</v>
      </c>
      <c r="E40" s="180">
        <v>144638.61199999999</v>
      </c>
      <c r="F40" s="181">
        <v>3497.5623750700001</v>
      </c>
    </row>
    <row r="41" spans="1:6" x14ac:dyDescent="0.25">
      <c r="A41" s="177" t="s">
        <v>124</v>
      </c>
      <c r="B41" s="178">
        <v>0</v>
      </c>
      <c r="C41" s="180">
        <v>8580</v>
      </c>
      <c r="D41" s="219">
        <v>24.9</v>
      </c>
      <c r="E41" s="180">
        <v>7550.4</v>
      </c>
      <c r="F41" s="181">
        <v>145.496208</v>
      </c>
    </row>
    <row r="42" spans="1:6" x14ac:dyDescent="0.25">
      <c r="A42" s="179">
        <v>38</v>
      </c>
      <c r="B42" s="178">
        <v>0</v>
      </c>
      <c r="C42" s="180">
        <v>8580</v>
      </c>
      <c r="D42" s="219">
        <v>24.9</v>
      </c>
      <c r="E42" s="180">
        <v>7550.4</v>
      </c>
      <c r="F42" s="181">
        <v>145.496208</v>
      </c>
    </row>
    <row r="43" spans="1:6" x14ac:dyDescent="0.25">
      <c r="A43" s="177" t="s">
        <v>80</v>
      </c>
      <c r="B43" s="178">
        <v>0</v>
      </c>
      <c r="C43" s="180">
        <v>12620</v>
      </c>
      <c r="D43" s="219">
        <v>26.1</v>
      </c>
      <c r="E43" s="180">
        <v>10872.760999999999</v>
      </c>
      <c r="F43" s="181">
        <v>225.71851835999999</v>
      </c>
    </row>
    <row r="44" spans="1:6" x14ac:dyDescent="0.25">
      <c r="A44" s="179">
        <v>37</v>
      </c>
      <c r="B44" s="178">
        <v>0</v>
      </c>
      <c r="C44" s="180">
        <v>12620</v>
      </c>
      <c r="D44" s="219">
        <v>26.1</v>
      </c>
      <c r="E44" s="180">
        <v>10872.760999999999</v>
      </c>
      <c r="F44" s="181">
        <v>225.71851835999999</v>
      </c>
    </row>
    <row r="45" spans="1:6" x14ac:dyDescent="0.25">
      <c r="A45" s="177" t="s">
        <v>75</v>
      </c>
      <c r="B45" s="178"/>
      <c r="C45" s="180">
        <v>15600</v>
      </c>
      <c r="D45" s="219">
        <v>32.700000000000003</v>
      </c>
      <c r="E45" s="180">
        <v>12164.88</v>
      </c>
      <c r="F45" s="181">
        <v>337.81871759999996</v>
      </c>
    </row>
    <row r="46" spans="1:6" x14ac:dyDescent="0.25">
      <c r="A46" s="179">
        <v>44</v>
      </c>
      <c r="B46" s="178"/>
      <c r="C46" s="180">
        <v>15600</v>
      </c>
      <c r="D46" s="219">
        <v>32.700000000000003</v>
      </c>
      <c r="E46" s="180">
        <v>12164.88</v>
      </c>
      <c r="F46" s="181">
        <v>337.81871759999996</v>
      </c>
    </row>
    <row r="47" spans="1:6" x14ac:dyDescent="0.25">
      <c r="A47" s="177" t="s">
        <v>125</v>
      </c>
      <c r="B47" s="178"/>
      <c r="C47" s="180">
        <v>139860</v>
      </c>
      <c r="D47" s="219">
        <v>30.028571428571428</v>
      </c>
      <c r="E47" s="180">
        <v>114050.57099999998</v>
      </c>
      <c r="F47" s="181">
        <v>2788.52893111</v>
      </c>
    </row>
    <row r="48" spans="1:6" x14ac:dyDescent="0.25">
      <c r="A48" s="179">
        <v>39</v>
      </c>
      <c r="B48" s="178"/>
      <c r="C48" s="180">
        <v>21580</v>
      </c>
      <c r="D48" s="219">
        <v>30.4</v>
      </c>
      <c r="E48" s="180">
        <v>17524.038999999997</v>
      </c>
      <c r="F48" s="181">
        <v>433.01900368999992</v>
      </c>
    </row>
    <row r="49" spans="1:6" x14ac:dyDescent="0.25">
      <c r="A49" s="179">
        <v>40</v>
      </c>
      <c r="B49" s="178"/>
      <c r="C49" s="180">
        <v>17800</v>
      </c>
      <c r="D49" s="219">
        <v>29.9</v>
      </c>
      <c r="E49" s="180">
        <v>14569.3</v>
      </c>
      <c r="F49" s="181">
        <v>353.01413899999994</v>
      </c>
    </row>
    <row r="50" spans="1:6" x14ac:dyDescent="0.25">
      <c r="A50" s="179">
        <v>41</v>
      </c>
      <c r="B50" s="178"/>
      <c r="C50" s="180">
        <v>21960</v>
      </c>
      <c r="D50" s="219">
        <v>30.4</v>
      </c>
      <c r="E50" s="180">
        <v>17832.617999999999</v>
      </c>
      <c r="F50" s="181">
        <v>440.64399077999997</v>
      </c>
    </row>
    <row r="51" spans="1:6" x14ac:dyDescent="0.25">
      <c r="A51" s="179">
        <v>42</v>
      </c>
      <c r="B51" s="178"/>
      <c r="C51" s="180">
        <v>18200</v>
      </c>
      <c r="D51" s="219">
        <v>29.1</v>
      </c>
      <c r="E51" s="180">
        <v>15008.63</v>
      </c>
      <c r="F51" s="181">
        <v>356.30487619999997</v>
      </c>
    </row>
    <row r="52" spans="1:6" x14ac:dyDescent="0.25">
      <c r="A52" s="179">
        <v>43</v>
      </c>
      <c r="B52" s="178"/>
      <c r="C52" s="180">
        <v>21760</v>
      </c>
      <c r="D52" s="219">
        <v>30.4</v>
      </c>
      <c r="E52" s="180">
        <v>17670.207999999999</v>
      </c>
      <c r="F52" s="181">
        <v>436.63083967999995</v>
      </c>
    </row>
    <row r="53" spans="1:6" x14ac:dyDescent="0.25">
      <c r="A53" s="179">
        <v>45</v>
      </c>
      <c r="B53" s="178"/>
      <c r="C53" s="180">
        <v>17920</v>
      </c>
      <c r="D53" s="219">
        <v>30.1</v>
      </c>
      <c r="E53" s="180">
        <v>14551.936</v>
      </c>
      <c r="F53" s="181">
        <v>359.57833856000002</v>
      </c>
    </row>
    <row r="54" spans="1:6" x14ac:dyDescent="0.25">
      <c r="A54" s="179">
        <v>46</v>
      </c>
      <c r="B54" s="178"/>
      <c r="C54" s="180">
        <v>20640</v>
      </c>
      <c r="D54" s="219">
        <v>29.9</v>
      </c>
      <c r="E54" s="180">
        <v>16893.84</v>
      </c>
      <c r="F54" s="181">
        <v>409.33774320000003</v>
      </c>
    </row>
    <row r="55" spans="1:6" x14ac:dyDescent="0.25">
      <c r="A55" s="215">
        <v>41919</v>
      </c>
      <c r="B55" s="178"/>
      <c r="C55" s="180">
        <v>158200</v>
      </c>
      <c r="D55" s="219">
        <v>29.866666666666667</v>
      </c>
      <c r="E55" s="180">
        <v>129549.12999999999</v>
      </c>
      <c r="F55" s="181">
        <v>3131.3745534299997</v>
      </c>
    </row>
    <row r="56" spans="1:6" x14ac:dyDescent="0.25">
      <c r="A56" s="177" t="s">
        <v>75</v>
      </c>
      <c r="B56" s="178"/>
      <c r="C56" s="180">
        <v>20980</v>
      </c>
      <c r="D56" s="219">
        <v>30.6</v>
      </c>
      <c r="E56" s="180">
        <v>16991.53</v>
      </c>
      <c r="F56" s="181">
        <v>422.63180918</v>
      </c>
    </row>
    <row r="57" spans="1:6" x14ac:dyDescent="0.25">
      <c r="A57" s="179">
        <v>47</v>
      </c>
      <c r="B57" s="178"/>
      <c r="C57" s="180">
        <v>13960</v>
      </c>
      <c r="D57" s="219">
        <v>30.3</v>
      </c>
      <c r="E57" s="180">
        <v>11336.217999999999</v>
      </c>
      <c r="F57" s="181">
        <v>280.11794678000001</v>
      </c>
    </row>
    <row r="58" spans="1:6" x14ac:dyDescent="0.25">
      <c r="A58" s="179">
        <v>48</v>
      </c>
      <c r="B58" s="178"/>
      <c r="C58" s="180">
        <v>7020</v>
      </c>
      <c r="D58" s="219">
        <v>30.9</v>
      </c>
      <c r="E58" s="180">
        <v>5655.3119999999999</v>
      </c>
      <c r="F58" s="181">
        <v>142.51386239999999</v>
      </c>
    </row>
    <row r="59" spans="1:6" x14ac:dyDescent="0.25">
      <c r="A59" s="177" t="s">
        <v>125</v>
      </c>
      <c r="B59" s="178"/>
      <c r="C59" s="180">
        <v>137220</v>
      </c>
      <c r="D59" s="219">
        <v>29.657142857142855</v>
      </c>
      <c r="E59" s="180">
        <v>112557.59999999999</v>
      </c>
      <c r="F59" s="181">
        <v>2708.7427442499998</v>
      </c>
    </row>
    <row r="60" spans="1:6" x14ac:dyDescent="0.25">
      <c r="A60" s="179">
        <v>49</v>
      </c>
      <c r="B60" s="178"/>
      <c r="C60" s="180">
        <v>18140</v>
      </c>
      <c r="D60" s="219">
        <v>29.5</v>
      </c>
      <c r="E60" s="180">
        <v>14959.151</v>
      </c>
      <c r="F60" s="181">
        <v>355.13024473999997</v>
      </c>
    </row>
    <row r="61" spans="1:6" x14ac:dyDescent="0.25">
      <c r="A61" s="179">
        <v>50</v>
      </c>
      <c r="B61" s="178"/>
      <c r="C61" s="180">
        <v>20340</v>
      </c>
      <c r="D61" s="219">
        <v>30.5</v>
      </c>
      <c r="E61" s="180">
        <v>16517.096999999998</v>
      </c>
      <c r="F61" s="181">
        <v>408.13746686999997</v>
      </c>
    </row>
    <row r="62" spans="1:6" x14ac:dyDescent="0.25">
      <c r="A62" s="179">
        <v>53</v>
      </c>
      <c r="B62" s="178"/>
      <c r="C62" s="180">
        <v>21100</v>
      </c>
      <c r="D62" s="219">
        <v>30.4</v>
      </c>
      <c r="E62" s="180">
        <v>17134.254999999997</v>
      </c>
      <c r="F62" s="181">
        <v>423.38744104999995</v>
      </c>
    </row>
    <row r="63" spans="1:6" x14ac:dyDescent="0.25">
      <c r="A63" s="179">
        <v>54</v>
      </c>
      <c r="B63" s="178"/>
      <c r="C63" s="180">
        <v>17660</v>
      </c>
      <c r="D63" s="219">
        <v>30.1</v>
      </c>
      <c r="E63" s="180">
        <v>14340.802999999998</v>
      </c>
      <c r="F63" s="181">
        <v>354.36124212999999</v>
      </c>
    </row>
    <row r="64" spans="1:6" x14ac:dyDescent="0.25">
      <c r="A64" s="179">
        <v>56</v>
      </c>
      <c r="B64" s="178"/>
      <c r="C64" s="180">
        <v>20800</v>
      </c>
      <c r="D64" s="219">
        <v>28.3</v>
      </c>
      <c r="E64" s="180">
        <v>17408.560000000001</v>
      </c>
      <c r="F64" s="181">
        <v>396.04474000000005</v>
      </c>
    </row>
    <row r="65" spans="1:6" x14ac:dyDescent="0.25">
      <c r="A65" s="179">
        <v>57</v>
      </c>
      <c r="B65" s="178"/>
      <c r="C65" s="180">
        <v>18220</v>
      </c>
      <c r="D65" s="219">
        <v>29.6</v>
      </c>
      <c r="E65" s="180">
        <v>14913.07</v>
      </c>
      <c r="F65" s="181">
        <v>361.34368610000001</v>
      </c>
    </row>
    <row r="66" spans="1:6" x14ac:dyDescent="0.25">
      <c r="A66" s="179">
        <v>58</v>
      </c>
      <c r="B66" s="178"/>
      <c r="C66" s="180">
        <v>20960</v>
      </c>
      <c r="D66" s="219">
        <v>29.2</v>
      </c>
      <c r="E66" s="180">
        <v>17284.664000000001</v>
      </c>
      <c r="F66" s="181">
        <v>410.33792335999999</v>
      </c>
    </row>
    <row r="67" spans="1:6" x14ac:dyDescent="0.25">
      <c r="A67" s="215">
        <v>41920</v>
      </c>
      <c r="B67" s="178">
        <v>0</v>
      </c>
      <c r="C67" s="180">
        <v>322020</v>
      </c>
      <c r="D67" s="219">
        <v>28.956250000000004</v>
      </c>
      <c r="E67" s="180">
        <v>266664.64199999999</v>
      </c>
      <c r="F67" s="181">
        <v>6397.0141382199999</v>
      </c>
    </row>
    <row r="68" spans="1:6" x14ac:dyDescent="0.25">
      <c r="A68" s="177" t="s">
        <v>123</v>
      </c>
      <c r="B68" s="178">
        <v>0</v>
      </c>
      <c r="C68" s="180">
        <v>83220</v>
      </c>
      <c r="D68" s="219">
        <v>29.866666666666671</v>
      </c>
      <c r="E68" s="180">
        <v>67919.885999999999</v>
      </c>
      <c r="F68" s="181">
        <v>1820.8044291599999</v>
      </c>
    </row>
    <row r="69" spans="1:6" x14ac:dyDescent="0.25">
      <c r="A69" s="179">
        <v>9947</v>
      </c>
      <c r="B69" s="178"/>
      <c r="C69" s="180">
        <v>27720</v>
      </c>
      <c r="D69" s="219">
        <v>28.6</v>
      </c>
      <c r="E69" s="180">
        <v>23029.775999999998</v>
      </c>
      <c r="F69" s="181">
        <v>588.64107455999988</v>
      </c>
    </row>
    <row r="70" spans="1:6" x14ac:dyDescent="0.25">
      <c r="A70" s="179">
        <v>9948</v>
      </c>
      <c r="B70" s="178"/>
      <c r="C70" s="180">
        <v>27800</v>
      </c>
      <c r="D70" s="219">
        <v>30.3</v>
      </c>
      <c r="E70" s="180">
        <v>22574.989999999998</v>
      </c>
      <c r="F70" s="181">
        <v>613.58822819999989</v>
      </c>
    </row>
    <row r="71" spans="1:6" x14ac:dyDescent="0.25">
      <c r="A71" s="179">
        <v>9949</v>
      </c>
      <c r="B71" s="178">
        <v>0</v>
      </c>
      <c r="C71" s="180">
        <v>27700</v>
      </c>
      <c r="D71" s="219">
        <v>30.7</v>
      </c>
      <c r="E71" s="180">
        <v>22315.119999999999</v>
      </c>
      <c r="F71" s="181">
        <v>618.57512639999993</v>
      </c>
    </row>
    <row r="72" spans="1:6" x14ac:dyDescent="0.25">
      <c r="A72" s="177" t="s">
        <v>75</v>
      </c>
      <c r="B72" s="178"/>
      <c r="C72" s="180">
        <v>54180</v>
      </c>
      <c r="D72" s="219">
        <v>29.324999999999999</v>
      </c>
      <c r="E72" s="180">
        <v>44710.041000000005</v>
      </c>
      <c r="F72" s="181">
        <v>1059.1594118799999</v>
      </c>
    </row>
    <row r="73" spans="1:6" x14ac:dyDescent="0.25">
      <c r="A73" s="179">
        <v>59</v>
      </c>
      <c r="B73" s="178"/>
      <c r="C73" s="180">
        <v>10120</v>
      </c>
      <c r="D73" s="219">
        <v>28.5</v>
      </c>
      <c r="E73" s="180">
        <v>8469.9340000000011</v>
      </c>
      <c r="F73" s="181">
        <v>192.69099850000001</v>
      </c>
    </row>
    <row r="74" spans="1:6" x14ac:dyDescent="0.25">
      <c r="A74" s="179">
        <v>60</v>
      </c>
      <c r="B74" s="178"/>
      <c r="C74" s="180">
        <v>13900</v>
      </c>
      <c r="D74" s="219">
        <v>29.5</v>
      </c>
      <c r="E74" s="180">
        <v>11462.635</v>
      </c>
      <c r="F74" s="181">
        <v>272.12295490000002</v>
      </c>
    </row>
    <row r="75" spans="1:6" x14ac:dyDescent="0.25">
      <c r="A75" s="179">
        <v>64</v>
      </c>
      <c r="B75" s="178"/>
      <c r="C75" s="180">
        <v>15280</v>
      </c>
      <c r="D75" s="219">
        <v>30</v>
      </c>
      <c r="E75" s="180">
        <v>12506.68</v>
      </c>
      <c r="F75" s="181">
        <v>303.03685639999998</v>
      </c>
    </row>
    <row r="76" spans="1:6" x14ac:dyDescent="0.25">
      <c r="A76" s="179">
        <v>77</v>
      </c>
      <c r="B76" s="178"/>
      <c r="C76" s="180">
        <v>14880</v>
      </c>
      <c r="D76" s="219">
        <v>29.3</v>
      </c>
      <c r="E76" s="180">
        <v>12270.791999999999</v>
      </c>
      <c r="F76" s="181">
        <v>291.30860207999996</v>
      </c>
    </row>
    <row r="77" spans="1:6" x14ac:dyDescent="0.25">
      <c r="A77" s="177" t="s">
        <v>125</v>
      </c>
      <c r="B77" s="178"/>
      <c r="C77" s="180">
        <v>184620</v>
      </c>
      <c r="D77" s="219">
        <v>28.488888888888887</v>
      </c>
      <c r="E77" s="180">
        <v>154034.715</v>
      </c>
      <c r="F77" s="181">
        <v>3517.0502971800001</v>
      </c>
    </row>
    <row r="78" spans="1:6" x14ac:dyDescent="0.25">
      <c r="A78" s="179">
        <v>61</v>
      </c>
      <c r="B78" s="178"/>
      <c r="C78" s="180">
        <v>19320</v>
      </c>
      <c r="D78" s="219">
        <v>29.9</v>
      </c>
      <c r="E78" s="180">
        <v>15813.42</v>
      </c>
      <c r="F78" s="181">
        <v>383.15916659999999</v>
      </c>
    </row>
    <row r="79" spans="1:6" x14ac:dyDescent="0.25">
      <c r="A79" s="179">
        <v>63</v>
      </c>
      <c r="B79" s="178"/>
      <c r="C79" s="180">
        <v>22020</v>
      </c>
      <c r="D79" s="219">
        <v>31.4</v>
      </c>
      <c r="E79" s="180">
        <v>17597.282999999999</v>
      </c>
      <c r="F79" s="181">
        <v>452.25017309999998</v>
      </c>
    </row>
    <row r="80" spans="1:6" x14ac:dyDescent="0.25">
      <c r="A80" s="179">
        <v>65</v>
      </c>
      <c r="B80" s="178"/>
      <c r="C80" s="180">
        <v>21820</v>
      </c>
      <c r="D80" s="219">
        <v>31.5</v>
      </c>
      <c r="E80" s="180">
        <v>17437.453000000001</v>
      </c>
      <c r="F80" s="181">
        <v>448.14254210000001</v>
      </c>
    </row>
    <row r="81" spans="1:6" x14ac:dyDescent="0.25">
      <c r="A81" s="179">
        <v>67</v>
      </c>
      <c r="B81" s="178"/>
      <c r="C81" s="180">
        <v>18540</v>
      </c>
      <c r="D81" s="219">
        <v>29.8</v>
      </c>
      <c r="E81" s="180">
        <v>15174.99</v>
      </c>
      <c r="F81" s="181">
        <v>367.69000770000002</v>
      </c>
    </row>
    <row r="82" spans="1:6" x14ac:dyDescent="0.25">
      <c r="A82" s="179">
        <v>69</v>
      </c>
      <c r="B82" s="178"/>
      <c r="C82" s="180">
        <v>21160</v>
      </c>
      <c r="D82" s="219">
        <v>29.7</v>
      </c>
      <c r="E82" s="180">
        <v>17319.46</v>
      </c>
      <c r="F82" s="181">
        <v>419.65051579999999</v>
      </c>
    </row>
    <row r="83" spans="1:6" x14ac:dyDescent="0.25">
      <c r="A83" s="179">
        <v>70</v>
      </c>
      <c r="B83" s="178"/>
      <c r="C83" s="180">
        <v>18800</v>
      </c>
      <c r="D83" s="219">
        <v>26.7</v>
      </c>
      <c r="E83" s="180">
        <v>16081.519999999999</v>
      </c>
      <c r="F83" s="181">
        <v>340.44577839999999</v>
      </c>
    </row>
    <row r="84" spans="1:6" x14ac:dyDescent="0.25">
      <c r="A84" s="179">
        <v>72</v>
      </c>
      <c r="B84" s="178"/>
      <c r="C84" s="180">
        <v>22060</v>
      </c>
      <c r="D84" s="219">
        <v>27</v>
      </c>
      <c r="E84" s="180">
        <v>18870.124</v>
      </c>
      <c r="F84" s="181">
        <v>399.48052508000006</v>
      </c>
    </row>
    <row r="85" spans="1:6" x14ac:dyDescent="0.25">
      <c r="A85" s="179">
        <v>75</v>
      </c>
      <c r="B85" s="178"/>
      <c r="C85" s="180">
        <v>18960</v>
      </c>
      <c r="D85" s="219">
        <v>25.3</v>
      </c>
      <c r="E85" s="180">
        <v>16568.196</v>
      </c>
      <c r="F85" s="181">
        <v>327.38755295999999</v>
      </c>
    </row>
    <row r="86" spans="1:6" x14ac:dyDescent="0.25">
      <c r="A86" s="179">
        <v>76</v>
      </c>
      <c r="B86" s="178"/>
      <c r="C86" s="180">
        <v>21940</v>
      </c>
      <c r="D86" s="219">
        <v>25.1</v>
      </c>
      <c r="E86" s="180">
        <v>19172.269</v>
      </c>
      <c r="F86" s="181">
        <v>378.84403544000003</v>
      </c>
    </row>
    <row r="87" spans="1:6" x14ac:dyDescent="0.25">
      <c r="A87" s="215">
        <v>41921</v>
      </c>
      <c r="B87" s="178"/>
      <c r="C87" s="180">
        <v>157840</v>
      </c>
      <c r="D87" s="219">
        <v>28.912499999999998</v>
      </c>
      <c r="E87" s="180">
        <v>130986.81400000001</v>
      </c>
      <c r="F87" s="181">
        <v>3044.7336316000001</v>
      </c>
    </row>
    <row r="88" spans="1:6" x14ac:dyDescent="0.25">
      <c r="A88" s="177" t="s">
        <v>125</v>
      </c>
      <c r="B88" s="178"/>
      <c r="C88" s="180">
        <v>157840</v>
      </c>
      <c r="D88" s="219">
        <v>28.912499999999998</v>
      </c>
      <c r="E88" s="180">
        <v>130986.81400000001</v>
      </c>
      <c r="F88" s="181">
        <v>3044.7336316000001</v>
      </c>
    </row>
    <row r="89" spans="1:6" x14ac:dyDescent="0.25">
      <c r="A89" s="179">
        <v>79</v>
      </c>
      <c r="B89" s="178"/>
      <c r="C89" s="180">
        <v>18840</v>
      </c>
      <c r="D89" s="219">
        <v>27.7</v>
      </c>
      <c r="E89" s="180">
        <v>15884.004000000001</v>
      </c>
      <c r="F89" s="181">
        <v>353.41908900000004</v>
      </c>
    </row>
    <row r="90" spans="1:6" x14ac:dyDescent="0.25">
      <c r="A90" s="179">
        <v>80</v>
      </c>
      <c r="B90" s="178"/>
      <c r="C90" s="180">
        <v>21900</v>
      </c>
      <c r="D90" s="219">
        <v>28</v>
      </c>
      <c r="E90" s="180">
        <v>18463.890000000003</v>
      </c>
      <c r="F90" s="181">
        <v>410.82155250000005</v>
      </c>
    </row>
    <row r="91" spans="1:6" x14ac:dyDescent="0.25">
      <c r="A91" s="179">
        <v>82</v>
      </c>
      <c r="B91" s="178"/>
      <c r="C91" s="180">
        <v>17940</v>
      </c>
      <c r="D91" s="219">
        <v>28.4</v>
      </c>
      <c r="E91" s="180">
        <v>15014.883000000002</v>
      </c>
      <c r="F91" s="181">
        <v>341.58858825000004</v>
      </c>
    </row>
    <row r="92" spans="1:6" x14ac:dyDescent="0.25">
      <c r="A92" s="179">
        <v>83</v>
      </c>
      <c r="B92" s="178"/>
      <c r="C92" s="180">
        <v>21300</v>
      </c>
      <c r="D92" s="219">
        <v>26.6</v>
      </c>
      <c r="E92" s="180">
        <v>18220.02</v>
      </c>
      <c r="F92" s="181">
        <v>385.71782340000004</v>
      </c>
    </row>
    <row r="93" spans="1:6" x14ac:dyDescent="0.25">
      <c r="A93" s="179">
        <v>84</v>
      </c>
      <c r="B93" s="178"/>
      <c r="C93" s="180">
        <v>18660</v>
      </c>
      <c r="D93" s="219">
        <v>28.5</v>
      </c>
      <c r="E93" s="180">
        <v>15617.487000000001</v>
      </c>
      <c r="F93" s="181">
        <v>355.29782925000001</v>
      </c>
    </row>
    <row r="94" spans="1:6" x14ac:dyDescent="0.25">
      <c r="A94" s="179">
        <v>85</v>
      </c>
      <c r="B94" s="178"/>
      <c r="C94" s="180">
        <v>22100</v>
      </c>
      <c r="D94" s="219">
        <v>31.1</v>
      </c>
      <c r="E94" s="180">
        <v>17661.215</v>
      </c>
      <c r="F94" s="181">
        <v>453.89322550000003</v>
      </c>
    </row>
    <row r="95" spans="1:6" x14ac:dyDescent="0.25">
      <c r="A95" s="179">
        <v>86</v>
      </c>
      <c r="B95" s="178"/>
      <c r="C95" s="180">
        <v>18700</v>
      </c>
      <c r="D95" s="219">
        <v>29.5</v>
      </c>
      <c r="E95" s="180">
        <v>15420.955</v>
      </c>
      <c r="F95" s="181">
        <v>366.09347170000001</v>
      </c>
    </row>
    <row r="96" spans="1:6" x14ac:dyDescent="0.25">
      <c r="A96" s="179">
        <v>87</v>
      </c>
      <c r="B96" s="178"/>
      <c r="C96" s="180">
        <v>18400</v>
      </c>
      <c r="D96" s="219">
        <v>31.5</v>
      </c>
      <c r="E96" s="180">
        <v>14704.36</v>
      </c>
      <c r="F96" s="181">
        <v>377.90205200000003</v>
      </c>
    </row>
    <row r="97" spans="1:6" x14ac:dyDescent="0.25">
      <c r="A97" s="176" t="s">
        <v>191</v>
      </c>
      <c r="B97" s="178"/>
      <c r="C97" s="180">
        <v>0</v>
      </c>
      <c r="E97" s="180">
        <v>0</v>
      </c>
      <c r="F97" s="181">
        <v>0</v>
      </c>
    </row>
    <row r="98" spans="1:6" x14ac:dyDescent="0.25">
      <c r="A98" s="177" t="s">
        <v>191</v>
      </c>
      <c r="B98" s="178"/>
      <c r="C98" s="180">
        <v>0</v>
      </c>
      <c r="E98" s="180">
        <v>0</v>
      </c>
      <c r="F98" s="181">
        <v>0</v>
      </c>
    </row>
    <row r="99" spans="1:6" x14ac:dyDescent="0.25">
      <c r="A99" s="179" t="s">
        <v>191</v>
      </c>
      <c r="B99" s="178"/>
      <c r="C99" s="180">
        <v>0</v>
      </c>
      <c r="E99" s="180">
        <v>0</v>
      </c>
      <c r="F99" s="181">
        <v>0</v>
      </c>
    </row>
    <row r="100" spans="1:6" x14ac:dyDescent="0.25">
      <c r="A100" s="176" t="s">
        <v>174</v>
      </c>
      <c r="B100" s="178">
        <v>59</v>
      </c>
      <c r="C100" s="180">
        <v>1210100</v>
      </c>
      <c r="D100" s="219">
        <v>28.946153846153841</v>
      </c>
      <c r="E100" s="180">
        <v>1001463.9799999997</v>
      </c>
      <c r="F100" s="181">
        <v>24250.861705989995</v>
      </c>
    </row>
    <row r="101" spans="1:6" x14ac:dyDescent="0.25">
      <c r="B101"/>
      <c r="C101"/>
      <c r="E101"/>
    </row>
    <row r="102" spans="1:6" x14ac:dyDescent="0.25">
      <c r="B102"/>
      <c r="C102"/>
      <c r="E102"/>
    </row>
    <row r="103" spans="1:6" x14ac:dyDescent="0.25">
      <c r="B103"/>
      <c r="C103"/>
      <c r="E103"/>
    </row>
    <row r="104" spans="1:6" x14ac:dyDescent="0.25">
      <c r="B104"/>
      <c r="C104"/>
      <c r="E104"/>
    </row>
    <row r="105" spans="1:6" x14ac:dyDescent="0.25">
      <c r="B105"/>
      <c r="C105"/>
      <c r="E105"/>
    </row>
    <row r="106" spans="1:6" x14ac:dyDescent="0.25">
      <c r="B106"/>
      <c r="C106"/>
      <c r="E106"/>
    </row>
    <row r="107" spans="1:6" x14ac:dyDescent="0.25">
      <c r="B107"/>
      <c r="C107"/>
      <c r="E107"/>
    </row>
    <row r="108" spans="1:6" x14ac:dyDescent="0.25">
      <c r="B108"/>
      <c r="C108"/>
      <c r="E108"/>
    </row>
    <row r="109" spans="1:6" x14ac:dyDescent="0.25">
      <c r="B109"/>
      <c r="C109"/>
      <c r="E109"/>
    </row>
    <row r="110" spans="1:6" x14ac:dyDescent="0.25">
      <c r="B110"/>
      <c r="C110"/>
      <c r="E110"/>
    </row>
    <row r="111" spans="1:6" x14ac:dyDescent="0.25">
      <c r="B111"/>
      <c r="C111"/>
      <c r="E111"/>
    </row>
    <row r="112" spans="1:6" x14ac:dyDescent="0.25">
      <c r="B112"/>
      <c r="C112"/>
      <c r="E112"/>
    </row>
    <row r="113" spans="2:5" x14ac:dyDescent="0.25">
      <c r="B113"/>
      <c r="C113"/>
      <c r="E113"/>
    </row>
    <row r="114" spans="2:5" x14ac:dyDescent="0.25">
      <c r="B114"/>
      <c r="C114"/>
      <c r="E114"/>
    </row>
    <row r="115" spans="2:5" x14ac:dyDescent="0.25">
      <c r="B115"/>
      <c r="C115"/>
      <c r="E115"/>
    </row>
    <row r="116" spans="2:5" x14ac:dyDescent="0.25">
      <c r="B116"/>
      <c r="C116"/>
      <c r="E116"/>
    </row>
    <row r="117" spans="2:5" x14ac:dyDescent="0.25">
      <c r="B117"/>
      <c r="C117"/>
      <c r="E117"/>
    </row>
    <row r="118" spans="2:5" x14ac:dyDescent="0.25">
      <c r="B118"/>
      <c r="C118"/>
      <c r="E118"/>
    </row>
    <row r="119" spans="2:5" x14ac:dyDescent="0.25">
      <c r="B119"/>
      <c r="C119"/>
      <c r="E119"/>
    </row>
    <row r="120" spans="2:5" x14ac:dyDescent="0.25">
      <c r="B120"/>
      <c r="C120"/>
      <c r="E120"/>
    </row>
    <row r="121" spans="2:5" x14ac:dyDescent="0.25">
      <c r="B121"/>
      <c r="C121"/>
      <c r="E121"/>
    </row>
    <row r="122" spans="2:5" x14ac:dyDescent="0.25">
      <c r="B122"/>
      <c r="C122"/>
      <c r="E122"/>
    </row>
    <row r="123" spans="2:5" x14ac:dyDescent="0.25">
      <c r="B123"/>
      <c r="C123"/>
      <c r="E123"/>
    </row>
    <row r="124" spans="2:5" x14ac:dyDescent="0.25">
      <c r="B124"/>
      <c r="C124"/>
      <c r="E124"/>
    </row>
    <row r="125" spans="2:5" x14ac:dyDescent="0.25">
      <c r="B125"/>
      <c r="C125"/>
      <c r="E125"/>
    </row>
    <row r="126" spans="2:5" x14ac:dyDescent="0.25">
      <c r="B126"/>
      <c r="C126"/>
      <c r="E126"/>
    </row>
    <row r="127" spans="2:5" x14ac:dyDescent="0.25">
      <c r="B127"/>
      <c r="C127"/>
      <c r="E127"/>
    </row>
    <row r="128" spans="2:5" x14ac:dyDescent="0.25">
      <c r="B128"/>
      <c r="C128"/>
      <c r="E128"/>
    </row>
    <row r="129" spans="2:5" x14ac:dyDescent="0.25">
      <c r="B129"/>
      <c r="C129"/>
      <c r="E129"/>
    </row>
    <row r="130" spans="2:5" x14ac:dyDescent="0.25">
      <c r="B130"/>
      <c r="C130"/>
      <c r="E130"/>
    </row>
    <row r="131" spans="2:5" x14ac:dyDescent="0.25">
      <c r="B131"/>
      <c r="C131"/>
      <c r="E131"/>
    </row>
    <row r="132" spans="2:5" x14ac:dyDescent="0.25">
      <c r="B132"/>
      <c r="C132"/>
      <c r="E132"/>
    </row>
    <row r="133" spans="2:5" x14ac:dyDescent="0.25">
      <c r="B133"/>
      <c r="C133"/>
      <c r="E133"/>
    </row>
    <row r="134" spans="2:5" x14ac:dyDescent="0.25">
      <c r="B134"/>
      <c r="C134"/>
      <c r="E134"/>
    </row>
    <row r="135" spans="2:5" x14ac:dyDescent="0.25">
      <c r="B135"/>
      <c r="C135"/>
      <c r="E135"/>
    </row>
    <row r="136" spans="2:5" x14ac:dyDescent="0.25">
      <c r="B136"/>
      <c r="C136"/>
      <c r="E136"/>
    </row>
    <row r="137" spans="2:5" x14ac:dyDescent="0.25">
      <c r="B137"/>
      <c r="C137"/>
      <c r="E137"/>
    </row>
    <row r="138" spans="2:5" x14ac:dyDescent="0.25">
      <c r="B138"/>
      <c r="C138"/>
      <c r="E138"/>
    </row>
    <row r="139" spans="2:5" x14ac:dyDescent="0.25">
      <c r="B139"/>
      <c r="C139"/>
      <c r="E139"/>
    </row>
    <row r="140" spans="2:5" x14ac:dyDescent="0.25">
      <c r="B140"/>
      <c r="C140"/>
      <c r="E140"/>
    </row>
    <row r="141" spans="2:5" x14ac:dyDescent="0.25">
      <c r="B141"/>
      <c r="C141"/>
      <c r="E141"/>
    </row>
    <row r="142" spans="2:5" x14ac:dyDescent="0.25">
      <c r="B142"/>
      <c r="C142"/>
      <c r="E142"/>
    </row>
    <row r="143" spans="2:5" x14ac:dyDescent="0.25">
      <c r="B143"/>
      <c r="C143"/>
      <c r="E143"/>
    </row>
    <row r="144" spans="2:5" x14ac:dyDescent="0.25">
      <c r="B144"/>
      <c r="C144"/>
      <c r="E144"/>
    </row>
    <row r="145" spans="2:5" x14ac:dyDescent="0.25">
      <c r="B145"/>
      <c r="C145"/>
      <c r="E145"/>
    </row>
    <row r="146" spans="2:5" x14ac:dyDescent="0.25">
      <c r="B146"/>
      <c r="C146"/>
      <c r="E146"/>
    </row>
    <row r="147" spans="2:5" x14ac:dyDescent="0.25">
      <c r="B147"/>
      <c r="C147"/>
      <c r="E147"/>
    </row>
    <row r="148" spans="2:5" x14ac:dyDescent="0.25">
      <c r="B148"/>
      <c r="C148"/>
      <c r="E148"/>
    </row>
    <row r="149" spans="2:5" x14ac:dyDescent="0.25">
      <c r="B149"/>
      <c r="C149"/>
      <c r="E149"/>
    </row>
    <row r="150" spans="2:5" x14ac:dyDescent="0.25">
      <c r="B150"/>
      <c r="C150"/>
      <c r="E150"/>
    </row>
    <row r="151" spans="2:5" x14ac:dyDescent="0.25">
      <c r="B151"/>
      <c r="C151"/>
      <c r="E151"/>
    </row>
    <row r="152" spans="2:5" x14ac:dyDescent="0.25">
      <c r="B152"/>
      <c r="C152"/>
      <c r="E152"/>
    </row>
    <row r="153" spans="2:5" x14ac:dyDescent="0.25">
      <c r="B153"/>
      <c r="C153"/>
      <c r="E153"/>
    </row>
    <row r="154" spans="2:5" x14ac:dyDescent="0.25">
      <c r="B154"/>
      <c r="C154"/>
      <c r="E154"/>
    </row>
    <row r="155" spans="2:5" x14ac:dyDescent="0.25">
      <c r="B155"/>
      <c r="C155"/>
      <c r="E155"/>
    </row>
    <row r="156" spans="2:5" x14ac:dyDescent="0.25">
      <c r="B156"/>
      <c r="C156"/>
      <c r="E156"/>
    </row>
    <row r="157" spans="2:5" x14ac:dyDescent="0.25">
      <c r="B157"/>
      <c r="C157"/>
      <c r="E157"/>
    </row>
    <row r="158" spans="2:5" x14ac:dyDescent="0.25">
      <c r="B158"/>
      <c r="C158"/>
      <c r="E158"/>
    </row>
    <row r="159" spans="2:5" x14ac:dyDescent="0.25">
      <c r="B159"/>
      <c r="C159"/>
      <c r="E159"/>
    </row>
    <row r="160" spans="2:5" x14ac:dyDescent="0.25">
      <c r="B160"/>
      <c r="C160"/>
      <c r="E160"/>
    </row>
    <row r="161" spans="2:5" x14ac:dyDescent="0.25">
      <c r="B161"/>
      <c r="C161"/>
      <c r="E161"/>
    </row>
    <row r="162" spans="2:5" x14ac:dyDescent="0.25">
      <c r="B162"/>
      <c r="C162"/>
      <c r="E162"/>
    </row>
    <row r="163" spans="2:5" x14ac:dyDescent="0.25">
      <c r="B163"/>
      <c r="C163"/>
      <c r="E163"/>
    </row>
    <row r="164" spans="2:5" x14ac:dyDescent="0.25">
      <c r="B164"/>
      <c r="C164"/>
      <c r="E164"/>
    </row>
    <row r="165" spans="2:5" x14ac:dyDescent="0.25">
      <c r="B165"/>
      <c r="C165"/>
      <c r="E165"/>
    </row>
    <row r="166" spans="2:5" x14ac:dyDescent="0.25">
      <c r="B166"/>
      <c r="C166"/>
      <c r="E166"/>
    </row>
    <row r="167" spans="2:5" x14ac:dyDescent="0.25">
      <c r="B167"/>
      <c r="C167"/>
      <c r="E167"/>
    </row>
    <row r="168" spans="2:5" x14ac:dyDescent="0.25">
      <c r="B168"/>
      <c r="C168"/>
      <c r="E168"/>
    </row>
    <row r="169" spans="2:5" x14ac:dyDescent="0.25">
      <c r="B169"/>
      <c r="C169"/>
      <c r="E169"/>
    </row>
    <row r="170" spans="2:5" x14ac:dyDescent="0.25">
      <c r="B170"/>
      <c r="C170"/>
      <c r="E170"/>
    </row>
    <row r="171" spans="2:5" x14ac:dyDescent="0.25">
      <c r="B171"/>
      <c r="C171"/>
      <c r="E171"/>
    </row>
    <row r="172" spans="2:5" x14ac:dyDescent="0.25">
      <c r="B172"/>
      <c r="C172"/>
      <c r="E172"/>
    </row>
    <row r="173" spans="2:5" x14ac:dyDescent="0.25">
      <c r="B173"/>
      <c r="C173"/>
      <c r="E173"/>
    </row>
    <row r="174" spans="2:5" x14ac:dyDescent="0.25">
      <c r="B174"/>
      <c r="C174"/>
      <c r="E174"/>
    </row>
    <row r="175" spans="2:5" x14ac:dyDescent="0.25">
      <c r="B175"/>
      <c r="C175"/>
      <c r="E175"/>
    </row>
    <row r="176" spans="2:5" x14ac:dyDescent="0.25">
      <c r="B176"/>
      <c r="C176"/>
      <c r="E176"/>
    </row>
    <row r="177" spans="2:5" x14ac:dyDescent="0.25">
      <c r="B177"/>
      <c r="C177"/>
      <c r="E177"/>
    </row>
    <row r="178" spans="2:5" x14ac:dyDescent="0.25">
      <c r="B178"/>
      <c r="C178"/>
      <c r="E178"/>
    </row>
    <row r="179" spans="2:5" x14ac:dyDescent="0.25">
      <c r="B179"/>
      <c r="C179"/>
      <c r="E179"/>
    </row>
    <row r="180" spans="2:5" x14ac:dyDescent="0.25">
      <c r="B180"/>
      <c r="C180"/>
      <c r="E180"/>
    </row>
    <row r="181" spans="2:5" x14ac:dyDescent="0.25">
      <c r="B181"/>
      <c r="C181"/>
      <c r="E181"/>
    </row>
    <row r="182" spans="2:5" x14ac:dyDescent="0.25">
      <c r="B182"/>
      <c r="C182"/>
      <c r="E182"/>
    </row>
    <row r="183" spans="2:5" x14ac:dyDescent="0.25">
      <c r="B183"/>
      <c r="C183"/>
      <c r="E183"/>
    </row>
    <row r="184" spans="2:5" x14ac:dyDescent="0.25">
      <c r="B184"/>
      <c r="C184"/>
      <c r="E184"/>
    </row>
    <row r="185" spans="2:5" x14ac:dyDescent="0.25">
      <c r="B185"/>
      <c r="C185"/>
      <c r="E185"/>
    </row>
    <row r="186" spans="2:5" x14ac:dyDescent="0.25">
      <c r="B186"/>
      <c r="C186"/>
      <c r="E186"/>
    </row>
    <row r="187" spans="2:5" x14ac:dyDescent="0.25">
      <c r="B187"/>
      <c r="C187"/>
      <c r="E187"/>
    </row>
    <row r="188" spans="2:5" x14ac:dyDescent="0.25">
      <c r="B188"/>
      <c r="C188"/>
      <c r="E188"/>
    </row>
    <row r="189" spans="2:5" x14ac:dyDescent="0.25">
      <c r="B189"/>
      <c r="C189"/>
      <c r="E189"/>
    </row>
    <row r="190" spans="2:5" x14ac:dyDescent="0.25">
      <c r="B190"/>
      <c r="C190"/>
      <c r="E190"/>
    </row>
    <row r="191" spans="2:5" x14ac:dyDescent="0.25">
      <c r="B191"/>
      <c r="C191"/>
      <c r="E191"/>
    </row>
    <row r="192" spans="2:5" x14ac:dyDescent="0.25">
      <c r="B192"/>
      <c r="C192"/>
      <c r="E192"/>
    </row>
    <row r="193" spans="2:5" x14ac:dyDescent="0.25">
      <c r="B193"/>
      <c r="C193"/>
      <c r="E193"/>
    </row>
    <row r="194" spans="2:5" x14ac:dyDescent="0.25">
      <c r="B194"/>
      <c r="C194"/>
      <c r="E194"/>
    </row>
    <row r="195" spans="2:5" x14ac:dyDescent="0.25">
      <c r="B195"/>
      <c r="C195"/>
      <c r="E195"/>
    </row>
    <row r="196" spans="2:5" x14ac:dyDescent="0.25">
      <c r="B196"/>
      <c r="C196"/>
      <c r="E196"/>
    </row>
    <row r="197" spans="2:5" x14ac:dyDescent="0.25">
      <c r="B197"/>
      <c r="C197"/>
      <c r="E197"/>
    </row>
    <row r="198" spans="2:5" x14ac:dyDescent="0.25">
      <c r="B198"/>
      <c r="C198"/>
      <c r="E198"/>
    </row>
    <row r="199" spans="2:5" x14ac:dyDescent="0.25">
      <c r="B199"/>
      <c r="C199"/>
      <c r="E199"/>
    </row>
    <row r="200" spans="2:5" x14ac:dyDescent="0.25">
      <c r="B200"/>
      <c r="C200"/>
      <c r="E200"/>
    </row>
    <row r="201" spans="2:5" x14ac:dyDescent="0.25">
      <c r="B201"/>
      <c r="C201"/>
      <c r="E201"/>
    </row>
    <row r="202" spans="2:5" x14ac:dyDescent="0.25">
      <c r="B202"/>
      <c r="C202"/>
      <c r="E202"/>
    </row>
    <row r="203" spans="2:5" x14ac:dyDescent="0.25">
      <c r="B203"/>
      <c r="C203"/>
      <c r="E203"/>
    </row>
    <row r="204" spans="2:5" x14ac:dyDescent="0.25">
      <c r="B204"/>
      <c r="C204"/>
      <c r="E204"/>
    </row>
    <row r="205" spans="2:5" x14ac:dyDescent="0.25">
      <c r="B205"/>
      <c r="C205"/>
      <c r="E205"/>
    </row>
    <row r="206" spans="2:5" x14ac:dyDescent="0.25">
      <c r="B206"/>
      <c r="C206"/>
      <c r="E206"/>
    </row>
    <row r="207" spans="2:5" x14ac:dyDescent="0.25">
      <c r="B207"/>
      <c r="C207"/>
      <c r="E207"/>
    </row>
    <row r="208" spans="2:5" x14ac:dyDescent="0.25">
      <c r="B208"/>
      <c r="C208"/>
      <c r="E208"/>
    </row>
    <row r="209" spans="2:5" x14ac:dyDescent="0.25">
      <c r="B209"/>
      <c r="C209"/>
      <c r="E209"/>
    </row>
    <row r="210" spans="2:5" x14ac:dyDescent="0.25">
      <c r="B210"/>
      <c r="C210"/>
      <c r="E210"/>
    </row>
    <row r="211" spans="2:5" x14ac:dyDescent="0.25">
      <c r="B211"/>
      <c r="C211"/>
      <c r="E211"/>
    </row>
    <row r="212" spans="2:5" x14ac:dyDescent="0.25">
      <c r="B212"/>
      <c r="C212"/>
      <c r="E212"/>
    </row>
    <row r="213" spans="2:5" x14ac:dyDescent="0.25">
      <c r="B213"/>
      <c r="C213"/>
      <c r="E213"/>
    </row>
    <row r="214" spans="2:5" x14ac:dyDescent="0.25">
      <c r="B214"/>
      <c r="C214"/>
      <c r="E214"/>
    </row>
    <row r="215" spans="2:5" x14ac:dyDescent="0.25">
      <c r="B215"/>
      <c r="C215"/>
      <c r="E215"/>
    </row>
    <row r="216" spans="2:5" x14ac:dyDescent="0.25">
      <c r="B216"/>
      <c r="C216"/>
      <c r="E216"/>
    </row>
    <row r="217" spans="2:5" x14ac:dyDescent="0.25">
      <c r="B217"/>
      <c r="C217"/>
      <c r="E217"/>
    </row>
    <row r="218" spans="2:5" x14ac:dyDescent="0.25">
      <c r="B218"/>
      <c r="C218"/>
      <c r="E218"/>
    </row>
    <row r="219" spans="2:5" x14ac:dyDescent="0.25">
      <c r="B219"/>
      <c r="C219"/>
      <c r="E219"/>
    </row>
    <row r="220" spans="2:5" x14ac:dyDescent="0.25">
      <c r="B220"/>
      <c r="C220"/>
      <c r="E220"/>
    </row>
    <row r="221" spans="2:5" x14ac:dyDescent="0.25">
      <c r="B221"/>
      <c r="C221"/>
      <c r="E221"/>
    </row>
    <row r="222" spans="2:5" x14ac:dyDescent="0.25">
      <c r="B222"/>
      <c r="C222"/>
      <c r="E222"/>
    </row>
    <row r="223" spans="2:5" x14ac:dyDescent="0.25">
      <c r="B223"/>
      <c r="C223"/>
      <c r="E223"/>
    </row>
    <row r="224" spans="2:5" x14ac:dyDescent="0.25">
      <c r="B224"/>
      <c r="C224"/>
      <c r="E224"/>
    </row>
    <row r="225" spans="2:5" x14ac:dyDescent="0.25">
      <c r="B225"/>
      <c r="C225"/>
      <c r="E225"/>
    </row>
    <row r="226" spans="2:5" x14ac:dyDescent="0.25">
      <c r="B226"/>
      <c r="C226"/>
      <c r="E226"/>
    </row>
    <row r="227" spans="2:5" x14ac:dyDescent="0.25">
      <c r="B227"/>
      <c r="C227"/>
      <c r="E227"/>
    </row>
    <row r="228" spans="2:5" x14ac:dyDescent="0.25">
      <c r="B228"/>
      <c r="C228"/>
      <c r="E228"/>
    </row>
    <row r="229" spans="2:5" x14ac:dyDescent="0.25">
      <c r="B229"/>
      <c r="C229"/>
      <c r="E229"/>
    </row>
    <row r="230" spans="2:5" x14ac:dyDescent="0.25">
      <c r="B230"/>
      <c r="C230"/>
      <c r="E230"/>
    </row>
    <row r="231" spans="2:5" x14ac:dyDescent="0.25">
      <c r="B231"/>
      <c r="C231"/>
      <c r="E231"/>
    </row>
    <row r="232" spans="2:5" x14ac:dyDescent="0.25">
      <c r="B232"/>
      <c r="C232"/>
      <c r="E232"/>
    </row>
    <row r="233" spans="2:5" x14ac:dyDescent="0.25">
      <c r="B233"/>
      <c r="C233"/>
      <c r="E233"/>
    </row>
    <row r="234" spans="2:5" x14ac:dyDescent="0.25">
      <c r="B234"/>
      <c r="C234"/>
      <c r="E234"/>
    </row>
    <row r="235" spans="2:5" x14ac:dyDescent="0.25">
      <c r="B235"/>
      <c r="C235"/>
      <c r="E235"/>
    </row>
    <row r="236" spans="2:5" x14ac:dyDescent="0.25">
      <c r="B236"/>
      <c r="C236"/>
      <c r="E236"/>
    </row>
    <row r="237" spans="2:5" x14ac:dyDescent="0.25">
      <c r="B237"/>
      <c r="C237"/>
      <c r="E237"/>
    </row>
    <row r="238" spans="2:5" x14ac:dyDescent="0.25">
      <c r="B238"/>
      <c r="C238"/>
      <c r="E238"/>
    </row>
    <row r="239" spans="2:5" x14ac:dyDescent="0.25">
      <c r="B239"/>
      <c r="C239"/>
      <c r="E239"/>
    </row>
    <row r="240" spans="2:5" x14ac:dyDescent="0.25">
      <c r="B240"/>
      <c r="C240"/>
      <c r="E240"/>
    </row>
    <row r="241" spans="2:5" x14ac:dyDescent="0.25">
      <c r="B241"/>
      <c r="C241"/>
      <c r="E241"/>
    </row>
    <row r="242" spans="2:5" x14ac:dyDescent="0.25">
      <c r="B242"/>
      <c r="C242"/>
      <c r="E242"/>
    </row>
    <row r="243" spans="2:5" x14ac:dyDescent="0.25">
      <c r="B243"/>
      <c r="C243"/>
      <c r="E243"/>
    </row>
    <row r="244" spans="2:5" x14ac:dyDescent="0.25">
      <c r="B244"/>
      <c r="C244"/>
      <c r="E244"/>
    </row>
    <row r="245" spans="2:5" x14ac:dyDescent="0.25">
      <c r="B245"/>
      <c r="C245"/>
      <c r="E245"/>
    </row>
    <row r="246" spans="2:5" x14ac:dyDescent="0.25">
      <c r="B246"/>
      <c r="C246"/>
      <c r="E246"/>
    </row>
    <row r="247" spans="2:5" x14ac:dyDescent="0.25">
      <c r="B247"/>
      <c r="C247"/>
      <c r="E247"/>
    </row>
    <row r="248" spans="2:5" x14ac:dyDescent="0.25">
      <c r="B248"/>
      <c r="C248"/>
      <c r="E248"/>
    </row>
    <row r="249" spans="2:5" x14ac:dyDescent="0.25">
      <c r="B249"/>
      <c r="C249"/>
      <c r="E249"/>
    </row>
    <row r="250" spans="2:5" x14ac:dyDescent="0.25">
      <c r="B250"/>
      <c r="C250"/>
      <c r="E250"/>
    </row>
    <row r="251" spans="2:5" x14ac:dyDescent="0.25">
      <c r="B251"/>
      <c r="C251"/>
      <c r="E251"/>
    </row>
    <row r="252" spans="2:5" x14ac:dyDescent="0.25">
      <c r="B252"/>
      <c r="C252"/>
      <c r="E252"/>
    </row>
    <row r="253" spans="2:5" x14ac:dyDescent="0.25">
      <c r="B253"/>
      <c r="C253"/>
      <c r="E253"/>
    </row>
    <row r="254" spans="2:5" x14ac:dyDescent="0.25">
      <c r="B254"/>
      <c r="C254"/>
      <c r="E254"/>
    </row>
    <row r="255" spans="2:5" x14ac:dyDescent="0.25">
      <c r="B255"/>
      <c r="C255"/>
      <c r="E255"/>
    </row>
    <row r="256" spans="2:5" x14ac:dyDescent="0.25">
      <c r="B256"/>
      <c r="C256"/>
      <c r="E256"/>
    </row>
    <row r="257" spans="2:5" x14ac:dyDescent="0.25">
      <c r="B257"/>
      <c r="C257"/>
      <c r="E257"/>
    </row>
    <row r="258" spans="2:5" x14ac:dyDescent="0.25">
      <c r="B258"/>
      <c r="C258"/>
      <c r="E258"/>
    </row>
    <row r="259" spans="2:5" x14ac:dyDescent="0.25">
      <c r="B259"/>
      <c r="C259"/>
      <c r="E259"/>
    </row>
    <row r="260" spans="2:5" x14ac:dyDescent="0.25">
      <c r="B260"/>
      <c r="C260"/>
      <c r="E260"/>
    </row>
    <row r="261" spans="2:5" x14ac:dyDescent="0.25">
      <c r="B261"/>
      <c r="C261"/>
      <c r="E261"/>
    </row>
    <row r="262" spans="2:5" x14ac:dyDescent="0.25">
      <c r="B262"/>
      <c r="C262"/>
      <c r="E262"/>
    </row>
    <row r="263" spans="2:5" x14ac:dyDescent="0.25">
      <c r="B263"/>
      <c r="C263"/>
      <c r="E263"/>
    </row>
    <row r="264" spans="2:5" x14ac:dyDescent="0.25">
      <c r="B264"/>
      <c r="C264"/>
      <c r="E264"/>
    </row>
    <row r="265" spans="2:5" x14ac:dyDescent="0.25">
      <c r="B265"/>
      <c r="C265"/>
      <c r="E265"/>
    </row>
    <row r="266" spans="2:5" x14ac:dyDescent="0.25">
      <c r="B266"/>
      <c r="C266"/>
      <c r="E266"/>
    </row>
    <row r="267" spans="2:5" x14ac:dyDescent="0.25">
      <c r="B267"/>
      <c r="C267"/>
      <c r="E267"/>
    </row>
    <row r="268" spans="2:5" x14ac:dyDescent="0.25">
      <c r="B268"/>
      <c r="C268"/>
      <c r="E268"/>
    </row>
    <row r="269" spans="2:5" x14ac:dyDescent="0.25">
      <c r="B269"/>
      <c r="C269"/>
      <c r="E269"/>
    </row>
    <row r="270" spans="2:5" x14ac:dyDescent="0.25">
      <c r="B270"/>
      <c r="C270"/>
      <c r="E270"/>
    </row>
    <row r="271" spans="2:5" x14ac:dyDescent="0.25">
      <c r="B271"/>
      <c r="C271"/>
      <c r="E271"/>
    </row>
    <row r="272" spans="2:5" x14ac:dyDescent="0.25">
      <c r="B272"/>
      <c r="C272"/>
      <c r="E272"/>
    </row>
    <row r="273" spans="2:5" x14ac:dyDescent="0.25">
      <c r="B273"/>
      <c r="C273"/>
      <c r="E273"/>
    </row>
    <row r="274" spans="2:5" x14ac:dyDescent="0.25">
      <c r="B274"/>
      <c r="C274"/>
      <c r="E274"/>
    </row>
    <row r="275" spans="2:5" x14ac:dyDescent="0.25">
      <c r="B275"/>
      <c r="C275"/>
      <c r="E275"/>
    </row>
    <row r="276" spans="2:5" x14ac:dyDescent="0.25">
      <c r="B276"/>
      <c r="C276"/>
      <c r="E276"/>
    </row>
    <row r="277" spans="2:5" x14ac:dyDescent="0.25">
      <c r="B277"/>
      <c r="C277"/>
      <c r="E277"/>
    </row>
    <row r="278" spans="2:5" x14ac:dyDescent="0.25">
      <c r="B278"/>
      <c r="C278"/>
      <c r="E278"/>
    </row>
    <row r="279" spans="2:5" x14ac:dyDescent="0.25">
      <c r="B279"/>
      <c r="C279"/>
      <c r="E279"/>
    </row>
    <row r="280" spans="2:5" x14ac:dyDescent="0.25">
      <c r="B280"/>
      <c r="C280"/>
      <c r="E280"/>
    </row>
    <row r="281" spans="2:5" x14ac:dyDescent="0.25">
      <c r="B281"/>
      <c r="C281"/>
      <c r="E281"/>
    </row>
    <row r="282" spans="2:5" x14ac:dyDescent="0.25">
      <c r="B282"/>
      <c r="C282"/>
      <c r="E282"/>
    </row>
    <row r="283" spans="2:5" x14ac:dyDescent="0.25">
      <c r="B283"/>
      <c r="C283"/>
      <c r="E283"/>
    </row>
    <row r="284" spans="2:5" x14ac:dyDescent="0.25">
      <c r="B284"/>
      <c r="C284"/>
      <c r="E284"/>
    </row>
    <row r="285" spans="2:5" x14ac:dyDescent="0.25">
      <c r="B285"/>
      <c r="C285"/>
      <c r="E285"/>
    </row>
    <row r="286" spans="2:5" x14ac:dyDescent="0.25">
      <c r="B286"/>
      <c r="C286"/>
      <c r="E286"/>
    </row>
    <row r="287" spans="2:5" x14ac:dyDescent="0.25">
      <c r="B287"/>
      <c r="C287"/>
      <c r="E287"/>
    </row>
    <row r="288" spans="2:5" x14ac:dyDescent="0.25">
      <c r="B288"/>
      <c r="C288"/>
      <c r="E288"/>
    </row>
    <row r="289" spans="2:5" x14ac:dyDescent="0.25">
      <c r="B289"/>
      <c r="C289"/>
      <c r="E289"/>
    </row>
    <row r="290" spans="2:5" x14ac:dyDescent="0.25">
      <c r="B290"/>
      <c r="C290"/>
      <c r="E290"/>
    </row>
    <row r="291" spans="2:5" x14ac:dyDescent="0.25">
      <c r="B291"/>
      <c r="C291"/>
      <c r="E291"/>
    </row>
    <row r="292" spans="2:5" x14ac:dyDescent="0.25">
      <c r="B292"/>
      <c r="C292"/>
      <c r="E292"/>
    </row>
    <row r="293" spans="2:5" x14ac:dyDescent="0.25">
      <c r="B293"/>
      <c r="C293"/>
      <c r="E293"/>
    </row>
    <row r="294" spans="2:5" x14ac:dyDescent="0.25">
      <c r="B294"/>
      <c r="C294"/>
      <c r="E294"/>
    </row>
    <row r="295" spans="2:5" x14ac:dyDescent="0.25">
      <c r="B295"/>
      <c r="C295"/>
      <c r="E295"/>
    </row>
    <row r="296" spans="2:5" x14ac:dyDescent="0.25">
      <c r="B296"/>
      <c r="C296"/>
      <c r="E296"/>
    </row>
    <row r="297" spans="2:5" x14ac:dyDescent="0.25">
      <c r="B297"/>
      <c r="C297"/>
      <c r="E297"/>
    </row>
    <row r="298" spans="2:5" x14ac:dyDescent="0.25">
      <c r="B298"/>
      <c r="C298"/>
      <c r="E298"/>
    </row>
    <row r="299" spans="2:5" x14ac:dyDescent="0.25">
      <c r="B299"/>
      <c r="C299"/>
      <c r="E299"/>
    </row>
    <row r="300" spans="2:5" x14ac:dyDescent="0.25">
      <c r="B300"/>
      <c r="C300"/>
      <c r="E300"/>
    </row>
    <row r="301" spans="2:5" x14ac:dyDescent="0.25">
      <c r="B301"/>
      <c r="C301"/>
      <c r="E301"/>
    </row>
    <row r="302" spans="2:5" x14ac:dyDescent="0.25">
      <c r="B302"/>
      <c r="C302"/>
      <c r="E302"/>
    </row>
    <row r="303" spans="2:5" x14ac:dyDescent="0.25">
      <c r="B303"/>
      <c r="C303"/>
      <c r="E303"/>
    </row>
    <row r="304" spans="2:5" x14ac:dyDescent="0.25">
      <c r="B304"/>
      <c r="C304"/>
      <c r="E304"/>
    </row>
    <row r="305" spans="2:5" x14ac:dyDescent="0.25">
      <c r="B305"/>
      <c r="C305"/>
      <c r="E305"/>
    </row>
    <row r="306" spans="2:5" x14ac:dyDescent="0.25">
      <c r="B306"/>
      <c r="C306"/>
      <c r="E306"/>
    </row>
    <row r="307" spans="2:5" x14ac:dyDescent="0.25">
      <c r="B307"/>
      <c r="C307"/>
      <c r="E307"/>
    </row>
    <row r="308" spans="2:5" x14ac:dyDescent="0.25">
      <c r="B308"/>
      <c r="C308"/>
      <c r="E308"/>
    </row>
    <row r="309" spans="2:5" x14ac:dyDescent="0.25">
      <c r="B309"/>
      <c r="C309"/>
      <c r="E309"/>
    </row>
    <row r="310" spans="2:5" x14ac:dyDescent="0.25">
      <c r="B310"/>
      <c r="C310"/>
      <c r="E310"/>
    </row>
    <row r="311" spans="2:5" x14ac:dyDescent="0.25">
      <c r="B311"/>
      <c r="C311"/>
      <c r="E311"/>
    </row>
    <row r="312" spans="2:5" x14ac:dyDescent="0.25">
      <c r="B312"/>
      <c r="C312"/>
      <c r="E312"/>
    </row>
    <row r="313" spans="2:5" x14ac:dyDescent="0.25">
      <c r="B313"/>
      <c r="C313"/>
      <c r="E313"/>
    </row>
    <row r="314" spans="2:5" x14ac:dyDescent="0.25">
      <c r="B314"/>
      <c r="C314"/>
      <c r="E314"/>
    </row>
    <row r="315" spans="2:5" x14ac:dyDescent="0.25">
      <c r="B315"/>
      <c r="C315"/>
      <c r="E315"/>
    </row>
    <row r="316" spans="2:5" x14ac:dyDescent="0.25">
      <c r="B316"/>
      <c r="C316"/>
      <c r="E316"/>
    </row>
    <row r="317" spans="2:5" x14ac:dyDescent="0.25">
      <c r="B317"/>
      <c r="C317"/>
      <c r="E317"/>
    </row>
    <row r="318" spans="2:5" x14ac:dyDescent="0.25">
      <c r="B318"/>
      <c r="C318"/>
      <c r="E318"/>
    </row>
    <row r="319" spans="2:5" x14ac:dyDescent="0.25">
      <c r="B319"/>
      <c r="C319"/>
      <c r="E319"/>
    </row>
    <row r="320" spans="2:5" x14ac:dyDescent="0.25">
      <c r="B320"/>
      <c r="C320"/>
      <c r="E320"/>
    </row>
    <row r="321" spans="2:5" x14ac:dyDescent="0.25">
      <c r="B321"/>
      <c r="C321"/>
      <c r="E321"/>
    </row>
    <row r="322" spans="2:5" x14ac:dyDescent="0.25">
      <c r="B322"/>
      <c r="C322"/>
      <c r="E322"/>
    </row>
    <row r="323" spans="2:5" x14ac:dyDescent="0.25">
      <c r="B323"/>
      <c r="C323"/>
      <c r="E323"/>
    </row>
    <row r="324" spans="2:5" x14ac:dyDescent="0.25">
      <c r="B324"/>
      <c r="C324"/>
      <c r="E324"/>
    </row>
    <row r="325" spans="2:5" x14ac:dyDescent="0.25">
      <c r="B325"/>
      <c r="C325"/>
      <c r="E325"/>
    </row>
    <row r="326" spans="2:5" x14ac:dyDescent="0.25">
      <c r="B326"/>
      <c r="C326"/>
      <c r="E326"/>
    </row>
    <row r="327" spans="2:5" x14ac:dyDescent="0.25">
      <c r="B327"/>
      <c r="C327"/>
      <c r="E327"/>
    </row>
    <row r="328" spans="2:5" x14ac:dyDescent="0.25">
      <c r="B328"/>
      <c r="C328"/>
      <c r="E328"/>
    </row>
    <row r="329" spans="2:5" x14ac:dyDescent="0.25">
      <c r="B329"/>
      <c r="C329"/>
      <c r="E329"/>
    </row>
    <row r="330" spans="2:5" x14ac:dyDescent="0.25">
      <c r="B330"/>
      <c r="C330"/>
      <c r="E330"/>
    </row>
    <row r="331" spans="2:5" x14ac:dyDescent="0.25">
      <c r="B331"/>
      <c r="C331"/>
      <c r="E331"/>
    </row>
    <row r="332" spans="2:5" x14ac:dyDescent="0.25">
      <c r="B332"/>
      <c r="C332"/>
      <c r="E332"/>
    </row>
    <row r="333" spans="2:5" x14ac:dyDescent="0.25">
      <c r="B333"/>
      <c r="C333"/>
      <c r="E333"/>
    </row>
    <row r="334" spans="2:5" x14ac:dyDescent="0.25">
      <c r="B334"/>
      <c r="C334"/>
      <c r="E334"/>
    </row>
    <row r="335" spans="2:5" x14ac:dyDescent="0.25">
      <c r="B335"/>
      <c r="C335"/>
      <c r="E335"/>
    </row>
    <row r="336" spans="2:5" x14ac:dyDescent="0.25">
      <c r="B336"/>
      <c r="C336"/>
      <c r="E336"/>
    </row>
    <row r="337" spans="2:5" x14ac:dyDescent="0.25">
      <c r="B337"/>
      <c r="C337"/>
      <c r="E337"/>
    </row>
    <row r="338" spans="2:5" x14ac:dyDescent="0.25">
      <c r="B338"/>
      <c r="C338"/>
      <c r="E338"/>
    </row>
    <row r="339" spans="2:5" x14ac:dyDescent="0.25">
      <c r="B339"/>
      <c r="C339"/>
      <c r="E339"/>
    </row>
    <row r="340" spans="2:5" x14ac:dyDescent="0.25">
      <c r="B340"/>
      <c r="C340"/>
      <c r="E340"/>
    </row>
    <row r="341" spans="2:5" x14ac:dyDescent="0.25">
      <c r="B341"/>
      <c r="C341"/>
      <c r="E341"/>
    </row>
    <row r="342" spans="2:5" x14ac:dyDescent="0.25">
      <c r="B342"/>
      <c r="C342"/>
      <c r="E342"/>
    </row>
    <row r="343" spans="2:5" x14ac:dyDescent="0.25">
      <c r="B343"/>
      <c r="C343"/>
      <c r="E343"/>
    </row>
    <row r="344" spans="2:5" x14ac:dyDescent="0.25">
      <c r="B344"/>
      <c r="C344"/>
      <c r="E344"/>
    </row>
    <row r="345" spans="2:5" x14ac:dyDescent="0.25">
      <c r="B345"/>
      <c r="C345"/>
      <c r="E345"/>
    </row>
    <row r="346" spans="2:5" x14ac:dyDescent="0.25">
      <c r="B346"/>
      <c r="C346"/>
      <c r="E346"/>
    </row>
    <row r="347" spans="2:5" x14ac:dyDescent="0.25">
      <c r="B347"/>
      <c r="C347"/>
      <c r="E347"/>
    </row>
    <row r="348" spans="2:5" x14ac:dyDescent="0.25">
      <c r="B348"/>
      <c r="C348"/>
      <c r="E348"/>
    </row>
    <row r="349" spans="2:5" x14ac:dyDescent="0.25">
      <c r="B349"/>
      <c r="C349"/>
      <c r="E349"/>
    </row>
    <row r="350" spans="2:5" x14ac:dyDescent="0.25">
      <c r="B350"/>
      <c r="C350"/>
      <c r="E350"/>
    </row>
    <row r="351" spans="2:5" x14ac:dyDescent="0.25">
      <c r="B351"/>
      <c r="C351"/>
      <c r="E351"/>
    </row>
    <row r="352" spans="2:5" x14ac:dyDescent="0.25">
      <c r="B352"/>
      <c r="C352"/>
      <c r="E352"/>
    </row>
    <row r="353" spans="2:5" x14ac:dyDescent="0.25">
      <c r="B353"/>
      <c r="C353"/>
      <c r="E353"/>
    </row>
    <row r="354" spans="2:5" x14ac:dyDescent="0.25">
      <c r="B354"/>
      <c r="C354"/>
      <c r="E354"/>
    </row>
    <row r="355" spans="2:5" x14ac:dyDescent="0.25">
      <c r="B355"/>
      <c r="C355"/>
      <c r="E355"/>
    </row>
    <row r="356" spans="2:5" x14ac:dyDescent="0.25">
      <c r="B356"/>
      <c r="C356"/>
      <c r="E356"/>
    </row>
    <row r="357" spans="2:5" x14ac:dyDescent="0.25">
      <c r="B357"/>
      <c r="C357"/>
      <c r="E357"/>
    </row>
    <row r="358" spans="2:5" x14ac:dyDescent="0.25">
      <c r="B358"/>
      <c r="C358"/>
      <c r="E358"/>
    </row>
    <row r="359" spans="2:5" x14ac:dyDescent="0.25">
      <c r="B359"/>
      <c r="C359"/>
      <c r="E359"/>
    </row>
    <row r="360" spans="2:5" x14ac:dyDescent="0.25">
      <c r="B360"/>
      <c r="C360"/>
      <c r="E360"/>
    </row>
    <row r="361" spans="2:5" x14ac:dyDescent="0.25">
      <c r="B361"/>
      <c r="C361"/>
      <c r="E361"/>
    </row>
    <row r="362" spans="2:5" x14ac:dyDescent="0.25">
      <c r="B362"/>
      <c r="C362"/>
      <c r="E362"/>
    </row>
    <row r="363" spans="2:5" x14ac:dyDescent="0.25">
      <c r="B363"/>
      <c r="C363"/>
      <c r="E363"/>
    </row>
    <row r="364" spans="2:5" x14ac:dyDescent="0.25">
      <c r="B364"/>
      <c r="C364"/>
      <c r="E364"/>
    </row>
    <row r="365" spans="2:5" x14ac:dyDescent="0.25">
      <c r="B365"/>
      <c r="C365"/>
      <c r="E365"/>
    </row>
    <row r="366" spans="2:5" x14ac:dyDescent="0.25">
      <c r="B366"/>
      <c r="C366"/>
      <c r="E366"/>
    </row>
    <row r="367" spans="2:5" x14ac:dyDescent="0.25">
      <c r="B367"/>
      <c r="C367"/>
      <c r="E367"/>
    </row>
    <row r="368" spans="2:5" x14ac:dyDescent="0.25">
      <c r="B368"/>
      <c r="C368"/>
      <c r="E368"/>
    </row>
    <row r="369" spans="2:5" x14ac:dyDescent="0.25">
      <c r="B369"/>
      <c r="C369"/>
      <c r="E369"/>
    </row>
    <row r="370" spans="2:5" x14ac:dyDescent="0.25">
      <c r="B370"/>
      <c r="C370"/>
      <c r="E370"/>
    </row>
    <row r="371" spans="2:5" x14ac:dyDescent="0.25">
      <c r="B371"/>
      <c r="C371"/>
      <c r="E371"/>
    </row>
    <row r="372" spans="2:5" x14ac:dyDescent="0.25">
      <c r="B372"/>
      <c r="C372"/>
      <c r="E372"/>
    </row>
    <row r="373" spans="2:5" x14ac:dyDescent="0.25">
      <c r="B373"/>
      <c r="C373"/>
      <c r="E373"/>
    </row>
    <row r="374" spans="2:5" x14ac:dyDescent="0.25">
      <c r="B374"/>
      <c r="C374"/>
      <c r="E374"/>
    </row>
    <row r="375" spans="2:5" x14ac:dyDescent="0.25">
      <c r="B375"/>
      <c r="C375"/>
      <c r="E375"/>
    </row>
    <row r="376" spans="2:5" x14ac:dyDescent="0.25">
      <c r="B376"/>
      <c r="C376"/>
      <c r="E376"/>
    </row>
    <row r="377" spans="2:5" x14ac:dyDescent="0.25">
      <c r="B377"/>
      <c r="C377"/>
      <c r="E377"/>
    </row>
    <row r="378" spans="2:5" x14ac:dyDescent="0.25">
      <c r="B378"/>
      <c r="C378"/>
      <c r="E378"/>
    </row>
    <row r="379" spans="2:5" x14ac:dyDescent="0.25">
      <c r="B379"/>
      <c r="C379"/>
      <c r="E379"/>
    </row>
    <row r="380" spans="2:5" x14ac:dyDescent="0.25">
      <c r="B380"/>
      <c r="C380"/>
      <c r="E380"/>
    </row>
    <row r="381" spans="2:5" x14ac:dyDescent="0.25">
      <c r="B381"/>
      <c r="C381"/>
      <c r="E381"/>
    </row>
    <row r="382" spans="2:5" x14ac:dyDescent="0.25">
      <c r="B382"/>
      <c r="C382"/>
      <c r="E382"/>
    </row>
    <row r="383" spans="2:5" x14ac:dyDescent="0.25">
      <c r="B383"/>
      <c r="C383"/>
      <c r="E383"/>
    </row>
    <row r="384" spans="2:5" x14ac:dyDescent="0.25">
      <c r="B384"/>
      <c r="C384"/>
      <c r="E384"/>
    </row>
    <row r="385" spans="2:5" x14ac:dyDescent="0.25">
      <c r="B385"/>
      <c r="C385"/>
      <c r="E385"/>
    </row>
    <row r="386" spans="2:5" x14ac:dyDescent="0.25">
      <c r="B386"/>
      <c r="C386"/>
      <c r="E386"/>
    </row>
    <row r="387" spans="2:5" x14ac:dyDescent="0.25">
      <c r="B387"/>
      <c r="C387"/>
      <c r="E387"/>
    </row>
    <row r="388" spans="2:5" x14ac:dyDescent="0.25">
      <c r="B388"/>
      <c r="C388"/>
      <c r="E388"/>
    </row>
    <row r="389" spans="2:5" x14ac:dyDescent="0.25">
      <c r="B389"/>
      <c r="C389"/>
      <c r="E389"/>
    </row>
    <row r="390" spans="2:5" x14ac:dyDescent="0.25">
      <c r="B390"/>
      <c r="C390"/>
      <c r="E390"/>
    </row>
    <row r="391" spans="2:5" x14ac:dyDescent="0.25">
      <c r="B391"/>
      <c r="C391"/>
      <c r="E391"/>
    </row>
    <row r="392" spans="2:5" x14ac:dyDescent="0.25">
      <c r="B392"/>
      <c r="C392"/>
      <c r="E392"/>
    </row>
    <row r="393" spans="2:5" x14ac:dyDescent="0.25">
      <c r="B393"/>
      <c r="C393"/>
      <c r="E393"/>
    </row>
    <row r="394" spans="2:5" x14ac:dyDescent="0.25">
      <c r="B394"/>
      <c r="C394"/>
      <c r="E394"/>
    </row>
    <row r="395" spans="2:5" x14ac:dyDescent="0.25">
      <c r="B395"/>
      <c r="C395"/>
      <c r="E395"/>
    </row>
    <row r="396" spans="2:5" x14ac:dyDescent="0.25">
      <c r="B396"/>
      <c r="C396"/>
      <c r="E396"/>
    </row>
    <row r="397" spans="2:5" x14ac:dyDescent="0.25">
      <c r="B397"/>
      <c r="C397"/>
      <c r="E397"/>
    </row>
    <row r="398" spans="2:5" x14ac:dyDescent="0.25">
      <c r="B398"/>
      <c r="C398"/>
      <c r="E398"/>
    </row>
    <row r="399" spans="2:5" x14ac:dyDescent="0.25">
      <c r="B399"/>
      <c r="C399"/>
      <c r="E399"/>
    </row>
    <row r="400" spans="2:5" x14ac:dyDescent="0.25">
      <c r="B400"/>
      <c r="C400"/>
      <c r="E400"/>
    </row>
    <row r="401" spans="2:5" x14ac:dyDescent="0.25">
      <c r="B401"/>
      <c r="C401"/>
      <c r="E401"/>
    </row>
    <row r="402" spans="2:5" x14ac:dyDescent="0.25">
      <c r="B402"/>
      <c r="C402"/>
      <c r="E402"/>
    </row>
    <row r="403" spans="2:5" x14ac:dyDescent="0.25">
      <c r="B403"/>
      <c r="C403"/>
      <c r="E403"/>
    </row>
    <row r="404" spans="2:5" x14ac:dyDescent="0.25">
      <c r="B404"/>
      <c r="C404"/>
      <c r="E404"/>
    </row>
    <row r="405" spans="2:5" x14ac:dyDescent="0.25">
      <c r="B405"/>
      <c r="C405"/>
      <c r="E405"/>
    </row>
    <row r="406" spans="2:5" x14ac:dyDescent="0.25">
      <c r="B406"/>
      <c r="C406"/>
      <c r="E406"/>
    </row>
    <row r="407" spans="2:5" x14ac:dyDescent="0.25">
      <c r="B407"/>
      <c r="C407"/>
      <c r="E407"/>
    </row>
    <row r="408" spans="2:5" x14ac:dyDescent="0.25">
      <c r="B408"/>
      <c r="C408"/>
      <c r="E408"/>
    </row>
    <row r="409" spans="2:5" x14ac:dyDescent="0.25">
      <c r="B409"/>
      <c r="C409"/>
      <c r="E409"/>
    </row>
    <row r="410" spans="2:5" x14ac:dyDescent="0.25">
      <c r="B410"/>
      <c r="C410"/>
      <c r="E410"/>
    </row>
    <row r="411" spans="2:5" x14ac:dyDescent="0.25">
      <c r="B411"/>
      <c r="C411"/>
      <c r="E411"/>
    </row>
    <row r="412" spans="2:5" x14ac:dyDescent="0.25">
      <c r="B412"/>
      <c r="C412"/>
      <c r="E412"/>
    </row>
    <row r="413" spans="2:5" x14ac:dyDescent="0.25">
      <c r="B413"/>
      <c r="C413"/>
      <c r="E413"/>
    </row>
    <row r="414" spans="2:5" x14ac:dyDescent="0.25">
      <c r="B414"/>
      <c r="C414"/>
      <c r="E414"/>
    </row>
    <row r="415" spans="2:5" x14ac:dyDescent="0.25">
      <c r="B415"/>
      <c r="C415"/>
      <c r="E415"/>
    </row>
    <row r="416" spans="2:5" x14ac:dyDescent="0.25">
      <c r="B416"/>
      <c r="C416"/>
      <c r="E416"/>
    </row>
    <row r="417" spans="2:5" x14ac:dyDescent="0.25">
      <c r="B417"/>
      <c r="C417"/>
      <c r="E417"/>
    </row>
    <row r="418" spans="2:5" x14ac:dyDescent="0.25">
      <c r="B418"/>
      <c r="C418"/>
      <c r="E418"/>
    </row>
    <row r="419" spans="2:5" x14ac:dyDescent="0.25">
      <c r="B419"/>
      <c r="C419"/>
      <c r="E419"/>
    </row>
    <row r="420" spans="2:5" x14ac:dyDescent="0.25">
      <c r="B420"/>
      <c r="C420"/>
      <c r="E420"/>
    </row>
    <row r="421" spans="2:5" x14ac:dyDescent="0.25">
      <c r="B421"/>
      <c r="C421"/>
      <c r="E421"/>
    </row>
    <row r="422" spans="2:5" x14ac:dyDescent="0.25">
      <c r="B422"/>
      <c r="C422"/>
      <c r="E422"/>
    </row>
    <row r="423" spans="2:5" x14ac:dyDescent="0.25">
      <c r="B423"/>
      <c r="C423"/>
      <c r="E423"/>
    </row>
    <row r="424" spans="2:5" x14ac:dyDescent="0.25">
      <c r="B424"/>
      <c r="C424"/>
      <c r="E424"/>
    </row>
    <row r="425" spans="2:5" x14ac:dyDescent="0.25">
      <c r="B425"/>
      <c r="C425"/>
      <c r="E425"/>
    </row>
    <row r="426" spans="2:5" x14ac:dyDescent="0.25">
      <c r="B426"/>
      <c r="C426"/>
      <c r="E426"/>
    </row>
    <row r="427" spans="2:5" x14ac:dyDescent="0.25">
      <c r="B427"/>
      <c r="C427"/>
      <c r="E427"/>
    </row>
    <row r="428" spans="2:5" x14ac:dyDescent="0.25">
      <c r="B428"/>
      <c r="C428"/>
      <c r="E428"/>
    </row>
    <row r="429" spans="2:5" x14ac:dyDescent="0.25">
      <c r="B429"/>
      <c r="C429"/>
      <c r="E429"/>
    </row>
    <row r="430" spans="2:5" x14ac:dyDescent="0.25">
      <c r="B430"/>
      <c r="C430"/>
      <c r="E430"/>
    </row>
    <row r="431" spans="2:5" x14ac:dyDescent="0.25">
      <c r="B431"/>
      <c r="C431"/>
      <c r="E431"/>
    </row>
    <row r="432" spans="2:5" x14ac:dyDescent="0.25">
      <c r="B432"/>
      <c r="C432"/>
      <c r="E432"/>
    </row>
    <row r="433" spans="2:5" x14ac:dyDescent="0.25">
      <c r="B433"/>
      <c r="C433"/>
      <c r="E433"/>
    </row>
    <row r="434" spans="2:5" x14ac:dyDescent="0.25">
      <c r="B434"/>
      <c r="C434"/>
      <c r="E434"/>
    </row>
    <row r="435" spans="2:5" x14ac:dyDescent="0.25">
      <c r="B435"/>
      <c r="C435"/>
      <c r="E435"/>
    </row>
    <row r="436" spans="2:5" x14ac:dyDescent="0.25">
      <c r="B436"/>
      <c r="C436"/>
      <c r="E436"/>
    </row>
    <row r="437" spans="2:5" x14ac:dyDescent="0.25">
      <c r="B437"/>
      <c r="C437"/>
      <c r="E437"/>
    </row>
    <row r="438" spans="2:5" x14ac:dyDescent="0.25">
      <c r="B438"/>
      <c r="C438"/>
      <c r="E438"/>
    </row>
    <row r="439" spans="2:5" x14ac:dyDescent="0.25">
      <c r="B439"/>
      <c r="C439"/>
      <c r="E439"/>
    </row>
    <row r="440" spans="2:5" x14ac:dyDescent="0.25">
      <c r="B440"/>
      <c r="C440"/>
      <c r="E440"/>
    </row>
    <row r="441" spans="2:5" x14ac:dyDescent="0.25">
      <c r="B441"/>
      <c r="C441"/>
      <c r="E441"/>
    </row>
    <row r="442" spans="2:5" x14ac:dyDescent="0.25">
      <c r="B442"/>
      <c r="C442"/>
      <c r="E442"/>
    </row>
    <row r="443" spans="2:5" x14ac:dyDescent="0.25">
      <c r="B443"/>
      <c r="C443"/>
      <c r="E443"/>
    </row>
    <row r="444" spans="2:5" x14ac:dyDescent="0.25">
      <c r="B444"/>
      <c r="C444"/>
      <c r="E444"/>
    </row>
    <row r="445" spans="2:5" x14ac:dyDescent="0.25">
      <c r="B445"/>
      <c r="C445"/>
      <c r="E445"/>
    </row>
    <row r="446" spans="2:5" x14ac:dyDescent="0.25">
      <c r="B446"/>
      <c r="C446"/>
      <c r="E446"/>
    </row>
    <row r="447" spans="2:5" x14ac:dyDescent="0.25">
      <c r="B447"/>
      <c r="C447"/>
      <c r="E447"/>
    </row>
    <row r="448" spans="2:5" x14ac:dyDescent="0.25">
      <c r="B448"/>
      <c r="C448"/>
      <c r="E448"/>
    </row>
    <row r="449" spans="2:5" x14ac:dyDescent="0.25">
      <c r="B449"/>
      <c r="C449"/>
      <c r="E449"/>
    </row>
    <row r="450" spans="2:5" x14ac:dyDescent="0.25">
      <c r="B450"/>
      <c r="C450"/>
      <c r="E450"/>
    </row>
    <row r="451" spans="2:5" x14ac:dyDescent="0.25">
      <c r="B451"/>
      <c r="C451"/>
      <c r="E451"/>
    </row>
    <row r="452" spans="2:5" x14ac:dyDescent="0.25">
      <c r="B452"/>
      <c r="C452"/>
      <c r="E452"/>
    </row>
    <row r="453" spans="2:5" x14ac:dyDescent="0.25">
      <c r="B453"/>
      <c r="C453"/>
      <c r="E453"/>
    </row>
    <row r="454" spans="2:5" x14ac:dyDescent="0.25">
      <c r="B454"/>
      <c r="C454"/>
      <c r="E454"/>
    </row>
    <row r="455" spans="2:5" x14ac:dyDescent="0.25">
      <c r="B455"/>
      <c r="C455"/>
      <c r="E455"/>
    </row>
    <row r="456" spans="2:5" x14ac:dyDescent="0.25">
      <c r="B456"/>
      <c r="C456"/>
      <c r="E456"/>
    </row>
    <row r="457" spans="2:5" x14ac:dyDescent="0.25">
      <c r="B457"/>
      <c r="C457"/>
      <c r="E457"/>
    </row>
    <row r="458" spans="2:5" x14ac:dyDescent="0.25">
      <c r="B458"/>
      <c r="C458"/>
      <c r="E458"/>
    </row>
    <row r="459" spans="2:5" x14ac:dyDescent="0.25">
      <c r="B459"/>
      <c r="C459"/>
      <c r="E459"/>
    </row>
    <row r="460" spans="2:5" x14ac:dyDescent="0.25">
      <c r="B460"/>
      <c r="C460"/>
      <c r="E460"/>
    </row>
    <row r="461" spans="2:5" x14ac:dyDescent="0.25">
      <c r="B461"/>
      <c r="C461"/>
      <c r="E461"/>
    </row>
    <row r="462" spans="2:5" x14ac:dyDescent="0.25">
      <c r="B462"/>
      <c r="C462"/>
      <c r="E462"/>
    </row>
    <row r="463" spans="2:5" x14ac:dyDescent="0.25">
      <c r="B463"/>
      <c r="C463"/>
      <c r="E463"/>
    </row>
    <row r="464" spans="2:5" x14ac:dyDescent="0.25">
      <c r="B464"/>
      <c r="C464"/>
      <c r="E464"/>
    </row>
    <row r="465" spans="2:5" x14ac:dyDescent="0.25">
      <c r="B465"/>
      <c r="C465"/>
      <c r="E465"/>
    </row>
    <row r="466" spans="2:5" x14ac:dyDescent="0.25">
      <c r="B466"/>
      <c r="C466"/>
      <c r="E466"/>
    </row>
    <row r="467" spans="2:5" x14ac:dyDescent="0.25">
      <c r="B467"/>
      <c r="C467"/>
      <c r="E467"/>
    </row>
    <row r="468" spans="2:5" x14ac:dyDescent="0.25">
      <c r="B468"/>
      <c r="C468"/>
      <c r="E468"/>
    </row>
    <row r="469" spans="2:5" x14ac:dyDescent="0.25">
      <c r="B469"/>
      <c r="C469"/>
      <c r="E469"/>
    </row>
    <row r="470" spans="2:5" x14ac:dyDescent="0.25">
      <c r="B470"/>
      <c r="C470"/>
      <c r="E470"/>
    </row>
    <row r="471" spans="2:5" x14ac:dyDescent="0.25">
      <c r="B471"/>
      <c r="C471"/>
      <c r="E471"/>
    </row>
    <row r="472" spans="2:5" x14ac:dyDescent="0.25">
      <c r="B472"/>
      <c r="C472"/>
      <c r="E472"/>
    </row>
    <row r="473" spans="2:5" x14ac:dyDescent="0.25">
      <c r="B473"/>
      <c r="C473"/>
      <c r="E473"/>
    </row>
    <row r="474" spans="2:5" x14ac:dyDescent="0.25">
      <c r="B474"/>
      <c r="C474"/>
      <c r="E474"/>
    </row>
    <row r="475" spans="2:5" x14ac:dyDescent="0.25">
      <c r="B475"/>
      <c r="C475"/>
      <c r="E475"/>
    </row>
    <row r="476" spans="2:5" x14ac:dyDescent="0.25">
      <c r="B476"/>
      <c r="C476"/>
      <c r="E476"/>
    </row>
    <row r="477" spans="2:5" x14ac:dyDescent="0.25">
      <c r="B477"/>
      <c r="C477"/>
      <c r="E477"/>
    </row>
    <row r="478" spans="2:5" x14ac:dyDescent="0.25">
      <c r="B478"/>
      <c r="C478"/>
      <c r="E478"/>
    </row>
    <row r="479" spans="2:5" x14ac:dyDescent="0.25">
      <c r="B479"/>
      <c r="C479"/>
      <c r="E479"/>
    </row>
    <row r="480" spans="2:5" x14ac:dyDescent="0.25">
      <c r="B480"/>
      <c r="C480"/>
      <c r="E480"/>
    </row>
    <row r="481" spans="2:5" x14ac:dyDescent="0.25">
      <c r="B481"/>
      <c r="C481"/>
      <c r="E481"/>
    </row>
    <row r="482" spans="2:5" x14ac:dyDescent="0.25">
      <c r="B482"/>
      <c r="C482"/>
      <c r="E482"/>
    </row>
    <row r="483" spans="2:5" x14ac:dyDescent="0.25">
      <c r="B483"/>
      <c r="C483"/>
      <c r="E483"/>
    </row>
    <row r="484" spans="2:5" x14ac:dyDescent="0.25">
      <c r="B484"/>
      <c r="C484"/>
      <c r="E484"/>
    </row>
    <row r="485" spans="2:5" x14ac:dyDescent="0.25">
      <c r="B485"/>
      <c r="C485"/>
      <c r="E485"/>
    </row>
    <row r="486" spans="2:5" x14ac:dyDescent="0.25">
      <c r="B486"/>
      <c r="C486"/>
      <c r="E486"/>
    </row>
    <row r="487" spans="2:5" x14ac:dyDescent="0.25">
      <c r="B487"/>
      <c r="C487"/>
      <c r="E487"/>
    </row>
    <row r="488" spans="2:5" x14ac:dyDescent="0.25">
      <c r="B488"/>
      <c r="C488"/>
      <c r="E488"/>
    </row>
    <row r="489" spans="2:5" x14ac:dyDescent="0.25">
      <c r="B489"/>
      <c r="C489"/>
      <c r="E489"/>
    </row>
    <row r="490" spans="2:5" x14ac:dyDescent="0.25">
      <c r="B490"/>
      <c r="C490"/>
      <c r="E490"/>
    </row>
    <row r="491" spans="2:5" x14ac:dyDescent="0.25">
      <c r="B491"/>
      <c r="C491"/>
      <c r="E491"/>
    </row>
    <row r="492" spans="2:5" x14ac:dyDescent="0.25">
      <c r="B492"/>
      <c r="C492"/>
      <c r="E492"/>
    </row>
    <row r="493" spans="2:5" x14ac:dyDescent="0.25">
      <c r="B493"/>
      <c r="C493"/>
      <c r="E493"/>
    </row>
    <row r="494" spans="2:5" x14ac:dyDescent="0.25">
      <c r="B494"/>
      <c r="C494"/>
      <c r="E494"/>
    </row>
    <row r="495" spans="2:5" x14ac:dyDescent="0.25">
      <c r="B495"/>
      <c r="C495"/>
      <c r="E495"/>
    </row>
    <row r="496" spans="2:5" x14ac:dyDescent="0.25">
      <c r="B496"/>
      <c r="C496"/>
      <c r="E496"/>
    </row>
    <row r="497" spans="2:5" x14ac:dyDescent="0.25">
      <c r="B497"/>
      <c r="C497"/>
      <c r="E497"/>
    </row>
    <row r="498" spans="2:5" x14ac:dyDescent="0.25">
      <c r="B498"/>
      <c r="C498"/>
      <c r="E498"/>
    </row>
    <row r="499" spans="2:5" x14ac:dyDescent="0.25">
      <c r="B499"/>
      <c r="C499"/>
      <c r="E499"/>
    </row>
    <row r="500" spans="2:5" x14ac:dyDescent="0.25">
      <c r="B500"/>
      <c r="C500"/>
      <c r="E500"/>
    </row>
    <row r="501" spans="2:5" x14ac:dyDescent="0.25">
      <c r="B501"/>
      <c r="C501"/>
      <c r="E501"/>
    </row>
    <row r="502" spans="2:5" x14ac:dyDescent="0.25">
      <c r="B502"/>
      <c r="C502"/>
      <c r="E502"/>
    </row>
    <row r="503" spans="2:5" x14ac:dyDescent="0.25">
      <c r="B503"/>
      <c r="C503"/>
      <c r="E503"/>
    </row>
    <row r="504" spans="2:5" x14ac:dyDescent="0.25">
      <c r="B504"/>
      <c r="C504"/>
      <c r="E504"/>
    </row>
    <row r="505" spans="2:5" x14ac:dyDescent="0.25">
      <c r="B505"/>
      <c r="C505"/>
      <c r="E505"/>
    </row>
    <row r="506" spans="2:5" x14ac:dyDescent="0.25">
      <c r="B506"/>
      <c r="C506"/>
      <c r="E506"/>
    </row>
    <row r="507" spans="2:5" x14ac:dyDescent="0.25">
      <c r="B507"/>
      <c r="C507"/>
      <c r="E507"/>
    </row>
    <row r="508" spans="2:5" x14ac:dyDescent="0.25">
      <c r="B508"/>
      <c r="C508"/>
      <c r="E508"/>
    </row>
    <row r="509" spans="2:5" x14ac:dyDescent="0.25">
      <c r="B509"/>
      <c r="C509"/>
      <c r="E509"/>
    </row>
    <row r="510" spans="2:5" x14ac:dyDescent="0.25">
      <c r="B510"/>
      <c r="C510"/>
      <c r="E510"/>
    </row>
    <row r="511" spans="2:5" x14ac:dyDescent="0.25">
      <c r="B511"/>
      <c r="C511"/>
      <c r="E511"/>
    </row>
    <row r="512" spans="2:5" x14ac:dyDescent="0.25">
      <c r="B512"/>
      <c r="C512"/>
      <c r="E512"/>
    </row>
    <row r="513" spans="2:5" x14ac:dyDescent="0.25">
      <c r="B513"/>
      <c r="C513"/>
      <c r="E513"/>
    </row>
    <row r="514" spans="2:5" x14ac:dyDescent="0.25">
      <c r="B514"/>
      <c r="C514"/>
      <c r="E514"/>
    </row>
    <row r="515" spans="2:5" x14ac:dyDescent="0.25">
      <c r="B515"/>
      <c r="C515"/>
      <c r="E515"/>
    </row>
    <row r="516" spans="2:5" x14ac:dyDescent="0.25">
      <c r="B516"/>
      <c r="C516"/>
      <c r="E516"/>
    </row>
    <row r="517" spans="2:5" x14ac:dyDescent="0.25">
      <c r="B517"/>
      <c r="C517"/>
      <c r="E517"/>
    </row>
    <row r="518" spans="2:5" x14ac:dyDescent="0.25">
      <c r="B518"/>
      <c r="C518"/>
      <c r="E518"/>
    </row>
    <row r="519" spans="2:5" x14ac:dyDescent="0.25">
      <c r="B519"/>
      <c r="C519"/>
      <c r="E519"/>
    </row>
    <row r="520" spans="2:5" x14ac:dyDescent="0.25">
      <c r="B520"/>
      <c r="C520"/>
      <c r="E520"/>
    </row>
    <row r="521" spans="2:5" x14ac:dyDescent="0.25">
      <c r="B521"/>
      <c r="C521"/>
      <c r="E521"/>
    </row>
    <row r="522" spans="2:5" x14ac:dyDescent="0.25">
      <c r="B522"/>
      <c r="C522"/>
      <c r="E522"/>
    </row>
    <row r="523" spans="2:5" x14ac:dyDescent="0.25">
      <c r="B523"/>
      <c r="C523"/>
      <c r="E523"/>
    </row>
    <row r="524" spans="2:5" x14ac:dyDescent="0.25">
      <c r="B524"/>
      <c r="C524"/>
      <c r="E524"/>
    </row>
    <row r="525" spans="2:5" x14ac:dyDescent="0.25">
      <c r="B525"/>
      <c r="C525"/>
      <c r="E525"/>
    </row>
    <row r="526" spans="2:5" x14ac:dyDescent="0.25">
      <c r="B526"/>
      <c r="C526"/>
      <c r="E526"/>
    </row>
    <row r="527" spans="2:5" x14ac:dyDescent="0.25">
      <c r="B527"/>
      <c r="C527"/>
      <c r="E527"/>
    </row>
    <row r="528" spans="2:5" x14ac:dyDescent="0.25">
      <c r="B528"/>
      <c r="C528"/>
      <c r="E528"/>
    </row>
    <row r="529" spans="2:5" x14ac:dyDescent="0.25">
      <c r="B529"/>
      <c r="C529"/>
      <c r="E529"/>
    </row>
    <row r="530" spans="2:5" x14ac:dyDescent="0.25">
      <c r="B530"/>
      <c r="C530"/>
      <c r="E530"/>
    </row>
    <row r="531" spans="2:5" x14ac:dyDescent="0.25">
      <c r="B531"/>
      <c r="C531"/>
      <c r="E531"/>
    </row>
    <row r="532" spans="2:5" x14ac:dyDescent="0.25">
      <c r="B532"/>
      <c r="C532"/>
      <c r="E532"/>
    </row>
    <row r="533" spans="2:5" x14ac:dyDescent="0.25">
      <c r="B533"/>
      <c r="C533"/>
      <c r="E533"/>
    </row>
    <row r="534" spans="2:5" x14ac:dyDescent="0.25">
      <c r="B534"/>
      <c r="C534"/>
      <c r="E534"/>
    </row>
    <row r="535" spans="2:5" x14ac:dyDescent="0.25">
      <c r="B535"/>
      <c r="C535"/>
      <c r="E535"/>
    </row>
    <row r="536" spans="2:5" x14ac:dyDescent="0.25">
      <c r="B536"/>
      <c r="C536"/>
      <c r="E536"/>
    </row>
    <row r="537" spans="2:5" x14ac:dyDescent="0.25">
      <c r="B537"/>
      <c r="C537"/>
      <c r="E537"/>
    </row>
    <row r="538" spans="2:5" x14ac:dyDescent="0.25">
      <c r="B538"/>
      <c r="C538"/>
      <c r="E538"/>
    </row>
    <row r="539" spans="2:5" x14ac:dyDescent="0.25">
      <c r="B539"/>
      <c r="C539"/>
      <c r="E539"/>
    </row>
    <row r="540" spans="2:5" x14ac:dyDescent="0.25">
      <c r="B540"/>
      <c r="C540"/>
      <c r="E540"/>
    </row>
    <row r="541" spans="2:5" x14ac:dyDescent="0.25">
      <c r="B541"/>
      <c r="C541"/>
      <c r="E541"/>
    </row>
    <row r="542" spans="2:5" x14ac:dyDescent="0.25">
      <c r="B542"/>
      <c r="C542"/>
      <c r="E542"/>
    </row>
    <row r="543" spans="2:5" x14ac:dyDescent="0.25">
      <c r="B543"/>
      <c r="C543"/>
      <c r="E543"/>
    </row>
    <row r="544" spans="2:5" x14ac:dyDescent="0.25">
      <c r="B544"/>
      <c r="C544"/>
      <c r="E544"/>
    </row>
    <row r="545" spans="2:5" x14ac:dyDescent="0.25">
      <c r="B545"/>
      <c r="C545"/>
      <c r="E545"/>
    </row>
    <row r="546" spans="2:5" x14ac:dyDescent="0.25">
      <c r="B546"/>
      <c r="C546"/>
      <c r="E546"/>
    </row>
    <row r="547" spans="2:5" x14ac:dyDescent="0.25">
      <c r="B547"/>
      <c r="C547"/>
      <c r="E547"/>
    </row>
    <row r="548" spans="2:5" x14ac:dyDescent="0.25">
      <c r="B548"/>
      <c r="C548"/>
      <c r="E548"/>
    </row>
    <row r="549" spans="2:5" x14ac:dyDescent="0.25">
      <c r="B549"/>
      <c r="C549"/>
      <c r="E549"/>
    </row>
    <row r="550" spans="2:5" x14ac:dyDescent="0.25">
      <c r="B550"/>
      <c r="C550"/>
      <c r="E550"/>
    </row>
    <row r="551" spans="2:5" x14ac:dyDescent="0.25">
      <c r="B551"/>
      <c r="C551"/>
      <c r="E551"/>
    </row>
    <row r="552" spans="2:5" x14ac:dyDescent="0.25">
      <c r="B552"/>
      <c r="C552"/>
      <c r="E552"/>
    </row>
    <row r="553" spans="2:5" x14ac:dyDescent="0.25">
      <c r="B553"/>
      <c r="C553"/>
      <c r="E553"/>
    </row>
    <row r="554" spans="2:5" x14ac:dyDescent="0.25">
      <c r="B554"/>
      <c r="C554"/>
      <c r="E554"/>
    </row>
    <row r="555" spans="2:5" x14ac:dyDescent="0.25">
      <c r="B555"/>
      <c r="C555"/>
      <c r="E555"/>
    </row>
    <row r="556" spans="2:5" x14ac:dyDescent="0.25">
      <c r="B556"/>
      <c r="C556"/>
      <c r="E556"/>
    </row>
    <row r="557" spans="2:5" x14ac:dyDescent="0.25">
      <c r="B557"/>
      <c r="C557"/>
      <c r="E557"/>
    </row>
    <row r="558" spans="2:5" x14ac:dyDescent="0.25">
      <c r="B558"/>
      <c r="C558"/>
      <c r="E558"/>
    </row>
    <row r="559" spans="2:5" x14ac:dyDescent="0.25">
      <c r="B559"/>
      <c r="C559"/>
      <c r="E559"/>
    </row>
    <row r="560" spans="2:5" x14ac:dyDescent="0.25">
      <c r="B560"/>
      <c r="C560"/>
      <c r="E560"/>
    </row>
    <row r="561" spans="2:5" x14ac:dyDescent="0.25">
      <c r="B561"/>
      <c r="C561"/>
      <c r="E561"/>
    </row>
    <row r="562" spans="2:5" x14ac:dyDescent="0.25">
      <c r="B562"/>
      <c r="C562"/>
      <c r="E562"/>
    </row>
    <row r="563" spans="2:5" x14ac:dyDescent="0.25">
      <c r="B563"/>
      <c r="C563"/>
      <c r="E563"/>
    </row>
    <row r="564" spans="2:5" x14ac:dyDescent="0.25">
      <c r="B564"/>
      <c r="C564"/>
      <c r="E564"/>
    </row>
    <row r="565" spans="2:5" x14ac:dyDescent="0.25">
      <c r="B565"/>
      <c r="C565"/>
      <c r="E565"/>
    </row>
    <row r="566" spans="2:5" x14ac:dyDescent="0.25">
      <c r="B566"/>
      <c r="C566"/>
      <c r="E566"/>
    </row>
    <row r="567" spans="2:5" x14ac:dyDescent="0.25">
      <c r="B567"/>
      <c r="C567"/>
      <c r="E567"/>
    </row>
    <row r="568" spans="2:5" x14ac:dyDescent="0.25">
      <c r="B568"/>
      <c r="C568"/>
      <c r="E568"/>
    </row>
    <row r="569" spans="2:5" x14ac:dyDescent="0.25">
      <c r="B569"/>
      <c r="C569"/>
      <c r="E569"/>
    </row>
    <row r="570" spans="2:5" x14ac:dyDescent="0.25">
      <c r="B570"/>
      <c r="C570"/>
      <c r="E570"/>
    </row>
    <row r="571" spans="2:5" x14ac:dyDescent="0.25">
      <c r="B571"/>
      <c r="C571"/>
      <c r="E571"/>
    </row>
    <row r="572" spans="2:5" x14ac:dyDescent="0.25">
      <c r="B572"/>
      <c r="C572"/>
      <c r="E572"/>
    </row>
    <row r="573" spans="2:5" x14ac:dyDescent="0.25">
      <c r="B573"/>
      <c r="C573"/>
      <c r="E573"/>
    </row>
    <row r="574" spans="2:5" x14ac:dyDescent="0.25">
      <c r="B574"/>
      <c r="C574"/>
      <c r="E574"/>
    </row>
    <row r="575" spans="2:5" x14ac:dyDescent="0.25">
      <c r="B575"/>
      <c r="C575"/>
      <c r="E575"/>
    </row>
    <row r="576" spans="2:5" x14ac:dyDescent="0.25">
      <c r="B576"/>
      <c r="C576"/>
      <c r="E576"/>
    </row>
    <row r="577" spans="2:5" x14ac:dyDescent="0.25">
      <c r="B577"/>
      <c r="C577"/>
      <c r="E577"/>
    </row>
    <row r="578" spans="2:5" x14ac:dyDescent="0.25">
      <c r="B578"/>
      <c r="C578"/>
      <c r="E578"/>
    </row>
    <row r="579" spans="2:5" x14ac:dyDescent="0.25">
      <c r="B579"/>
      <c r="C579"/>
      <c r="E579"/>
    </row>
    <row r="580" spans="2:5" x14ac:dyDescent="0.25">
      <c r="B580"/>
      <c r="C580"/>
      <c r="E580"/>
    </row>
    <row r="581" spans="2:5" x14ac:dyDescent="0.25">
      <c r="B581"/>
      <c r="C581"/>
      <c r="E581"/>
    </row>
    <row r="582" spans="2:5" x14ac:dyDescent="0.25">
      <c r="B582"/>
      <c r="C582"/>
      <c r="E582"/>
    </row>
    <row r="583" spans="2:5" x14ac:dyDescent="0.25">
      <c r="B583"/>
      <c r="C583"/>
      <c r="E583"/>
    </row>
    <row r="584" spans="2:5" x14ac:dyDescent="0.25">
      <c r="B584"/>
      <c r="C584"/>
      <c r="E584"/>
    </row>
    <row r="585" spans="2:5" x14ac:dyDescent="0.25">
      <c r="B585"/>
      <c r="C585"/>
      <c r="E585"/>
    </row>
    <row r="586" spans="2:5" x14ac:dyDescent="0.25">
      <c r="B586"/>
      <c r="C586"/>
      <c r="E586"/>
    </row>
    <row r="587" spans="2:5" x14ac:dyDescent="0.25">
      <c r="B587"/>
      <c r="C587"/>
      <c r="E587"/>
    </row>
    <row r="588" spans="2:5" x14ac:dyDescent="0.25">
      <c r="B588"/>
      <c r="C588"/>
      <c r="E588"/>
    </row>
    <row r="589" spans="2:5" x14ac:dyDescent="0.25">
      <c r="B589"/>
      <c r="C589"/>
      <c r="E589"/>
    </row>
    <row r="590" spans="2:5" x14ac:dyDescent="0.25">
      <c r="B590"/>
      <c r="C590"/>
      <c r="E590"/>
    </row>
    <row r="591" spans="2:5" x14ac:dyDescent="0.25">
      <c r="B591"/>
      <c r="C591"/>
      <c r="E591"/>
    </row>
    <row r="592" spans="2:5" x14ac:dyDescent="0.25">
      <c r="B592"/>
      <c r="C592"/>
      <c r="E592"/>
    </row>
    <row r="593" spans="2:5" x14ac:dyDescent="0.25">
      <c r="B593"/>
      <c r="C593"/>
      <c r="E593"/>
    </row>
    <row r="594" spans="2:5" x14ac:dyDescent="0.25">
      <c r="B594"/>
      <c r="C594"/>
      <c r="E594"/>
    </row>
    <row r="595" spans="2:5" x14ac:dyDescent="0.25">
      <c r="B595"/>
      <c r="C595"/>
      <c r="E595"/>
    </row>
    <row r="596" spans="2:5" x14ac:dyDescent="0.25">
      <c r="B596"/>
      <c r="C596"/>
      <c r="E596"/>
    </row>
    <row r="597" spans="2:5" x14ac:dyDescent="0.25">
      <c r="B597"/>
      <c r="C597"/>
      <c r="E597"/>
    </row>
    <row r="598" spans="2:5" x14ac:dyDescent="0.25">
      <c r="B598"/>
      <c r="C598"/>
      <c r="E598"/>
    </row>
    <row r="599" spans="2:5" x14ac:dyDescent="0.25">
      <c r="B599"/>
      <c r="C599"/>
      <c r="E599"/>
    </row>
    <row r="600" spans="2:5" x14ac:dyDescent="0.25">
      <c r="B600"/>
      <c r="C600"/>
      <c r="E600"/>
    </row>
    <row r="601" spans="2:5" x14ac:dyDescent="0.25">
      <c r="B601"/>
      <c r="C601"/>
      <c r="E601"/>
    </row>
    <row r="602" spans="2:5" x14ac:dyDescent="0.25">
      <c r="B602"/>
      <c r="C602"/>
      <c r="E602"/>
    </row>
    <row r="603" spans="2:5" x14ac:dyDescent="0.25">
      <c r="B603"/>
      <c r="C603"/>
      <c r="E603"/>
    </row>
    <row r="604" spans="2:5" x14ac:dyDescent="0.25">
      <c r="B604"/>
      <c r="C604"/>
      <c r="E604"/>
    </row>
    <row r="605" spans="2:5" x14ac:dyDescent="0.25">
      <c r="B605"/>
      <c r="C605"/>
      <c r="E605"/>
    </row>
    <row r="606" spans="2:5" x14ac:dyDescent="0.25">
      <c r="B606"/>
      <c r="C606"/>
      <c r="E606"/>
    </row>
    <row r="607" spans="2:5" x14ac:dyDescent="0.25">
      <c r="B607"/>
      <c r="C607"/>
      <c r="E607"/>
    </row>
    <row r="608" spans="2:5" x14ac:dyDescent="0.25">
      <c r="B608"/>
      <c r="C608"/>
      <c r="E608"/>
    </row>
    <row r="609" spans="2:5" x14ac:dyDescent="0.25">
      <c r="B609"/>
      <c r="C609"/>
      <c r="E609"/>
    </row>
    <row r="610" spans="2:5" x14ac:dyDescent="0.25">
      <c r="B610"/>
      <c r="C610"/>
      <c r="E610"/>
    </row>
    <row r="611" spans="2:5" x14ac:dyDescent="0.25">
      <c r="B611"/>
      <c r="C611"/>
      <c r="E611"/>
    </row>
    <row r="612" spans="2:5" x14ac:dyDescent="0.25">
      <c r="B612"/>
      <c r="C612"/>
      <c r="E612"/>
    </row>
    <row r="613" spans="2:5" x14ac:dyDescent="0.25">
      <c r="B613"/>
      <c r="C613"/>
      <c r="E613"/>
    </row>
    <row r="614" spans="2:5" x14ac:dyDescent="0.25">
      <c r="B614"/>
      <c r="C614"/>
      <c r="E614"/>
    </row>
    <row r="615" spans="2:5" x14ac:dyDescent="0.25">
      <c r="B615"/>
      <c r="C615"/>
      <c r="E615"/>
    </row>
    <row r="616" spans="2:5" x14ac:dyDescent="0.25">
      <c r="B616"/>
      <c r="C616"/>
      <c r="E616"/>
    </row>
    <row r="617" spans="2:5" x14ac:dyDescent="0.25">
      <c r="B617"/>
      <c r="C617"/>
      <c r="E617"/>
    </row>
    <row r="618" spans="2:5" x14ac:dyDescent="0.25">
      <c r="B618"/>
      <c r="C618"/>
      <c r="E618"/>
    </row>
    <row r="619" spans="2:5" x14ac:dyDescent="0.25">
      <c r="B619"/>
      <c r="C619"/>
      <c r="E619"/>
    </row>
    <row r="620" spans="2:5" x14ac:dyDescent="0.25">
      <c r="B620"/>
      <c r="C620"/>
      <c r="E620"/>
    </row>
    <row r="621" spans="2:5" x14ac:dyDescent="0.25">
      <c r="B621"/>
      <c r="C621"/>
      <c r="E621"/>
    </row>
    <row r="622" spans="2:5" x14ac:dyDescent="0.25">
      <c r="B622"/>
      <c r="C622"/>
      <c r="E622"/>
    </row>
    <row r="623" spans="2:5" x14ac:dyDescent="0.25">
      <c r="B623"/>
      <c r="C623"/>
      <c r="E623"/>
    </row>
    <row r="624" spans="2:5" x14ac:dyDescent="0.25">
      <c r="B624"/>
      <c r="C624"/>
      <c r="E624"/>
    </row>
    <row r="625" spans="2:5" x14ac:dyDescent="0.25">
      <c r="B625"/>
      <c r="C625"/>
      <c r="E625"/>
    </row>
    <row r="626" spans="2:5" x14ac:dyDescent="0.25">
      <c r="B626"/>
      <c r="C626"/>
      <c r="E626"/>
    </row>
    <row r="627" spans="2:5" x14ac:dyDescent="0.25">
      <c r="B627"/>
      <c r="C627"/>
      <c r="E627"/>
    </row>
    <row r="628" spans="2:5" x14ac:dyDescent="0.25">
      <c r="B628"/>
      <c r="C628"/>
      <c r="E628"/>
    </row>
    <row r="629" spans="2:5" x14ac:dyDescent="0.25">
      <c r="B629"/>
      <c r="C629"/>
      <c r="E629"/>
    </row>
    <row r="630" spans="2:5" x14ac:dyDescent="0.25">
      <c r="B630"/>
      <c r="C630"/>
      <c r="E630"/>
    </row>
    <row r="631" spans="2:5" x14ac:dyDescent="0.25">
      <c r="B631"/>
      <c r="C631"/>
      <c r="E631"/>
    </row>
    <row r="632" spans="2:5" x14ac:dyDescent="0.25">
      <c r="B632"/>
      <c r="C632"/>
      <c r="E632"/>
    </row>
    <row r="633" spans="2:5" x14ac:dyDescent="0.25">
      <c r="B633"/>
      <c r="C633"/>
      <c r="E633"/>
    </row>
    <row r="634" spans="2:5" x14ac:dyDescent="0.25">
      <c r="B634"/>
      <c r="C634"/>
      <c r="E634"/>
    </row>
    <row r="635" spans="2:5" x14ac:dyDescent="0.25">
      <c r="B635"/>
      <c r="C635"/>
      <c r="E635"/>
    </row>
    <row r="636" spans="2:5" x14ac:dyDescent="0.25">
      <c r="B636"/>
      <c r="C636"/>
      <c r="E636"/>
    </row>
    <row r="637" spans="2:5" x14ac:dyDescent="0.25">
      <c r="B637"/>
      <c r="C637"/>
      <c r="E637"/>
    </row>
    <row r="638" spans="2:5" x14ac:dyDescent="0.25">
      <c r="B638"/>
      <c r="C638"/>
      <c r="E638"/>
    </row>
    <row r="639" spans="2:5" x14ac:dyDescent="0.25">
      <c r="B639"/>
      <c r="C639"/>
      <c r="E639"/>
    </row>
    <row r="640" spans="2:5" x14ac:dyDescent="0.25">
      <c r="B640"/>
      <c r="C640"/>
      <c r="E640"/>
    </row>
    <row r="641" spans="2:5" x14ac:dyDescent="0.25">
      <c r="B641"/>
      <c r="C641"/>
      <c r="E641"/>
    </row>
    <row r="642" spans="2:5" x14ac:dyDescent="0.25">
      <c r="B642"/>
      <c r="C642"/>
      <c r="E642"/>
    </row>
    <row r="643" spans="2:5" x14ac:dyDescent="0.25">
      <c r="B643"/>
      <c r="C643"/>
      <c r="E643"/>
    </row>
    <row r="644" spans="2:5" x14ac:dyDescent="0.25">
      <c r="B644"/>
      <c r="C644"/>
      <c r="E644"/>
    </row>
    <row r="645" spans="2:5" x14ac:dyDescent="0.25">
      <c r="B645"/>
      <c r="C645"/>
      <c r="E645"/>
    </row>
    <row r="646" spans="2:5" x14ac:dyDescent="0.25">
      <c r="B646"/>
      <c r="C646"/>
      <c r="E646"/>
    </row>
    <row r="647" spans="2:5" x14ac:dyDescent="0.25">
      <c r="B647"/>
      <c r="C647"/>
      <c r="E647"/>
    </row>
    <row r="648" spans="2:5" x14ac:dyDescent="0.25">
      <c r="B648"/>
      <c r="C648"/>
      <c r="E648"/>
    </row>
    <row r="649" spans="2:5" x14ac:dyDescent="0.25">
      <c r="B649"/>
      <c r="C649"/>
      <c r="E649"/>
    </row>
    <row r="650" spans="2:5" x14ac:dyDescent="0.25">
      <c r="B650"/>
      <c r="C650"/>
      <c r="E650"/>
    </row>
    <row r="651" spans="2:5" x14ac:dyDescent="0.25">
      <c r="B651"/>
      <c r="C651"/>
      <c r="E651"/>
    </row>
    <row r="652" spans="2:5" x14ac:dyDescent="0.25">
      <c r="B652"/>
      <c r="C652"/>
      <c r="E652"/>
    </row>
    <row r="653" spans="2:5" x14ac:dyDescent="0.25">
      <c r="B653"/>
      <c r="C653"/>
      <c r="E653"/>
    </row>
    <row r="654" spans="2:5" x14ac:dyDescent="0.25">
      <c r="B654"/>
      <c r="C654"/>
      <c r="E654"/>
    </row>
    <row r="655" spans="2:5" x14ac:dyDescent="0.25">
      <c r="B655"/>
      <c r="C655"/>
      <c r="E655"/>
    </row>
    <row r="656" spans="2:5" x14ac:dyDescent="0.25">
      <c r="B656"/>
      <c r="C656"/>
      <c r="E656"/>
    </row>
    <row r="657" spans="2:5" x14ac:dyDescent="0.25">
      <c r="B657"/>
      <c r="C657"/>
      <c r="E657"/>
    </row>
    <row r="658" spans="2:5" x14ac:dyDescent="0.25">
      <c r="B658"/>
      <c r="C658"/>
      <c r="E658"/>
    </row>
    <row r="659" spans="2:5" x14ac:dyDescent="0.25">
      <c r="B659"/>
      <c r="C659"/>
      <c r="E659"/>
    </row>
    <row r="660" spans="2:5" x14ac:dyDescent="0.25">
      <c r="B660"/>
      <c r="C660"/>
      <c r="E660"/>
    </row>
    <row r="661" spans="2:5" x14ac:dyDescent="0.25">
      <c r="B661"/>
      <c r="C661"/>
      <c r="E661"/>
    </row>
    <row r="662" spans="2:5" x14ac:dyDescent="0.25">
      <c r="B662"/>
      <c r="C662"/>
      <c r="E662"/>
    </row>
    <row r="663" spans="2:5" x14ac:dyDescent="0.25">
      <c r="B663"/>
      <c r="C663"/>
      <c r="E663"/>
    </row>
    <row r="664" spans="2:5" x14ac:dyDescent="0.25">
      <c r="B664"/>
      <c r="C664"/>
      <c r="E664"/>
    </row>
    <row r="665" spans="2:5" x14ac:dyDescent="0.25">
      <c r="B665"/>
      <c r="C665"/>
      <c r="E665"/>
    </row>
    <row r="666" spans="2:5" x14ac:dyDescent="0.25">
      <c r="B666"/>
      <c r="C666"/>
      <c r="E666"/>
    </row>
    <row r="667" spans="2:5" x14ac:dyDescent="0.25">
      <c r="B667"/>
      <c r="C667"/>
      <c r="E667"/>
    </row>
    <row r="668" spans="2:5" x14ac:dyDescent="0.25">
      <c r="B668"/>
      <c r="C668"/>
      <c r="E668"/>
    </row>
    <row r="669" spans="2:5" x14ac:dyDescent="0.25">
      <c r="B669"/>
      <c r="C669"/>
      <c r="E669"/>
    </row>
    <row r="670" spans="2:5" x14ac:dyDescent="0.25">
      <c r="B670"/>
      <c r="C670"/>
      <c r="E670"/>
    </row>
    <row r="671" spans="2:5" x14ac:dyDescent="0.25">
      <c r="B671"/>
      <c r="C671"/>
      <c r="E671"/>
    </row>
    <row r="672" spans="2:5" x14ac:dyDescent="0.25">
      <c r="B672"/>
      <c r="C672"/>
      <c r="E672"/>
    </row>
    <row r="673" spans="2:5" x14ac:dyDescent="0.25">
      <c r="B673"/>
      <c r="C673"/>
      <c r="E673"/>
    </row>
    <row r="674" spans="2:5" x14ac:dyDescent="0.25">
      <c r="B674"/>
      <c r="C674"/>
      <c r="E674"/>
    </row>
    <row r="675" spans="2:5" x14ac:dyDescent="0.25">
      <c r="B675"/>
      <c r="C675"/>
      <c r="E675"/>
    </row>
    <row r="676" spans="2:5" x14ac:dyDescent="0.25">
      <c r="B676"/>
      <c r="C676"/>
      <c r="E676"/>
    </row>
    <row r="677" spans="2:5" x14ac:dyDescent="0.25">
      <c r="B677"/>
      <c r="C677"/>
      <c r="E677"/>
    </row>
    <row r="678" spans="2:5" x14ac:dyDescent="0.25">
      <c r="B678"/>
      <c r="C678"/>
      <c r="E678"/>
    </row>
    <row r="679" spans="2:5" x14ac:dyDescent="0.25">
      <c r="B679"/>
      <c r="C679"/>
      <c r="E679"/>
    </row>
    <row r="680" spans="2:5" x14ac:dyDescent="0.25">
      <c r="B680"/>
      <c r="C680"/>
      <c r="E680"/>
    </row>
    <row r="681" spans="2:5" x14ac:dyDescent="0.25">
      <c r="B681"/>
      <c r="C681"/>
      <c r="E681"/>
    </row>
    <row r="682" spans="2:5" x14ac:dyDescent="0.25">
      <c r="B682"/>
      <c r="C682"/>
      <c r="E682"/>
    </row>
    <row r="683" spans="2:5" x14ac:dyDescent="0.25">
      <c r="B683"/>
      <c r="C683"/>
      <c r="E683"/>
    </row>
    <row r="684" spans="2:5" x14ac:dyDescent="0.25">
      <c r="B684"/>
      <c r="C684"/>
      <c r="E684"/>
    </row>
    <row r="685" spans="2:5" x14ac:dyDescent="0.25">
      <c r="B685"/>
      <c r="C685"/>
      <c r="E685"/>
    </row>
    <row r="686" spans="2:5" x14ac:dyDescent="0.25">
      <c r="B686"/>
      <c r="C686"/>
      <c r="E686"/>
    </row>
    <row r="687" spans="2:5" x14ac:dyDescent="0.25">
      <c r="B687"/>
      <c r="C687"/>
      <c r="E687"/>
    </row>
    <row r="688" spans="2:5" x14ac:dyDescent="0.25">
      <c r="B688"/>
      <c r="C688"/>
      <c r="E688"/>
    </row>
    <row r="689" spans="2:5" x14ac:dyDescent="0.25">
      <c r="B689"/>
      <c r="C689"/>
      <c r="E689"/>
    </row>
    <row r="690" spans="2:5" x14ac:dyDescent="0.25">
      <c r="B690"/>
      <c r="C690"/>
      <c r="E690"/>
    </row>
    <row r="691" spans="2:5" x14ac:dyDescent="0.25">
      <c r="B691"/>
      <c r="C691"/>
      <c r="E691"/>
    </row>
    <row r="692" spans="2:5" x14ac:dyDescent="0.25">
      <c r="B692"/>
      <c r="C692"/>
      <c r="E692"/>
    </row>
    <row r="693" spans="2:5" x14ac:dyDescent="0.25">
      <c r="B693"/>
      <c r="C693"/>
      <c r="E693"/>
    </row>
    <row r="694" spans="2:5" x14ac:dyDescent="0.25">
      <c r="B694"/>
      <c r="C694"/>
      <c r="E694"/>
    </row>
    <row r="695" spans="2:5" x14ac:dyDescent="0.25">
      <c r="B695"/>
      <c r="C695"/>
      <c r="E695"/>
    </row>
    <row r="696" spans="2:5" x14ac:dyDescent="0.25">
      <c r="B696"/>
      <c r="C696"/>
      <c r="E696"/>
    </row>
    <row r="697" spans="2:5" x14ac:dyDescent="0.25">
      <c r="B697"/>
      <c r="C697"/>
      <c r="E697"/>
    </row>
    <row r="698" spans="2:5" x14ac:dyDescent="0.25">
      <c r="B698"/>
      <c r="C698"/>
      <c r="E698"/>
    </row>
    <row r="699" spans="2:5" x14ac:dyDescent="0.25">
      <c r="B699"/>
      <c r="C699"/>
      <c r="E699"/>
    </row>
    <row r="700" spans="2:5" x14ac:dyDescent="0.25">
      <c r="B700"/>
      <c r="C700"/>
      <c r="E700"/>
    </row>
    <row r="701" spans="2:5" x14ac:dyDescent="0.25">
      <c r="B701"/>
      <c r="C701"/>
      <c r="E701"/>
    </row>
    <row r="702" spans="2:5" x14ac:dyDescent="0.25">
      <c r="B702"/>
      <c r="C702"/>
      <c r="E702"/>
    </row>
    <row r="703" spans="2:5" x14ac:dyDescent="0.25">
      <c r="B703"/>
      <c r="C703"/>
      <c r="E703"/>
    </row>
    <row r="704" spans="2:5" x14ac:dyDescent="0.25">
      <c r="B704"/>
      <c r="C704"/>
      <c r="E704"/>
    </row>
    <row r="705" spans="2:5" x14ac:dyDescent="0.25">
      <c r="B705"/>
      <c r="C705"/>
      <c r="E705"/>
    </row>
    <row r="706" spans="2:5" x14ac:dyDescent="0.25">
      <c r="B706"/>
      <c r="C706"/>
      <c r="E706"/>
    </row>
    <row r="707" spans="2:5" x14ac:dyDescent="0.25">
      <c r="B707"/>
      <c r="C707"/>
      <c r="E707"/>
    </row>
    <row r="708" spans="2:5" x14ac:dyDescent="0.25">
      <c r="B708"/>
      <c r="C708"/>
      <c r="E708"/>
    </row>
    <row r="709" spans="2:5" x14ac:dyDescent="0.25">
      <c r="B709"/>
      <c r="C709"/>
      <c r="E709"/>
    </row>
    <row r="710" spans="2:5" x14ac:dyDescent="0.25">
      <c r="B710"/>
      <c r="C710"/>
      <c r="E710"/>
    </row>
    <row r="711" spans="2:5" x14ac:dyDescent="0.25">
      <c r="B711"/>
      <c r="C711"/>
      <c r="E711"/>
    </row>
    <row r="712" spans="2:5" x14ac:dyDescent="0.25">
      <c r="B712"/>
      <c r="C712"/>
      <c r="E712"/>
    </row>
    <row r="713" spans="2:5" x14ac:dyDescent="0.25">
      <c r="B713"/>
      <c r="C713"/>
      <c r="E713"/>
    </row>
    <row r="714" spans="2:5" x14ac:dyDescent="0.25">
      <c r="B714"/>
      <c r="C714"/>
      <c r="E714"/>
    </row>
    <row r="715" spans="2:5" x14ac:dyDescent="0.25">
      <c r="B715"/>
      <c r="C715"/>
      <c r="E715"/>
    </row>
    <row r="716" spans="2:5" x14ac:dyDescent="0.25">
      <c r="B716"/>
      <c r="C716"/>
      <c r="E716"/>
    </row>
    <row r="717" spans="2:5" x14ac:dyDescent="0.25">
      <c r="B717"/>
      <c r="C717"/>
      <c r="E717"/>
    </row>
    <row r="718" spans="2:5" x14ac:dyDescent="0.25">
      <c r="B718"/>
      <c r="C718"/>
      <c r="E718"/>
    </row>
    <row r="719" spans="2:5" x14ac:dyDescent="0.25">
      <c r="B719"/>
      <c r="C719"/>
      <c r="E719"/>
    </row>
    <row r="720" spans="2:5" x14ac:dyDescent="0.25">
      <c r="B720"/>
      <c r="C720"/>
      <c r="E720"/>
    </row>
    <row r="721" spans="2:5" x14ac:dyDescent="0.25">
      <c r="B721"/>
      <c r="C721"/>
      <c r="E721"/>
    </row>
    <row r="722" spans="2:5" x14ac:dyDescent="0.25">
      <c r="B722"/>
      <c r="C722"/>
      <c r="E722"/>
    </row>
    <row r="723" spans="2:5" x14ac:dyDescent="0.25">
      <c r="B723"/>
      <c r="C723"/>
      <c r="E723"/>
    </row>
    <row r="724" spans="2:5" x14ac:dyDescent="0.25">
      <c r="B724"/>
      <c r="C724"/>
      <c r="E724"/>
    </row>
    <row r="725" spans="2:5" x14ac:dyDescent="0.25">
      <c r="B725"/>
      <c r="C725"/>
      <c r="E725"/>
    </row>
    <row r="726" spans="2:5" x14ac:dyDescent="0.25">
      <c r="B726"/>
      <c r="C726"/>
      <c r="E726"/>
    </row>
    <row r="727" spans="2:5" x14ac:dyDescent="0.25">
      <c r="B727"/>
      <c r="C727"/>
      <c r="E727"/>
    </row>
    <row r="728" spans="2:5" x14ac:dyDescent="0.25">
      <c r="B728"/>
      <c r="C728"/>
      <c r="E728"/>
    </row>
    <row r="729" spans="2:5" x14ac:dyDescent="0.25">
      <c r="B729"/>
      <c r="C729"/>
      <c r="E729"/>
    </row>
    <row r="730" spans="2:5" x14ac:dyDescent="0.25">
      <c r="B730"/>
      <c r="C730"/>
      <c r="E730"/>
    </row>
    <row r="731" spans="2:5" x14ac:dyDescent="0.25">
      <c r="B731"/>
      <c r="C731"/>
      <c r="E731"/>
    </row>
    <row r="732" spans="2:5" x14ac:dyDescent="0.25">
      <c r="B732"/>
      <c r="C732"/>
      <c r="E732"/>
    </row>
    <row r="733" spans="2:5" x14ac:dyDescent="0.25">
      <c r="B733"/>
      <c r="C733"/>
      <c r="E733"/>
    </row>
    <row r="734" spans="2:5" x14ac:dyDescent="0.25">
      <c r="B734"/>
      <c r="C734"/>
      <c r="E734"/>
    </row>
    <row r="735" spans="2:5" x14ac:dyDescent="0.25">
      <c r="B735"/>
      <c r="C735"/>
      <c r="E735"/>
    </row>
    <row r="736" spans="2:5" x14ac:dyDescent="0.25">
      <c r="B736"/>
      <c r="C736"/>
      <c r="E736"/>
    </row>
    <row r="737" spans="2:5" x14ac:dyDescent="0.25">
      <c r="B737"/>
      <c r="C737"/>
      <c r="E737"/>
    </row>
    <row r="738" spans="2:5" x14ac:dyDescent="0.25">
      <c r="B738"/>
      <c r="C738"/>
      <c r="E738"/>
    </row>
    <row r="739" spans="2:5" x14ac:dyDescent="0.25">
      <c r="B739"/>
      <c r="C739"/>
      <c r="E739"/>
    </row>
    <row r="740" spans="2:5" x14ac:dyDescent="0.25">
      <c r="B740"/>
      <c r="C740"/>
      <c r="E740"/>
    </row>
    <row r="741" spans="2:5" x14ac:dyDescent="0.25">
      <c r="B741"/>
      <c r="C741"/>
      <c r="E741"/>
    </row>
    <row r="742" spans="2:5" x14ac:dyDescent="0.25">
      <c r="B742"/>
      <c r="C742"/>
      <c r="E742"/>
    </row>
    <row r="743" spans="2:5" x14ac:dyDescent="0.25">
      <c r="B743"/>
      <c r="C743"/>
      <c r="E743"/>
    </row>
    <row r="744" spans="2:5" x14ac:dyDescent="0.25">
      <c r="B744"/>
      <c r="C744"/>
      <c r="E744"/>
    </row>
    <row r="745" spans="2:5" x14ac:dyDescent="0.25">
      <c r="B745"/>
      <c r="C745"/>
      <c r="E745"/>
    </row>
    <row r="746" spans="2:5" x14ac:dyDescent="0.25">
      <c r="B746"/>
      <c r="C746"/>
      <c r="E746"/>
    </row>
    <row r="747" spans="2:5" x14ac:dyDescent="0.25">
      <c r="B747"/>
      <c r="C747"/>
      <c r="E747"/>
    </row>
    <row r="748" spans="2:5" x14ac:dyDescent="0.25">
      <c r="B748"/>
      <c r="C748"/>
      <c r="E748"/>
    </row>
    <row r="749" spans="2:5" x14ac:dyDescent="0.25">
      <c r="B749"/>
      <c r="C749"/>
      <c r="E749"/>
    </row>
    <row r="750" spans="2:5" x14ac:dyDescent="0.25">
      <c r="B750"/>
      <c r="C750"/>
      <c r="E750"/>
    </row>
    <row r="751" spans="2:5" x14ac:dyDescent="0.25">
      <c r="B751"/>
      <c r="C751"/>
      <c r="E751"/>
    </row>
    <row r="752" spans="2:5" x14ac:dyDescent="0.25">
      <c r="B752"/>
      <c r="C752"/>
      <c r="E752"/>
    </row>
    <row r="753" spans="2:5" x14ac:dyDescent="0.25">
      <c r="B753"/>
      <c r="C753"/>
      <c r="E753"/>
    </row>
    <row r="754" spans="2:5" x14ac:dyDescent="0.25">
      <c r="B754"/>
      <c r="C754"/>
      <c r="E754"/>
    </row>
    <row r="755" spans="2:5" x14ac:dyDescent="0.25">
      <c r="B755"/>
      <c r="C755"/>
      <c r="E755"/>
    </row>
    <row r="756" spans="2:5" x14ac:dyDescent="0.25">
      <c r="B756"/>
      <c r="C756"/>
      <c r="E756"/>
    </row>
    <row r="757" spans="2:5" x14ac:dyDescent="0.25">
      <c r="B757"/>
      <c r="C757"/>
      <c r="E757"/>
    </row>
    <row r="758" spans="2:5" x14ac:dyDescent="0.25">
      <c r="B758"/>
      <c r="C758"/>
      <c r="E758"/>
    </row>
    <row r="759" spans="2:5" x14ac:dyDescent="0.25">
      <c r="B759"/>
      <c r="C759"/>
      <c r="E759"/>
    </row>
    <row r="760" spans="2:5" x14ac:dyDescent="0.25">
      <c r="B760"/>
      <c r="C760"/>
      <c r="E760"/>
    </row>
    <row r="761" spans="2:5" x14ac:dyDescent="0.25">
      <c r="B761"/>
      <c r="C761"/>
      <c r="E761"/>
    </row>
    <row r="762" spans="2:5" x14ac:dyDescent="0.25">
      <c r="B762"/>
      <c r="C762"/>
      <c r="E762"/>
    </row>
    <row r="763" spans="2:5" x14ac:dyDescent="0.25">
      <c r="B763"/>
      <c r="C763"/>
      <c r="E763"/>
    </row>
    <row r="764" spans="2:5" x14ac:dyDescent="0.25">
      <c r="B764"/>
      <c r="C764"/>
      <c r="E764"/>
    </row>
    <row r="765" spans="2:5" x14ac:dyDescent="0.25">
      <c r="B765"/>
      <c r="C765"/>
      <c r="E765"/>
    </row>
    <row r="766" spans="2:5" x14ac:dyDescent="0.25">
      <c r="B766"/>
      <c r="C766"/>
      <c r="E766"/>
    </row>
    <row r="767" spans="2:5" x14ac:dyDescent="0.25">
      <c r="B767"/>
      <c r="C767"/>
      <c r="E767"/>
    </row>
    <row r="768" spans="2:5" x14ac:dyDescent="0.25">
      <c r="B768"/>
      <c r="C768"/>
      <c r="E768"/>
    </row>
    <row r="769" spans="2:5" x14ac:dyDescent="0.25">
      <c r="B769"/>
      <c r="C769"/>
      <c r="E769"/>
    </row>
    <row r="770" spans="2:5" x14ac:dyDescent="0.25">
      <c r="B770"/>
      <c r="C770"/>
      <c r="E770"/>
    </row>
    <row r="771" spans="2:5" x14ac:dyDescent="0.25">
      <c r="B771"/>
      <c r="C771"/>
      <c r="E771"/>
    </row>
    <row r="772" spans="2:5" x14ac:dyDescent="0.25">
      <c r="B772"/>
      <c r="C772"/>
      <c r="E772"/>
    </row>
    <row r="773" spans="2:5" x14ac:dyDescent="0.25">
      <c r="B773"/>
      <c r="C773"/>
      <c r="E773"/>
    </row>
    <row r="774" spans="2:5" x14ac:dyDescent="0.25">
      <c r="B774"/>
      <c r="C774"/>
      <c r="E774"/>
    </row>
    <row r="775" spans="2:5" x14ac:dyDescent="0.25">
      <c r="B775"/>
      <c r="C775"/>
      <c r="E775"/>
    </row>
    <row r="776" spans="2:5" x14ac:dyDescent="0.25">
      <c r="B776"/>
      <c r="C776"/>
      <c r="E776"/>
    </row>
    <row r="777" spans="2:5" x14ac:dyDescent="0.25">
      <c r="B777"/>
      <c r="C777"/>
      <c r="E777"/>
    </row>
    <row r="778" spans="2:5" x14ac:dyDescent="0.25">
      <c r="B778"/>
      <c r="C778"/>
      <c r="E778"/>
    </row>
    <row r="779" spans="2:5" x14ac:dyDescent="0.25">
      <c r="B779"/>
      <c r="C779"/>
      <c r="E779"/>
    </row>
    <row r="780" spans="2:5" x14ac:dyDescent="0.25">
      <c r="B780"/>
      <c r="C780"/>
      <c r="E780"/>
    </row>
    <row r="781" spans="2:5" x14ac:dyDescent="0.25">
      <c r="B781"/>
      <c r="C781"/>
      <c r="E781"/>
    </row>
    <row r="782" spans="2:5" x14ac:dyDescent="0.25">
      <c r="B782"/>
      <c r="C782"/>
      <c r="E782"/>
    </row>
    <row r="783" spans="2:5" x14ac:dyDescent="0.25">
      <c r="B783"/>
      <c r="C783"/>
      <c r="E783"/>
    </row>
    <row r="784" spans="2:5" x14ac:dyDescent="0.25">
      <c r="B784"/>
      <c r="C784"/>
      <c r="E784"/>
    </row>
    <row r="785" spans="2:5" x14ac:dyDescent="0.25">
      <c r="B785"/>
      <c r="C785"/>
      <c r="E785"/>
    </row>
    <row r="786" spans="2:5" x14ac:dyDescent="0.25">
      <c r="B786"/>
      <c r="C786"/>
      <c r="E786"/>
    </row>
    <row r="787" spans="2:5" x14ac:dyDescent="0.25">
      <c r="B787"/>
      <c r="C787"/>
      <c r="E787"/>
    </row>
    <row r="788" spans="2:5" x14ac:dyDescent="0.25">
      <c r="B788"/>
      <c r="C788"/>
      <c r="E788"/>
    </row>
    <row r="789" spans="2:5" x14ac:dyDescent="0.25">
      <c r="B789"/>
      <c r="C789"/>
      <c r="E789"/>
    </row>
    <row r="790" spans="2:5" x14ac:dyDescent="0.25">
      <c r="B790"/>
      <c r="C790"/>
      <c r="E790"/>
    </row>
    <row r="791" spans="2:5" x14ac:dyDescent="0.25">
      <c r="B791"/>
      <c r="C791"/>
      <c r="E791"/>
    </row>
    <row r="792" spans="2:5" x14ac:dyDescent="0.25">
      <c r="B792"/>
      <c r="C792"/>
      <c r="E792"/>
    </row>
    <row r="793" spans="2:5" x14ac:dyDescent="0.25">
      <c r="B793"/>
      <c r="C793"/>
      <c r="E793"/>
    </row>
    <row r="794" spans="2:5" x14ac:dyDescent="0.25">
      <c r="B794"/>
      <c r="C794"/>
      <c r="E794"/>
    </row>
    <row r="795" spans="2:5" x14ac:dyDescent="0.25">
      <c r="B795"/>
      <c r="C795"/>
      <c r="E795"/>
    </row>
    <row r="796" spans="2:5" x14ac:dyDescent="0.25">
      <c r="B796"/>
      <c r="C796"/>
      <c r="E796"/>
    </row>
    <row r="797" spans="2:5" x14ac:dyDescent="0.25">
      <c r="B797"/>
      <c r="C797"/>
      <c r="E797"/>
    </row>
    <row r="798" spans="2:5" x14ac:dyDescent="0.25">
      <c r="B798"/>
      <c r="C798"/>
      <c r="E798"/>
    </row>
    <row r="799" spans="2:5" x14ac:dyDescent="0.25">
      <c r="B799"/>
      <c r="C799"/>
      <c r="E799"/>
    </row>
    <row r="800" spans="2:5" x14ac:dyDescent="0.25">
      <c r="B800"/>
      <c r="C800"/>
      <c r="E800"/>
    </row>
    <row r="801" spans="2:5" x14ac:dyDescent="0.25">
      <c r="B801"/>
      <c r="C801"/>
      <c r="E801"/>
    </row>
    <row r="802" spans="2:5" x14ac:dyDescent="0.25">
      <c r="B802"/>
      <c r="C802"/>
      <c r="E802"/>
    </row>
    <row r="803" spans="2:5" x14ac:dyDescent="0.25">
      <c r="B803"/>
      <c r="C803"/>
      <c r="E803"/>
    </row>
    <row r="804" spans="2:5" x14ac:dyDescent="0.25">
      <c r="B804"/>
      <c r="C804"/>
      <c r="E804"/>
    </row>
    <row r="805" spans="2:5" x14ac:dyDescent="0.25">
      <c r="B805"/>
      <c r="C805"/>
      <c r="E805"/>
    </row>
    <row r="806" spans="2:5" x14ac:dyDescent="0.25">
      <c r="B806"/>
      <c r="C806"/>
      <c r="E806"/>
    </row>
    <row r="807" spans="2:5" x14ac:dyDescent="0.25">
      <c r="B807"/>
      <c r="C807"/>
      <c r="E807"/>
    </row>
    <row r="808" spans="2:5" x14ac:dyDescent="0.25">
      <c r="B808"/>
      <c r="C808"/>
      <c r="E808"/>
    </row>
    <row r="809" spans="2:5" x14ac:dyDescent="0.25">
      <c r="B809"/>
      <c r="C809"/>
      <c r="E809"/>
    </row>
    <row r="810" spans="2:5" x14ac:dyDescent="0.25">
      <c r="B810"/>
      <c r="C810"/>
      <c r="E810"/>
    </row>
    <row r="811" spans="2:5" x14ac:dyDescent="0.25">
      <c r="B811"/>
      <c r="C811"/>
      <c r="E811"/>
    </row>
    <row r="812" spans="2:5" x14ac:dyDescent="0.25">
      <c r="B812"/>
      <c r="C812"/>
      <c r="E812"/>
    </row>
    <row r="813" spans="2:5" x14ac:dyDescent="0.25">
      <c r="B813"/>
      <c r="C813"/>
      <c r="E813"/>
    </row>
    <row r="814" spans="2:5" x14ac:dyDescent="0.25">
      <c r="B814"/>
      <c r="C814"/>
      <c r="E814"/>
    </row>
    <row r="815" spans="2:5" x14ac:dyDescent="0.25">
      <c r="B815"/>
      <c r="C815"/>
      <c r="E815"/>
    </row>
    <row r="816" spans="2:5" x14ac:dyDescent="0.25">
      <c r="B816"/>
      <c r="C816"/>
      <c r="E816"/>
    </row>
    <row r="817" spans="2:5" x14ac:dyDescent="0.25">
      <c r="B817"/>
      <c r="C817"/>
      <c r="E817"/>
    </row>
    <row r="818" spans="2:5" x14ac:dyDescent="0.25">
      <c r="B818"/>
      <c r="C818"/>
      <c r="E818"/>
    </row>
    <row r="819" spans="2:5" x14ac:dyDescent="0.25">
      <c r="B819"/>
      <c r="C819"/>
      <c r="E819"/>
    </row>
    <row r="820" spans="2:5" x14ac:dyDescent="0.25">
      <c r="B820"/>
      <c r="C820"/>
      <c r="E820"/>
    </row>
    <row r="821" spans="2:5" x14ac:dyDescent="0.25">
      <c r="B821"/>
      <c r="C821"/>
      <c r="E821"/>
    </row>
    <row r="822" spans="2:5" x14ac:dyDescent="0.25">
      <c r="B822"/>
      <c r="C822"/>
      <c r="E822"/>
    </row>
    <row r="823" spans="2:5" x14ac:dyDescent="0.25">
      <c r="B823"/>
      <c r="C823"/>
      <c r="E823"/>
    </row>
    <row r="824" spans="2:5" x14ac:dyDescent="0.25">
      <c r="B824"/>
      <c r="C824"/>
      <c r="E824"/>
    </row>
    <row r="825" spans="2:5" x14ac:dyDescent="0.25">
      <c r="B825"/>
      <c r="C825"/>
      <c r="E825"/>
    </row>
    <row r="826" spans="2:5" x14ac:dyDescent="0.25">
      <c r="B826"/>
      <c r="C826"/>
      <c r="E826"/>
    </row>
    <row r="827" spans="2:5" x14ac:dyDescent="0.25">
      <c r="B827"/>
      <c r="C827"/>
      <c r="E827"/>
    </row>
    <row r="828" spans="2:5" x14ac:dyDescent="0.25">
      <c r="B828"/>
      <c r="C828"/>
      <c r="E828"/>
    </row>
    <row r="829" spans="2:5" x14ac:dyDescent="0.25">
      <c r="B829"/>
      <c r="C829"/>
      <c r="E829"/>
    </row>
    <row r="830" spans="2:5" x14ac:dyDescent="0.25">
      <c r="B830"/>
      <c r="C830"/>
      <c r="E830"/>
    </row>
    <row r="831" spans="2:5" x14ac:dyDescent="0.25">
      <c r="B831"/>
      <c r="C831"/>
      <c r="E831"/>
    </row>
    <row r="832" spans="2:5" x14ac:dyDescent="0.25">
      <c r="B832"/>
      <c r="C832"/>
      <c r="E832"/>
    </row>
    <row r="833" spans="2:5" x14ac:dyDescent="0.25">
      <c r="B833"/>
      <c r="C833"/>
      <c r="E833"/>
    </row>
    <row r="834" spans="2:5" x14ac:dyDescent="0.25">
      <c r="B834"/>
      <c r="C834"/>
      <c r="E834"/>
    </row>
    <row r="835" spans="2:5" x14ac:dyDescent="0.25">
      <c r="B835"/>
      <c r="C835"/>
      <c r="E835"/>
    </row>
    <row r="836" spans="2:5" x14ac:dyDescent="0.25">
      <c r="B836"/>
      <c r="C836"/>
      <c r="E836"/>
    </row>
    <row r="837" spans="2:5" x14ac:dyDescent="0.25">
      <c r="B837"/>
      <c r="C837"/>
      <c r="E837"/>
    </row>
    <row r="838" spans="2:5" x14ac:dyDescent="0.25">
      <c r="B838"/>
      <c r="C838"/>
      <c r="E838"/>
    </row>
    <row r="839" spans="2:5" x14ac:dyDescent="0.25">
      <c r="B839"/>
      <c r="C839"/>
      <c r="E839"/>
    </row>
    <row r="840" spans="2:5" x14ac:dyDescent="0.25">
      <c r="B840"/>
      <c r="C840"/>
      <c r="E840"/>
    </row>
    <row r="841" spans="2:5" x14ac:dyDescent="0.25">
      <c r="B841"/>
      <c r="C841"/>
      <c r="E841"/>
    </row>
    <row r="842" spans="2:5" x14ac:dyDescent="0.25">
      <c r="B842"/>
      <c r="C842"/>
      <c r="E842"/>
    </row>
    <row r="843" spans="2:5" x14ac:dyDescent="0.25">
      <c r="B843"/>
      <c r="C843"/>
      <c r="E843"/>
    </row>
    <row r="844" spans="2:5" x14ac:dyDescent="0.25">
      <c r="B844"/>
      <c r="C844"/>
      <c r="E844"/>
    </row>
    <row r="845" spans="2:5" x14ac:dyDescent="0.25">
      <c r="B845"/>
      <c r="C845"/>
      <c r="E845"/>
    </row>
    <row r="846" spans="2:5" x14ac:dyDescent="0.25">
      <c r="B846"/>
      <c r="C846"/>
      <c r="E846"/>
    </row>
    <row r="847" spans="2:5" x14ac:dyDescent="0.25">
      <c r="B847"/>
      <c r="C847"/>
      <c r="E847"/>
    </row>
    <row r="848" spans="2:5" x14ac:dyDescent="0.25">
      <c r="B848"/>
      <c r="C848"/>
      <c r="E848"/>
    </row>
    <row r="849" spans="2:5" x14ac:dyDescent="0.25">
      <c r="B849"/>
      <c r="C849"/>
      <c r="E849"/>
    </row>
    <row r="850" spans="2:5" x14ac:dyDescent="0.25">
      <c r="B850"/>
      <c r="C850"/>
      <c r="E850"/>
    </row>
    <row r="851" spans="2:5" x14ac:dyDescent="0.25">
      <c r="B851"/>
      <c r="C851"/>
      <c r="E851"/>
    </row>
    <row r="852" spans="2:5" x14ac:dyDescent="0.25">
      <c r="B852"/>
      <c r="C852"/>
      <c r="E852"/>
    </row>
    <row r="853" spans="2:5" x14ac:dyDescent="0.25">
      <c r="B853"/>
      <c r="C853"/>
      <c r="E853"/>
    </row>
    <row r="854" spans="2:5" x14ac:dyDescent="0.25">
      <c r="B854"/>
      <c r="C854"/>
      <c r="E854"/>
    </row>
    <row r="855" spans="2:5" x14ac:dyDescent="0.25">
      <c r="B855"/>
      <c r="C855"/>
      <c r="E855"/>
    </row>
    <row r="856" spans="2:5" x14ac:dyDescent="0.25">
      <c r="B856"/>
      <c r="C856"/>
      <c r="E856"/>
    </row>
    <row r="857" spans="2:5" x14ac:dyDescent="0.25">
      <c r="B857"/>
      <c r="C857"/>
      <c r="E857"/>
    </row>
    <row r="858" spans="2:5" x14ac:dyDescent="0.25">
      <c r="B858"/>
      <c r="C858"/>
      <c r="E858"/>
    </row>
    <row r="859" spans="2:5" x14ac:dyDescent="0.25">
      <c r="B859"/>
      <c r="C859"/>
      <c r="E859"/>
    </row>
    <row r="860" spans="2:5" x14ac:dyDescent="0.25">
      <c r="B860"/>
      <c r="C860"/>
      <c r="E860"/>
    </row>
    <row r="861" spans="2:5" x14ac:dyDescent="0.25">
      <c r="B861"/>
      <c r="C861"/>
      <c r="E861"/>
    </row>
    <row r="862" spans="2:5" x14ac:dyDescent="0.25">
      <c r="B862"/>
      <c r="C862"/>
      <c r="E862"/>
    </row>
    <row r="863" spans="2:5" x14ac:dyDescent="0.25">
      <c r="B863"/>
      <c r="C863"/>
      <c r="E863"/>
    </row>
    <row r="864" spans="2:5" x14ac:dyDescent="0.25">
      <c r="B864"/>
      <c r="C864"/>
      <c r="E864"/>
    </row>
    <row r="865" spans="2:5" x14ac:dyDescent="0.25">
      <c r="B865"/>
      <c r="C865"/>
      <c r="E865"/>
    </row>
    <row r="866" spans="2:5" x14ac:dyDescent="0.25">
      <c r="B866"/>
      <c r="C866"/>
      <c r="E866"/>
    </row>
    <row r="867" spans="2:5" x14ac:dyDescent="0.25">
      <c r="B867"/>
      <c r="C867"/>
      <c r="E867"/>
    </row>
    <row r="868" spans="2:5" x14ac:dyDescent="0.25">
      <c r="B868"/>
      <c r="C868"/>
      <c r="E868"/>
    </row>
    <row r="869" spans="2:5" x14ac:dyDescent="0.25">
      <c r="B869"/>
      <c r="C869"/>
      <c r="E869"/>
    </row>
    <row r="870" spans="2:5" x14ac:dyDescent="0.25">
      <c r="B870"/>
      <c r="C870"/>
      <c r="E870"/>
    </row>
    <row r="871" spans="2:5" x14ac:dyDescent="0.25">
      <c r="B871"/>
      <c r="C871"/>
      <c r="E871"/>
    </row>
    <row r="872" spans="2:5" x14ac:dyDescent="0.25">
      <c r="B872"/>
      <c r="C872"/>
      <c r="E872"/>
    </row>
    <row r="873" spans="2:5" x14ac:dyDescent="0.25">
      <c r="B873"/>
      <c r="C873"/>
      <c r="E873"/>
    </row>
    <row r="874" spans="2:5" x14ac:dyDescent="0.25">
      <c r="B874"/>
      <c r="C874"/>
      <c r="E874"/>
    </row>
    <row r="875" spans="2:5" x14ac:dyDescent="0.25">
      <c r="B875"/>
      <c r="C875"/>
      <c r="E875"/>
    </row>
    <row r="876" spans="2:5" x14ac:dyDescent="0.25">
      <c r="B876"/>
      <c r="C876"/>
      <c r="E876"/>
    </row>
    <row r="877" spans="2:5" x14ac:dyDescent="0.25">
      <c r="B877"/>
      <c r="C877"/>
      <c r="E877"/>
    </row>
    <row r="878" spans="2:5" x14ac:dyDescent="0.25">
      <c r="B878"/>
      <c r="C878"/>
      <c r="E878"/>
    </row>
    <row r="879" spans="2:5" x14ac:dyDescent="0.25">
      <c r="B879"/>
      <c r="C879"/>
      <c r="E879"/>
    </row>
    <row r="880" spans="2:5" x14ac:dyDescent="0.25">
      <c r="B880"/>
      <c r="C880"/>
      <c r="E880"/>
    </row>
    <row r="881" spans="2:5" x14ac:dyDescent="0.25">
      <c r="B881"/>
      <c r="C881"/>
      <c r="E881"/>
    </row>
    <row r="882" spans="2:5" x14ac:dyDescent="0.25">
      <c r="B882"/>
      <c r="C882"/>
      <c r="E882"/>
    </row>
    <row r="883" spans="2:5" x14ac:dyDescent="0.25">
      <c r="B883"/>
      <c r="C883"/>
      <c r="E883"/>
    </row>
    <row r="884" spans="2:5" x14ac:dyDescent="0.25">
      <c r="B884"/>
      <c r="C884"/>
      <c r="E884"/>
    </row>
    <row r="885" spans="2:5" x14ac:dyDescent="0.25">
      <c r="B885"/>
      <c r="C885"/>
      <c r="E885"/>
    </row>
    <row r="886" spans="2:5" x14ac:dyDescent="0.25">
      <c r="B886"/>
      <c r="C886"/>
      <c r="E886"/>
    </row>
    <row r="887" spans="2:5" x14ac:dyDescent="0.25">
      <c r="B887"/>
      <c r="C887"/>
      <c r="E887"/>
    </row>
    <row r="888" spans="2:5" x14ac:dyDescent="0.25">
      <c r="B888"/>
      <c r="C888"/>
      <c r="E888"/>
    </row>
    <row r="889" spans="2:5" x14ac:dyDescent="0.25">
      <c r="B889"/>
      <c r="C889"/>
      <c r="E889"/>
    </row>
    <row r="890" spans="2:5" x14ac:dyDescent="0.25">
      <c r="B890"/>
      <c r="C890"/>
      <c r="E890"/>
    </row>
    <row r="891" spans="2:5" x14ac:dyDescent="0.25">
      <c r="B891"/>
      <c r="C891"/>
      <c r="E891"/>
    </row>
    <row r="892" spans="2:5" x14ac:dyDescent="0.25">
      <c r="B892"/>
      <c r="C892"/>
      <c r="E892"/>
    </row>
    <row r="893" spans="2:5" x14ac:dyDescent="0.25">
      <c r="B893"/>
      <c r="C893"/>
      <c r="E893"/>
    </row>
    <row r="894" spans="2:5" x14ac:dyDescent="0.25">
      <c r="B894"/>
      <c r="C894"/>
      <c r="E894"/>
    </row>
    <row r="895" spans="2:5" x14ac:dyDescent="0.25">
      <c r="B895"/>
      <c r="C895"/>
      <c r="E895"/>
    </row>
    <row r="896" spans="2:5" x14ac:dyDescent="0.25">
      <c r="B896"/>
      <c r="C896"/>
      <c r="E896"/>
    </row>
    <row r="897" spans="2:5" x14ac:dyDescent="0.25">
      <c r="B897"/>
      <c r="C897"/>
      <c r="E897"/>
    </row>
    <row r="898" spans="2:5" x14ac:dyDescent="0.25">
      <c r="B898"/>
      <c r="C898"/>
      <c r="E898"/>
    </row>
    <row r="899" spans="2:5" x14ac:dyDescent="0.25">
      <c r="B899"/>
      <c r="C899"/>
      <c r="E899"/>
    </row>
    <row r="900" spans="2:5" x14ac:dyDescent="0.25">
      <c r="B900"/>
      <c r="C900"/>
      <c r="E900"/>
    </row>
    <row r="901" spans="2:5" x14ac:dyDescent="0.25">
      <c r="B901"/>
      <c r="C901"/>
      <c r="E901"/>
    </row>
    <row r="902" spans="2:5" x14ac:dyDescent="0.25">
      <c r="B902"/>
      <c r="C902"/>
      <c r="E902"/>
    </row>
    <row r="903" spans="2:5" x14ac:dyDescent="0.25">
      <c r="B903"/>
      <c r="C903"/>
      <c r="E903"/>
    </row>
    <row r="904" spans="2:5" x14ac:dyDescent="0.25">
      <c r="B904"/>
      <c r="C904"/>
      <c r="E904"/>
    </row>
    <row r="905" spans="2:5" x14ac:dyDescent="0.25">
      <c r="B905"/>
      <c r="C905"/>
      <c r="E905"/>
    </row>
    <row r="906" spans="2:5" x14ac:dyDescent="0.25">
      <c r="B906"/>
      <c r="C906"/>
      <c r="E906"/>
    </row>
    <row r="907" spans="2:5" x14ac:dyDescent="0.25">
      <c r="B907"/>
      <c r="C907"/>
      <c r="E907"/>
    </row>
    <row r="908" spans="2:5" x14ac:dyDescent="0.25">
      <c r="B908"/>
      <c r="C908"/>
      <c r="E908"/>
    </row>
    <row r="909" spans="2:5" x14ac:dyDescent="0.25">
      <c r="B909"/>
      <c r="C909"/>
      <c r="E909"/>
    </row>
    <row r="910" spans="2:5" x14ac:dyDescent="0.25">
      <c r="B910"/>
      <c r="C910"/>
      <c r="E910"/>
    </row>
    <row r="911" spans="2:5" x14ac:dyDescent="0.25">
      <c r="B911"/>
      <c r="C911"/>
      <c r="E911"/>
    </row>
    <row r="912" spans="2:5" x14ac:dyDescent="0.25">
      <c r="B912"/>
      <c r="C912"/>
      <c r="E912"/>
    </row>
    <row r="913" spans="2:5" x14ac:dyDescent="0.25">
      <c r="B913"/>
      <c r="C913"/>
      <c r="E913"/>
    </row>
    <row r="914" spans="2:5" x14ac:dyDescent="0.25">
      <c r="B914"/>
      <c r="C914"/>
      <c r="E914"/>
    </row>
    <row r="915" spans="2:5" x14ac:dyDescent="0.25">
      <c r="B915"/>
      <c r="C915"/>
      <c r="E915"/>
    </row>
    <row r="916" spans="2:5" x14ac:dyDescent="0.25">
      <c r="B916"/>
      <c r="C916"/>
      <c r="E916"/>
    </row>
    <row r="917" spans="2:5" x14ac:dyDescent="0.25">
      <c r="B917"/>
      <c r="C917"/>
      <c r="E917"/>
    </row>
    <row r="918" spans="2:5" x14ac:dyDescent="0.25">
      <c r="B918"/>
      <c r="C918"/>
      <c r="E918"/>
    </row>
    <row r="919" spans="2:5" x14ac:dyDescent="0.25">
      <c r="B919"/>
      <c r="C919"/>
      <c r="E919"/>
    </row>
    <row r="920" spans="2:5" x14ac:dyDescent="0.25">
      <c r="B920"/>
      <c r="C920"/>
      <c r="E920"/>
    </row>
    <row r="921" spans="2:5" x14ac:dyDescent="0.25">
      <c r="B921"/>
      <c r="C921"/>
      <c r="E921"/>
    </row>
    <row r="922" spans="2:5" x14ac:dyDescent="0.25">
      <c r="B922"/>
      <c r="C922"/>
      <c r="E922"/>
    </row>
    <row r="923" spans="2:5" x14ac:dyDescent="0.25">
      <c r="B923"/>
      <c r="C923"/>
      <c r="E923"/>
    </row>
    <row r="924" spans="2:5" x14ac:dyDescent="0.25">
      <c r="B924"/>
      <c r="C924"/>
      <c r="E924"/>
    </row>
    <row r="925" spans="2:5" x14ac:dyDescent="0.25">
      <c r="B925"/>
      <c r="C925"/>
      <c r="E925"/>
    </row>
    <row r="926" spans="2:5" x14ac:dyDescent="0.25">
      <c r="B926"/>
      <c r="C926"/>
      <c r="E926"/>
    </row>
    <row r="927" spans="2:5" x14ac:dyDescent="0.25">
      <c r="B927"/>
      <c r="C927"/>
      <c r="E927"/>
    </row>
    <row r="928" spans="2:5" x14ac:dyDescent="0.25">
      <c r="B928"/>
      <c r="C928"/>
      <c r="E928"/>
    </row>
    <row r="929" spans="2:5" x14ac:dyDescent="0.25">
      <c r="B929"/>
      <c r="C929"/>
      <c r="E929"/>
    </row>
    <row r="930" spans="2:5" x14ac:dyDescent="0.25">
      <c r="B930"/>
      <c r="C930"/>
      <c r="E930"/>
    </row>
    <row r="931" spans="2:5" x14ac:dyDescent="0.25">
      <c r="B931"/>
      <c r="C931"/>
      <c r="E931"/>
    </row>
    <row r="932" spans="2:5" x14ac:dyDescent="0.25">
      <c r="B932"/>
      <c r="C932"/>
      <c r="E932"/>
    </row>
    <row r="933" spans="2:5" x14ac:dyDescent="0.25">
      <c r="B933"/>
      <c r="C933"/>
      <c r="E933"/>
    </row>
    <row r="934" spans="2:5" x14ac:dyDescent="0.25">
      <c r="B934"/>
      <c r="C934"/>
      <c r="E934"/>
    </row>
    <row r="935" spans="2:5" x14ac:dyDescent="0.25">
      <c r="B935"/>
      <c r="C935"/>
      <c r="E935"/>
    </row>
    <row r="936" spans="2:5" x14ac:dyDescent="0.25">
      <c r="B936"/>
      <c r="C936"/>
      <c r="E936"/>
    </row>
    <row r="937" spans="2:5" x14ac:dyDescent="0.25">
      <c r="B937"/>
      <c r="C937"/>
      <c r="E937"/>
    </row>
    <row r="938" spans="2:5" x14ac:dyDescent="0.25">
      <c r="B938"/>
      <c r="C938"/>
      <c r="E938"/>
    </row>
    <row r="939" spans="2:5" x14ac:dyDescent="0.25">
      <c r="B939"/>
      <c r="C939"/>
      <c r="E939"/>
    </row>
    <row r="940" spans="2:5" x14ac:dyDescent="0.25">
      <c r="B940"/>
      <c r="C940"/>
      <c r="E940"/>
    </row>
    <row r="941" spans="2:5" x14ac:dyDescent="0.25">
      <c r="B941"/>
      <c r="C941"/>
      <c r="E941"/>
    </row>
    <row r="942" spans="2:5" x14ac:dyDescent="0.25">
      <c r="B942"/>
      <c r="C942"/>
      <c r="E942"/>
    </row>
    <row r="943" spans="2:5" x14ac:dyDescent="0.25">
      <c r="B943"/>
      <c r="C943"/>
      <c r="E943"/>
    </row>
    <row r="944" spans="2:5" x14ac:dyDescent="0.25">
      <c r="B944"/>
      <c r="C944"/>
      <c r="E944"/>
    </row>
    <row r="945" spans="2:5" x14ac:dyDescent="0.25">
      <c r="B945"/>
      <c r="C945"/>
      <c r="E945"/>
    </row>
    <row r="946" spans="2:5" x14ac:dyDescent="0.25">
      <c r="B946"/>
      <c r="C946"/>
      <c r="E946"/>
    </row>
    <row r="947" spans="2:5" x14ac:dyDescent="0.25">
      <c r="B947"/>
      <c r="C947"/>
      <c r="E947"/>
    </row>
    <row r="948" spans="2:5" x14ac:dyDescent="0.25">
      <c r="B948"/>
      <c r="C948"/>
      <c r="E948"/>
    </row>
    <row r="949" spans="2:5" x14ac:dyDescent="0.25">
      <c r="B949"/>
      <c r="C949"/>
      <c r="E949"/>
    </row>
    <row r="950" spans="2:5" x14ac:dyDescent="0.25">
      <c r="B950"/>
      <c r="C950"/>
      <c r="E950"/>
    </row>
    <row r="951" spans="2:5" x14ac:dyDescent="0.25">
      <c r="B951"/>
      <c r="C951"/>
      <c r="E951"/>
    </row>
    <row r="952" spans="2:5" x14ac:dyDescent="0.25">
      <c r="B952"/>
      <c r="C952"/>
      <c r="E952"/>
    </row>
    <row r="953" spans="2:5" x14ac:dyDescent="0.25">
      <c r="B953"/>
      <c r="C953"/>
      <c r="E953"/>
    </row>
    <row r="954" spans="2:5" x14ac:dyDescent="0.25">
      <c r="B954"/>
      <c r="C954"/>
      <c r="E954"/>
    </row>
    <row r="955" spans="2:5" x14ac:dyDescent="0.25">
      <c r="B955"/>
      <c r="C955"/>
      <c r="E955"/>
    </row>
    <row r="956" spans="2:5" x14ac:dyDescent="0.25">
      <c r="B956"/>
      <c r="C956"/>
      <c r="E956"/>
    </row>
    <row r="957" spans="2:5" x14ac:dyDescent="0.25">
      <c r="B957"/>
      <c r="C957"/>
      <c r="E957"/>
    </row>
    <row r="958" spans="2:5" x14ac:dyDescent="0.25">
      <c r="B958"/>
      <c r="C958"/>
      <c r="E958"/>
    </row>
    <row r="959" spans="2:5" x14ac:dyDescent="0.25">
      <c r="B959"/>
      <c r="C959"/>
      <c r="E959"/>
    </row>
    <row r="960" spans="2:5" x14ac:dyDescent="0.25">
      <c r="B960"/>
      <c r="C960"/>
      <c r="E960"/>
    </row>
    <row r="961" spans="2:5" x14ac:dyDescent="0.25">
      <c r="B961"/>
      <c r="C961"/>
      <c r="E961"/>
    </row>
    <row r="962" spans="2:5" x14ac:dyDescent="0.25">
      <c r="B962"/>
      <c r="C962"/>
      <c r="E962"/>
    </row>
    <row r="963" spans="2:5" x14ac:dyDescent="0.25">
      <c r="B963"/>
      <c r="C963"/>
      <c r="E963"/>
    </row>
    <row r="964" spans="2:5" x14ac:dyDescent="0.25">
      <c r="B964"/>
      <c r="C964"/>
      <c r="E964"/>
    </row>
    <row r="965" spans="2:5" x14ac:dyDescent="0.25">
      <c r="B965"/>
      <c r="C965"/>
      <c r="E965"/>
    </row>
    <row r="966" spans="2:5" x14ac:dyDescent="0.25">
      <c r="B966"/>
      <c r="C966"/>
      <c r="E966"/>
    </row>
    <row r="967" spans="2:5" x14ac:dyDescent="0.25">
      <c r="B967"/>
      <c r="C967"/>
      <c r="E967"/>
    </row>
    <row r="968" spans="2:5" x14ac:dyDescent="0.25">
      <c r="B968"/>
      <c r="C968"/>
      <c r="E968"/>
    </row>
    <row r="969" spans="2:5" x14ac:dyDescent="0.25">
      <c r="B969"/>
      <c r="C969"/>
      <c r="E969"/>
    </row>
    <row r="970" spans="2:5" x14ac:dyDescent="0.25">
      <c r="B970"/>
      <c r="C970"/>
      <c r="E970"/>
    </row>
    <row r="971" spans="2:5" x14ac:dyDescent="0.25">
      <c r="B971"/>
      <c r="C971"/>
      <c r="E971"/>
    </row>
    <row r="972" spans="2:5" x14ac:dyDescent="0.25">
      <c r="B972"/>
      <c r="C972"/>
      <c r="E972"/>
    </row>
    <row r="973" spans="2:5" x14ac:dyDescent="0.25">
      <c r="B973"/>
      <c r="C973"/>
      <c r="E973"/>
    </row>
    <row r="974" spans="2:5" x14ac:dyDescent="0.25">
      <c r="B974"/>
      <c r="C974"/>
      <c r="E974"/>
    </row>
    <row r="975" spans="2:5" x14ac:dyDescent="0.25">
      <c r="B975"/>
      <c r="C975"/>
      <c r="E975"/>
    </row>
    <row r="976" spans="2:5" x14ac:dyDescent="0.25">
      <c r="B976"/>
      <c r="C976"/>
      <c r="E976"/>
    </row>
    <row r="977" spans="2:5" x14ac:dyDescent="0.25">
      <c r="B977"/>
      <c r="C977"/>
      <c r="E977"/>
    </row>
    <row r="978" spans="2:5" x14ac:dyDescent="0.25">
      <c r="B978"/>
      <c r="C978"/>
      <c r="E978"/>
    </row>
    <row r="979" spans="2:5" x14ac:dyDescent="0.25">
      <c r="B979"/>
      <c r="C979"/>
      <c r="E979"/>
    </row>
    <row r="980" spans="2:5" x14ac:dyDescent="0.25">
      <c r="B980"/>
      <c r="C980"/>
      <c r="E980"/>
    </row>
    <row r="981" spans="2:5" x14ac:dyDescent="0.25">
      <c r="B981"/>
      <c r="C981"/>
      <c r="E981"/>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J33"/>
  <sheetViews>
    <sheetView workbookViewId="0">
      <selection activeCell="E5" sqref="E5:H5"/>
    </sheetView>
  </sheetViews>
  <sheetFormatPr baseColWidth="10" defaultRowHeight="15" x14ac:dyDescent="0.25"/>
  <cols>
    <col min="1" max="1" width="15.7109375" customWidth="1"/>
    <col min="2" max="2" width="14.28515625" customWidth="1"/>
    <col min="3" max="3" width="38.5703125" customWidth="1"/>
    <col min="4" max="4" width="11.42578125" customWidth="1"/>
    <col min="5" max="5" width="15.7109375" customWidth="1"/>
    <col min="6" max="6" width="10" customWidth="1"/>
    <col min="7" max="8" width="15.7109375" customWidth="1"/>
  </cols>
  <sheetData>
    <row r="1" spans="1:10" s="199" customFormat="1" ht="26.25" x14ac:dyDescent="0.4">
      <c r="A1" s="238" t="s">
        <v>146</v>
      </c>
      <c r="B1" s="238"/>
      <c r="C1" s="238"/>
      <c r="D1" s="190"/>
      <c r="E1" s="197"/>
      <c r="F1" s="197"/>
      <c r="G1" s="197"/>
      <c r="H1" s="198"/>
    </row>
    <row r="2" spans="1:10" ht="15.75" x14ac:dyDescent="0.25">
      <c r="A2" s="239" t="s">
        <v>147</v>
      </c>
      <c r="B2" s="239"/>
      <c r="C2" s="239"/>
      <c r="D2" s="191"/>
      <c r="E2" s="135"/>
      <c r="F2" s="135"/>
      <c r="G2" s="135"/>
      <c r="H2" s="135"/>
    </row>
    <row r="3" spans="1:10" ht="16.5" thickBot="1" x14ac:dyDescent="0.3">
      <c r="A3" s="240" t="s">
        <v>148</v>
      </c>
      <c r="B3" s="240"/>
      <c r="C3" s="135"/>
      <c r="D3" s="135"/>
      <c r="E3" s="241" t="s">
        <v>149</v>
      </c>
      <c r="F3" s="241"/>
      <c r="G3" s="241"/>
      <c r="H3" s="241"/>
    </row>
    <row r="4" spans="1:10" ht="17.25" thickTop="1" thickBot="1" x14ac:dyDescent="0.3">
      <c r="A4" s="240" t="s">
        <v>150</v>
      </c>
      <c r="B4" s="240"/>
      <c r="C4" s="135"/>
      <c r="D4" s="135"/>
      <c r="E4" s="135"/>
      <c r="F4" s="135"/>
      <c r="G4" s="135"/>
      <c r="H4" s="135"/>
      <c r="I4" s="173" t="s">
        <v>170</v>
      </c>
      <c r="J4" s="174" t="s">
        <v>204</v>
      </c>
    </row>
    <row r="5" spans="1:10" ht="16.5" thickTop="1" x14ac:dyDescent="0.25">
      <c r="A5" s="136" t="s">
        <v>185</v>
      </c>
      <c r="B5" s="243">
        <v>562094447</v>
      </c>
      <c r="C5" s="243"/>
      <c r="D5" s="135"/>
      <c r="E5" s="251" t="e">
        <f ca="1">IF(VLOOKUP(J4,N°_Client:Societes,2,0)&gt;0,VLOOKUP(J4,N°_Client:Societes,2,0),"")</f>
        <v>#REF!</v>
      </c>
      <c r="F5" s="251"/>
      <c r="G5" s="251"/>
      <c r="H5" s="252"/>
    </row>
    <row r="6" spans="1:10" ht="15.75" x14ac:dyDescent="0.25">
      <c r="A6" s="136" t="s">
        <v>186</v>
      </c>
      <c r="B6" s="240" t="s">
        <v>151</v>
      </c>
      <c r="C6" s="240"/>
      <c r="D6" s="193"/>
      <c r="E6" s="249" t="e">
        <f ca="1">IF(VLOOKUP(J4,N°_Client:(Nom),3,0)&gt;0,VLOOKUP(J4,N°_Client:(Nom),3,0),"")</f>
        <v>#REF!</v>
      </c>
      <c r="F6" s="249"/>
      <c r="G6" s="240" t="e">
        <f ca="1">IF(VLOOKUP(J4,N°_Client:Prénom,4,0)&gt;0,VLOOKUP(J4,N°_Client:Prénom,4,0),"")</f>
        <v>#REF!</v>
      </c>
      <c r="H6" s="240"/>
    </row>
    <row r="7" spans="1:10" ht="15.75" x14ac:dyDescent="0.25">
      <c r="A7" s="136" t="s">
        <v>152</v>
      </c>
      <c r="B7" s="245" t="s">
        <v>153</v>
      </c>
      <c r="C7" s="245"/>
      <c r="D7" s="192"/>
      <c r="E7" s="251" t="e">
        <f ca="1">IF(VLOOKUP(J4,N°_Client:Adresse1,5)&gt;0,VLOOKUP(J4,N°_Client:Adresse1,5),"")</f>
        <v>#REF!</v>
      </c>
      <c r="F7" s="251"/>
      <c r="G7" s="251"/>
      <c r="H7" s="251"/>
    </row>
    <row r="8" spans="1:10" ht="15.75" x14ac:dyDescent="0.25">
      <c r="D8" s="135"/>
      <c r="E8" s="249" t="e">
        <f ca="1">VLOOKUP(J4,N°_Client:Code_Postal,7,0)</f>
        <v>#REF!</v>
      </c>
      <c r="F8" s="249"/>
      <c r="G8" s="240" t="e">
        <f ca="1">VLOOKUP(J4,N°_Client:Ville,8,0)</f>
        <v>#REF!</v>
      </c>
      <c r="H8" s="240"/>
    </row>
    <row r="9" spans="1:10" ht="23.25" x14ac:dyDescent="0.35">
      <c r="A9" s="250" t="s">
        <v>154</v>
      </c>
      <c r="B9" s="250"/>
      <c r="C9" s="250"/>
      <c r="D9" s="250"/>
      <c r="E9" s="250"/>
      <c r="F9" s="250"/>
      <c r="G9" s="250"/>
      <c r="H9" s="250"/>
    </row>
    <row r="10" spans="1:10" ht="15.75" x14ac:dyDescent="0.25">
      <c r="A10" s="136" t="s">
        <v>187</v>
      </c>
      <c r="B10" s="194" t="s">
        <v>182</v>
      </c>
      <c r="C10" s="137" t="s">
        <v>205</v>
      </c>
      <c r="D10" s="137"/>
      <c r="E10" s="135"/>
      <c r="F10" s="135"/>
      <c r="G10" s="135"/>
      <c r="H10" s="135"/>
    </row>
    <row r="11" spans="1:10" ht="15.75" x14ac:dyDescent="0.25">
      <c r="A11" s="136" t="s">
        <v>155</v>
      </c>
      <c r="B11" s="246">
        <f ca="1">TODAY()</f>
        <v>41925</v>
      </c>
      <c r="C11" s="246"/>
      <c r="D11" s="189"/>
      <c r="E11" s="136" t="s">
        <v>156</v>
      </c>
      <c r="F11" s="247">
        <f>H29</f>
        <v>31.156799999999997</v>
      </c>
      <c r="G11" s="248"/>
      <c r="H11" s="135"/>
    </row>
    <row r="12" spans="1:10" ht="15.75" x14ac:dyDescent="0.25">
      <c r="A12" s="135"/>
      <c r="B12" s="135"/>
      <c r="C12" s="135"/>
      <c r="D12" s="135"/>
      <c r="E12" s="135"/>
      <c r="F12" s="135"/>
      <c r="G12" s="135"/>
      <c r="H12" s="135"/>
    </row>
    <row r="13" spans="1:10" ht="32.25" thickBot="1" x14ac:dyDescent="0.3">
      <c r="A13" s="138" t="s">
        <v>0</v>
      </c>
      <c r="B13" s="139" t="s">
        <v>1</v>
      </c>
      <c r="C13" s="138" t="s">
        <v>157</v>
      </c>
      <c r="D13" s="138" t="s">
        <v>183</v>
      </c>
      <c r="E13" s="138" t="s">
        <v>158</v>
      </c>
      <c r="F13" s="138" t="s">
        <v>184</v>
      </c>
      <c r="G13" s="139" t="s">
        <v>159</v>
      </c>
      <c r="H13" s="139" t="s">
        <v>160</v>
      </c>
    </row>
    <row r="14" spans="1:10" ht="15.75" x14ac:dyDescent="0.25">
      <c r="A14" s="140"/>
      <c r="B14" s="141"/>
      <c r="C14" s="142"/>
      <c r="D14" s="142"/>
      <c r="E14" s="143"/>
      <c r="F14" s="144"/>
      <c r="G14" s="143"/>
      <c r="H14" s="145"/>
    </row>
    <row r="15" spans="1:10" ht="15.75" x14ac:dyDescent="0.25">
      <c r="A15" s="146"/>
      <c r="B15" s="141"/>
      <c r="C15" s="142"/>
      <c r="D15" s="142"/>
      <c r="E15" s="143"/>
      <c r="F15" s="144"/>
      <c r="G15" s="143"/>
      <c r="H15" s="145"/>
    </row>
    <row r="16" spans="1:10" ht="15.75" x14ac:dyDescent="0.25">
      <c r="A16" s="146"/>
      <c r="B16" s="141"/>
      <c r="C16" s="147" t="s">
        <v>161</v>
      </c>
      <c r="D16" s="147"/>
      <c r="E16" s="142"/>
      <c r="F16" s="143"/>
      <c r="G16" s="144"/>
      <c r="H16" s="148">
        <f>SUM(H15:H15)</f>
        <v>0</v>
      </c>
    </row>
    <row r="17" spans="1:8" ht="15.75" x14ac:dyDescent="0.25">
      <c r="A17" s="146"/>
      <c r="B17" s="141"/>
      <c r="C17" s="142"/>
      <c r="D17" s="142"/>
      <c r="E17" s="143"/>
      <c r="F17" s="144"/>
      <c r="G17" s="143"/>
      <c r="H17" s="145"/>
    </row>
    <row r="18" spans="1:8" ht="15.75" x14ac:dyDescent="0.25">
      <c r="A18" s="195"/>
      <c r="B18" s="141"/>
      <c r="C18" s="149"/>
      <c r="D18" s="149"/>
      <c r="E18" s="150" t="s">
        <v>162</v>
      </c>
      <c r="F18" s="151" t="s">
        <v>47</v>
      </c>
      <c r="G18" s="150" t="s">
        <v>163</v>
      </c>
      <c r="H18" s="145"/>
    </row>
    <row r="19" spans="1:8" ht="15.75" x14ac:dyDescent="0.25">
      <c r="A19" s="146"/>
      <c r="B19" s="141"/>
      <c r="C19" s="149" t="s">
        <v>164</v>
      </c>
      <c r="D19" s="149"/>
      <c r="E19" s="143">
        <f>SUM(G15:G15)</f>
        <v>0</v>
      </c>
      <c r="F19" s="152">
        <v>4.5</v>
      </c>
      <c r="G19" s="153">
        <v>0</v>
      </c>
      <c r="H19" s="145">
        <f>(F19-(F19*G19))*(E19/1000)</f>
        <v>0</v>
      </c>
    </row>
    <row r="20" spans="1:8" ht="15.75" x14ac:dyDescent="0.25">
      <c r="A20" s="146"/>
      <c r="B20" s="141"/>
      <c r="C20" s="149" t="s">
        <v>165</v>
      </c>
      <c r="D20" s="149"/>
      <c r="E20" s="143"/>
      <c r="F20" s="152">
        <v>-1</v>
      </c>
      <c r="G20" s="153"/>
      <c r="H20" s="145">
        <f>(F20-(F20*G20))*(E20/1000)</f>
        <v>0</v>
      </c>
    </row>
    <row r="21" spans="1:8" ht="15.75" x14ac:dyDescent="0.25">
      <c r="A21" s="146"/>
      <c r="B21" s="141"/>
      <c r="C21" s="149"/>
      <c r="D21" s="149"/>
      <c r="E21" s="143"/>
      <c r="F21" s="152"/>
      <c r="G21" s="153"/>
      <c r="H21" s="145"/>
    </row>
    <row r="22" spans="1:8" ht="15.75" x14ac:dyDescent="0.25">
      <c r="A22" s="154">
        <v>41884</v>
      </c>
      <c r="B22" s="155"/>
      <c r="C22" s="156" t="s">
        <v>166</v>
      </c>
      <c r="D22" s="156"/>
      <c r="E22" s="157">
        <v>25964</v>
      </c>
      <c r="F22" s="152"/>
      <c r="G22" s="153"/>
      <c r="H22" s="145"/>
    </row>
    <row r="23" spans="1:8" ht="15.75" x14ac:dyDescent="0.25">
      <c r="A23" s="154">
        <f ca="1">B11</f>
        <v>41925</v>
      </c>
      <c r="B23" s="155"/>
      <c r="C23" s="156" t="s">
        <v>167</v>
      </c>
      <c r="D23" s="156"/>
      <c r="E23" s="157">
        <v>0</v>
      </c>
      <c r="F23" s="152"/>
      <c r="G23" s="153"/>
      <c r="H23" s="145"/>
    </row>
    <row r="24" spans="1:8" ht="15.75" x14ac:dyDescent="0.25">
      <c r="A24" s="146">
        <f ca="1">A23</f>
        <v>41925</v>
      </c>
      <c r="B24" s="141"/>
      <c r="C24" s="158" t="str">
        <f ca="1">"Frais de Stockage pour "&amp;TEXT(A24,"MMMM")</f>
        <v>Frais de Stockage pour octobre</v>
      </c>
      <c r="D24" s="158"/>
      <c r="E24" s="143">
        <f>E19+E22-E23</f>
        <v>25964</v>
      </c>
      <c r="F24" s="152">
        <v>1</v>
      </c>
      <c r="G24" s="153"/>
      <c r="H24" s="145">
        <f>(F24-(F24*G24))*(E24/1000)</f>
        <v>25.963999999999999</v>
      </c>
    </row>
    <row r="25" spans="1:8" ht="15.75" x14ac:dyDescent="0.25">
      <c r="A25" s="159"/>
      <c r="B25" s="160"/>
      <c r="C25" s="161"/>
      <c r="D25" s="161"/>
      <c r="E25" s="160"/>
      <c r="F25" s="162"/>
      <c r="G25" s="160"/>
      <c r="H25" s="163"/>
    </row>
    <row r="26" spans="1:8" ht="15.75" x14ac:dyDescent="0.25">
      <c r="A26" s="164"/>
      <c r="B26" s="188"/>
      <c r="C26" s="188"/>
      <c r="D26" s="188"/>
      <c r="E26" s="188"/>
      <c r="F26" s="165"/>
      <c r="G26" s="185" t="s">
        <v>181</v>
      </c>
      <c r="H26" s="166">
        <f>SUM(H19:H25)+H16</f>
        <v>25.963999999999999</v>
      </c>
    </row>
    <row r="27" spans="1:8" ht="15.75" x14ac:dyDescent="0.25">
      <c r="A27" s="186"/>
      <c r="B27" s="186"/>
      <c r="C27" s="186"/>
      <c r="D27" s="186"/>
      <c r="E27" s="187"/>
      <c r="F27" s="167" t="s">
        <v>168</v>
      </c>
      <c r="G27" s="168">
        <v>0.1</v>
      </c>
      <c r="H27" s="169">
        <f>H16*G27</f>
        <v>0</v>
      </c>
    </row>
    <row r="28" spans="1:8" ht="15.75" x14ac:dyDescent="0.25">
      <c r="A28" s="186"/>
      <c r="B28" s="186"/>
      <c r="C28" s="186"/>
      <c r="D28" s="186"/>
      <c r="E28" s="187"/>
      <c r="F28" s="167" t="s">
        <v>168</v>
      </c>
      <c r="G28" s="168">
        <v>0.2</v>
      </c>
      <c r="H28" s="169">
        <f>(H19+H20+H24)*G28</f>
        <v>5.1928000000000001</v>
      </c>
    </row>
    <row r="29" spans="1:8" ht="15.75" x14ac:dyDescent="0.25">
      <c r="A29" s="164"/>
      <c r="B29" s="170"/>
      <c r="C29" s="170"/>
      <c r="D29" s="170"/>
      <c r="E29" s="170"/>
      <c r="F29" s="170"/>
      <c r="G29" s="171" t="s">
        <v>169</v>
      </c>
      <c r="H29" s="172">
        <f>H26+H27+H28</f>
        <v>31.156799999999997</v>
      </c>
    </row>
    <row r="31" spans="1:8" ht="15.75" x14ac:dyDescent="0.25">
      <c r="A31" s="242" t="s">
        <v>188</v>
      </c>
      <c r="B31" s="242"/>
      <c r="C31" s="242"/>
      <c r="D31" s="242"/>
      <c r="E31" s="135"/>
      <c r="F31" s="135"/>
      <c r="G31" s="134"/>
    </row>
    <row r="32" spans="1:8" ht="51.75" customHeight="1" x14ac:dyDescent="0.25">
      <c r="A32" s="244" t="s">
        <v>189</v>
      </c>
      <c r="B32" s="244"/>
      <c r="C32" s="244"/>
      <c r="D32" s="244"/>
      <c r="E32" s="244"/>
      <c r="F32" s="244"/>
      <c r="G32" s="244"/>
      <c r="H32" s="244"/>
    </row>
    <row r="33" spans="1:8" x14ac:dyDescent="0.25">
      <c r="A33" s="196"/>
      <c r="B33" s="196"/>
      <c r="C33" s="196"/>
      <c r="D33" s="196"/>
      <c r="E33" s="196"/>
      <c r="F33" s="196"/>
      <c r="G33" s="196"/>
      <c r="H33" s="196"/>
    </row>
  </sheetData>
  <mergeCells count="19">
    <mergeCell ref="A31:D31"/>
    <mergeCell ref="B5:C5"/>
    <mergeCell ref="B6:C6"/>
    <mergeCell ref="A32:H32"/>
    <mergeCell ref="B7:C7"/>
    <mergeCell ref="B11:C11"/>
    <mergeCell ref="F11:G11"/>
    <mergeCell ref="E8:F8"/>
    <mergeCell ref="G8:H8"/>
    <mergeCell ref="A9:H9"/>
    <mergeCell ref="E5:H5"/>
    <mergeCell ref="E6:F6"/>
    <mergeCell ref="G6:H6"/>
    <mergeCell ref="E7:H7"/>
    <mergeCell ref="A1:C1"/>
    <mergeCell ref="A2:C2"/>
    <mergeCell ref="A3:B3"/>
    <mergeCell ref="E3:H3"/>
    <mergeCell ref="A4:B4"/>
  </mergeCells>
  <dataValidations count="1">
    <dataValidation type="list" allowBlank="1" showInputMessage="1" showErrorMessage="1" promptTitle="Choix du Client" prompt="Sélectionner la référence du client pour mettre l'adresse automatiquement en forme._x000a_Si la référence client n'est pas en place, il suffit de l'ajouter dans l'onglet &quot;liste&quot;." sqref="J4">
      <formula1>N°_Client</formula1>
    </dataValidation>
  </dataValidations>
  <hyperlinks>
    <hyperlink ref="B7" r:id="rId1"/>
  </hyperlinks>
  <printOptions horizontalCentered="1"/>
  <pageMargins left="0.39370078740157483" right="0.39370078740157483" top="0.59055118110236227" bottom="0.59055118110236227" header="0.31496062992125984" footer="0.31496062992125984"/>
  <pageSetup paperSize="9" scale="69" orientation="portrait" r:id="rId2"/>
  <headerFooter>
    <oddFooter>&amp;C&amp;8SARL SO.Ma.Sec au capital de 10300€ | n° TVA : FR 44 520 268 467 000 13 | RCS AUCH 520 268 467 | Code APE 5210B&amp;R&amp;8&amp;P/&amp;N</oddFooter>
  </headerFooter>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D10"/>
  <sheetViews>
    <sheetView workbookViewId="0">
      <selection activeCell="B5" sqref="B5"/>
    </sheetView>
  </sheetViews>
  <sheetFormatPr baseColWidth="10" defaultRowHeight="15" x14ac:dyDescent="0.25"/>
  <cols>
    <col min="1" max="1" width="24.140625" customWidth="1"/>
    <col min="2" max="2" width="12.7109375" style="180" customWidth="1"/>
    <col min="3" max="3" width="14.7109375" style="180" bestFit="1" customWidth="1"/>
    <col min="4" max="4" width="9.42578125" style="181" customWidth="1"/>
    <col min="5" max="167" width="9.5703125" bestFit="1" customWidth="1"/>
    <col min="168" max="204" width="8.5703125" bestFit="1" customWidth="1"/>
    <col min="205" max="214" width="7.140625" bestFit="1" customWidth="1"/>
    <col min="215" max="215" width="4.42578125" bestFit="1" customWidth="1"/>
    <col min="216" max="283" width="7.85546875" bestFit="1" customWidth="1"/>
    <col min="284" max="556" width="8.85546875" bestFit="1" customWidth="1"/>
    <col min="557" max="557" width="9.85546875" bestFit="1" customWidth="1"/>
    <col min="558" max="558" width="12.5703125" bestFit="1" customWidth="1"/>
  </cols>
  <sheetData>
    <row r="1" spans="1:4" x14ac:dyDescent="0.25">
      <c r="A1" s="175" t="s">
        <v>0</v>
      </c>
      <c r="B1" s="229" t="s">
        <v>176</v>
      </c>
    </row>
    <row r="2" spans="1:4" x14ac:dyDescent="0.25">
      <c r="A2" s="175" t="s">
        <v>50</v>
      </c>
      <c r="B2" s="229" t="s">
        <v>142</v>
      </c>
    </row>
    <row r="4" spans="1:4" x14ac:dyDescent="0.25">
      <c r="A4" s="175" t="s">
        <v>172</v>
      </c>
      <c r="B4" s="180" t="s">
        <v>158</v>
      </c>
      <c r="C4" s="180" t="s">
        <v>179</v>
      </c>
      <c r="D4" s="181" t="s">
        <v>180</v>
      </c>
    </row>
    <row r="5" spans="1:4" x14ac:dyDescent="0.25">
      <c r="A5" s="176" t="s">
        <v>23</v>
      </c>
      <c r="B5" s="180">
        <v>243620</v>
      </c>
      <c r="C5" s="180">
        <v>203264.37799999997</v>
      </c>
      <c r="D5" s="181">
        <v>5112.9419252199987</v>
      </c>
    </row>
    <row r="6" spans="1:4" x14ac:dyDescent="0.25">
      <c r="A6" s="176" t="s">
        <v>174</v>
      </c>
      <c r="B6" s="180">
        <v>243620</v>
      </c>
      <c r="C6" s="180">
        <v>203264.37799999997</v>
      </c>
      <c r="D6" s="181">
        <v>5112.9419252199987</v>
      </c>
    </row>
    <row r="7" spans="1:4" x14ac:dyDescent="0.25">
      <c r="B7"/>
      <c r="C7"/>
      <c r="D7"/>
    </row>
    <row r="8" spans="1:4" x14ac:dyDescent="0.25">
      <c r="C8"/>
    </row>
    <row r="9" spans="1:4" x14ac:dyDescent="0.25">
      <c r="C9"/>
    </row>
    <row r="10" spans="1:4" x14ac:dyDescent="0.25">
      <c r="C10"/>
    </row>
  </sheetData>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C20"/>
  <sheetViews>
    <sheetView workbookViewId="0">
      <selection activeCell="D3" sqref="D3"/>
    </sheetView>
  </sheetViews>
  <sheetFormatPr baseColWidth="10" defaultRowHeight="15" x14ac:dyDescent="0.25"/>
  <cols>
    <col min="1" max="1" width="28.28515625" bestFit="1" customWidth="1"/>
    <col min="2" max="2" width="11.42578125" style="5"/>
    <col min="3" max="3" width="33.42578125" bestFit="1" customWidth="1"/>
  </cols>
  <sheetData>
    <row r="1" spans="1:3" ht="18.75" x14ac:dyDescent="0.3">
      <c r="A1" s="237" t="s">
        <v>106</v>
      </c>
      <c r="B1" s="237"/>
      <c r="C1" s="237"/>
    </row>
    <row r="2" spans="1:3" ht="18.75" x14ac:dyDescent="0.3">
      <c r="A2" s="67"/>
      <c r="B2" s="67"/>
      <c r="C2" s="67"/>
    </row>
    <row r="3" spans="1:3" x14ac:dyDescent="0.25">
      <c r="A3" s="68" t="s">
        <v>83</v>
      </c>
      <c r="B3" s="69" t="s">
        <v>0</v>
      </c>
      <c r="C3" s="68" t="s">
        <v>84</v>
      </c>
    </row>
    <row r="4" spans="1:3" x14ac:dyDescent="0.25">
      <c r="A4" t="s">
        <v>91</v>
      </c>
      <c r="B4" s="5">
        <v>41562</v>
      </c>
      <c r="C4" t="s">
        <v>108</v>
      </c>
    </row>
    <row r="5" spans="1:3" x14ac:dyDescent="0.25">
      <c r="A5" t="s">
        <v>91</v>
      </c>
      <c r="B5" s="5">
        <v>41562</v>
      </c>
      <c r="C5" t="s">
        <v>109</v>
      </c>
    </row>
    <row r="6" spans="1:3" x14ac:dyDescent="0.25">
      <c r="A6" t="s">
        <v>104</v>
      </c>
      <c r="B6" s="5">
        <v>41599</v>
      </c>
      <c r="C6" t="s">
        <v>105</v>
      </c>
    </row>
    <row r="7" spans="1:3" x14ac:dyDescent="0.25">
      <c r="A7" t="s">
        <v>87</v>
      </c>
      <c r="B7" s="5">
        <v>41626</v>
      </c>
      <c r="C7" t="s">
        <v>88</v>
      </c>
    </row>
    <row r="8" spans="1:3" x14ac:dyDescent="0.25">
      <c r="A8" t="s">
        <v>89</v>
      </c>
      <c r="B8" s="5">
        <v>41626</v>
      </c>
      <c r="C8" t="s">
        <v>99</v>
      </c>
    </row>
    <row r="9" spans="1:3" x14ac:dyDescent="0.25">
      <c r="A9" t="s">
        <v>95</v>
      </c>
      <c r="B9" s="5">
        <v>41626</v>
      </c>
      <c r="C9" t="s">
        <v>96</v>
      </c>
    </row>
    <row r="10" spans="1:3" x14ac:dyDescent="0.25">
      <c r="A10" t="s">
        <v>100</v>
      </c>
      <c r="B10" s="5">
        <v>41626</v>
      </c>
      <c r="C10" t="s">
        <v>101</v>
      </c>
    </row>
    <row r="11" spans="1:3" x14ac:dyDescent="0.25">
      <c r="A11" t="s">
        <v>102</v>
      </c>
      <c r="B11" s="5">
        <v>41626</v>
      </c>
      <c r="C11" t="s">
        <v>103</v>
      </c>
    </row>
    <row r="12" spans="1:3" x14ac:dyDescent="0.25">
      <c r="A12" t="s">
        <v>91</v>
      </c>
      <c r="B12" s="5">
        <v>41639</v>
      </c>
      <c r="C12" t="s">
        <v>107</v>
      </c>
    </row>
    <row r="13" spans="1:3" x14ac:dyDescent="0.25">
      <c r="A13" t="s">
        <v>85</v>
      </c>
      <c r="B13" s="5">
        <v>41795</v>
      </c>
      <c r="C13" t="s">
        <v>86</v>
      </c>
    </row>
    <row r="14" spans="1:3" x14ac:dyDescent="0.25">
      <c r="A14" t="s">
        <v>87</v>
      </c>
      <c r="B14" s="5">
        <v>41795</v>
      </c>
      <c r="C14" t="s">
        <v>88</v>
      </c>
    </row>
    <row r="15" spans="1:3" x14ac:dyDescent="0.25">
      <c r="A15" t="s">
        <v>89</v>
      </c>
      <c r="B15" s="5">
        <v>41795</v>
      </c>
      <c r="C15" t="s">
        <v>90</v>
      </c>
    </row>
    <row r="16" spans="1:3" x14ac:dyDescent="0.25">
      <c r="A16" t="s">
        <v>91</v>
      </c>
      <c r="B16" s="5">
        <v>41795</v>
      </c>
      <c r="C16" t="s">
        <v>92</v>
      </c>
    </row>
    <row r="17" spans="1:3" x14ac:dyDescent="0.25">
      <c r="A17" t="s">
        <v>93</v>
      </c>
      <c r="B17" s="5">
        <v>41795</v>
      </c>
      <c r="C17" t="s">
        <v>94</v>
      </c>
    </row>
    <row r="18" spans="1:3" x14ac:dyDescent="0.25">
      <c r="A18" t="s">
        <v>95</v>
      </c>
      <c r="B18" s="5">
        <v>41795</v>
      </c>
      <c r="C18" t="s">
        <v>96</v>
      </c>
    </row>
    <row r="19" spans="1:3" x14ac:dyDescent="0.25">
      <c r="A19" t="s">
        <v>97</v>
      </c>
      <c r="B19" s="5">
        <v>41795</v>
      </c>
      <c r="C19" t="s">
        <v>96</v>
      </c>
    </row>
    <row r="20" spans="1:3" x14ac:dyDescent="0.25">
      <c r="A20" t="s">
        <v>102</v>
      </c>
      <c r="B20" s="5">
        <v>41795</v>
      </c>
      <c r="C20" t="s">
        <v>98</v>
      </c>
    </row>
  </sheetData>
  <mergeCells count="1">
    <mergeCell ref="A1:C1"/>
  </mergeCells>
  <phoneticPr fontId="17"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D72"/>
  <sheetViews>
    <sheetView topLeftCell="A31" workbookViewId="0">
      <selection activeCell="F3" sqref="F3:F52"/>
    </sheetView>
  </sheetViews>
  <sheetFormatPr baseColWidth="10" defaultRowHeight="15" x14ac:dyDescent="0.25"/>
  <cols>
    <col min="1" max="1" width="7.5703125" bestFit="1" customWidth="1"/>
    <col min="2" max="2" width="5.5703125" bestFit="1" customWidth="1"/>
    <col min="3" max="3" width="16.42578125" bestFit="1" customWidth="1"/>
    <col min="4" max="4" width="13.85546875" bestFit="1" customWidth="1"/>
    <col min="5" max="5" width="9.28515625" bestFit="1" customWidth="1"/>
    <col min="6" max="6" width="11.5703125" bestFit="1" customWidth="1"/>
    <col min="7" max="7" width="9.140625" bestFit="1" customWidth="1"/>
    <col min="8" max="8" width="10.5703125" bestFit="1" customWidth="1"/>
    <col min="9" max="9" width="11.28515625" bestFit="1" customWidth="1"/>
    <col min="10" max="10" width="12.7109375" bestFit="1" customWidth="1"/>
    <col min="11" max="11" width="9.42578125" bestFit="1" customWidth="1"/>
    <col min="12" max="15" width="10.28515625" bestFit="1" customWidth="1"/>
    <col min="18" max="19" width="11.42578125" style="1"/>
    <col min="20" max="30" width="11.42578125" style="70"/>
  </cols>
  <sheetData>
    <row r="1" spans="1:15" x14ac:dyDescent="0.25">
      <c r="A1" t="s">
        <v>111</v>
      </c>
      <c r="B1" t="s">
        <v>126</v>
      </c>
      <c r="C1" t="s">
        <v>127</v>
      </c>
      <c r="D1" t="s">
        <v>112</v>
      </c>
      <c r="E1" t="s">
        <v>23</v>
      </c>
      <c r="F1" t="s">
        <v>128</v>
      </c>
      <c r="G1" t="s">
        <v>76</v>
      </c>
      <c r="H1" t="s">
        <v>113</v>
      </c>
      <c r="I1" t="s">
        <v>81</v>
      </c>
      <c r="J1" t="s">
        <v>78</v>
      </c>
      <c r="K1" t="s">
        <v>114</v>
      </c>
      <c r="L1" t="s">
        <v>115</v>
      </c>
      <c r="M1" t="s">
        <v>116</v>
      </c>
      <c r="N1" t="s">
        <v>117</v>
      </c>
      <c r="O1" t="s">
        <v>118</v>
      </c>
    </row>
    <row r="3" spans="1:15" x14ac:dyDescent="0.25">
      <c r="A3" s="53">
        <v>0</v>
      </c>
      <c r="B3" s="53">
        <v>15.5</v>
      </c>
      <c r="C3" s="53">
        <v>0</v>
      </c>
      <c r="D3" s="53">
        <v>1000</v>
      </c>
      <c r="E3" s="53">
        <v>0</v>
      </c>
      <c r="F3" s="53">
        <v>0</v>
      </c>
      <c r="G3" s="53">
        <v>0</v>
      </c>
      <c r="H3" s="53">
        <v>0</v>
      </c>
      <c r="I3" s="53">
        <v>0</v>
      </c>
      <c r="J3" s="53">
        <v>0</v>
      </c>
      <c r="K3" s="53">
        <v>0</v>
      </c>
      <c r="L3" s="53">
        <v>0</v>
      </c>
      <c r="M3" s="53">
        <v>0</v>
      </c>
      <c r="N3" s="53">
        <v>0</v>
      </c>
      <c r="O3" s="53">
        <v>0</v>
      </c>
    </row>
    <row r="4" spans="1:15" x14ac:dyDescent="0.25">
      <c r="A4" s="53">
        <v>15.51</v>
      </c>
      <c r="B4" s="53">
        <v>16</v>
      </c>
      <c r="C4" s="53">
        <v>1.2</v>
      </c>
      <c r="D4" s="53">
        <v>988</v>
      </c>
      <c r="E4" s="53">
        <v>8.19</v>
      </c>
      <c r="F4" s="53">
        <v>8.19</v>
      </c>
      <c r="G4" s="53">
        <v>0</v>
      </c>
      <c r="H4" s="53">
        <v>0</v>
      </c>
      <c r="I4" s="53">
        <v>1.74622068</v>
      </c>
      <c r="J4" s="53">
        <v>0</v>
      </c>
      <c r="K4" s="53">
        <v>0</v>
      </c>
      <c r="L4" s="53">
        <v>0</v>
      </c>
      <c r="M4" s="53">
        <v>0</v>
      </c>
      <c r="N4" s="53">
        <v>0</v>
      </c>
      <c r="O4" s="53">
        <v>0</v>
      </c>
    </row>
    <row r="5" spans="1:15" x14ac:dyDescent="0.25">
      <c r="A5" s="53">
        <v>16.010000000000002</v>
      </c>
      <c r="B5" s="53">
        <v>16.5</v>
      </c>
      <c r="C5" s="53">
        <v>1.8</v>
      </c>
      <c r="D5" s="53">
        <v>982</v>
      </c>
      <c r="E5" s="53">
        <v>8.19</v>
      </c>
      <c r="F5" s="53">
        <v>8.19</v>
      </c>
      <c r="G5" s="53">
        <v>0</v>
      </c>
      <c r="H5" s="53">
        <v>0</v>
      </c>
      <c r="I5" s="53">
        <v>3.48166222</v>
      </c>
      <c r="J5" s="53">
        <v>0</v>
      </c>
      <c r="K5" s="53">
        <v>0</v>
      </c>
      <c r="L5" s="53">
        <v>0</v>
      </c>
      <c r="M5" s="53">
        <v>0</v>
      </c>
      <c r="N5" s="53">
        <v>0</v>
      </c>
      <c r="O5" s="53">
        <v>0</v>
      </c>
    </row>
    <row r="6" spans="1:15" x14ac:dyDescent="0.25">
      <c r="A6" s="53">
        <v>16.510000000000002</v>
      </c>
      <c r="B6" s="53">
        <v>17</v>
      </c>
      <c r="C6" s="53">
        <v>2.4</v>
      </c>
      <c r="D6" s="53">
        <v>976</v>
      </c>
      <c r="E6" s="53">
        <v>8.19</v>
      </c>
      <c r="F6" s="53">
        <v>8.19</v>
      </c>
      <c r="G6" s="53">
        <v>0</v>
      </c>
      <c r="H6" s="53">
        <v>0</v>
      </c>
      <c r="I6" s="53">
        <v>5.2063246199999993</v>
      </c>
      <c r="J6" s="53">
        <v>0</v>
      </c>
      <c r="K6" s="53">
        <v>0</v>
      </c>
      <c r="L6" s="53">
        <v>0</v>
      </c>
      <c r="M6" s="53">
        <v>0</v>
      </c>
      <c r="N6" s="53">
        <v>0</v>
      </c>
      <c r="O6" s="53">
        <v>0</v>
      </c>
    </row>
    <row r="7" spans="1:15" x14ac:dyDescent="0.25">
      <c r="A7" s="53">
        <v>17.010000000000002</v>
      </c>
      <c r="B7" s="53">
        <v>17.5</v>
      </c>
      <c r="C7" s="53">
        <v>3</v>
      </c>
      <c r="D7" s="53">
        <v>970</v>
      </c>
      <c r="E7" s="53">
        <v>8.19</v>
      </c>
      <c r="F7" s="53">
        <v>8.19</v>
      </c>
      <c r="G7" s="53">
        <v>0</v>
      </c>
      <c r="H7" s="53">
        <v>0</v>
      </c>
      <c r="I7" s="53">
        <v>6.930987019999999</v>
      </c>
      <c r="J7" s="53">
        <v>0</v>
      </c>
      <c r="K7" s="53">
        <v>0</v>
      </c>
      <c r="L7" s="53">
        <v>0</v>
      </c>
      <c r="M7" s="53">
        <v>0</v>
      </c>
      <c r="N7" s="53">
        <v>0</v>
      </c>
      <c r="O7" s="53">
        <v>0</v>
      </c>
    </row>
    <row r="8" spans="1:15" x14ac:dyDescent="0.25">
      <c r="A8" s="53">
        <v>17.510000000000002</v>
      </c>
      <c r="B8" s="53">
        <v>18</v>
      </c>
      <c r="C8" s="53">
        <v>3.6</v>
      </c>
      <c r="D8" s="53">
        <v>964</v>
      </c>
      <c r="E8" s="53">
        <v>8.19</v>
      </c>
      <c r="F8" s="53">
        <v>8.19</v>
      </c>
      <c r="G8" s="53">
        <v>8.34</v>
      </c>
      <c r="H8" s="53">
        <v>9.01</v>
      </c>
      <c r="I8" s="53">
        <v>8.61253286</v>
      </c>
      <c r="J8" s="53">
        <v>9.01</v>
      </c>
      <c r="K8" s="53">
        <v>9.01</v>
      </c>
      <c r="L8" s="53">
        <v>9.01</v>
      </c>
      <c r="M8" s="53">
        <v>9.01</v>
      </c>
      <c r="N8" s="53">
        <v>9.01</v>
      </c>
      <c r="O8" s="53">
        <v>9.01</v>
      </c>
    </row>
    <row r="9" spans="1:15" x14ac:dyDescent="0.25">
      <c r="A9" s="53">
        <v>18.010000000000002</v>
      </c>
      <c r="B9" s="53">
        <v>18.5</v>
      </c>
      <c r="C9" s="53">
        <v>4.2</v>
      </c>
      <c r="D9" s="53">
        <v>958</v>
      </c>
      <c r="E9" s="53">
        <v>9.7899999999999991</v>
      </c>
      <c r="F9" s="53">
        <v>9.7899999999999991</v>
      </c>
      <c r="G9" s="53">
        <v>9.9700000000000006</v>
      </c>
      <c r="H9" s="53">
        <v>10.76</v>
      </c>
      <c r="I9" s="53">
        <v>10.30485784</v>
      </c>
      <c r="J9" s="53">
        <v>10.76</v>
      </c>
      <c r="K9" s="53">
        <v>10.76</v>
      </c>
      <c r="L9" s="53">
        <v>10.76</v>
      </c>
      <c r="M9" s="53">
        <v>10.76</v>
      </c>
      <c r="N9" s="53">
        <v>10.76</v>
      </c>
      <c r="O9" s="53">
        <v>10.76</v>
      </c>
    </row>
    <row r="10" spans="1:15" x14ac:dyDescent="0.25">
      <c r="A10" s="53">
        <v>18.510000000000002</v>
      </c>
      <c r="B10" s="53">
        <v>19</v>
      </c>
      <c r="C10" s="53">
        <v>4.8</v>
      </c>
      <c r="D10" s="53">
        <v>952</v>
      </c>
      <c r="E10" s="53">
        <v>11.38</v>
      </c>
      <c r="F10" s="53">
        <v>11.38</v>
      </c>
      <c r="G10" s="53">
        <v>11.6</v>
      </c>
      <c r="H10" s="53">
        <v>12.52</v>
      </c>
      <c r="I10" s="53">
        <v>11.997182820000001</v>
      </c>
      <c r="J10" s="53">
        <v>12.52</v>
      </c>
      <c r="K10" s="53">
        <v>12.52</v>
      </c>
      <c r="L10" s="53">
        <v>12.52</v>
      </c>
      <c r="M10" s="53">
        <v>12.52</v>
      </c>
      <c r="N10" s="53">
        <v>12.52</v>
      </c>
      <c r="O10" s="53">
        <v>12.52</v>
      </c>
    </row>
    <row r="11" spans="1:15" x14ac:dyDescent="0.25">
      <c r="A11" s="53">
        <v>19.010000000000002</v>
      </c>
      <c r="B11" s="53">
        <v>19.5</v>
      </c>
      <c r="C11" s="53">
        <v>5.4</v>
      </c>
      <c r="D11" s="53">
        <v>946</v>
      </c>
      <c r="E11" s="53">
        <v>14.3</v>
      </c>
      <c r="F11" s="53">
        <v>13</v>
      </c>
      <c r="G11" s="53">
        <v>13.23</v>
      </c>
      <c r="H11" s="53">
        <v>14.29</v>
      </c>
      <c r="I11" s="53">
        <v>13.678728659999999</v>
      </c>
      <c r="J11" s="53">
        <v>14.29</v>
      </c>
      <c r="K11" s="53">
        <v>14.29</v>
      </c>
      <c r="L11" s="53">
        <v>14.29</v>
      </c>
      <c r="M11" s="53">
        <v>14.29</v>
      </c>
      <c r="N11" s="53">
        <v>14.29</v>
      </c>
      <c r="O11" s="53">
        <v>14.29</v>
      </c>
    </row>
    <row r="12" spans="1:15" x14ac:dyDescent="0.25">
      <c r="A12" s="53">
        <v>19.510000000000002</v>
      </c>
      <c r="B12" s="53">
        <v>20</v>
      </c>
      <c r="C12" s="53">
        <v>6</v>
      </c>
      <c r="D12" s="53">
        <v>940</v>
      </c>
      <c r="E12" s="53">
        <v>16.04</v>
      </c>
      <c r="F12" s="53">
        <v>14.59</v>
      </c>
      <c r="G12" s="53">
        <v>14.86</v>
      </c>
      <c r="H12" s="53">
        <v>16.05</v>
      </c>
      <c r="I12" s="53">
        <v>15.371053640000001</v>
      </c>
      <c r="J12" s="53">
        <v>16.05</v>
      </c>
      <c r="K12" s="53">
        <v>16.05</v>
      </c>
      <c r="L12" s="53">
        <v>16.05</v>
      </c>
      <c r="M12" s="53">
        <v>16.05</v>
      </c>
      <c r="N12" s="53">
        <v>16.05</v>
      </c>
      <c r="O12" s="53">
        <v>16.05</v>
      </c>
    </row>
    <row r="13" spans="1:15" x14ac:dyDescent="0.25">
      <c r="A13" s="53">
        <v>20.010000000000002</v>
      </c>
      <c r="B13" s="53">
        <v>20.5</v>
      </c>
      <c r="C13" s="53">
        <v>6.6</v>
      </c>
      <c r="D13" s="53">
        <v>934</v>
      </c>
      <c r="E13" s="53">
        <v>16.59</v>
      </c>
      <c r="F13" s="53">
        <v>15.09</v>
      </c>
      <c r="G13" s="53">
        <v>15.38</v>
      </c>
      <c r="H13" s="53">
        <v>16.61</v>
      </c>
      <c r="I13" s="53">
        <v>15.888452359999999</v>
      </c>
      <c r="J13" s="53">
        <v>16.61</v>
      </c>
      <c r="K13" s="53">
        <v>16.61</v>
      </c>
      <c r="L13" s="53">
        <v>16.61</v>
      </c>
      <c r="M13" s="53">
        <v>16.61</v>
      </c>
      <c r="N13" s="53">
        <v>16.61</v>
      </c>
      <c r="O13" s="53">
        <v>16.61</v>
      </c>
    </row>
    <row r="14" spans="1:15" x14ac:dyDescent="0.25">
      <c r="A14" s="53">
        <v>20.51</v>
      </c>
      <c r="B14" s="53">
        <v>21</v>
      </c>
      <c r="C14" s="53">
        <v>7.2</v>
      </c>
      <c r="D14" s="53">
        <v>928</v>
      </c>
      <c r="E14" s="53">
        <v>17.14</v>
      </c>
      <c r="F14" s="53">
        <v>15.59</v>
      </c>
      <c r="G14" s="53">
        <v>15.88</v>
      </c>
      <c r="H14" s="53">
        <v>17.149999999999999</v>
      </c>
      <c r="I14" s="53">
        <v>16.416630219999998</v>
      </c>
      <c r="J14" s="53">
        <v>17.149999999999999</v>
      </c>
      <c r="K14" s="53">
        <v>17.149999999999999</v>
      </c>
      <c r="L14" s="53">
        <v>17.149999999999999</v>
      </c>
      <c r="M14" s="53">
        <v>17.149999999999999</v>
      </c>
      <c r="N14" s="53">
        <v>17.149999999999999</v>
      </c>
      <c r="O14" s="53">
        <v>17.149999999999999</v>
      </c>
    </row>
    <row r="15" spans="1:15" x14ac:dyDescent="0.25">
      <c r="A15" s="53">
        <v>21.01</v>
      </c>
      <c r="B15" s="53">
        <v>21.5</v>
      </c>
      <c r="C15" s="53">
        <v>7.8</v>
      </c>
      <c r="D15" s="53">
        <v>922</v>
      </c>
      <c r="E15" s="53">
        <v>17.71</v>
      </c>
      <c r="F15" s="53">
        <v>16.100000000000001</v>
      </c>
      <c r="G15" s="53">
        <v>16.39</v>
      </c>
      <c r="H15" s="53">
        <v>17.71</v>
      </c>
      <c r="I15" s="53">
        <v>16.934028940000001</v>
      </c>
      <c r="J15" s="53">
        <v>17.71</v>
      </c>
      <c r="K15" s="53">
        <v>17.71</v>
      </c>
      <c r="L15" s="53">
        <v>17.71</v>
      </c>
      <c r="M15" s="53">
        <v>17.71</v>
      </c>
      <c r="N15" s="53">
        <v>17.71</v>
      </c>
      <c r="O15" s="53">
        <v>17.71</v>
      </c>
    </row>
    <row r="16" spans="1:15" x14ac:dyDescent="0.25">
      <c r="A16" s="53">
        <v>21.51</v>
      </c>
      <c r="B16" s="53">
        <v>22</v>
      </c>
      <c r="C16" s="53">
        <v>8.4</v>
      </c>
      <c r="D16" s="53">
        <v>916</v>
      </c>
      <c r="E16" s="53">
        <v>18.239999999999998</v>
      </c>
      <c r="F16" s="53">
        <v>16.59</v>
      </c>
      <c r="G16" s="53">
        <v>16.899999999999999</v>
      </c>
      <c r="H16" s="53">
        <v>18.25</v>
      </c>
      <c r="I16" s="53">
        <v>17.472985940000001</v>
      </c>
      <c r="J16" s="53">
        <v>18.25</v>
      </c>
      <c r="K16" s="53">
        <v>18.25</v>
      </c>
      <c r="L16" s="53">
        <v>18.25</v>
      </c>
      <c r="M16" s="53">
        <v>18.25</v>
      </c>
      <c r="N16" s="53">
        <v>18.25</v>
      </c>
      <c r="O16" s="53">
        <v>18.25</v>
      </c>
    </row>
    <row r="17" spans="1:15" x14ac:dyDescent="0.25">
      <c r="A17" s="53">
        <v>22.01</v>
      </c>
      <c r="B17" s="53">
        <v>22.5</v>
      </c>
      <c r="C17" s="53">
        <v>9</v>
      </c>
      <c r="D17" s="53">
        <v>910</v>
      </c>
      <c r="E17" s="53">
        <v>18.78</v>
      </c>
      <c r="F17" s="53">
        <v>17.079999999999998</v>
      </c>
      <c r="G17" s="53">
        <v>17.399999999999999</v>
      </c>
      <c r="H17" s="53">
        <v>18.8</v>
      </c>
      <c r="I17" s="53">
        <v>17.99038466</v>
      </c>
      <c r="J17" s="53">
        <v>18.8</v>
      </c>
      <c r="K17" s="53">
        <v>18.8</v>
      </c>
      <c r="L17" s="53">
        <v>18.8</v>
      </c>
      <c r="M17" s="53">
        <v>18.8</v>
      </c>
      <c r="N17" s="53">
        <v>18.8</v>
      </c>
      <c r="O17" s="53">
        <v>18.8</v>
      </c>
    </row>
    <row r="18" spans="1:15" x14ac:dyDescent="0.25">
      <c r="A18" s="53">
        <v>22.51</v>
      </c>
      <c r="B18" s="53">
        <v>23</v>
      </c>
      <c r="C18" s="53">
        <v>9.6</v>
      </c>
      <c r="D18" s="53">
        <v>904</v>
      </c>
      <c r="E18" s="53">
        <v>19.36</v>
      </c>
      <c r="F18" s="53">
        <v>17.600000000000001</v>
      </c>
      <c r="G18" s="53">
        <v>17.93</v>
      </c>
      <c r="H18" s="53">
        <v>19.36</v>
      </c>
      <c r="I18" s="53">
        <v>18.5401208</v>
      </c>
      <c r="J18" s="53">
        <v>19.36</v>
      </c>
      <c r="K18" s="53">
        <v>19.36</v>
      </c>
      <c r="L18" s="53">
        <v>19.36</v>
      </c>
      <c r="M18" s="53">
        <v>19.36</v>
      </c>
      <c r="N18" s="53">
        <v>19.36</v>
      </c>
      <c r="O18" s="53">
        <v>19.36</v>
      </c>
    </row>
    <row r="19" spans="1:15" x14ac:dyDescent="0.25">
      <c r="A19" s="53">
        <v>23.01</v>
      </c>
      <c r="B19" s="53">
        <v>23.5</v>
      </c>
      <c r="C19" s="53">
        <v>10.199999999999999</v>
      </c>
      <c r="D19" s="53">
        <v>898</v>
      </c>
      <c r="E19" s="53">
        <v>19.920000000000002</v>
      </c>
      <c r="F19" s="53">
        <v>18.11</v>
      </c>
      <c r="G19" s="53">
        <v>18.43</v>
      </c>
      <c r="H19" s="53">
        <v>19.91</v>
      </c>
      <c r="I19" s="53">
        <v>19.05751952</v>
      </c>
      <c r="J19" s="53">
        <v>19.91</v>
      </c>
      <c r="K19" s="53">
        <v>19.91</v>
      </c>
      <c r="L19" s="53">
        <v>19.91</v>
      </c>
      <c r="M19" s="53">
        <v>19.91</v>
      </c>
      <c r="N19" s="53">
        <v>19.91</v>
      </c>
      <c r="O19" s="53">
        <v>19.91</v>
      </c>
    </row>
    <row r="20" spans="1:15" x14ac:dyDescent="0.25">
      <c r="A20" s="53">
        <v>23.51</v>
      </c>
      <c r="B20" s="53">
        <v>24</v>
      </c>
      <c r="C20" s="53">
        <v>10.8</v>
      </c>
      <c r="D20" s="53">
        <v>892</v>
      </c>
      <c r="E20" s="53">
        <v>20.46</v>
      </c>
      <c r="F20" s="53">
        <v>18.600000000000001</v>
      </c>
      <c r="G20" s="53">
        <v>18.95</v>
      </c>
      <c r="H20" s="53">
        <v>20.46</v>
      </c>
      <c r="I20" s="53">
        <v>19.59647652</v>
      </c>
      <c r="J20" s="53">
        <v>20.46</v>
      </c>
      <c r="K20" s="53">
        <v>20.46</v>
      </c>
      <c r="L20" s="53">
        <v>20.46</v>
      </c>
      <c r="M20" s="53">
        <v>20.46</v>
      </c>
      <c r="N20" s="53">
        <v>20.46</v>
      </c>
      <c r="O20" s="53">
        <v>20.46</v>
      </c>
    </row>
    <row r="21" spans="1:15" x14ac:dyDescent="0.25">
      <c r="A21" s="53">
        <v>24.01</v>
      </c>
      <c r="B21" s="53">
        <v>24.5</v>
      </c>
      <c r="C21" s="53">
        <v>11.4</v>
      </c>
      <c r="D21" s="53">
        <v>886</v>
      </c>
      <c r="E21" s="53">
        <v>20.65</v>
      </c>
      <c r="F21" s="53">
        <v>18.78</v>
      </c>
      <c r="G21" s="53">
        <v>19.46</v>
      </c>
      <c r="H21" s="53">
        <v>21.02</v>
      </c>
      <c r="I21" s="53">
        <v>20.113875239999999</v>
      </c>
      <c r="J21" s="53">
        <v>21.02</v>
      </c>
      <c r="K21" s="53">
        <v>21.02</v>
      </c>
      <c r="L21" s="53">
        <v>21.02</v>
      </c>
      <c r="M21" s="53">
        <v>21.02</v>
      </c>
      <c r="N21" s="53">
        <v>21.02</v>
      </c>
      <c r="O21" s="53">
        <v>21.02</v>
      </c>
    </row>
    <row r="22" spans="1:15" x14ac:dyDescent="0.25">
      <c r="A22" s="53">
        <v>24.51</v>
      </c>
      <c r="B22" s="53">
        <v>25</v>
      </c>
      <c r="C22" s="53">
        <v>12</v>
      </c>
      <c r="D22" s="53">
        <v>880</v>
      </c>
      <c r="E22" s="53">
        <v>21.19</v>
      </c>
      <c r="F22" s="53">
        <v>19.27</v>
      </c>
      <c r="G22" s="53">
        <v>19.97</v>
      </c>
      <c r="H22" s="53">
        <v>21.56</v>
      </c>
      <c r="I22" s="53">
        <v>20.642053099999998</v>
      </c>
      <c r="J22" s="53">
        <v>21.56</v>
      </c>
      <c r="K22" s="53">
        <v>21.56</v>
      </c>
      <c r="L22" s="53">
        <v>21.56</v>
      </c>
      <c r="M22" s="53">
        <v>21.56</v>
      </c>
      <c r="N22" s="53">
        <v>21.56</v>
      </c>
      <c r="O22" s="53">
        <v>21.56</v>
      </c>
    </row>
    <row r="23" spans="1:15" x14ac:dyDescent="0.25">
      <c r="A23" s="53">
        <v>25.01</v>
      </c>
      <c r="B23" s="53">
        <v>25.5</v>
      </c>
      <c r="C23" s="53">
        <v>12.614999999999998</v>
      </c>
      <c r="D23" s="53">
        <v>873.85</v>
      </c>
      <c r="E23" s="53">
        <v>21.73</v>
      </c>
      <c r="F23" s="53">
        <v>19.760000000000002</v>
      </c>
      <c r="G23" s="53">
        <v>20.47</v>
      </c>
      <c r="H23" s="53">
        <v>22.11</v>
      </c>
      <c r="I23" s="53">
        <v>21.159451820000001</v>
      </c>
      <c r="J23" s="53">
        <v>22.11</v>
      </c>
      <c r="K23" s="53">
        <v>22.11</v>
      </c>
      <c r="L23" s="53">
        <v>22.11</v>
      </c>
      <c r="M23" s="53">
        <v>22.11</v>
      </c>
      <c r="N23" s="53">
        <v>22.11</v>
      </c>
      <c r="O23" s="53">
        <v>22.11</v>
      </c>
    </row>
    <row r="24" spans="1:15" x14ac:dyDescent="0.25">
      <c r="A24" s="53">
        <v>25.51</v>
      </c>
      <c r="B24" s="53">
        <v>26</v>
      </c>
      <c r="C24" s="53">
        <v>13.229999999999995</v>
      </c>
      <c r="D24" s="53">
        <v>867.7</v>
      </c>
      <c r="E24" s="53">
        <v>22.31</v>
      </c>
      <c r="F24" s="53">
        <v>20.29</v>
      </c>
      <c r="G24" s="53">
        <v>21.01</v>
      </c>
      <c r="H24" s="53">
        <v>22.69</v>
      </c>
      <c r="I24" s="53">
        <v>21.719967099999998</v>
      </c>
      <c r="J24" s="53">
        <v>22.69</v>
      </c>
      <c r="K24" s="53">
        <v>22.69</v>
      </c>
      <c r="L24" s="53">
        <v>22.69</v>
      </c>
      <c r="M24" s="53">
        <v>22.69</v>
      </c>
      <c r="N24" s="53">
        <v>22.69</v>
      </c>
      <c r="O24" s="53">
        <v>22.69</v>
      </c>
    </row>
    <row r="25" spans="1:15" x14ac:dyDescent="0.25">
      <c r="A25" s="53">
        <v>26.01</v>
      </c>
      <c r="B25" s="53">
        <v>26.5</v>
      </c>
      <c r="C25" s="53">
        <v>13.845000000000004</v>
      </c>
      <c r="D25" s="53">
        <v>861.55</v>
      </c>
      <c r="E25" s="53">
        <v>22.83</v>
      </c>
      <c r="F25" s="53">
        <v>20.76</v>
      </c>
      <c r="G25" s="53">
        <v>21.5</v>
      </c>
      <c r="H25" s="53">
        <v>23.22</v>
      </c>
      <c r="I25" s="53">
        <v>22.237365819999997</v>
      </c>
      <c r="J25" s="53">
        <v>23.22</v>
      </c>
      <c r="K25" s="53">
        <v>23.22</v>
      </c>
      <c r="L25" s="53">
        <v>23.22</v>
      </c>
      <c r="M25" s="53">
        <v>23.22</v>
      </c>
      <c r="N25" s="53">
        <v>23.22</v>
      </c>
      <c r="O25" s="53">
        <v>23.22</v>
      </c>
    </row>
    <row r="26" spans="1:15" x14ac:dyDescent="0.25">
      <c r="A26" s="53">
        <v>26.51</v>
      </c>
      <c r="B26" s="53">
        <v>27</v>
      </c>
      <c r="C26" s="53">
        <v>14.460000000000003</v>
      </c>
      <c r="D26" s="53">
        <v>855.4</v>
      </c>
      <c r="E26" s="53">
        <v>23.28</v>
      </c>
      <c r="F26" s="53">
        <v>21.17</v>
      </c>
      <c r="G26" s="53">
        <v>22.01</v>
      </c>
      <c r="H26" s="53">
        <v>23.77</v>
      </c>
      <c r="I26" s="53">
        <v>22.75476454</v>
      </c>
      <c r="J26" s="53">
        <v>23.77</v>
      </c>
      <c r="K26" s="53">
        <v>23.77</v>
      </c>
      <c r="L26" s="53">
        <v>23.77</v>
      </c>
      <c r="M26" s="53">
        <v>23.77</v>
      </c>
      <c r="N26" s="53">
        <v>23.77</v>
      </c>
      <c r="O26" s="53">
        <v>23.77</v>
      </c>
    </row>
    <row r="27" spans="1:15" x14ac:dyDescent="0.25">
      <c r="A27" s="53">
        <v>27.01</v>
      </c>
      <c r="B27" s="53">
        <v>27.5</v>
      </c>
      <c r="C27" s="53">
        <v>15.074999999999999</v>
      </c>
      <c r="D27" s="53">
        <v>849.25</v>
      </c>
      <c r="E27" s="53">
        <v>23.93</v>
      </c>
      <c r="F27" s="53">
        <v>21.76</v>
      </c>
      <c r="G27" s="53">
        <v>22.53</v>
      </c>
      <c r="H27" s="53">
        <v>24.33</v>
      </c>
      <c r="I27" s="53">
        <v>23.29372154</v>
      </c>
      <c r="J27" s="53">
        <v>24.33</v>
      </c>
      <c r="K27" s="53">
        <v>24.33</v>
      </c>
      <c r="L27" s="53">
        <v>24.33</v>
      </c>
      <c r="M27" s="53">
        <v>24.33</v>
      </c>
      <c r="N27" s="53">
        <v>24.33</v>
      </c>
      <c r="O27" s="53">
        <v>24.33</v>
      </c>
    </row>
    <row r="28" spans="1:15" x14ac:dyDescent="0.25">
      <c r="A28" s="53">
        <v>27.51</v>
      </c>
      <c r="B28" s="53">
        <v>28</v>
      </c>
      <c r="C28" s="53">
        <v>15.689999999999998</v>
      </c>
      <c r="D28" s="53">
        <v>843.1</v>
      </c>
      <c r="E28" s="53">
        <v>24.47</v>
      </c>
      <c r="F28" s="53">
        <v>22.25</v>
      </c>
      <c r="G28" s="53">
        <v>23.03</v>
      </c>
      <c r="H28" s="53">
        <v>24.88</v>
      </c>
      <c r="I28" s="53">
        <v>23.811120259999999</v>
      </c>
      <c r="J28" s="53">
        <v>24.88</v>
      </c>
      <c r="K28" s="53">
        <v>24.88</v>
      </c>
      <c r="L28" s="53">
        <v>24.88</v>
      </c>
      <c r="M28" s="53">
        <v>24.88</v>
      </c>
      <c r="N28" s="53">
        <v>24.88</v>
      </c>
      <c r="O28" s="53">
        <v>24.88</v>
      </c>
    </row>
    <row r="29" spans="1:15" x14ac:dyDescent="0.25">
      <c r="A29" s="53">
        <v>28.01</v>
      </c>
      <c r="B29" s="53">
        <v>28.5</v>
      </c>
      <c r="C29" s="53">
        <v>16.304999999999996</v>
      </c>
      <c r="D29" s="53">
        <v>836.95</v>
      </c>
      <c r="E29" s="53">
        <v>25.02</v>
      </c>
      <c r="F29" s="53">
        <v>22.75</v>
      </c>
      <c r="G29" s="53">
        <v>23.55</v>
      </c>
      <c r="H29" s="53">
        <v>25.43</v>
      </c>
      <c r="I29" s="53">
        <v>24.339298119999999</v>
      </c>
      <c r="J29" s="53">
        <v>25.43</v>
      </c>
      <c r="K29" s="53">
        <v>25.43</v>
      </c>
      <c r="L29" s="53">
        <v>25.43</v>
      </c>
      <c r="M29" s="53">
        <v>25.43</v>
      </c>
      <c r="N29" s="53">
        <v>25.43</v>
      </c>
      <c r="O29" s="53">
        <v>25.43</v>
      </c>
    </row>
    <row r="30" spans="1:15" x14ac:dyDescent="0.25">
      <c r="A30" s="53">
        <v>28.51</v>
      </c>
      <c r="B30" s="53">
        <v>29</v>
      </c>
      <c r="C30" s="53">
        <v>16.920000000000005</v>
      </c>
      <c r="D30" s="53">
        <v>830.8</v>
      </c>
      <c r="E30" s="53">
        <v>25.56</v>
      </c>
      <c r="F30" s="53">
        <v>23.24</v>
      </c>
      <c r="G30" s="53">
        <v>24.06</v>
      </c>
      <c r="H30" s="53">
        <v>25.99</v>
      </c>
      <c r="I30" s="53">
        <v>24.867475980000002</v>
      </c>
      <c r="J30" s="53">
        <v>25.99</v>
      </c>
      <c r="K30" s="53">
        <v>25.99</v>
      </c>
      <c r="L30" s="53">
        <v>25.99</v>
      </c>
      <c r="M30" s="53">
        <v>25.99</v>
      </c>
      <c r="N30" s="53">
        <v>25.99</v>
      </c>
      <c r="O30" s="53">
        <v>25.99</v>
      </c>
    </row>
    <row r="31" spans="1:15" x14ac:dyDescent="0.25">
      <c r="A31" s="53">
        <v>29.01</v>
      </c>
      <c r="B31" s="53">
        <v>29.5</v>
      </c>
      <c r="C31" s="53">
        <v>17.535000000000004</v>
      </c>
      <c r="D31" s="53">
        <v>824.65</v>
      </c>
      <c r="E31" s="53">
        <v>26.11</v>
      </c>
      <c r="F31" s="53">
        <v>23.74</v>
      </c>
      <c r="G31" s="53">
        <v>24.58</v>
      </c>
      <c r="H31" s="53">
        <v>26.54</v>
      </c>
      <c r="I31" s="53">
        <v>25.406432980000002</v>
      </c>
      <c r="J31" s="53">
        <v>26.54</v>
      </c>
      <c r="K31" s="53">
        <v>26.54</v>
      </c>
      <c r="L31" s="53">
        <v>26.54</v>
      </c>
      <c r="M31" s="53">
        <v>26.54</v>
      </c>
      <c r="N31" s="53">
        <v>26.54</v>
      </c>
      <c r="O31" s="53">
        <v>26.54</v>
      </c>
    </row>
    <row r="32" spans="1:15" x14ac:dyDescent="0.25">
      <c r="A32" s="53">
        <v>29.51</v>
      </c>
      <c r="B32" s="53">
        <v>30</v>
      </c>
      <c r="C32" s="53">
        <v>18.149999999999999</v>
      </c>
      <c r="D32" s="53">
        <v>818.5</v>
      </c>
      <c r="E32" s="53">
        <v>26.65</v>
      </c>
      <c r="F32" s="53">
        <v>24.23</v>
      </c>
      <c r="G32" s="53">
        <v>25.09</v>
      </c>
      <c r="H32" s="53">
        <v>27.1</v>
      </c>
      <c r="I32" s="53">
        <v>25.945389979999998</v>
      </c>
      <c r="J32" s="53">
        <v>27.1</v>
      </c>
      <c r="K32" s="53">
        <v>27.1</v>
      </c>
      <c r="L32" s="53">
        <v>27.1</v>
      </c>
      <c r="M32" s="53">
        <v>27.1</v>
      </c>
      <c r="N32" s="53">
        <v>27.1</v>
      </c>
      <c r="O32" s="53">
        <v>27.1</v>
      </c>
    </row>
    <row r="33" spans="1:15" x14ac:dyDescent="0.25">
      <c r="A33" s="53">
        <v>30.01</v>
      </c>
      <c r="B33" s="53">
        <v>30.5</v>
      </c>
      <c r="C33" s="53">
        <v>18.795000000000005</v>
      </c>
      <c r="D33" s="53">
        <v>812.05</v>
      </c>
      <c r="E33" s="53">
        <v>27.18</v>
      </c>
      <c r="F33" s="53">
        <v>24.71</v>
      </c>
      <c r="G33" s="53">
        <v>25.58</v>
      </c>
      <c r="H33" s="53">
        <v>27.63</v>
      </c>
      <c r="I33" s="53">
        <v>26.462788700000001</v>
      </c>
      <c r="J33" s="53">
        <v>27.63</v>
      </c>
      <c r="K33" s="53">
        <v>27.63</v>
      </c>
      <c r="L33" s="53">
        <v>27.63</v>
      </c>
      <c r="M33" s="53">
        <v>27.63</v>
      </c>
      <c r="N33" s="53">
        <v>27.63</v>
      </c>
      <c r="O33" s="53">
        <v>27.63</v>
      </c>
    </row>
    <row r="34" spans="1:15" x14ac:dyDescent="0.25">
      <c r="A34" s="53">
        <v>30.51</v>
      </c>
      <c r="B34" s="53">
        <v>31</v>
      </c>
      <c r="C34" s="53">
        <v>19.439999999999998</v>
      </c>
      <c r="D34" s="53">
        <v>805.6</v>
      </c>
      <c r="E34" s="53">
        <v>27.72</v>
      </c>
      <c r="F34" s="53">
        <v>25.2</v>
      </c>
      <c r="G34" s="53">
        <v>26.1</v>
      </c>
      <c r="H34" s="53">
        <v>28.19</v>
      </c>
      <c r="I34" s="53">
        <v>26.98018742</v>
      </c>
      <c r="J34" s="53">
        <v>28.19</v>
      </c>
      <c r="K34" s="53">
        <v>28.19</v>
      </c>
      <c r="L34" s="53">
        <v>28.19</v>
      </c>
      <c r="M34" s="53">
        <v>28.19</v>
      </c>
      <c r="N34" s="53">
        <v>28.19</v>
      </c>
      <c r="O34" s="53">
        <v>28.19</v>
      </c>
    </row>
    <row r="35" spans="1:15" x14ac:dyDescent="0.25">
      <c r="A35" s="53">
        <v>31.01</v>
      </c>
      <c r="B35" s="53">
        <v>31.5</v>
      </c>
      <c r="C35" s="53">
        <v>20.085000000000001</v>
      </c>
      <c r="D35" s="53">
        <v>799.15</v>
      </c>
      <c r="E35" s="53">
        <v>28.27</v>
      </c>
      <c r="F35" s="53">
        <v>25.7</v>
      </c>
      <c r="G35" s="53">
        <v>26.61</v>
      </c>
      <c r="H35" s="53">
        <v>28.74</v>
      </c>
      <c r="I35" s="53">
        <v>27.51914442</v>
      </c>
      <c r="J35" s="53">
        <v>28.74</v>
      </c>
      <c r="K35" s="53">
        <v>28.74</v>
      </c>
      <c r="L35" s="53">
        <v>28.74</v>
      </c>
      <c r="M35" s="53">
        <v>28.74</v>
      </c>
      <c r="N35" s="53">
        <v>28.74</v>
      </c>
      <c r="O35" s="53">
        <v>28.74</v>
      </c>
    </row>
    <row r="36" spans="1:15" x14ac:dyDescent="0.25">
      <c r="A36" s="53">
        <v>31.51</v>
      </c>
      <c r="B36" s="53">
        <v>32</v>
      </c>
      <c r="C36" s="53">
        <v>20.729999999999997</v>
      </c>
      <c r="D36" s="53">
        <v>792.7</v>
      </c>
      <c r="E36" s="53">
        <v>28.82</v>
      </c>
      <c r="F36" s="53">
        <v>26.2</v>
      </c>
      <c r="G36" s="53">
        <v>27.13</v>
      </c>
      <c r="H36" s="53">
        <v>29.3</v>
      </c>
      <c r="I36" s="53">
        <v>28.047322279999999</v>
      </c>
      <c r="J36" s="53">
        <v>29.3</v>
      </c>
      <c r="K36" s="53">
        <v>29.3</v>
      </c>
      <c r="L36" s="53">
        <v>29.3</v>
      </c>
      <c r="M36" s="53">
        <v>29.3</v>
      </c>
      <c r="N36" s="53">
        <v>29.3</v>
      </c>
      <c r="O36" s="53">
        <v>29.3</v>
      </c>
    </row>
    <row r="37" spans="1:15" x14ac:dyDescent="0.25">
      <c r="A37" s="53">
        <v>32.01</v>
      </c>
      <c r="B37" s="53">
        <v>32.5</v>
      </c>
      <c r="C37" s="53">
        <v>21.375</v>
      </c>
      <c r="D37" s="53">
        <v>786.25</v>
      </c>
      <c r="E37" s="53">
        <v>29.98</v>
      </c>
      <c r="F37" s="53">
        <v>27.26</v>
      </c>
      <c r="G37" s="53">
        <v>27.64</v>
      </c>
      <c r="H37" s="53">
        <v>29.85</v>
      </c>
      <c r="I37" s="53">
        <v>28.564720999999999</v>
      </c>
      <c r="J37" s="53">
        <v>29.85</v>
      </c>
      <c r="K37" s="53">
        <v>29.85</v>
      </c>
      <c r="L37" s="53">
        <v>29.85</v>
      </c>
      <c r="M37" s="53">
        <v>29.85</v>
      </c>
      <c r="N37" s="53">
        <v>29.85</v>
      </c>
      <c r="O37" s="53">
        <v>29.85</v>
      </c>
    </row>
    <row r="38" spans="1:15" x14ac:dyDescent="0.25">
      <c r="A38" s="53">
        <v>32.51</v>
      </c>
      <c r="B38" s="53">
        <v>33</v>
      </c>
      <c r="C38" s="53">
        <v>22.020000000000003</v>
      </c>
      <c r="D38" s="53">
        <v>779.8</v>
      </c>
      <c r="E38" s="53">
        <v>30.54</v>
      </c>
      <c r="F38" s="53">
        <v>27.77</v>
      </c>
      <c r="G38" s="53">
        <v>28.16</v>
      </c>
      <c r="H38" s="53">
        <v>30.41</v>
      </c>
      <c r="I38" s="53">
        <v>29.103678000000002</v>
      </c>
      <c r="J38" s="53">
        <v>30.41</v>
      </c>
      <c r="K38" s="53">
        <v>30.41</v>
      </c>
      <c r="L38" s="53">
        <v>30.41</v>
      </c>
      <c r="M38" s="53">
        <v>30.41</v>
      </c>
      <c r="N38" s="53">
        <v>30.41</v>
      </c>
      <c r="O38" s="53">
        <v>30.41</v>
      </c>
    </row>
    <row r="39" spans="1:15" x14ac:dyDescent="0.25">
      <c r="A39" s="53">
        <v>33.01</v>
      </c>
      <c r="B39" s="53">
        <v>33.5</v>
      </c>
      <c r="C39" s="53">
        <v>22.664999999999999</v>
      </c>
      <c r="D39" s="53">
        <v>773.35</v>
      </c>
      <c r="E39" s="53">
        <v>31.1</v>
      </c>
      <c r="F39" s="53">
        <v>28.28</v>
      </c>
      <c r="G39" s="53">
        <v>28.66</v>
      </c>
      <c r="H39" s="53">
        <v>30.96</v>
      </c>
      <c r="I39" s="53">
        <v>29.631855859999998</v>
      </c>
      <c r="J39" s="53">
        <v>30.96</v>
      </c>
      <c r="K39" s="53">
        <v>30.96</v>
      </c>
      <c r="L39" s="53">
        <v>30.96</v>
      </c>
      <c r="M39" s="53">
        <v>30.96</v>
      </c>
      <c r="N39" s="53">
        <v>30.96</v>
      </c>
      <c r="O39" s="53">
        <v>30.96</v>
      </c>
    </row>
    <row r="40" spans="1:15" x14ac:dyDescent="0.25">
      <c r="A40" s="53">
        <v>33.51</v>
      </c>
      <c r="B40" s="53">
        <v>34</v>
      </c>
      <c r="C40" s="53">
        <v>23.310000000000002</v>
      </c>
      <c r="D40" s="53">
        <v>766.9</v>
      </c>
      <c r="E40" s="53">
        <v>31.64</v>
      </c>
      <c r="F40" s="53">
        <v>28.77</v>
      </c>
      <c r="G40" s="53">
        <v>29.17</v>
      </c>
      <c r="H40" s="53">
        <v>31.5</v>
      </c>
      <c r="I40" s="53">
        <v>30.149254579999997</v>
      </c>
      <c r="J40" s="53">
        <v>31.5</v>
      </c>
      <c r="K40" s="53">
        <v>31.5</v>
      </c>
      <c r="L40" s="53">
        <v>31.5</v>
      </c>
      <c r="M40" s="53">
        <v>31.5</v>
      </c>
      <c r="N40" s="53">
        <v>31.5</v>
      </c>
      <c r="O40" s="53">
        <v>31.5</v>
      </c>
    </row>
    <row r="41" spans="1:15" x14ac:dyDescent="0.25">
      <c r="A41" s="53">
        <v>34.01</v>
      </c>
      <c r="B41" s="53">
        <v>34.5</v>
      </c>
      <c r="C41" s="53">
        <v>23.954999999999995</v>
      </c>
      <c r="D41" s="53">
        <v>760.45</v>
      </c>
      <c r="E41" s="53">
        <v>32.200000000000003</v>
      </c>
      <c r="F41" s="53">
        <v>29.28</v>
      </c>
      <c r="G41" s="53">
        <v>29.68</v>
      </c>
      <c r="H41" s="53">
        <v>32.06</v>
      </c>
      <c r="I41" s="53">
        <v>30.688211580000001</v>
      </c>
      <c r="J41" s="53">
        <v>32.06</v>
      </c>
      <c r="K41" s="53">
        <v>32.06</v>
      </c>
      <c r="L41" s="53">
        <v>32.06</v>
      </c>
      <c r="M41" s="53">
        <v>32.06</v>
      </c>
      <c r="N41" s="53">
        <v>32.06</v>
      </c>
      <c r="O41" s="53">
        <v>32.06</v>
      </c>
    </row>
    <row r="42" spans="1:15" x14ac:dyDescent="0.25">
      <c r="A42" s="53">
        <v>34.51</v>
      </c>
      <c r="B42" s="53">
        <v>35</v>
      </c>
      <c r="C42" s="53">
        <v>24.6</v>
      </c>
      <c r="D42" s="53">
        <v>754</v>
      </c>
      <c r="E42" s="53">
        <v>32.75</v>
      </c>
      <c r="F42" s="53">
        <v>29.78</v>
      </c>
      <c r="G42" s="53">
        <v>30.19</v>
      </c>
      <c r="H42" s="53">
        <v>32.6</v>
      </c>
      <c r="I42" s="53">
        <v>31.205610299999996</v>
      </c>
      <c r="J42" s="53">
        <v>32.6</v>
      </c>
      <c r="K42" s="53">
        <v>32.6</v>
      </c>
      <c r="L42" s="53">
        <v>32.6</v>
      </c>
      <c r="M42" s="53">
        <v>32.6</v>
      </c>
      <c r="N42" s="53">
        <v>32.6</v>
      </c>
      <c r="O42" s="53">
        <v>32.6</v>
      </c>
    </row>
    <row r="43" spans="1:15" x14ac:dyDescent="0.25">
      <c r="A43" s="53">
        <v>35.01</v>
      </c>
      <c r="B43" s="53">
        <v>35.5</v>
      </c>
      <c r="C43" s="53">
        <v>25.274999999999999</v>
      </c>
      <c r="D43" s="53">
        <v>747.25</v>
      </c>
      <c r="E43" s="53">
        <v>33.299999999999997</v>
      </c>
      <c r="F43" s="53">
        <v>30.28</v>
      </c>
      <c r="G43" s="53">
        <v>30.71</v>
      </c>
      <c r="H43" s="53">
        <v>33.17</v>
      </c>
      <c r="I43" s="53">
        <v>31.7445673</v>
      </c>
      <c r="J43" s="53">
        <v>33.17</v>
      </c>
      <c r="K43" s="53">
        <v>33.17</v>
      </c>
      <c r="L43" s="53">
        <v>33.17</v>
      </c>
      <c r="M43" s="53">
        <v>33.17</v>
      </c>
      <c r="N43" s="53">
        <v>33.17</v>
      </c>
      <c r="O43" s="53">
        <v>33.17</v>
      </c>
    </row>
    <row r="44" spans="1:15" x14ac:dyDescent="0.25">
      <c r="A44" s="53">
        <v>35.51</v>
      </c>
      <c r="B44" s="53">
        <v>36</v>
      </c>
      <c r="C44" s="53">
        <v>25.95</v>
      </c>
      <c r="D44" s="53">
        <v>740.5</v>
      </c>
      <c r="E44" s="53">
        <v>33.85</v>
      </c>
      <c r="F44" s="53">
        <v>30.78</v>
      </c>
      <c r="G44" s="53">
        <v>31.21</v>
      </c>
      <c r="H44" s="53">
        <v>33.71</v>
      </c>
      <c r="I44" s="53">
        <v>32.272745159999999</v>
      </c>
      <c r="J44" s="53">
        <v>33.71</v>
      </c>
      <c r="K44" s="53">
        <v>33.71</v>
      </c>
      <c r="L44" s="53">
        <v>33.71</v>
      </c>
      <c r="M44" s="53">
        <v>33.71</v>
      </c>
      <c r="N44" s="53">
        <v>33.71</v>
      </c>
      <c r="O44" s="53">
        <v>33.71</v>
      </c>
    </row>
    <row r="45" spans="1:15" x14ac:dyDescent="0.25">
      <c r="A45" s="53">
        <v>36.01</v>
      </c>
      <c r="B45" s="53">
        <v>36.5</v>
      </c>
      <c r="C45" s="53">
        <v>26.625</v>
      </c>
      <c r="D45" s="53">
        <v>733.75</v>
      </c>
      <c r="E45" s="53">
        <v>34.43</v>
      </c>
      <c r="F45" s="53">
        <v>31.3</v>
      </c>
      <c r="G45" s="53">
        <v>31.73</v>
      </c>
      <c r="H45" s="53">
        <v>34.270000000000003</v>
      </c>
      <c r="I45" s="53">
        <v>32.790143880000002</v>
      </c>
      <c r="J45" s="53">
        <v>34.270000000000003</v>
      </c>
      <c r="K45" s="53">
        <v>34.270000000000003</v>
      </c>
      <c r="L45" s="53">
        <v>34.270000000000003</v>
      </c>
      <c r="M45" s="53">
        <v>34.270000000000003</v>
      </c>
      <c r="N45" s="53">
        <v>34.270000000000003</v>
      </c>
      <c r="O45" s="53">
        <v>34.270000000000003</v>
      </c>
    </row>
    <row r="46" spans="1:15" x14ac:dyDescent="0.25">
      <c r="A46" s="53">
        <v>36.51</v>
      </c>
      <c r="B46" s="53">
        <v>37</v>
      </c>
      <c r="C46" s="53">
        <v>27.3</v>
      </c>
      <c r="D46" s="53">
        <v>727</v>
      </c>
      <c r="E46" s="53">
        <v>34.99</v>
      </c>
      <c r="F46" s="53">
        <v>31.81</v>
      </c>
      <c r="G46" s="53">
        <v>32.24</v>
      </c>
      <c r="H46" s="53">
        <v>34.82</v>
      </c>
      <c r="I46" s="53">
        <v>33.329100879999999</v>
      </c>
      <c r="J46" s="53">
        <v>34.82</v>
      </c>
      <c r="K46" s="53">
        <v>34.82</v>
      </c>
      <c r="L46" s="53">
        <v>34.82</v>
      </c>
      <c r="M46" s="53">
        <v>34.82</v>
      </c>
      <c r="N46" s="53">
        <v>34.82</v>
      </c>
      <c r="O46" s="53">
        <v>34.82</v>
      </c>
    </row>
    <row r="47" spans="1:15" x14ac:dyDescent="0.25">
      <c r="A47" s="53">
        <v>37.01</v>
      </c>
      <c r="B47" s="53">
        <v>37.5</v>
      </c>
      <c r="C47" s="53">
        <v>27.975000000000001</v>
      </c>
      <c r="D47" s="53">
        <v>720.25</v>
      </c>
      <c r="E47" s="53">
        <v>35.5</v>
      </c>
      <c r="F47" s="53">
        <v>32.28</v>
      </c>
      <c r="G47" s="53">
        <v>32.74</v>
      </c>
      <c r="H47" s="53">
        <v>35.36</v>
      </c>
      <c r="I47" s="53">
        <v>33.857278740000005</v>
      </c>
      <c r="J47" s="53">
        <v>35.36</v>
      </c>
      <c r="K47" s="53">
        <v>35.36</v>
      </c>
      <c r="L47" s="53">
        <v>35.36</v>
      </c>
      <c r="M47" s="53">
        <v>35.36</v>
      </c>
      <c r="N47" s="53">
        <v>35.36</v>
      </c>
      <c r="O47" s="53">
        <v>35.36</v>
      </c>
    </row>
    <row r="48" spans="1:15" x14ac:dyDescent="0.25">
      <c r="A48" s="53">
        <v>37.51</v>
      </c>
      <c r="B48" s="53">
        <v>38</v>
      </c>
      <c r="C48" s="53">
        <v>28.65</v>
      </c>
      <c r="D48" s="53">
        <v>713.5</v>
      </c>
      <c r="E48" s="53">
        <v>36.08</v>
      </c>
      <c r="F48" s="53">
        <v>32.799999999999997</v>
      </c>
      <c r="G48" s="53">
        <v>33.25</v>
      </c>
      <c r="H48" s="53">
        <v>35.909999999999997</v>
      </c>
      <c r="I48" s="53">
        <v>34.374677460000001</v>
      </c>
      <c r="J48" s="53">
        <v>35.909999999999997</v>
      </c>
      <c r="K48" s="53">
        <v>35.909999999999997</v>
      </c>
      <c r="L48" s="53">
        <v>35.909999999999997</v>
      </c>
      <c r="M48" s="53">
        <v>35.909999999999997</v>
      </c>
      <c r="N48" s="53">
        <v>35.909999999999997</v>
      </c>
      <c r="O48" s="53">
        <v>35.909999999999997</v>
      </c>
    </row>
    <row r="49" spans="1:15" x14ac:dyDescent="0.25">
      <c r="A49" s="53">
        <v>38.01</v>
      </c>
      <c r="B49" s="53">
        <v>38.5</v>
      </c>
      <c r="C49" s="53">
        <v>29.324999999999999</v>
      </c>
      <c r="D49" s="53">
        <v>706.75</v>
      </c>
      <c r="E49" s="53">
        <v>36.659999999999997</v>
      </c>
      <c r="F49" s="53">
        <v>33.33</v>
      </c>
      <c r="G49" s="53">
        <v>33.78</v>
      </c>
      <c r="H49" s="53">
        <v>36.479999999999997</v>
      </c>
      <c r="I49" s="53">
        <v>34.935192739999998</v>
      </c>
      <c r="J49" s="53">
        <v>36.479999999999997</v>
      </c>
      <c r="K49" s="53">
        <v>36.479999999999997</v>
      </c>
      <c r="L49" s="53">
        <v>36.479999999999997</v>
      </c>
      <c r="M49" s="53">
        <v>36.479999999999997</v>
      </c>
      <c r="N49" s="53">
        <v>36.479999999999997</v>
      </c>
      <c r="O49" s="53">
        <v>36.479999999999997</v>
      </c>
    </row>
    <row r="50" spans="1:15" x14ac:dyDescent="0.25">
      <c r="A50" s="53">
        <v>38.51</v>
      </c>
      <c r="B50" s="53">
        <v>39</v>
      </c>
      <c r="C50" s="53">
        <v>30</v>
      </c>
      <c r="D50" s="53">
        <v>700</v>
      </c>
      <c r="E50" s="53">
        <v>37.19</v>
      </c>
      <c r="F50" s="53">
        <v>33.81</v>
      </c>
      <c r="G50" s="53">
        <v>34.28</v>
      </c>
      <c r="H50" s="53">
        <v>37.020000000000003</v>
      </c>
      <c r="I50" s="53">
        <v>35.452591460000001</v>
      </c>
      <c r="J50" s="53">
        <v>37.020000000000003</v>
      </c>
      <c r="K50" s="53">
        <v>37.020000000000003</v>
      </c>
      <c r="L50" s="53">
        <v>37.020000000000003</v>
      </c>
      <c r="M50" s="53">
        <v>37.020000000000003</v>
      </c>
      <c r="N50" s="53">
        <v>37.020000000000003</v>
      </c>
      <c r="O50" s="53">
        <v>37.020000000000003</v>
      </c>
    </row>
    <row r="51" spans="1:15" x14ac:dyDescent="0.25">
      <c r="A51" s="53">
        <v>39.01</v>
      </c>
      <c r="B51" s="53">
        <v>39.5</v>
      </c>
      <c r="C51" s="53">
        <v>30.675000000000001</v>
      </c>
      <c r="D51" s="53">
        <v>693.25</v>
      </c>
      <c r="E51" s="53">
        <v>37.75</v>
      </c>
      <c r="F51" s="53">
        <v>34.32</v>
      </c>
      <c r="G51" s="53">
        <v>34.799999999999997</v>
      </c>
      <c r="H51" s="53">
        <v>37.58</v>
      </c>
      <c r="I51" s="53">
        <v>35.969990179999996</v>
      </c>
      <c r="J51" s="53">
        <v>37.58</v>
      </c>
      <c r="K51" s="53">
        <v>37.58</v>
      </c>
      <c r="L51" s="53">
        <v>37.58</v>
      </c>
      <c r="M51" s="53">
        <v>37.58</v>
      </c>
      <c r="N51" s="53">
        <v>37.58</v>
      </c>
      <c r="O51" s="53">
        <v>37.58</v>
      </c>
    </row>
    <row r="52" spans="1:15" x14ac:dyDescent="0.25">
      <c r="A52" s="53">
        <v>40.01</v>
      </c>
      <c r="B52" s="53">
        <v>40</v>
      </c>
      <c r="C52" s="53">
        <v>31.35</v>
      </c>
      <c r="D52" s="53">
        <v>686.5</v>
      </c>
      <c r="E52" s="53">
        <v>38.35</v>
      </c>
      <c r="F52" s="53">
        <v>34.85</v>
      </c>
      <c r="G52" s="53">
        <v>35.31</v>
      </c>
      <c r="H52" s="53">
        <v>38.14</v>
      </c>
      <c r="I52" s="53">
        <v>36.508947179999993</v>
      </c>
      <c r="J52" s="53">
        <v>38.14</v>
      </c>
      <c r="K52" s="53">
        <v>38.14</v>
      </c>
      <c r="L52" s="53">
        <v>38.14</v>
      </c>
      <c r="M52" s="53">
        <v>38.14</v>
      </c>
      <c r="N52" s="53">
        <v>38.14</v>
      </c>
      <c r="O52" s="53">
        <v>38.14</v>
      </c>
    </row>
    <row r="53" spans="1:15" x14ac:dyDescent="0.25">
      <c r="A53" s="53">
        <v>40.51</v>
      </c>
      <c r="B53" s="53">
        <v>40.5</v>
      </c>
      <c r="C53" s="53">
        <v>32.049999999999997</v>
      </c>
      <c r="D53" s="53">
        <v>679.5</v>
      </c>
      <c r="E53" s="53"/>
      <c r="F53" s="53"/>
      <c r="G53" s="53">
        <v>35.81</v>
      </c>
      <c r="H53" s="53">
        <v>38.68</v>
      </c>
      <c r="I53" s="53"/>
      <c r="J53" s="53">
        <v>38.68</v>
      </c>
      <c r="K53" s="53">
        <v>38.68</v>
      </c>
      <c r="L53" s="53">
        <v>38.68</v>
      </c>
      <c r="M53" s="53">
        <v>38.68</v>
      </c>
      <c r="N53" s="53">
        <v>38.68</v>
      </c>
      <c r="O53" s="53">
        <v>38.68</v>
      </c>
    </row>
    <row r="54" spans="1:15" x14ac:dyDescent="0.25">
      <c r="A54" s="53">
        <v>41.01</v>
      </c>
      <c r="B54" s="53">
        <v>41</v>
      </c>
      <c r="C54" s="53">
        <v>32.75</v>
      </c>
      <c r="D54" s="53">
        <v>672.5</v>
      </c>
      <c r="E54" s="53"/>
      <c r="F54" s="53"/>
      <c r="G54" s="53">
        <v>36.32</v>
      </c>
      <c r="H54" s="53">
        <v>39.22</v>
      </c>
      <c r="I54" s="53"/>
      <c r="J54" s="53">
        <v>39.22</v>
      </c>
      <c r="K54" s="53">
        <v>39.22</v>
      </c>
      <c r="L54" s="53">
        <v>39.22</v>
      </c>
      <c r="M54" s="53">
        <v>39.22</v>
      </c>
      <c r="N54" s="53">
        <v>39.22</v>
      </c>
      <c r="O54" s="53">
        <v>39.22</v>
      </c>
    </row>
    <row r="55" spans="1:15" x14ac:dyDescent="0.25">
      <c r="A55" s="53">
        <v>41.51</v>
      </c>
      <c r="B55" s="53">
        <v>41.5</v>
      </c>
      <c r="C55" s="53">
        <v>33.450000000000003</v>
      </c>
      <c r="D55" s="53">
        <v>665.5</v>
      </c>
      <c r="E55" s="53"/>
      <c r="F55" s="53"/>
      <c r="G55" s="53">
        <v>36.82</v>
      </c>
      <c r="H55" s="53">
        <v>39.770000000000003</v>
      </c>
      <c r="I55" s="53"/>
      <c r="J55" s="53">
        <v>39.770000000000003</v>
      </c>
      <c r="K55" s="53">
        <v>39.770000000000003</v>
      </c>
      <c r="L55" s="53">
        <v>39.770000000000003</v>
      </c>
      <c r="M55" s="53">
        <v>39.770000000000003</v>
      </c>
      <c r="N55" s="53">
        <v>39.770000000000003</v>
      </c>
      <c r="O55" s="53">
        <v>39.770000000000003</v>
      </c>
    </row>
    <row r="56" spans="1:15" x14ac:dyDescent="0.25">
      <c r="A56" s="53">
        <v>42.01</v>
      </c>
      <c r="B56" s="53">
        <v>42</v>
      </c>
      <c r="C56" s="53">
        <v>34.15</v>
      </c>
      <c r="D56" s="53">
        <v>658.5</v>
      </c>
      <c r="E56" s="53"/>
      <c r="F56" s="53"/>
      <c r="G56" s="53">
        <v>37.33</v>
      </c>
      <c r="H56" s="53">
        <v>40.31</v>
      </c>
      <c r="I56" s="53"/>
      <c r="J56" s="53">
        <v>40.31</v>
      </c>
      <c r="K56" s="53">
        <v>40.31</v>
      </c>
      <c r="L56" s="53">
        <v>40.31</v>
      </c>
      <c r="M56" s="53">
        <v>40.31</v>
      </c>
      <c r="N56" s="53">
        <v>40.31</v>
      </c>
      <c r="O56" s="53">
        <v>40.31</v>
      </c>
    </row>
    <row r="57" spans="1:15" x14ac:dyDescent="0.25">
      <c r="A57" s="53">
        <v>42.51</v>
      </c>
      <c r="B57" s="53">
        <v>42.5</v>
      </c>
      <c r="C57" s="53">
        <v>34.85</v>
      </c>
      <c r="D57" s="53">
        <v>651.5</v>
      </c>
      <c r="E57" s="53"/>
      <c r="F57" s="53"/>
      <c r="G57" s="53">
        <v>37.83</v>
      </c>
      <c r="H57" s="53">
        <v>40.86</v>
      </c>
      <c r="I57" s="53"/>
      <c r="J57" s="53">
        <v>40.86</v>
      </c>
      <c r="K57" s="53">
        <v>40.86</v>
      </c>
      <c r="L57" s="53">
        <v>40.86</v>
      </c>
      <c r="M57" s="53">
        <v>40.86</v>
      </c>
      <c r="N57" s="53">
        <v>40.86</v>
      </c>
      <c r="O57" s="53">
        <v>40.86</v>
      </c>
    </row>
    <row r="58" spans="1:15" x14ac:dyDescent="0.25">
      <c r="A58" s="53">
        <v>43.01</v>
      </c>
      <c r="B58" s="53">
        <v>43</v>
      </c>
      <c r="C58" s="53">
        <v>35.549999999999997</v>
      </c>
      <c r="D58" s="53">
        <v>644.5</v>
      </c>
      <c r="E58" s="53"/>
      <c r="F58" s="53"/>
      <c r="G58" s="53">
        <v>38.340000000000003</v>
      </c>
      <c r="H58" s="53">
        <v>41.4</v>
      </c>
      <c r="I58" s="53"/>
      <c r="J58" s="53">
        <v>41.4</v>
      </c>
      <c r="K58" s="53">
        <v>41.4</v>
      </c>
      <c r="L58" s="53">
        <v>41.4</v>
      </c>
      <c r="M58" s="53">
        <v>41.4</v>
      </c>
      <c r="N58" s="53">
        <v>41.4</v>
      </c>
      <c r="O58" s="53">
        <v>41.4</v>
      </c>
    </row>
    <row r="59" spans="1:15" x14ac:dyDescent="0.25">
      <c r="A59" s="53">
        <v>43.51</v>
      </c>
      <c r="B59" s="53">
        <v>43.5</v>
      </c>
      <c r="C59" s="53">
        <v>36.25</v>
      </c>
      <c r="D59" s="53">
        <v>637.5</v>
      </c>
      <c r="E59" s="53"/>
      <c r="F59" s="53"/>
      <c r="G59" s="53">
        <v>38.840000000000003</v>
      </c>
      <c r="H59" s="53">
        <v>41.95</v>
      </c>
      <c r="I59" s="53"/>
      <c r="J59" s="53">
        <v>41.95</v>
      </c>
      <c r="K59" s="53">
        <v>41.95</v>
      </c>
      <c r="L59" s="53">
        <v>41.95</v>
      </c>
      <c r="M59" s="53">
        <v>41.95</v>
      </c>
      <c r="N59" s="53">
        <v>41.95</v>
      </c>
      <c r="O59" s="53">
        <v>41.95</v>
      </c>
    </row>
    <row r="60" spans="1:15" x14ac:dyDescent="0.25">
      <c r="A60" s="53">
        <v>44.01</v>
      </c>
      <c r="B60" s="53">
        <v>44</v>
      </c>
      <c r="C60" s="53">
        <v>36.950000000000003</v>
      </c>
      <c r="D60" s="53">
        <v>630.5</v>
      </c>
      <c r="E60" s="53"/>
      <c r="F60" s="53"/>
      <c r="G60" s="53">
        <v>39.340000000000003</v>
      </c>
      <c r="H60" s="53">
        <v>42.49</v>
      </c>
      <c r="I60" s="53"/>
      <c r="J60" s="53">
        <v>42.49</v>
      </c>
      <c r="K60" s="53">
        <v>42.49</v>
      </c>
      <c r="L60" s="53">
        <v>42.49</v>
      </c>
      <c r="M60" s="53">
        <v>42.49</v>
      </c>
      <c r="N60" s="53">
        <v>42.49</v>
      </c>
      <c r="O60" s="53">
        <v>42.49</v>
      </c>
    </row>
    <row r="61" spans="1:15" x14ac:dyDescent="0.25">
      <c r="A61" s="53">
        <v>44.51</v>
      </c>
      <c r="B61" s="53">
        <v>44.5</v>
      </c>
      <c r="C61" s="53">
        <v>37.65</v>
      </c>
      <c r="D61" s="53">
        <v>623.5</v>
      </c>
      <c r="E61" s="53"/>
      <c r="F61" s="53"/>
      <c r="G61" s="53">
        <v>39.85</v>
      </c>
      <c r="H61" s="53">
        <v>43.04</v>
      </c>
      <c r="I61" s="53"/>
      <c r="J61" s="53">
        <v>43.04</v>
      </c>
      <c r="K61" s="53">
        <v>43.04</v>
      </c>
      <c r="L61" s="53">
        <v>43.04</v>
      </c>
      <c r="M61" s="53">
        <v>43.04</v>
      </c>
      <c r="N61" s="53">
        <v>43.04</v>
      </c>
      <c r="O61" s="53">
        <v>43.04</v>
      </c>
    </row>
    <row r="62" spans="1:15" x14ac:dyDescent="0.25">
      <c r="A62" s="53">
        <v>45.01</v>
      </c>
      <c r="B62" s="53">
        <v>45</v>
      </c>
      <c r="C62" s="53">
        <v>38.375</v>
      </c>
      <c r="D62" s="53">
        <v>616.25</v>
      </c>
      <c r="E62" s="53"/>
      <c r="F62" s="53"/>
      <c r="G62" s="53">
        <v>40.35</v>
      </c>
      <c r="H62" s="53">
        <v>43.58</v>
      </c>
      <c r="I62" s="53"/>
      <c r="J62" s="53">
        <v>43.58</v>
      </c>
      <c r="K62" s="53">
        <v>43.58</v>
      </c>
      <c r="L62" s="53">
        <v>43.58</v>
      </c>
      <c r="M62" s="53">
        <v>43.58</v>
      </c>
      <c r="N62" s="53">
        <v>43.58</v>
      </c>
      <c r="O62" s="53">
        <v>43.58</v>
      </c>
    </row>
    <row r="63" spans="1:15" x14ac:dyDescent="0.25">
      <c r="A63" s="53">
        <v>45.51</v>
      </c>
      <c r="B63" s="53">
        <v>45.5</v>
      </c>
      <c r="C63" s="53">
        <v>39.1</v>
      </c>
      <c r="D63" s="53">
        <v>609</v>
      </c>
      <c r="E63" s="53"/>
      <c r="F63" s="53"/>
      <c r="G63" s="53">
        <v>40.86</v>
      </c>
      <c r="H63" s="53">
        <v>44.12</v>
      </c>
      <c r="I63" s="53"/>
      <c r="J63" s="53">
        <v>44.12</v>
      </c>
      <c r="K63" s="53">
        <v>44.12</v>
      </c>
      <c r="L63" s="53">
        <v>44.12</v>
      </c>
      <c r="M63" s="53">
        <v>44.12</v>
      </c>
      <c r="N63" s="53">
        <v>44.12</v>
      </c>
      <c r="O63" s="53">
        <v>44.12</v>
      </c>
    </row>
    <row r="64" spans="1:15" x14ac:dyDescent="0.25">
      <c r="A64" s="53">
        <v>46.01</v>
      </c>
      <c r="B64" s="53">
        <v>46</v>
      </c>
      <c r="C64" s="53">
        <v>39.825000000000003</v>
      </c>
      <c r="D64" s="53">
        <v>601.75</v>
      </c>
      <c r="E64" s="53"/>
      <c r="F64" s="53"/>
      <c r="G64" s="53">
        <v>41.36</v>
      </c>
      <c r="H64" s="53">
        <v>44.67</v>
      </c>
      <c r="I64" s="53"/>
      <c r="J64" s="53">
        <v>44.67</v>
      </c>
      <c r="K64" s="53">
        <v>44.67</v>
      </c>
      <c r="L64" s="53">
        <v>44.67</v>
      </c>
      <c r="M64" s="53">
        <v>44.67</v>
      </c>
      <c r="N64" s="53">
        <v>44.67</v>
      </c>
      <c r="O64" s="53">
        <v>44.67</v>
      </c>
    </row>
    <row r="65" spans="1:15" x14ac:dyDescent="0.25">
      <c r="A65" s="53">
        <v>46.51</v>
      </c>
      <c r="B65" s="53">
        <v>46.5</v>
      </c>
      <c r="C65" s="53">
        <v>40.549999999999997</v>
      </c>
      <c r="D65" s="53">
        <v>594.5</v>
      </c>
      <c r="E65" s="53"/>
      <c r="F65" s="53"/>
      <c r="G65" s="53">
        <v>41.86</v>
      </c>
      <c r="H65" s="53">
        <v>45.21</v>
      </c>
      <c r="I65" s="53"/>
      <c r="J65" s="53">
        <v>45.21</v>
      </c>
      <c r="K65" s="53">
        <v>45.21</v>
      </c>
      <c r="L65" s="53">
        <v>45.21</v>
      </c>
      <c r="M65" s="53">
        <v>45.21</v>
      </c>
      <c r="N65" s="53">
        <v>45.21</v>
      </c>
      <c r="O65" s="53">
        <v>45.21</v>
      </c>
    </row>
    <row r="66" spans="1:15" x14ac:dyDescent="0.25">
      <c r="A66" s="53">
        <v>47.01</v>
      </c>
      <c r="B66" s="53">
        <v>47</v>
      </c>
      <c r="C66" s="53">
        <v>41.274999999999999</v>
      </c>
      <c r="D66" s="53">
        <v>587.25</v>
      </c>
      <c r="E66" s="53"/>
      <c r="F66" s="53"/>
      <c r="G66" s="53">
        <v>42.37</v>
      </c>
      <c r="H66" s="53">
        <v>45.76</v>
      </c>
      <c r="I66" s="53"/>
      <c r="J66" s="53">
        <v>45.76</v>
      </c>
      <c r="K66" s="53">
        <v>45.76</v>
      </c>
      <c r="L66" s="53">
        <v>45.76</v>
      </c>
      <c r="M66" s="53">
        <v>45.76</v>
      </c>
      <c r="N66" s="53">
        <v>45.76</v>
      </c>
      <c r="O66" s="53">
        <v>45.76</v>
      </c>
    </row>
    <row r="67" spans="1:15" x14ac:dyDescent="0.25">
      <c r="A67" s="53">
        <v>47.51</v>
      </c>
      <c r="B67" s="53">
        <v>47.5</v>
      </c>
      <c r="C67" s="53">
        <v>42</v>
      </c>
      <c r="D67" s="53">
        <v>580</v>
      </c>
      <c r="E67" s="53"/>
      <c r="F67" s="53"/>
      <c r="G67" s="53">
        <v>42.87</v>
      </c>
      <c r="H67" s="53">
        <v>46.3</v>
      </c>
      <c r="I67" s="53"/>
      <c r="J67" s="53">
        <v>46.3</v>
      </c>
      <c r="K67" s="53">
        <v>46.3</v>
      </c>
      <c r="L67" s="53">
        <v>46.3</v>
      </c>
      <c r="M67" s="53">
        <v>46.3</v>
      </c>
      <c r="N67" s="53">
        <v>46.3</v>
      </c>
      <c r="O67" s="53">
        <v>46.3</v>
      </c>
    </row>
    <row r="68" spans="1:15" x14ac:dyDescent="0.25">
      <c r="A68" s="53">
        <v>48.01</v>
      </c>
      <c r="B68" s="53">
        <v>48</v>
      </c>
      <c r="C68" s="53">
        <v>42.725000000000001</v>
      </c>
      <c r="D68" s="53">
        <v>572.75</v>
      </c>
      <c r="E68" s="53"/>
      <c r="F68" s="53"/>
      <c r="G68" s="53">
        <v>43.38</v>
      </c>
      <c r="H68" s="53">
        <v>46.85</v>
      </c>
      <c r="I68" s="53"/>
      <c r="J68" s="53">
        <v>46.85</v>
      </c>
      <c r="K68" s="53">
        <v>46.85</v>
      </c>
      <c r="L68" s="53">
        <v>46.85</v>
      </c>
      <c r="M68" s="53">
        <v>46.85</v>
      </c>
      <c r="N68" s="53">
        <v>46.85</v>
      </c>
      <c r="O68" s="53">
        <v>46.85</v>
      </c>
    </row>
    <row r="69" spans="1:15" x14ac:dyDescent="0.25">
      <c r="A69" s="53">
        <v>48.51</v>
      </c>
      <c r="B69" s="53">
        <v>48.5</v>
      </c>
      <c r="C69" s="53">
        <v>43.45</v>
      </c>
      <c r="D69" s="53">
        <v>565.5</v>
      </c>
      <c r="E69" s="53"/>
      <c r="F69" s="53"/>
      <c r="G69" s="53">
        <v>43.88</v>
      </c>
      <c r="H69" s="53">
        <v>47.39</v>
      </c>
      <c r="I69" s="53"/>
      <c r="J69" s="53">
        <v>47.39</v>
      </c>
      <c r="K69" s="53">
        <v>47.39</v>
      </c>
      <c r="L69" s="53">
        <v>47.39</v>
      </c>
      <c r="M69" s="53">
        <v>47.39</v>
      </c>
      <c r="N69" s="53">
        <v>47.39</v>
      </c>
      <c r="O69" s="53">
        <v>47.39</v>
      </c>
    </row>
    <row r="70" spans="1:15" x14ac:dyDescent="0.25">
      <c r="A70" s="53">
        <v>49.01</v>
      </c>
      <c r="B70" s="53">
        <v>49</v>
      </c>
      <c r="C70" s="53">
        <v>44.174999999999997</v>
      </c>
      <c r="D70" s="53">
        <v>558.25</v>
      </c>
      <c r="E70" s="53"/>
      <c r="F70" s="53"/>
      <c r="G70" s="53">
        <v>44.38</v>
      </c>
      <c r="H70" s="53">
        <v>47.94</v>
      </c>
      <c r="I70" s="53"/>
      <c r="J70" s="53">
        <v>47.94</v>
      </c>
      <c r="K70" s="53">
        <v>47.94</v>
      </c>
      <c r="L70" s="53">
        <v>47.94</v>
      </c>
      <c r="M70" s="53">
        <v>47.94</v>
      </c>
      <c r="N70" s="53">
        <v>47.94</v>
      </c>
      <c r="O70" s="53">
        <v>47.94</v>
      </c>
    </row>
    <row r="71" spans="1:15" x14ac:dyDescent="0.25">
      <c r="A71" s="53">
        <v>49.51</v>
      </c>
      <c r="B71" s="53">
        <v>49.5</v>
      </c>
      <c r="C71" s="53">
        <v>44.9</v>
      </c>
      <c r="D71" s="53">
        <v>551</v>
      </c>
      <c r="E71" s="53"/>
      <c r="F71" s="53"/>
      <c r="G71" s="53">
        <v>44.89</v>
      </c>
      <c r="H71" s="53">
        <v>48.48</v>
      </c>
      <c r="I71" s="53"/>
      <c r="J71" s="53">
        <v>48.48</v>
      </c>
      <c r="K71" s="53">
        <v>48.48</v>
      </c>
      <c r="L71" s="53">
        <v>48.48</v>
      </c>
      <c r="M71" s="53">
        <v>48.48</v>
      </c>
      <c r="N71" s="53">
        <v>48.48</v>
      </c>
      <c r="O71" s="53">
        <v>48.48</v>
      </c>
    </row>
    <row r="72" spans="1:15" x14ac:dyDescent="0.25">
      <c r="A72" s="53">
        <v>50.01</v>
      </c>
      <c r="B72" s="53">
        <v>50</v>
      </c>
      <c r="C72" s="53">
        <v>45.625</v>
      </c>
      <c r="D72" s="53">
        <v>543.75</v>
      </c>
      <c r="E72" s="53"/>
      <c r="F72" s="53"/>
      <c r="G72" s="53">
        <v>45.39</v>
      </c>
      <c r="H72" s="53">
        <v>49.02</v>
      </c>
      <c r="I72" s="53"/>
      <c r="J72" s="53">
        <v>49.02</v>
      </c>
      <c r="K72" s="53">
        <v>49.02</v>
      </c>
      <c r="L72" s="53">
        <v>49.02</v>
      </c>
      <c r="M72" s="53">
        <v>49.02</v>
      </c>
      <c r="N72" s="53">
        <v>49.02</v>
      </c>
      <c r="O72" s="53">
        <v>49.02</v>
      </c>
    </row>
  </sheetData>
  <phoneticPr fontId="17"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12</vt:i4>
      </vt:variant>
      <vt:variant>
        <vt:lpstr>Graphiques</vt:lpstr>
      </vt:variant>
      <vt:variant>
        <vt:i4>1</vt:i4>
      </vt:variant>
      <vt:variant>
        <vt:lpstr>Plages nommées</vt:lpstr>
      </vt:variant>
      <vt:variant>
        <vt:i4>3</vt:i4>
      </vt:variant>
    </vt:vector>
  </HeadingPairs>
  <TitlesOfParts>
    <vt:vector size="16" baseType="lpstr">
      <vt:lpstr>Registre Global</vt:lpstr>
      <vt:lpstr>Registre de Séchage&amp;Ventilation</vt:lpstr>
      <vt:lpstr>C151</vt:lpstr>
      <vt:lpstr>C152</vt:lpstr>
      <vt:lpstr>Réglage théorique du séchoir</vt:lpstr>
      <vt:lpstr>Calcul fin séchage</vt:lpstr>
      <vt:lpstr>Livraison Gaz</vt:lpstr>
      <vt:lpstr>Facturation Croisée</vt:lpstr>
      <vt:lpstr>Facturation</vt:lpstr>
      <vt:lpstr>Stats</vt:lpstr>
      <vt:lpstr>Registre de Nettoyage</vt:lpstr>
      <vt:lpstr>Barème</vt:lpstr>
      <vt:lpstr>Courbe des humidités</vt:lpstr>
      <vt:lpstr>Barème</vt:lpstr>
      <vt:lpstr>Facturation!Zone_d_impression</vt:lpstr>
      <vt:lpstr>'Registre Global'!Zone_d_impression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Plouplou</dc:creator>
  <cp:lastModifiedBy>Plouplou</cp:lastModifiedBy>
  <cp:lastPrinted>2014-10-01T17:36:39Z</cp:lastPrinted>
  <dcterms:created xsi:type="dcterms:W3CDTF">2010-11-03T21:53:21Z</dcterms:created>
  <dcterms:modified xsi:type="dcterms:W3CDTF">2014-10-13T17:07:15Z</dcterms:modified>
</cp:coreProperties>
</file>