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12240" windowHeight="7170"/>
  </bookViews>
  <sheets>
    <sheet name="FP" sheetId="1" r:id="rId1"/>
    <sheet name="Données" sheetId="2" r:id="rId2"/>
    <sheet name="Fériés" sheetId="3" r:id="rId3"/>
    <sheet name="Brgd" sheetId="4" r:id="rId4"/>
    <sheet name="Mai (Résultat souhaité)" sheetId="9" r:id="rId5"/>
    <sheet name="Mai" sheetId="10" r:id="rId6"/>
  </sheets>
  <functionGroups/>
  <definedNames>
    <definedName name="_xlnm._FilterDatabase" localSheetId="3" hidden="1">Brgd!$G$4:$K$35</definedName>
    <definedName name="_xlnm._FilterDatabase" localSheetId="1" hidden="1">Données!$A$2:$F$5</definedName>
    <definedName name="année">Fériés!$A$1</definedName>
    <definedName name="BDate">Brgd!$H$5:$H$35</definedName>
    <definedName name="Bliste">OFFSET(Données!$A$5,,,COUNTA(Données!$A:$A)-2)</definedName>
    <definedName name="_xlnm.Criteria" localSheetId="1">Données!$J$1:$J$2</definedName>
    <definedName name="Données">OFFSET(Données!$A$5,,,COUNTA(Données!$A:$A)-2,6)</definedName>
    <definedName name="_xlnm.Extract" localSheetId="1">Données!$M$1:$R$1</definedName>
    <definedName name="Fériés">Fériés!$A$2:$A$11</definedName>
    <definedName name="Liste">Brgd!$A$6:$C$10</definedName>
    <definedName name="MichD">{1,2,3,5,7,8,10,12}</definedName>
    <definedName name="NBrgd">Brgd!$B$6:$B$11</definedName>
    <definedName name="Pâques">Fériés!$A$3</definedName>
    <definedName name="pEaster" localSheetId="2">Fériés!$A$3</definedName>
    <definedName name="PlgNom">OFFSET(Mai!$A$8,,,COUNTA(Mai!$A$8:$A$20))</definedName>
    <definedName name="pYear" localSheetId="2">Fériés!$A$1</definedName>
    <definedName name="SBrgd">Brgd!$A$6:$A$11</definedName>
    <definedName name="TabBrgd">Brgd!$G$5:$K$35</definedName>
    <definedName name="TypeArrêt">Données!$H$2:$H$7</definedName>
  </definedNames>
  <calcPr calcId="124519"/>
</workbook>
</file>

<file path=xl/calcChain.xml><?xml version="1.0" encoding="utf-8"?>
<calcChain xmlns="http://schemas.openxmlformats.org/spreadsheetml/2006/main">
  <c r="K2" i="2"/>
  <c r="E3"/>
  <c r="D7" i="4"/>
  <c r="D8"/>
  <c r="D9"/>
  <c r="D10"/>
  <c r="D11"/>
  <c r="D6"/>
  <c r="E5" i="2" l="1"/>
  <c r="A32" i="1" l="1"/>
  <c r="B32" s="1"/>
  <c r="A21"/>
  <c r="B21" s="1"/>
  <c r="K35" i="4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J5"/>
  <c r="I5"/>
  <c r="A10" i="1"/>
  <c r="B10" s="1"/>
  <c r="K1"/>
  <c r="L1" s="1"/>
  <c r="I6" i="4"/>
  <c r="J7" s="1"/>
  <c r="I8" s="1"/>
  <c r="J9" s="1"/>
  <c r="I10" s="1"/>
  <c r="J11" s="1"/>
  <c r="I12" s="1"/>
  <c r="J13" s="1"/>
  <c r="I14" s="1"/>
  <c r="J15" s="1"/>
  <c r="I16" s="1"/>
  <c r="J17" s="1"/>
  <c r="I18" s="1"/>
  <c r="J19" s="1"/>
  <c r="I20" s="1"/>
  <c r="J21" s="1"/>
  <c r="I22" s="1"/>
  <c r="J23" s="1"/>
  <c r="I24" s="1"/>
  <c r="J25" s="1"/>
  <c r="I26" s="1"/>
  <c r="J27" s="1"/>
  <c r="I28" s="1"/>
  <c r="J29" s="1"/>
  <c r="I30" s="1"/>
  <c r="J31" s="1"/>
  <c r="I32" s="1"/>
  <c r="J33" s="1"/>
  <c r="I34" s="1"/>
  <c r="J35" s="1"/>
  <c r="J6"/>
  <c r="I7" s="1"/>
  <c r="J8" s="1"/>
  <c r="I9" s="1"/>
  <c r="J10" s="1"/>
  <c r="I11" s="1"/>
  <c r="J12" s="1"/>
  <c r="I13" s="1"/>
  <c r="J14" s="1"/>
  <c r="I15" s="1"/>
  <c r="J16" s="1"/>
  <c r="I17" s="1"/>
  <c r="J18" s="1"/>
  <c r="I19" s="1"/>
  <c r="J20" s="1"/>
  <c r="I21" s="1"/>
  <c r="J22" s="1"/>
  <c r="I23" s="1"/>
  <c r="J24" s="1"/>
  <c r="I25" s="1"/>
  <c r="J26" s="1"/>
  <c r="I27" s="1"/>
  <c r="J28" s="1"/>
  <c r="I29" s="1"/>
  <c r="J30" s="1"/>
  <c r="I31" s="1"/>
  <c r="J32" s="1"/>
  <c r="I33" s="1"/>
  <c r="J34" s="1"/>
  <c r="I35" s="1"/>
  <c r="G2"/>
  <c r="H6"/>
  <c r="H7" s="1"/>
  <c r="G5"/>
  <c r="G6" l="1"/>
  <c r="B7" i="1"/>
  <c r="B29" s="1"/>
  <c r="K4"/>
  <c r="H8" i="4"/>
  <c r="G7"/>
  <c r="B18" i="1" l="1"/>
  <c r="A15"/>
  <c r="A16" s="1"/>
  <c r="B16" s="1"/>
  <c r="A14"/>
  <c r="B14" s="1"/>
  <c r="A26"/>
  <c r="A24"/>
  <c r="B24" s="1"/>
  <c r="A25"/>
  <c r="B25" s="1"/>
  <c r="A13"/>
  <c r="B13" s="1"/>
  <c r="A36"/>
  <c r="B36" s="1"/>
  <c r="A37"/>
  <c r="A35"/>
  <c r="B35" s="1"/>
  <c r="B15"/>
  <c r="H9" i="4"/>
  <c r="G8"/>
  <c r="A27" i="1" l="1"/>
  <c r="B27" s="1"/>
  <c r="B26"/>
  <c r="A38"/>
  <c r="B38" s="1"/>
  <c r="B37"/>
  <c r="H10" i="4"/>
  <c r="G9"/>
  <c r="H11" l="1"/>
  <c r="G10"/>
  <c r="H12" l="1"/>
  <c r="G11"/>
  <c r="H13" l="1"/>
  <c r="G12"/>
  <c r="H14" l="1"/>
  <c r="G13"/>
  <c r="H15" l="1"/>
  <c r="G14"/>
  <c r="H16" l="1"/>
  <c r="G15"/>
  <c r="H17" l="1"/>
  <c r="G16"/>
  <c r="H18" l="1"/>
  <c r="G17"/>
  <c r="H19" l="1"/>
  <c r="G18"/>
  <c r="H20" l="1"/>
  <c r="G19"/>
  <c r="H21" l="1"/>
  <c r="G20"/>
  <c r="H22" l="1"/>
  <c r="G21"/>
  <c r="H23" l="1"/>
  <c r="G22"/>
  <c r="H24" l="1"/>
  <c r="G23"/>
  <c r="H25" l="1"/>
  <c r="G24"/>
  <c r="H26" l="1"/>
  <c r="G25"/>
  <c r="H27" l="1"/>
  <c r="G26"/>
  <c r="H28" l="1"/>
  <c r="G27"/>
  <c r="H29" l="1"/>
  <c r="G28"/>
  <c r="H30" l="1"/>
  <c r="G29"/>
  <c r="H31" l="1"/>
  <c r="G30"/>
  <c r="H32" l="1"/>
  <c r="G31"/>
  <c r="H33" l="1"/>
  <c r="G32"/>
  <c r="H34" l="1"/>
  <c r="G33"/>
  <c r="H35" l="1"/>
  <c r="G35" s="1"/>
  <c r="G34"/>
  <c r="A1" i="3"/>
  <c r="B5" i="9" l="1"/>
  <c r="B6" s="1"/>
  <c r="B5" i="10"/>
  <c r="B7" i="9"/>
  <c r="A13" i="3"/>
  <c r="A2"/>
  <c r="A6"/>
  <c r="A10"/>
  <c r="A12"/>
  <c r="A14"/>
  <c r="A3"/>
  <c r="A5"/>
  <c r="A11"/>
  <c r="B6" i="10" l="1"/>
  <c r="B7"/>
  <c r="C7" s="1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C7" i="9"/>
  <c r="D7" s="1"/>
  <c r="E7" s="1"/>
  <c r="F7" s="1"/>
  <c r="C6"/>
  <c r="E6"/>
  <c r="G6"/>
  <c r="I6"/>
  <c r="K6"/>
  <c r="M6"/>
  <c r="O6"/>
  <c r="Q6"/>
  <c r="S6"/>
  <c r="U6"/>
  <c r="W6"/>
  <c r="Y6"/>
  <c r="AA6"/>
  <c r="AC6"/>
  <c r="AE6"/>
  <c r="D6"/>
  <c r="F6"/>
  <c r="H6"/>
  <c r="J6"/>
  <c r="L6"/>
  <c r="N6"/>
  <c r="P6"/>
  <c r="R6"/>
  <c r="T6"/>
  <c r="V6"/>
  <c r="X6"/>
  <c r="Z6"/>
  <c r="AB6"/>
  <c r="AD6"/>
  <c r="AF6"/>
  <c r="A9" i="3"/>
  <c r="A7"/>
  <c r="A8"/>
  <c r="A4"/>
  <c r="D4" i="2" l="1"/>
  <c r="E4" s="1"/>
  <c r="U6" i="10"/>
  <c r="V6"/>
  <c r="S6"/>
  <c r="T6"/>
  <c r="S7"/>
  <c r="T7" s="1"/>
  <c r="U7" s="1"/>
  <c r="V7" s="1"/>
  <c r="W7" s="1"/>
  <c r="X7" s="1"/>
  <c r="Y7" s="1"/>
  <c r="Z7" s="1"/>
  <c r="AA7" s="1"/>
  <c r="AB7" s="1"/>
  <c r="AC7" s="1"/>
  <c r="AD7" s="1"/>
  <c r="AE7" s="1"/>
  <c r="AF7" s="1"/>
  <c r="AF6"/>
  <c r="AD6"/>
  <c r="AB6"/>
  <c r="Z6"/>
  <c r="X6"/>
  <c r="R6"/>
  <c r="P6"/>
  <c r="N6"/>
  <c r="L6"/>
  <c r="J6"/>
  <c r="H6"/>
  <c r="F6"/>
  <c r="D6"/>
  <c r="AE6"/>
  <c r="AC6"/>
  <c r="AA6"/>
  <c r="Y6"/>
  <c r="W6"/>
  <c r="Q6"/>
  <c r="O6"/>
  <c r="M6"/>
  <c r="K6"/>
  <c r="I6"/>
  <c r="G6"/>
  <c r="E6"/>
  <c r="C6"/>
  <c r="C33" i="1"/>
  <c r="C22"/>
  <c r="C11"/>
  <c r="G7" i="9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C32" i="1"/>
  <c r="C10"/>
  <c r="C21"/>
</calcChain>
</file>

<file path=xl/sharedStrings.xml><?xml version="1.0" encoding="utf-8"?>
<sst xmlns="http://schemas.openxmlformats.org/spreadsheetml/2006/main" count="543" uniqueCount="75">
  <si>
    <t>Premier de l'An</t>
  </si>
  <si>
    <t>Fête du Travail</t>
  </si>
  <si>
    <t>Fête Nationale</t>
  </si>
  <si>
    <t>PERIODE DES CONGES, FORMATION ET RECUPERATIONS</t>
  </si>
  <si>
    <t>Type</t>
  </si>
  <si>
    <t>Personnels</t>
  </si>
  <si>
    <t>Nbre jours</t>
  </si>
  <si>
    <t>Début</t>
  </si>
  <si>
    <t>Fin</t>
  </si>
  <si>
    <t>Reste</t>
  </si>
  <si>
    <t>CAI</t>
  </si>
  <si>
    <t>Nom2</t>
  </si>
  <si>
    <t>RC</t>
  </si>
  <si>
    <t>CAO</t>
  </si>
  <si>
    <t>CM</t>
  </si>
  <si>
    <t>CE</t>
  </si>
  <si>
    <t>FO</t>
  </si>
  <si>
    <t>Journée du</t>
  </si>
  <si>
    <t>Matinée</t>
  </si>
  <si>
    <t>Après midi</t>
  </si>
  <si>
    <t>Nuit</t>
  </si>
  <si>
    <t>Nom &amp; prénom</t>
  </si>
  <si>
    <t>Grade</t>
  </si>
  <si>
    <t>Emargement</t>
  </si>
  <si>
    <t>Limite</t>
  </si>
  <si>
    <t>08h00</t>
  </si>
  <si>
    <t>12h00</t>
  </si>
  <si>
    <t>13h00</t>
  </si>
  <si>
    <t>16h30</t>
  </si>
  <si>
    <t>Système</t>
  </si>
  <si>
    <t>Nom</t>
  </si>
  <si>
    <t>IGE</t>
  </si>
  <si>
    <t>L</t>
  </si>
  <si>
    <t>TS</t>
  </si>
  <si>
    <t>T</t>
  </si>
  <si>
    <t>Nom1</t>
  </si>
  <si>
    <t>Nom3</t>
  </si>
  <si>
    <t>Nom4</t>
  </si>
  <si>
    <t>Nom5</t>
  </si>
  <si>
    <t>OP</t>
  </si>
  <si>
    <t>Pâques</t>
  </si>
  <si>
    <t>Lundi de Pâques</t>
  </si>
  <si>
    <t>Victoire 1945</t>
  </si>
  <si>
    <t>Ascension</t>
  </si>
  <si>
    <t>Pentecôte</t>
  </si>
  <si>
    <t>Lundi de Pentecôte</t>
  </si>
  <si>
    <t>Assomption</t>
  </si>
  <si>
    <t>Toussaint</t>
  </si>
  <si>
    <t>Armistice</t>
  </si>
  <si>
    <t>Noël</t>
  </si>
  <si>
    <t>Grande</t>
  </si>
  <si>
    <t>Petite</t>
  </si>
  <si>
    <t>JOURNEE</t>
  </si>
  <si>
    <t>DATE</t>
  </si>
  <si>
    <r>
      <t xml:space="preserve">PETITE
</t>
    </r>
    <r>
      <rPr>
        <b/>
        <sz val="11"/>
        <color indexed="36"/>
        <rFont val="Century Gothic"/>
        <family val="2"/>
      </rPr>
      <t>(07h à 13h)</t>
    </r>
  </si>
  <si>
    <r>
      <t xml:space="preserve">GRANDE
</t>
    </r>
    <r>
      <rPr>
        <b/>
        <sz val="11"/>
        <color indexed="36"/>
        <rFont val="Century Gothic"/>
        <family val="2"/>
      </rPr>
      <t>(13h à 19h)</t>
    </r>
  </si>
  <si>
    <r>
      <t xml:space="preserve">NUIT
</t>
    </r>
    <r>
      <rPr>
        <b/>
        <sz val="11"/>
        <color indexed="36"/>
        <rFont val="Century Gothic"/>
        <family val="2"/>
      </rPr>
      <t>(19h à 07h)</t>
    </r>
  </si>
  <si>
    <t>G</t>
  </si>
  <si>
    <t>P</t>
  </si>
  <si>
    <t>Nuit1</t>
  </si>
  <si>
    <t>N1</t>
  </si>
  <si>
    <t>Nuit2</t>
  </si>
  <si>
    <t>N2</t>
  </si>
  <si>
    <t>R</t>
  </si>
  <si>
    <t>07h00</t>
  </si>
  <si>
    <t>19h00</t>
  </si>
  <si>
    <t>REPOS</t>
  </si>
  <si>
    <t>Brgd</t>
  </si>
  <si>
    <t>N</t>
  </si>
  <si>
    <t>Nom6</t>
  </si>
  <si>
    <t>Ligne</t>
  </si>
  <si>
    <t>X</t>
  </si>
  <si>
    <t>Remplaçant</t>
  </si>
  <si>
    <t>type</t>
  </si>
  <si>
    <t xml:space="preserve">VISA DU SERVICE                                              </t>
  </si>
</sst>
</file>

<file path=xl/styles.xml><?xml version="1.0" encoding="utf-8"?>
<styleSheet xmlns="http://schemas.openxmlformats.org/spreadsheetml/2006/main">
  <numFmts count="6">
    <numFmt numFmtId="164" formatCode="ddd* dd/mm/yyyy"/>
    <numFmt numFmtId="165" formatCode="0#"/>
    <numFmt numFmtId="166" formatCode="dd"/>
    <numFmt numFmtId="167" formatCode="ddd"/>
    <numFmt numFmtId="168" formatCode="00"/>
    <numFmt numFmtId="169" formatCode="mmmm\ yyyy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i/>
      <sz val="10"/>
      <color theme="1"/>
      <name val="Trebuchet MS"/>
      <family val="2"/>
    </font>
    <font>
      <i/>
      <sz val="10"/>
      <color theme="1"/>
      <name val="Trebuchet MS"/>
      <family val="2"/>
    </font>
    <font>
      <sz val="10"/>
      <name val="Trebuchet MS"/>
      <family val="2"/>
    </font>
    <font>
      <sz val="11"/>
      <name val="Calibri"/>
      <family val="2"/>
      <scheme val="minor"/>
    </font>
    <font>
      <b/>
      <sz val="11"/>
      <color rgb="FFFF0000"/>
      <name val="Century Gothic"/>
      <family val="2"/>
    </font>
    <font>
      <b/>
      <sz val="11"/>
      <color indexed="36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FF0000"/>
      <name val="Century Gothic"/>
      <family val="2"/>
    </font>
    <font>
      <b/>
      <u/>
      <sz val="11"/>
      <color rgb="FFFF0000"/>
      <name val="Century Gothic"/>
      <family val="2"/>
    </font>
    <font>
      <b/>
      <i/>
      <sz val="11"/>
      <color rgb="FF00B050"/>
      <name val="Trebuchet MS"/>
      <family val="2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9"/>
      <name val="Tahoma"/>
      <family val="2"/>
    </font>
    <font>
      <sz val="8"/>
      <name val="Calibri"/>
      <family val="2"/>
      <scheme val="minor"/>
    </font>
    <font>
      <sz val="11"/>
      <color indexed="9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A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2" borderId="1" xfId="0" applyFont="1" applyFill="1" applyBorder="1" applyAlignment="1">
      <alignment horizontal="centerContinuous"/>
    </xf>
    <xf numFmtId="164" fontId="3" fillId="3" borderId="0" xfId="0" applyNumberFormat="1" applyFont="1" applyFill="1" applyBorder="1" applyAlignment="1"/>
    <xf numFmtId="0" fontId="3" fillId="3" borderId="0" xfId="0" applyFont="1" applyFill="1" applyBorder="1" applyAlignment="1"/>
    <xf numFmtId="0" fontId="0" fillId="3" borderId="0" xfId="0" applyFill="1"/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165" fontId="8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Font="1" applyBorder="1"/>
    <xf numFmtId="0" fontId="10" fillId="6" borderId="2" xfId="0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12" fillId="0" borderId="7" xfId="0" applyFont="1" applyBorder="1" applyAlignment="1">
      <alignment vertical="top" wrapText="1"/>
    </xf>
    <xf numFmtId="14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14" fontId="0" fillId="0" borderId="0" xfId="0" applyNumberFormat="1"/>
    <xf numFmtId="0" fontId="16" fillId="0" borderId="0" xfId="0" applyFont="1"/>
    <xf numFmtId="0" fontId="0" fillId="7" borderId="0" xfId="0" applyFill="1"/>
    <xf numFmtId="0" fontId="0" fillId="8" borderId="0" xfId="0" applyFill="1"/>
    <xf numFmtId="0" fontId="0" fillId="0" borderId="2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Continuous"/>
    </xf>
    <xf numFmtId="0" fontId="0" fillId="9" borderId="4" xfId="0" applyFill="1" applyBorder="1"/>
    <xf numFmtId="0" fontId="0" fillId="9" borderId="5" xfId="0" applyFill="1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19" fillId="0" borderId="10" xfId="0" applyFont="1" applyBorder="1" applyAlignment="1">
      <alignment horizontal="centerContinuous" vertical="center"/>
    </xf>
    <xf numFmtId="0" fontId="9" fillId="4" borderId="11" xfId="0" applyFont="1" applyFill="1" applyBorder="1" applyAlignment="1">
      <alignment vertical="center"/>
    </xf>
    <xf numFmtId="14" fontId="1" fillId="10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Continuous" vertical="center"/>
    </xf>
    <xf numFmtId="0" fontId="0" fillId="0" borderId="13" xfId="0" applyBorder="1" applyAlignment="1">
      <alignment horizontal="centerContinuous" vertical="center"/>
    </xf>
    <xf numFmtId="0" fontId="9" fillId="4" borderId="14" xfId="0" applyFont="1" applyFill="1" applyBorder="1" applyAlignment="1">
      <alignment vertical="center"/>
    </xf>
    <xf numFmtId="0" fontId="0" fillId="9" borderId="16" xfId="0" applyFill="1" applyBorder="1"/>
    <xf numFmtId="0" fontId="0" fillId="9" borderId="17" xfId="0" applyFill="1" applyBorder="1"/>
    <xf numFmtId="0" fontId="0" fillId="0" borderId="15" xfId="0" applyBorder="1"/>
    <xf numFmtId="0" fontId="9" fillId="4" borderId="18" xfId="0" applyFont="1" applyFill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9" fillId="0" borderId="20" xfId="0" applyFont="1" applyBorder="1" applyAlignment="1">
      <alignment horizontal="centerContinuous" vertical="center"/>
    </xf>
    <xf numFmtId="0" fontId="0" fillId="0" borderId="21" xfId="0" applyBorder="1" applyAlignment="1">
      <alignment horizontal="centerContinuous" vertical="center"/>
    </xf>
    <xf numFmtId="0" fontId="0" fillId="0" borderId="22" xfId="0" applyBorder="1" applyAlignment="1">
      <alignment horizontal="centerContinuous" vertical="center"/>
    </xf>
    <xf numFmtId="0" fontId="18" fillId="4" borderId="23" xfId="0" applyFont="1" applyFill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Continuous" vertical="center"/>
    </xf>
    <xf numFmtId="0" fontId="0" fillId="0" borderId="25" xfId="0" applyBorder="1" applyAlignment="1">
      <alignment horizontal="centerContinuous" vertical="center"/>
    </xf>
    <xf numFmtId="0" fontId="18" fillId="4" borderId="26" xfId="0" applyFont="1" applyFill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19" fillId="0" borderId="19" xfId="0" quotePrefix="1" applyFont="1" applyFill="1" applyBorder="1" applyAlignment="1">
      <alignment horizontal="centerContinuous" vertical="center"/>
    </xf>
    <xf numFmtId="0" fontId="0" fillId="9" borderId="29" xfId="0" applyFill="1" applyBorder="1" applyAlignment="1">
      <alignment vertical="center"/>
    </xf>
    <xf numFmtId="0" fontId="0" fillId="9" borderId="30" xfId="0" applyFill="1" applyBorder="1" applyAlignment="1">
      <alignment vertical="center"/>
    </xf>
    <xf numFmtId="0" fontId="0" fillId="9" borderId="31" xfId="0" applyFill="1" applyBorder="1" applyAlignment="1">
      <alignment vertical="center"/>
    </xf>
    <xf numFmtId="0" fontId="0" fillId="9" borderId="32" xfId="0" applyFill="1" applyBorder="1" applyAlignment="1">
      <alignment vertical="center"/>
    </xf>
    <xf numFmtId="167" fontId="20" fillId="0" borderId="33" xfId="0" applyNumberFormat="1" applyFont="1" applyFill="1" applyBorder="1" applyAlignment="1" applyProtection="1">
      <alignment horizontal="center" vertical="center" wrapText="1"/>
      <protection hidden="1"/>
    </xf>
    <xf numFmtId="169" fontId="12" fillId="0" borderId="0" xfId="0" applyNumberFormat="1" applyFont="1" applyAlignment="1">
      <alignment horizontal="centerContinuous" vertical="center"/>
    </xf>
    <xf numFmtId="0" fontId="1" fillId="0" borderId="34" xfId="0" applyFont="1" applyBorder="1"/>
    <xf numFmtId="167" fontId="20" fillId="0" borderId="35" xfId="0" applyNumberFormat="1" applyFont="1" applyFill="1" applyBorder="1" applyAlignment="1" applyProtection="1">
      <alignment horizontal="center" vertical="center" wrapText="1"/>
      <protection hidden="1"/>
    </xf>
    <xf numFmtId="15" fontId="2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68" fontId="20" fillId="0" borderId="24" xfId="0" applyNumberFormat="1" applyFont="1" applyFill="1" applyBorder="1" applyAlignment="1" applyProtection="1">
      <alignment horizontal="center" vertical="center" wrapText="1"/>
      <protection hidden="1"/>
    </xf>
    <xf numFmtId="0" fontId="9" fillId="11" borderId="5" xfId="0" applyFont="1" applyFill="1" applyBorder="1"/>
    <xf numFmtId="0" fontId="22" fillId="4" borderId="0" xfId="0" applyFont="1" applyFill="1" applyBorder="1" applyAlignment="1">
      <alignment vertical="center"/>
    </xf>
    <xf numFmtId="0" fontId="22" fillId="4" borderId="0" xfId="0" applyFont="1" applyFill="1" applyBorder="1" applyAlignment="1">
      <alignment horizontal="centerContinuous" vertical="center"/>
    </xf>
    <xf numFmtId="0" fontId="22" fillId="4" borderId="0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Continuous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2" xfId="0" quotePrefix="1" applyFont="1" applyFill="1" applyBorder="1" applyAlignment="1">
      <alignment horizontal="centerContinuous" vertical="center"/>
    </xf>
    <xf numFmtId="0" fontId="9" fillId="4" borderId="2" xfId="0" applyFont="1" applyFill="1" applyBorder="1"/>
    <xf numFmtId="0" fontId="9" fillId="4" borderId="2" xfId="0" applyFont="1" applyFill="1" applyBorder="1" applyAlignment="1">
      <alignment horizontal="centerContinuous"/>
    </xf>
    <xf numFmtId="0" fontId="9" fillId="11" borderId="4" xfId="0" applyFont="1" applyFill="1" applyBorder="1" applyAlignment="1">
      <alignment vertical="center"/>
    </xf>
    <xf numFmtId="0" fontId="9" fillId="11" borderId="4" xfId="0" applyFont="1" applyFill="1" applyBorder="1"/>
    <xf numFmtId="0" fontId="0" fillId="9" borderId="36" xfId="0" applyFill="1" applyBorder="1" applyAlignment="1">
      <alignment vertical="center"/>
    </xf>
    <xf numFmtId="0" fontId="0" fillId="9" borderId="37" xfId="0" applyFill="1" applyBorder="1" applyAlignment="1">
      <alignment vertical="center"/>
    </xf>
    <xf numFmtId="0" fontId="19" fillId="0" borderId="2" xfId="0" quotePrefix="1" applyFont="1" applyFill="1" applyBorder="1" applyAlignment="1">
      <alignment horizontal="centerContinuous" vertical="center"/>
    </xf>
    <xf numFmtId="0" fontId="9" fillId="11" borderId="36" xfId="0" applyFont="1" applyFill="1" applyBorder="1" applyAlignment="1">
      <alignment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0" fillId="12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14" fontId="5" fillId="0" borderId="2" xfId="0" applyNumberFormat="1" applyFont="1" applyBorder="1" applyAlignment="1">
      <alignment horizontal="center" vertical="center"/>
    </xf>
    <xf numFmtId="15" fontId="21" fillId="11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9" fillId="4" borderId="2" xfId="0" applyFont="1" applyFill="1" applyBorder="1" applyAlignment="1">
      <alignment vertical="center"/>
    </xf>
    <xf numFmtId="0" fontId="9" fillId="11" borderId="33" xfId="0" applyFont="1" applyFill="1" applyBorder="1" applyAlignment="1">
      <alignment vertical="center"/>
    </xf>
    <xf numFmtId="0" fontId="9" fillId="11" borderId="27" xfId="0" applyFont="1" applyFill="1" applyBorder="1" applyAlignment="1">
      <alignment vertical="center"/>
    </xf>
    <xf numFmtId="0" fontId="9" fillId="11" borderId="5" xfId="0" applyFont="1" applyFill="1" applyBorder="1" applyAlignment="1">
      <alignment vertical="center"/>
    </xf>
    <xf numFmtId="0" fontId="9" fillId="11" borderId="6" xfId="0" applyFont="1" applyFill="1" applyBorder="1" applyAlignment="1">
      <alignment vertical="center"/>
    </xf>
    <xf numFmtId="0" fontId="9" fillId="11" borderId="33" xfId="0" applyFont="1" applyFill="1" applyBorder="1"/>
    <xf numFmtId="0" fontId="9" fillId="11" borderId="6" xfId="0" applyFont="1" applyFill="1" applyBorder="1"/>
  </cellXfs>
  <cellStyles count="1">
    <cellStyle name="Normal" xfId="0" builtinId="0"/>
  </cellStyles>
  <dxfs count="30">
    <dxf>
      <fill>
        <patternFill>
          <bgColor theme="6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bgColor theme="6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b/>
        <i val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9" defaultPivotStyle="PivotStyleLight16"/>
  <colors>
    <mruColors>
      <color rgb="FF385D8A"/>
      <color rgb="FFFFFF71"/>
      <color rgb="FFE5F648"/>
      <color rgb="FFFFFFA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171450</xdr:rowOff>
    </xdr:from>
    <xdr:to>
      <xdr:col>0</xdr:col>
      <xdr:colOff>914400</xdr:colOff>
      <xdr:row>5</xdr:row>
      <xdr:rowOff>114300</xdr:rowOff>
    </xdr:to>
    <xdr:sp macro="" textlink="">
      <xdr:nvSpPr>
        <xdr:cNvPr id="2" name="Étoile à 8 branches 1"/>
        <xdr:cNvSpPr/>
      </xdr:nvSpPr>
      <xdr:spPr>
        <a:xfrm>
          <a:off x="133350" y="361950"/>
          <a:ext cx="781050" cy="723900"/>
        </a:xfrm>
        <a:prstGeom prst="star8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2400" b="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1</xdr:col>
      <xdr:colOff>76200</xdr:colOff>
      <xdr:row>0</xdr:row>
      <xdr:rowOff>47625</xdr:rowOff>
    </xdr:from>
    <xdr:to>
      <xdr:col>3</xdr:col>
      <xdr:colOff>38100</xdr:colOff>
      <xdr:row>5</xdr:row>
      <xdr:rowOff>38100</xdr:rowOff>
    </xdr:to>
    <xdr:sp macro="" textlink="">
      <xdr:nvSpPr>
        <xdr:cNvPr id="3" name="Légende encadrée 2 2"/>
        <xdr:cNvSpPr/>
      </xdr:nvSpPr>
      <xdr:spPr>
        <a:xfrm>
          <a:off x="1266825" y="47625"/>
          <a:ext cx="1438275" cy="962025"/>
        </a:xfrm>
        <a:prstGeom prst="borderCallout2">
          <a:avLst>
            <a:gd name="adj1" fmla="val 18750"/>
            <a:gd name="adj2" fmla="val 276"/>
            <a:gd name="adj3" fmla="val 18750"/>
            <a:gd name="adj4" fmla="val -16667"/>
            <a:gd name="adj5" fmla="val 186593"/>
            <a:gd name="adj6" fmla="val -30773"/>
          </a:avLst>
        </a:prstGeom>
        <a:ln>
          <a:solidFill>
            <a:schemeClr val="tx2"/>
          </a:solidFill>
          <a:tailEnd type="triangle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Dans cette partie on</a:t>
          </a:r>
          <a:r>
            <a:rPr lang="fr-FR" sz="1100" baseline="0"/>
            <a:t> classe tous les agents qui suivent le système "L" ou limite</a:t>
          </a:r>
          <a:endParaRPr lang="fr-FR" sz="1100"/>
        </a:p>
      </xdr:txBody>
    </xdr:sp>
    <xdr:clientData/>
  </xdr:twoCellAnchor>
  <xdr:twoCellAnchor>
    <xdr:from>
      <xdr:col>0</xdr:col>
      <xdr:colOff>28575</xdr:colOff>
      <xdr:row>8</xdr:row>
      <xdr:rowOff>0</xdr:rowOff>
    </xdr:from>
    <xdr:to>
      <xdr:col>6</xdr:col>
      <xdr:colOff>38100</xdr:colOff>
      <xdr:row>10</xdr:row>
      <xdr:rowOff>190500</xdr:rowOff>
    </xdr:to>
    <xdr:sp macro="" textlink="">
      <xdr:nvSpPr>
        <xdr:cNvPr id="4" name="Ellipse 3"/>
        <xdr:cNvSpPr/>
      </xdr:nvSpPr>
      <xdr:spPr>
        <a:xfrm>
          <a:off x="28575" y="1562100"/>
          <a:ext cx="4962525" cy="571500"/>
        </a:xfrm>
        <a:prstGeom prst="ellipse">
          <a:avLst/>
        </a:prstGeom>
        <a:solidFill>
          <a:schemeClr val="accent1">
            <a:alpha val="15000"/>
          </a:schemeClr>
        </a:solidFill>
        <a:ln w="3175"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11</xdr:row>
      <xdr:rowOff>180975</xdr:rowOff>
    </xdr:from>
    <xdr:to>
      <xdr:col>6</xdr:col>
      <xdr:colOff>9525</xdr:colOff>
      <xdr:row>12</xdr:row>
      <xdr:rowOff>180975</xdr:rowOff>
    </xdr:to>
    <xdr:sp macro="" textlink="">
      <xdr:nvSpPr>
        <xdr:cNvPr id="5" name="Ellipse 4"/>
        <xdr:cNvSpPr/>
      </xdr:nvSpPr>
      <xdr:spPr>
        <a:xfrm>
          <a:off x="0" y="2324100"/>
          <a:ext cx="4962525" cy="190500"/>
        </a:xfrm>
        <a:prstGeom prst="ellipse">
          <a:avLst/>
        </a:prstGeom>
        <a:solidFill>
          <a:schemeClr val="tx2">
            <a:lumMod val="20000"/>
            <a:lumOff val="80000"/>
            <a:alpha val="15000"/>
          </a:schemeClr>
        </a:solidFill>
        <a:ln w="3175">
          <a:solidFill>
            <a:srgbClr val="385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6</xdr:col>
      <xdr:colOff>9525</xdr:colOff>
      <xdr:row>14</xdr:row>
      <xdr:rowOff>0</xdr:rowOff>
    </xdr:to>
    <xdr:sp macro="" textlink="">
      <xdr:nvSpPr>
        <xdr:cNvPr id="6" name="Ellipse 5"/>
        <xdr:cNvSpPr/>
      </xdr:nvSpPr>
      <xdr:spPr>
        <a:xfrm>
          <a:off x="0" y="2524125"/>
          <a:ext cx="4962525" cy="190500"/>
        </a:xfrm>
        <a:prstGeom prst="ellipse">
          <a:avLst/>
        </a:prstGeom>
        <a:solidFill>
          <a:schemeClr val="accent2">
            <a:lumMod val="20000"/>
            <a:lumOff val="80000"/>
            <a:alpha val="49000"/>
          </a:schemeClr>
        </a:solidFill>
        <a:ln w="3175">
          <a:solidFill>
            <a:srgbClr val="385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6</xdr:col>
      <xdr:colOff>9525</xdr:colOff>
      <xdr:row>15</xdr:row>
      <xdr:rowOff>0</xdr:rowOff>
    </xdr:to>
    <xdr:sp macro="" textlink="">
      <xdr:nvSpPr>
        <xdr:cNvPr id="7" name="Ellipse 6"/>
        <xdr:cNvSpPr/>
      </xdr:nvSpPr>
      <xdr:spPr>
        <a:xfrm>
          <a:off x="0" y="2714625"/>
          <a:ext cx="4962525" cy="190500"/>
        </a:xfrm>
        <a:prstGeom prst="ellipse">
          <a:avLst/>
        </a:prstGeom>
        <a:solidFill>
          <a:schemeClr val="accent3">
            <a:lumMod val="20000"/>
            <a:lumOff val="80000"/>
            <a:alpha val="51000"/>
          </a:schemeClr>
        </a:solidFill>
        <a:ln w="3175">
          <a:solidFill>
            <a:srgbClr val="385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6</xdr:col>
      <xdr:colOff>9525</xdr:colOff>
      <xdr:row>15</xdr:row>
      <xdr:rowOff>190500</xdr:rowOff>
    </xdr:to>
    <xdr:sp macro="" textlink="">
      <xdr:nvSpPr>
        <xdr:cNvPr id="8" name="Ellipse 7"/>
        <xdr:cNvSpPr/>
      </xdr:nvSpPr>
      <xdr:spPr>
        <a:xfrm>
          <a:off x="0" y="2905125"/>
          <a:ext cx="4962525" cy="190500"/>
        </a:xfrm>
        <a:prstGeom prst="ellipse">
          <a:avLst/>
        </a:prstGeom>
        <a:solidFill>
          <a:schemeClr val="bg2">
            <a:lumMod val="90000"/>
            <a:alpha val="35000"/>
          </a:schemeClr>
        </a:solidFill>
        <a:ln w="3175">
          <a:solidFill>
            <a:srgbClr val="385D8A">
              <a:alpha val="66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704850</xdr:colOff>
      <xdr:row>0</xdr:row>
      <xdr:rowOff>66675</xdr:rowOff>
    </xdr:from>
    <xdr:to>
      <xdr:col>6</xdr:col>
      <xdr:colOff>95250</xdr:colOff>
      <xdr:row>5</xdr:row>
      <xdr:rowOff>57150</xdr:rowOff>
    </xdr:to>
    <xdr:sp macro="" textlink="">
      <xdr:nvSpPr>
        <xdr:cNvPr id="9" name="Légende encadrée 2 8"/>
        <xdr:cNvSpPr/>
      </xdr:nvSpPr>
      <xdr:spPr>
        <a:xfrm>
          <a:off x="3371850" y="66675"/>
          <a:ext cx="1676400" cy="962025"/>
        </a:xfrm>
        <a:prstGeom prst="borderCallout2">
          <a:avLst>
            <a:gd name="adj1" fmla="val 18750"/>
            <a:gd name="adj2" fmla="val 276"/>
            <a:gd name="adj3" fmla="val 18750"/>
            <a:gd name="adj4" fmla="val -16667"/>
            <a:gd name="adj5" fmla="val 246989"/>
            <a:gd name="adj6" fmla="val -71132"/>
          </a:avLst>
        </a:prstGeom>
        <a:ln>
          <a:solidFill>
            <a:schemeClr val="tx2"/>
          </a:solidFill>
          <a:tailEnd type="triangle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Cette partie est réservée</a:t>
          </a:r>
          <a:r>
            <a:rPr lang="fr-FR" sz="1100" baseline="0"/>
            <a:t> pour l'agent qui travaille en "P" de 07h00 à 13h00.</a:t>
          </a:r>
        </a:p>
        <a:p>
          <a:pPr algn="ctr"/>
          <a:r>
            <a:rPr lang="fr-FR" sz="1100" baseline="0"/>
            <a:t>Il est en repos de 13h00 à 19h00</a:t>
          </a:r>
          <a:endParaRPr lang="fr-FR" sz="1100"/>
        </a:p>
      </xdr:txBody>
    </xdr:sp>
    <xdr:clientData/>
  </xdr:twoCellAnchor>
  <xdr:twoCellAnchor>
    <xdr:from>
      <xdr:col>6</xdr:col>
      <xdr:colOff>495300</xdr:colOff>
      <xdr:row>0</xdr:row>
      <xdr:rowOff>133350</xdr:rowOff>
    </xdr:from>
    <xdr:to>
      <xdr:col>8</xdr:col>
      <xdr:colOff>647700</xdr:colOff>
      <xdr:row>5</xdr:row>
      <xdr:rowOff>123825</xdr:rowOff>
    </xdr:to>
    <xdr:sp macro="" textlink="">
      <xdr:nvSpPr>
        <xdr:cNvPr id="10" name="Légende encadrée 2 9"/>
        <xdr:cNvSpPr/>
      </xdr:nvSpPr>
      <xdr:spPr>
        <a:xfrm>
          <a:off x="5448300" y="133350"/>
          <a:ext cx="1676400" cy="962025"/>
        </a:xfrm>
        <a:prstGeom prst="borderCallout2">
          <a:avLst>
            <a:gd name="adj1" fmla="val 18750"/>
            <a:gd name="adj2" fmla="val 276"/>
            <a:gd name="adj3" fmla="val 95978"/>
            <a:gd name="adj4" fmla="val -13826"/>
            <a:gd name="adj5" fmla="val 258870"/>
            <a:gd name="adj6" fmla="val -186474"/>
          </a:avLst>
        </a:prstGeom>
        <a:ln>
          <a:solidFill>
            <a:schemeClr val="tx2"/>
          </a:solidFill>
          <a:tailEnd type="triangle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Cette partie est réservée</a:t>
          </a:r>
          <a:r>
            <a:rPr lang="fr-FR" sz="1100" baseline="0"/>
            <a:t> pour l'agent qui travaille en "G" de 13h00 à 19h00.</a:t>
          </a:r>
        </a:p>
        <a:p>
          <a:pPr algn="ctr"/>
          <a:r>
            <a:rPr lang="fr-FR" sz="1100" baseline="0"/>
            <a:t>Il est de repos de 08h00 à 13h00</a:t>
          </a:r>
          <a:endParaRPr lang="fr-FR" sz="1100"/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11</xdr:col>
      <xdr:colOff>152400</xdr:colOff>
      <xdr:row>14</xdr:row>
      <xdr:rowOff>0</xdr:rowOff>
    </xdr:to>
    <xdr:sp macro="" textlink="">
      <xdr:nvSpPr>
        <xdr:cNvPr id="11" name="Légende encadrée 2 10"/>
        <xdr:cNvSpPr/>
      </xdr:nvSpPr>
      <xdr:spPr>
        <a:xfrm>
          <a:off x="7239000" y="1752600"/>
          <a:ext cx="1676400" cy="962025"/>
        </a:xfrm>
        <a:prstGeom prst="borderCallout2">
          <a:avLst>
            <a:gd name="adj1" fmla="val 18750"/>
            <a:gd name="adj2" fmla="val 276"/>
            <a:gd name="adj3" fmla="val 18750"/>
            <a:gd name="adj4" fmla="val -16667"/>
            <a:gd name="adj5" fmla="val 111346"/>
            <a:gd name="adj6" fmla="val -294997"/>
          </a:avLst>
        </a:prstGeom>
        <a:ln>
          <a:solidFill>
            <a:schemeClr val="tx2"/>
          </a:solidFill>
          <a:tailEnd type="triangle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Cette partie est réservée</a:t>
          </a:r>
          <a:r>
            <a:rPr lang="fr-FR" sz="1100" baseline="0"/>
            <a:t> pour l'agent qui travaille en "N" de 19h00 à 07h00.</a:t>
          </a:r>
        </a:p>
        <a:p>
          <a:pPr algn="ctr"/>
          <a:r>
            <a:rPr lang="fr-FR" sz="1100" baseline="0"/>
            <a:t>Il est de repos  le jour suivant</a:t>
          </a:r>
          <a:endParaRPr lang="fr-FR" sz="1100"/>
        </a:p>
      </xdr:txBody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152400</xdr:colOff>
      <xdr:row>20</xdr:row>
      <xdr:rowOff>180975</xdr:rowOff>
    </xdr:to>
    <xdr:sp macro="" textlink="">
      <xdr:nvSpPr>
        <xdr:cNvPr id="12" name="Légende encadrée 2 11"/>
        <xdr:cNvSpPr/>
      </xdr:nvSpPr>
      <xdr:spPr>
        <a:xfrm>
          <a:off x="7239000" y="3105150"/>
          <a:ext cx="1676400" cy="962025"/>
        </a:xfrm>
        <a:prstGeom prst="borderCallout2">
          <a:avLst>
            <a:gd name="adj1" fmla="val 18750"/>
            <a:gd name="adj2" fmla="val 276"/>
            <a:gd name="adj3" fmla="val 18750"/>
            <a:gd name="adj4" fmla="val -16667"/>
            <a:gd name="adj5" fmla="val -10436"/>
            <a:gd name="adj6" fmla="val -294997"/>
          </a:avLst>
        </a:prstGeom>
        <a:ln>
          <a:solidFill>
            <a:schemeClr val="tx2"/>
          </a:solidFill>
          <a:tailEnd type="triangle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Cette partie est réservée</a:t>
          </a:r>
          <a:r>
            <a:rPr lang="fr-FR" sz="1100" baseline="0"/>
            <a:t> pour l'agent qui est en repos pour le système "N"</a:t>
          </a:r>
          <a:endParaRPr lang="fr-FR" sz="1100"/>
        </a:p>
      </xdr:txBody>
    </xdr:sp>
    <xdr:clientData/>
  </xdr:twoCellAnchor>
  <xdr:twoCellAnchor>
    <xdr:from>
      <xdr:col>9</xdr:col>
      <xdr:colOff>152400</xdr:colOff>
      <xdr:row>4</xdr:row>
      <xdr:rowOff>142875</xdr:rowOff>
    </xdr:from>
    <xdr:to>
      <xdr:col>11</xdr:col>
      <xdr:colOff>342900</xdr:colOff>
      <xdr:row>7</xdr:row>
      <xdr:rowOff>114300</xdr:rowOff>
    </xdr:to>
    <xdr:sp macro="" textlink="">
      <xdr:nvSpPr>
        <xdr:cNvPr id="13" name="Rectangle à coins arrondis 12"/>
        <xdr:cNvSpPr/>
      </xdr:nvSpPr>
      <xdr:spPr>
        <a:xfrm>
          <a:off x="7391400" y="923925"/>
          <a:ext cx="1714500" cy="552450"/>
        </a:xfrm>
        <a:prstGeom prst="wedgeRoundRectCallout">
          <a:avLst>
            <a:gd name="adj1" fmla="val -23160"/>
            <a:gd name="adj2" fmla="val -144396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Cette toupie me sert pour changer</a:t>
          </a:r>
          <a:r>
            <a:rPr lang="fr-FR" sz="1100" baseline="0"/>
            <a:t> les dates de la feuille de présence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0</xdr:row>
      <xdr:rowOff>161925</xdr:rowOff>
    </xdr:from>
    <xdr:to>
      <xdr:col>3</xdr:col>
      <xdr:colOff>95250</xdr:colOff>
      <xdr:row>3</xdr:row>
      <xdr:rowOff>247650</xdr:rowOff>
    </xdr:to>
    <xdr:sp macro="" textlink="">
      <xdr:nvSpPr>
        <xdr:cNvPr id="2" name="Étoile à 8 branches 1"/>
        <xdr:cNvSpPr/>
      </xdr:nvSpPr>
      <xdr:spPr>
        <a:xfrm>
          <a:off x="733425" y="161925"/>
          <a:ext cx="781050" cy="657225"/>
        </a:xfrm>
        <a:prstGeom prst="star8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2400" b="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0</xdr:col>
      <xdr:colOff>219075</xdr:colOff>
      <xdr:row>5</xdr:row>
      <xdr:rowOff>28575</xdr:rowOff>
    </xdr:from>
    <xdr:to>
      <xdr:col>0</xdr:col>
      <xdr:colOff>438150</xdr:colOff>
      <xdr:row>10</xdr:row>
      <xdr:rowOff>161925</xdr:rowOff>
    </xdr:to>
    <xdr:sp macro="" textlink="">
      <xdr:nvSpPr>
        <xdr:cNvPr id="3" name="Accolade fermante 2"/>
        <xdr:cNvSpPr/>
      </xdr:nvSpPr>
      <xdr:spPr>
        <a:xfrm>
          <a:off x="219075" y="1171575"/>
          <a:ext cx="219075" cy="11811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104774</xdr:colOff>
      <xdr:row>13</xdr:row>
      <xdr:rowOff>47625</xdr:rowOff>
    </xdr:from>
    <xdr:to>
      <xdr:col>5</xdr:col>
      <xdr:colOff>533399</xdr:colOff>
      <xdr:row>20</xdr:row>
      <xdr:rowOff>180975</xdr:rowOff>
    </xdr:to>
    <xdr:sp macro="" textlink="">
      <xdr:nvSpPr>
        <xdr:cNvPr id="4" name="Rectangle à coins arrondis 3"/>
        <xdr:cNvSpPr/>
      </xdr:nvSpPr>
      <xdr:spPr>
        <a:xfrm>
          <a:off x="104774" y="2867025"/>
          <a:ext cx="3000375" cy="1600200"/>
        </a:xfrm>
        <a:prstGeom prst="wedgeRoundRectCallout">
          <a:avLst>
            <a:gd name="adj1" fmla="val -40112"/>
            <a:gd name="adj2" fmla="val -121785"/>
            <a:gd name="adj3" fmla="val 16667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fr-FR" sz="1100"/>
            <a:t>A</a:t>
          </a:r>
          <a:r>
            <a:rPr lang="fr-FR" sz="1100" baseline="0"/>
            <a:t> chaque début du mois :</a:t>
          </a:r>
        </a:p>
        <a:p>
          <a:pPr algn="l"/>
          <a:r>
            <a:rPr lang="fr-FR" sz="1100"/>
            <a:t>Affectation du système du travail pour chaque agent depuis la liste déroulante.</a:t>
          </a:r>
        </a:p>
        <a:p>
          <a:pPr algn="l"/>
          <a:endParaRPr lang="fr-FR" sz="1100"/>
        </a:p>
        <a:p>
          <a:pPr algn="l"/>
          <a:r>
            <a:rPr lang="fr-FR" sz="1100"/>
            <a:t>L : Limite de 08:00 à 12:00 et de 13:00 à 16:30</a:t>
          </a:r>
        </a:p>
        <a:p>
          <a:pPr algn="l"/>
          <a:r>
            <a:rPr lang="fr-FR" sz="1100"/>
            <a:t>P : Petite de 07:00 à 13:00</a:t>
          </a:r>
        </a:p>
        <a:p>
          <a:pPr algn="l"/>
          <a:r>
            <a:rPr lang="fr-FR" sz="1100"/>
            <a:t>G : Grande</a:t>
          </a:r>
          <a:r>
            <a:rPr lang="fr-FR" sz="1100" baseline="0"/>
            <a:t> de 13:00 à 19:00</a:t>
          </a:r>
        </a:p>
        <a:p>
          <a:pPr algn="l"/>
          <a:r>
            <a:rPr lang="fr-FR" sz="1100" baseline="0"/>
            <a:t>N : Nuit de 19:00 à 07:00</a:t>
          </a:r>
          <a:endParaRPr lang="fr-FR" sz="1100"/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781050</xdr:colOff>
      <xdr:row>3</xdr:row>
      <xdr:rowOff>85725</xdr:rowOff>
    </xdr:to>
    <xdr:sp macro="" textlink="">
      <xdr:nvSpPr>
        <xdr:cNvPr id="5" name="Étoile à 8 branches 4"/>
        <xdr:cNvSpPr/>
      </xdr:nvSpPr>
      <xdr:spPr>
        <a:xfrm>
          <a:off x="3343275" y="0"/>
          <a:ext cx="781050" cy="657225"/>
        </a:xfrm>
        <a:prstGeom prst="star8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2400" b="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7</xdr:col>
      <xdr:colOff>161925</xdr:colOff>
      <xdr:row>5</xdr:row>
      <xdr:rowOff>85724</xdr:rowOff>
    </xdr:from>
    <xdr:to>
      <xdr:col>10</xdr:col>
      <xdr:colOff>304800</xdr:colOff>
      <xdr:row>8</xdr:row>
      <xdr:rowOff>171449</xdr:rowOff>
    </xdr:to>
    <xdr:sp macro="" textlink="">
      <xdr:nvSpPr>
        <xdr:cNvPr id="6" name="Ellipse 5"/>
        <xdr:cNvSpPr/>
      </xdr:nvSpPr>
      <xdr:spPr>
        <a:xfrm>
          <a:off x="4371975" y="1295399"/>
          <a:ext cx="3086100" cy="71437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Remplissage du tableau de TabBrgd avec</a:t>
          </a:r>
          <a:r>
            <a:rPr lang="fr-FR" sz="1100" baseline="0"/>
            <a:t> des formules depuis le tableau $A$5:$E$11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5953</xdr:rowOff>
    </xdr:from>
    <xdr:to>
      <xdr:col>1</xdr:col>
      <xdr:colOff>4763</xdr:colOff>
      <xdr:row>1</xdr:row>
      <xdr:rowOff>0</xdr:rowOff>
    </xdr:to>
    <xdr:sp macro="" textlink="">
      <xdr:nvSpPr>
        <xdr:cNvPr id="2" name="ZoneTexte 1"/>
        <xdr:cNvSpPr txBox="1"/>
      </xdr:nvSpPr>
      <xdr:spPr>
        <a:xfrm>
          <a:off x="0" y="5953"/>
          <a:ext cx="767845" cy="1834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00"/>
            <a:t>Brgd</a:t>
          </a:r>
        </a:p>
      </xdr:txBody>
    </xdr:sp>
    <xdr:clientData/>
  </xdr:twoCellAnchor>
  <xdr:twoCellAnchor>
    <xdr:from>
      <xdr:col>0</xdr:col>
      <xdr:colOff>0</xdr:colOff>
      <xdr:row>0</xdr:row>
      <xdr:rowOff>191195</xdr:rowOff>
    </xdr:from>
    <xdr:to>
      <xdr:col>1</xdr:col>
      <xdr:colOff>3572</xdr:colOff>
      <xdr:row>2</xdr:row>
      <xdr:rowOff>3476</xdr:rowOff>
    </xdr:to>
    <xdr:sp macro="" textlink="">
      <xdr:nvSpPr>
        <xdr:cNvPr id="3" name="ZoneTexte 2"/>
        <xdr:cNvSpPr txBox="1"/>
      </xdr:nvSpPr>
      <xdr:spPr>
        <a:xfrm>
          <a:off x="0" y="191195"/>
          <a:ext cx="764877" cy="194672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00"/>
            <a:t>FO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3572</xdr:colOff>
      <xdr:row>3</xdr:row>
      <xdr:rowOff>3476</xdr:rowOff>
    </xdr:to>
    <xdr:sp macro="" textlink="">
      <xdr:nvSpPr>
        <xdr:cNvPr id="4" name="ZoneTexte 3"/>
        <xdr:cNvSpPr txBox="1"/>
      </xdr:nvSpPr>
      <xdr:spPr>
        <a:xfrm>
          <a:off x="0" y="382391"/>
          <a:ext cx="764877" cy="1946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Ré</a:t>
          </a:r>
        </a:p>
      </xdr:txBody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3572</xdr:colOff>
      <xdr:row>4</xdr:row>
      <xdr:rowOff>0</xdr:rowOff>
    </xdr:to>
    <xdr:sp macro="" textlink="">
      <xdr:nvSpPr>
        <xdr:cNvPr id="5" name="ZoneTexte 4"/>
        <xdr:cNvSpPr txBox="1"/>
      </xdr:nvSpPr>
      <xdr:spPr>
        <a:xfrm>
          <a:off x="0" y="573586"/>
          <a:ext cx="764877" cy="191195"/>
        </a:xfrm>
        <a:prstGeom prst="rect">
          <a:avLst/>
        </a:prstGeom>
        <a:solidFill>
          <a:srgbClr val="E5F648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CM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1</xdr:col>
      <xdr:colOff>3572</xdr:colOff>
      <xdr:row>4</xdr:row>
      <xdr:rowOff>184547</xdr:rowOff>
    </xdr:to>
    <xdr:sp macro="" textlink="">
      <xdr:nvSpPr>
        <xdr:cNvPr id="6" name="ZoneTexte 5"/>
        <xdr:cNvSpPr txBox="1"/>
      </xdr:nvSpPr>
      <xdr:spPr>
        <a:xfrm>
          <a:off x="0" y="762000"/>
          <a:ext cx="765572" cy="1845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15</xdr:col>
      <xdr:colOff>63500</xdr:colOff>
      <xdr:row>0</xdr:row>
      <xdr:rowOff>0</xdr:rowOff>
    </xdr:from>
    <xdr:to>
      <xdr:col>17</xdr:col>
      <xdr:colOff>209550</xdr:colOff>
      <xdr:row>3</xdr:row>
      <xdr:rowOff>152400</xdr:rowOff>
    </xdr:to>
    <xdr:sp macro="" textlink="">
      <xdr:nvSpPr>
        <xdr:cNvPr id="7" name="Étoile à 8 branches 6"/>
        <xdr:cNvSpPr/>
      </xdr:nvSpPr>
      <xdr:spPr>
        <a:xfrm>
          <a:off x="5270500" y="0"/>
          <a:ext cx="781050" cy="723900"/>
        </a:xfrm>
        <a:prstGeom prst="star8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2400" b="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4</xdr:col>
      <xdr:colOff>21167</xdr:colOff>
      <xdr:row>0</xdr:row>
      <xdr:rowOff>84666</xdr:rowOff>
    </xdr:from>
    <xdr:to>
      <xdr:col>13</xdr:col>
      <xdr:colOff>84667</xdr:colOff>
      <xdr:row>4</xdr:row>
      <xdr:rowOff>158750</xdr:rowOff>
    </xdr:to>
    <xdr:sp macro="" textlink="">
      <xdr:nvSpPr>
        <xdr:cNvPr id="8" name="Rectangle à coins arrondis 7"/>
        <xdr:cNvSpPr/>
      </xdr:nvSpPr>
      <xdr:spPr>
        <a:xfrm>
          <a:off x="1735667" y="84666"/>
          <a:ext cx="2921000" cy="836084"/>
        </a:xfrm>
        <a:prstGeom prst="wedgeRoundRectCallout">
          <a:avLst>
            <a:gd name="adj1" fmla="val -87963"/>
            <a:gd name="adj2" fmla="val -45583"/>
            <a:gd name="adj3" fmla="val 16667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Pour marquer le planning du mois de Mai ($B$8:$AF$13), on fait un clique sur la zone de texte "Brgd".</a:t>
          </a:r>
        </a:p>
        <a:p>
          <a:pPr algn="ctr"/>
          <a:r>
            <a:rPr lang="fr-FR" sz="1100"/>
            <a:t>Le tableau TabBrgd est utilisé comme source de marquage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10583</xdr:colOff>
      <xdr:row>6</xdr:row>
      <xdr:rowOff>179916</xdr:rowOff>
    </xdr:from>
    <xdr:to>
      <xdr:col>18</xdr:col>
      <xdr:colOff>306917</xdr:colOff>
      <xdr:row>7</xdr:row>
      <xdr:rowOff>179916</xdr:rowOff>
    </xdr:to>
    <xdr:sp macro="" textlink="">
      <xdr:nvSpPr>
        <xdr:cNvPr id="9" name="Ellipse 8"/>
        <xdr:cNvSpPr/>
      </xdr:nvSpPr>
      <xdr:spPr>
        <a:xfrm>
          <a:off x="4265083" y="1344083"/>
          <a:ext cx="2201334" cy="190500"/>
        </a:xfrm>
        <a:prstGeom prst="ellipse">
          <a:avLst/>
        </a:prstGeom>
        <a:solidFill>
          <a:schemeClr val="lt1">
            <a:alpha val="39000"/>
          </a:schemeClr>
        </a:solidFill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7</xdr:row>
      <xdr:rowOff>179917</xdr:rowOff>
    </xdr:from>
    <xdr:to>
      <xdr:col>18</xdr:col>
      <xdr:colOff>306917</xdr:colOff>
      <xdr:row>9</xdr:row>
      <xdr:rowOff>10583</xdr:rowOff>
    </xdr:to>
    <xdr:sp macro="" textlink="">
      <xdr:nvSpPr>
        <xdr:cNvPr id="10" name="Ellipse 9"/>
        <xdr:cNvSpPr/>
      </xdr:nvSpPr>
      <xdr:spPr>
        <a:xfrm>
          <a:off x="4254500" y="1534584"/>
          <a:ext cx="2211917" cy="211666"/>
        </a:xfrm>
        <a:prstGeom prst="ellipse">
          <a:avLst/>
        </a:prstGeom>
        <a:solidFill>
          <a:schemeClr val="lt1">
            <a:alpha val="39000"/>
          </a:schemeClr>
        </a:solidFill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740832</xdr:colOff>
      <xdr:row>13</xdr:row>
      <xdr:rowOff>148165</xdr:rowOff>
    </xdr:from>
    <xdr:to>
      <xdr:col>13</xdr:col>
      <xdr:colOff>74083</xdr:colOff>
      <xdr:row>22</xdr:row>
      <xdr:rowOff>74082</xdr:rowOff>
    </xdr:to>
    <xdr:sp macro="" textlink="">
      <xdr:nvSpPr>
        <xdr:cNvPr id="11" name="Bulle ronde 10"/>
        <xdr:cNvSpPr/>
      </xdr:nvSpPr>
      <xdr:spPr>
        <a:xfrm>
          <a:off x="740832" y="2645832"/>
          <a:ext cx="3905251" cy="1640417"/>
        </a:xfrm>
        <a:prstGeom prst="wedgeEllipseCallout">
          <a:avLst>
            <a:gd name="adj1" fmla="val 63533"/>
            <a:gd name="adj2" fmla="val -123035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"Nom1" poursuit</a:t>
          </a:r>
          <a:r>
            <a:rPr lang="fr-FR" sz="1100" baseline="0"/>
            <a:t> le système P/G</a:t>
          </a:r>
        </a:p>
        <a:p>
          <a:pPr algn="ctr"/>
          <a:r>
            <a:rPr lang="fr-FR" sz="1100" baseline="0"/>
            <a:t>S'il est désigné par l'administration pour suivre une formation "FO" de 5 jour du 13/05/2013 au 17/05/2013 un agent qui suit le système L (Ex: "Nom2"), le remplacera pendant cette période et suit le système P/G</a:t>
          </a:r>
        </a:p>
        <a:p>
          <a:pPr algn="ctr"/>
          <a:r>
            <a:rPr lang="fr-FR" sz="1100" baseline="0"/>
            <a:t>c-à-d qu'il y aura une </a:t>
          </a:r>
          <a:r>
            <a:rPr lang="fr-FR" sz="1100" u="dbl" baseline="0"/>
            <a:t>permutation</a:t>
          </a:r>
          <a:r>
            <a:rPr lang="fr-FR" sz="1100" baseline="0"/>
            <a:t> dans le système du travail</a:t>
          </a:r>
          <a:endParaRPr lang="fr-FR" sz="1100"/>
        </a:p>
      </xdr:txBody>
    </xdr:sp>
    <xdr:clientData/>
  </xdr:twoCellAnchor>
  <xdr:twoCellAnchor>
    <xdr:from>
      <xdr:col>16</xdr:col>
      <xdr:colOff>52917</xdr:colOff>
      <xdr:row>13</xdr:row>
      <xdr:rowOff>116416</xdr:rowOff>
    </xdr:from>
    <xdr:to>
      <xdr:col>27</xdr:col>
      <xdr:colOff>42333</xdr:colOff>
      <xdr:row>22</xdr:row>
      <xdr:rowOff>148166</xdr:rowOff>
    </xdr:to>
    <xdr:sp macro="" textlink="">
      <xdr:nvSpPr>
        <xdr:cNvPr id="12" name="Bulle ronde 11"/>
        <xdr:cNvSpPr/>
      </xdr:nvSpPr>
      <xdr:spPr>
        <a:xfrm>
          <a:off x="5577417" y="2614083"/>
          <a:ext cx="3481916" cy="1746250"/>
        </a:xfrm>
        <a:prstGeom prst="wedgeEllipseCallout">
          <a:avLst>
            <a:gd name="adj1" fmla="val -53537"/>
            <a:gd name="adj2" fmla="val -103474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En cas ou l'agent "Nom2" qui remplacera l'agent "Nom1" en "FO",</a:t>
          </a:r>
          <a:r>
            <a:rPr lang="fr-FR" sz="1100" baseline="0"/>
            <a:t> </a:t>
          </a:r>
          <a:r>
            <a:rPr lang="fr-FR" sz="1100"/>
            <a:t>il prendra pendant les 5 jours de la formation de "Nom1" qui était marquées dans le début du mois</a:t>
          </a:r>
          <a:r>
            <a:rPr lang="fr-FR" sz="1100" baseline="0"/>
            <a:t> </a:t>
          </a:r>
          <a:r>
            <a:rPr lang="fr-FR" sz="1100"/>
            <a:t>comme système P/G</a:t>
          </a:r>
        </a:p>
        <a:p>
          <a:pPr algn="ctr"/>
          <a:r>
            <a:rPr lang="fr-FR" sz="1100"/>
            <a:t>Ensuite il revient à sont système de travail initial qui est "L" après le reprise</a:t>
          </a:r>
          <a:r>
            <a:rPr lang="fr-FR" sz="1100" baseline="0"/>
            <a:t> </a:t>
          </a:r>
          <a:r>
            <a:rPr lang="fr-FR" sz="1100"/>
            <a:t>de l'agent "Nom1" comme P/G</a:t>
          </a:r>
        </a:p>
      </xdr:txBody>
    </xdr:sp>
    <xdr:clientData/>
  </xdr:twoCellAnchor>
  <xdr:twoCellAnchor>
    <xdr:from>
      <xdr:col>13</xdr:col>
      <xdr:colOff>127000</xdr:colOff>
      <xdr:row>17</xdr:row>
      <xdr:rowOff>148167</xdr:rowOff>
    </xdr:from>
    <xdr:to>
      <xdr:col>15</xdr:col>
      <xdr:colOff>273050</xdr:colOff>
      <xdr:row>21</xdr:row>
      <xdr:rowOff>110067</xdr:rowOff>
    </xdr:to>
    <xdr:sp macro="" textlink="">
      <xdr:nvSpPr>
        <xdr:cNvPr id="13" name="Étoile à 8 branches 12"/>
        <xdr:cNvSpPr/>
      </xdr:nvSpPr>
      <xdr:spPr>
        <a:xfrm>
          <a:off x="4699000" y="3407834"/>
          <a:ext cx="781050" cy="723900"/>
        </a:xfrm>
        <a:prstGeom prst="star8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2400" b="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9</xdr:col>
      <xdr:colOff>148167</xdr:colOff>
      <xdr:row>23</xdr:row>
      <xdr:rowOff>42332</xdr:rowOff>
    </xdr:from>
    <xdr:to>
      <xdr:col>21</xdr:col>
      <xdr:colOff>42334</xdr:colOff>
      <xdr:row>29</xdr:row>
      <xdr:rowOff>10583</xdr:rowOff>
    </xdr:to>
    <xdr:sp macro="" textlink="">
      <xdr:nvSpPr>
        <xdr:cNvPr id="14" name="Pensées 13"/>
        <xdr:cNvSpPr/>
      </xdr:nvSpPr>
      <xdr:spPr>
        <a:xfrm>
          <a:off x="3450167" y="4444999"/>
          <a:ext cx="3704167" cy="1111251"/>
        </a:xfrm>
        <a:prstGeom prst="cloudCallout">
          <a:avLst>
            <a:gd name="adj1" fmla="val -5283"/>
            <a:gd name="adj2" fmla="val -85901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Le marquage du planning dans le cas d'une permutation du</a:t>
          </a:r>
          <a:r>
            <a:rPr lang="fr-FR" sz="1100" baseline="0"/>
            <a:t> système de travail entre agents.</a:t>
          </a:r>
        </a:p>
        <a:p>
          <a:pPr algn="ctr"/>
          <a:r>
            <a:rPr lang="fr-FR" sz="1100" baseline="0"/>
            <a:t>Les périodes sont définies dans la feuille "Données"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5953</xdr:rowOff>
    </xdr:from>
    <xdr:to>
      <xdr:col>1</xdr:col>
      <xdr:colOff>4763</xdr:colOff>
      <xdr:row>1</xdr:row>
      <xdr:rowOff>0</xdr:rowOff>
    </xdr:to>
    <xdr:sp macro="[0]!MarqueCouleur" textlink="">
      <xdr:nvSpPr>
        <xdr:cNvPr id="2" name="ZoneTexte 1"/>
        <xdr:cNvSpPr txBox="1"/>
      </xdr:nvSpPr>
      <xdr:spPr>
        <a:xfrm>
          <a:off x="0" y="5953"/>
          <a:ext cx="766763" cy="1845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00"/>
            <a:t>Brgd</a:t>
          </a:r>
        </a:p>
      </xdr:txBody>
    </xdr:sp>
    <xdr:clientData/>
  </xdr:twoCellAnchor>
  <xdr:twoCellAnchor>
    <xdr:from>
      <xdr:col>0</xdr:col>
      <xdr:colOff>0</xdr:colOff>
      <xdr:row>0</xdr:row>
      <xdr:rowOff>191195</xdr:rowOff>
    </xdr:from>
    <xdr:to>
      <xdr:col>1</xdr:col>
      <xdr:colOff>3572</xdr:colOff>
      <xdr:row>2</xdr:row>
      <xdr:rowOff>3476</xdr:rowOff>
    </xdr:to>
    <xdr:sp macro="[0]!MarqueCouleur" textlink="">
      <xdr:nvSpPr>
        <xdr:cNvPr id="3" name="ZoneTexte 2"/>
        <xdr:cNvSpPr txBox="1"/>
      </xdr:nvSpPr>
      <xdr:spPr>
        <a:xfrm>
          <a:off x="0" y="191195"/>
          <a:ext cx="765572" cy="193281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00"/>
            <a:t>FO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3572</xdr:colOff>
      <xdr:row>3</xdr:row>
      <xdr:rowOff>3476</xdr:rowOff>
    </xdr:to>
    <xdr:sp macro="" textlink="">
      <xdr:nvSpPr>
        <xdr:cNvPr id="4" name="ZoneTexte 3"/>
        <xdr:cNvSpPr txBox="1"/>
      </xdr:nvSpPr>
      <xdr:spPr>
        <a:xfrm>
          <a:off x="0" y="381000"/>
          <a:ext cx="765572" cy="193976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Ré</a:t>
          </a:r>
        </a:p>
      </xdr:txBody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3572</xdr:colOff>
      <xdr:row>4</xdr:row>
      <xdr:rowOff>0</xdr:rowOff>
    </xdr:to>
    <xdr:sp macro="" textlink="">
      <xdr:nvSpPr>
        <xdr:cNvPr id="5" name="ZoneTexte 4"/>
        <xdr:cNvSpPr txBox="1"/>
      </xdr:nvSpPr>
      <xdr:spPr>
        <a:xfrm>
          <a:off x="0" y="571500"/>
          <a:ext cx="765572" cy="190500"/>
        </a:xfrm>
        <a:prstGeom prst="rect">
          <a:avLst/>
        </a:prstGeom>
        <a:solidFill>
          <a:srgbClr val="E5F648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CM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1</xdr:col>
      <xdr:colOff>3572</xdr:colOff>
      <xdr:row>4</xdr:row>
      <xdr:rowOff>184547</xdr:rowOff>
    </xdr:to>
    <xdr:sp macro="" textlink="">
      <xdr:nvSpPr>
        <xdr:cNvPr id="6" name="ZoneTexte 5"/>
        <xdr:cNvSpPr txBox="1"/>
      </xdr:nvSpPr>
      <xdr:spPr>
        <a:xfrm>
          <a:off x="0" y="762000"/>
          <a:ext cx="765572" cy="1845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2"/>
  <sheetViews>
    <sheetView showGridLines="0" tabSelected="1" topLeftCell="A19" zoomScale="80" zoomScaleNormal="80" workbookViewId="0">
      <selection activeCell="B29" sqref="B29"/>
    </sheetView>
  </sheetViews>
  <sheetFormatPr baseColWidth="10" defaultRowHeight="15"/>
  <cols>
    <col min="1" max="1" width="17.85546875" bestFit="1" customWidth="1"/>
    <col min="2" max="2" width="10.7109375" bestFit="1" customWidth="1"/>
  </cols>
  <sheetData>
    <row r="1" spans="1:16">
      <c r="K1" s="33">
        <f>DATEVALUE("01/" &amp; O1 &amp; "/" &amp; P1)+(M1*3)</f>
        <v>41422</v>
      </c>
      <c r="L1" s="33">
        <f>K1+2</f>
        <v>41424</v>
      </c>
      <c r="M1">
        <v>9</v>
      </c>
      <c r="O1" s="35">
        <v>5</v>
      </c>
      <c r="P1" s="36">
        <v>2013</v>
      </c>
    </row>
    <row r="4" spans="1:16" ht="16.5">
      <c r="K4" s="34" t="str">
        <f>IF(MOD(DAY(K1),6)=1,"RECTO","VERSO") &amp; " Feuille " &amp; INT(DAY(K1)/6)+1</f>
        <v>VERSO Feuille 5</v>
      </c>
      <c r="L4" s="34"/>
    </row>
    <row r="6" spans="1:16" ht="15.75" thickBot="1"/>
    <row r="7" spans="1:16">
      <c r="A7" s="47" t="s">
        <v>17</v>
      </c>
      <c r="B7" s="48">
        <f>K1</f>
        <v>41422</v>
      </c>
      <c r="C7" s="49" t="s">
        <v>18</v>
      </c>
      <c r="D7" s="49"/>
      <c r="E7" s="49" t="s">
        <v>19</v>
      </c>
      <c r="F7" s="49"/>
      <c r="G7" s="49" t="s">
        <v>20</v>
      </c>
      <c r="H7" s="50"/>
    </row>
    <row r="8" spans="1:16" ht="15.75" thickBot="1">
      <c r="A8" s="55" t="s">
        <v>21</v>
      </c>
      <c r="B8" s="56" t="s">
        <v>22</v>
      </c>
      <c r="C8" s="63" t="s">
        <v>23</v>
      </c>
      <c r="D8" s="63"/>
      <c r="E8" s="63"/>
      <c r="F8" s="63"/>
      <c r="G8" s="63"/>
      <c r="H8" s="64"/>
    </row>
    <row r="9" spans="1:16">
      <c r="A9" s="65" t="s">
        <v>24</v>
      </c>
      <c r="B9" s="66"/>
      <c r="C9" s="62" t="s">
        <v>25</v>
      </c>
      <c r="D9" s="62" t="s">
        <v>26</v>
      </c>
      <c r="E9" s="62" t="s">
        <v>27</v>
      </c>
      <c r="F9" s="62" t="s">
        <v>28</v>
      </c>
      <c r="G9" s="69"/>
      <c r="H9" s="70"/>
    </row>
    <row r="10" spans="1:16">
      <c r="A10" s="51" t="str">
        <f>IF(ISNA(INDEX(Liste,MATCH("L",SBrgd,0),2)),"",INDEX(Liste,MATCH("L",SBrgd,0),2))</f>
        <v>Nom2</v>
      </c>
      <c r="B10" s="38" t="str">
        <f>INDEX(Liste,MATCH(A10,NBrgd,0),3)</f>
        <v>TS</v>
      </c>
      <c r="C10" s="92" t="b">
        <f ca="1">IF(AND(ISNA(MATCH(A10,BlisteM,0)),OR(WEEKDAY($B7,1)&gt;5,ISNUMBER(MATCH($B7,Fériés,0)))),"REPOS",IF(ISNA(MATCH(A10,BlisteM,0)),"",IF(OR(WEEKDAY($B7,1)&gt;5,ISNUMBER(MATCH($B7,Fériés,0))),"REPOS",IF(ISNUMBER(MATCH(A10,BlisteM,0)),IF(AND(B7&gt;=INDIRECT("Données!C"&amp;MATCH(A10,BlisteM,0)+2),B7&lt;=INDIRECT("Données!D"&amp;MATCH(A10,BlisteM,0)+2)),INDEX(DonnéesM,MATCH($A10,BlisteM,0),6),"")))))</f>
        <v>0</v>
      </c>
      <c r="D10" s="37"/>
      <c r="E10" s="37"/>
      <c r="F10" s="37"/>
      <c r="G10" s="90"/>
      <c r="H10" s="91"/>
    </row>
    <row r="11" spans="1:16" ht="15.75" thickBot="1">
      <c r="A11" s="55" t="s">
        <v>69</v>
      </c>
      <c r="B11" s="56" t="s">
        <v>34</v>
      </c>
      <c r="C11" s="68" t="e">
        <f ca="1">IF(AND(ISNA(MATCH(A11,BlisteM,0)),OR(WEEKDAY($B8,1)&gt;5,ISNUMBER(MATCH($B8,Fériés,0)))),"REPOS",IF(ISNA(MATCH(A11,BlisteM,0)),"",IF(OR(WEEKDAY($B8,1)&gt;5,ISNUMBER(MATCH($B8,Fériés,0))),"REPOS",IF(ISNUMBER(MATCH(A11,BlisteM,0)),IF(AND(B8&gt;=INDIRECT("Données!C"&amp;MATCH(A11,BlisteM,0)+2),B8&lt;=INDIRECT("Données!D"&amp;MATCH(A11,BlisteM,0)+2)),INDEX(DonnéesM,MATCH($A11,BlisteM,0),6),"")))))</f>
        <v>#VALUE!</v>
      </c>
      <c r="D11" s="63"/>
      <c r="E11" s="63"/>
      <c r="F11" s="63"/>
      <c r="G11" s="71"/>
      <c r="H11" s="72"/>
    </row>
    <row r="12" spans="1:16">
      <c r="A12" s="60" t="s">
        <v>67</v>
      </c>
      <c r="B12" s="61"/>
      <c r="C12" s="39" t="s">
        <v>64</v>
      </c>
      <c r="D12" s="39" t="s">
        <v>27</v>
      </c>
      <c r="E12" s="39" t="s">
        <v>27</v>
      </c>
      <c r="F12" s="39" t="s">
        <v>65</v>
      </c>
      <c r="G12" s="39" t="s">
        <v>65</v>
      </c>
      <c r="H12" s="67" t="s">
        <v>64</v>
      </c>
    </row>
    <row r="13" spans="1:16">
      <c r="A13" s="51" t="str">
        <f>INDEX(TabBrgd,MATCH(B7,BDate,0),3)</f>
        <v>Nom3</v>
      </c>
      <c r="B13" s="38" t="str">
        <f>INDEX(Liste,MATCH(A13,NBrgd,0),3)</f>
        <v>IGE</v>
      </c>
      <c r="C13" s="22"/>
      <c r="D13" s="22"/>
      <c r="E13" s="46" t="s">
        <v>66</v>
      </c>
      <c r="F13" s="40"/>
      <c r="G13" s="41"/>
      <c r="H13" s="52"/>
    </row>
    <row r="14" spans="1:16">
      <c r="A14" s="51" t="str">
        <f>INDEX(TabBrgd,MATCH(B7,BDate,0),4)</f>
        <v>Nom1</v>
      </c>
      <c r="B14" s="38" t="str">
        <f>INDEX(Liste,MATCH(A14,NBrgd,0),3)</f>
        <v>IGE</v>
      </c>
      <c r="C14" s="46" t="s">
        <v>66</v>
      </c>
      <c r="D14" s="40"/>
      <c r="E14" s="22"/>
      <c r="F14" s="22"/>
      <c r="G14" s="42"/>
      <c r="H14" s="53"/>
    </row>
    <row r="15" spans="1:16">
      <c r="A15" s="51" t="str">
        <f>INDEX(TabBrgd,MATCH(B7,BDate,0),5)</f>
        <v>Nom5</v>
      </c>
      <c r="B15" s="38" t="str">
        <f>INDEX(Liste,MATCH(A15,NBrgd,0),3)</f>
        <v>OP</v>
      </c>
      <c r="C15" s="46" t="s">
        <v>66</v>
      </c>
      <c r="D15" s="37"/>
      <c r="E15" s="37"/>
      <c r="F15" s="37"/>
      <c r="G15" s="22"/>
      <c r="H15" s="54"/>
    </row>
    <row r="16" spans="1:16" ht="15.75" thickBot="1">
      <c r="A16" s="55" t="str">
        <f>IF(A15="Nom5","Nom4","Nom5")</f>
        <v>Nom4</v>
      </c>
      <c r="B16" s="56" t="str">
        <f>INDEX(Liste,MATCH(A16,NBrgd,0),3)</f>
        <v>T</v>
      </c>
      <c r="C16" s="57" t="s">
        <v>66</v>
      </c>
      <c r="D16" s="58"/>
      <c r="E16" s="58"/>
      <c r="F16" s="58"/>
      <c r="G16" s="58"/>
      <c r="H16" s="59"/>
    </row>
    <row r="17" spans="1:8" ht="15.75" thickBot="1">
      <c r="A17" s="80"/>
      <c r="B17" s="82"/>
      <c r="C17" s="81"/>
      <c r="D17" s="81"/>
      <c r="E17" s="81"/>
      <c r="F17" s="81"/>
      <c r="G17" s="81"/>
      <c r="H17" s="81"/>
    </row>
    <row r="18" spans="1:8">
      <c r="A18" s="100" t="s">
        <v>17</v>
      </c>
      <c r="B18" s="48">
        <f>B7+1</f>
        <v>41423</v>
      </c>
      <c r="C18" s="83" t="s">
        <v>18</v>
      </c>
      <c r="D18" s="83"/>
      <c r="E18" s="83" t="s">
        <v>19</v>
      </c>
      <c r="F18" s="83"/>
      <c r="G18" s="83" t="s">
        <v>20</v>
      </c>
      <c r="H18" s="83"/>
    </row>
    <row r="19" spans="1:8">
      <c r="A19" s="100" t="s">
        <v>21</v>
      </c>
      <c r="B19" s="84" t="s">
        <v>22</v>
      </c>
      <c r="C19" s="83" t="s">
        <v>23</v>
      </c>
      <c r="D19" s="83"/>
      <c r="E19" s="83"/>
      <c r="F19" s="83"/>
      <c r="G19" s="83"/>
      <c r="H19" s="83"/>
    </row>
    <row r="20" spans="1:8">
      <c r="A20" s="60" t="s">
        <v>24</v>
      </c>
      <c r="B20" s="61"/>
      <c r="C20" s="84" t="s">
        <v>25</v>
      </c>
      <c r="D20" s="84" t="s">
        <v>26</v>
      </c>
      <c r="E20" s="84" t="s">
        <v>27</v>
      </c>
      <c r="F20" s="84" t="s">
        <v>28</v>
      </c>
      <c r="G20" s="88"/>
      <c r="H20" s="101"/>
    </row>
    <row r="21" spans="1:8">
      <c r="A21" s="100" t="str">
        <f>IF(ISNA(INDEX(Liste,MATCH("L",SBrgd,0),2)),"",INDEX(Liste,MATCH("L",SBrgd,0),2))</f>
        <v>Nom2</v>
      </c>
      <c r="B21" s="84" t="str">
        <f>INDEX(Liste,MATCH(A21,NBrgd,0),3)</f>
        <v>TS</v>
      </c>
      <c r="C21" s="85" t="b">
        <f ca="1">IF(AND(ISNA(MATCH(A21,BlisteM,0)),OR(WEEKDAY($B18,1)&gt;5,ISNUMBER(MATCH($B18,Fériés,0)))),"REPOS",IF(ISNA(MATCH(A21,BlisteM,0)),"",IF(OR(WEEKDAY($B18,1)&gt;5,ISNUMBER(MATCH($B18,Fériés,0))),"REPOS",IF(ISNUMBER(MATCH(A21,BlisteM,0)),IF(AND(B18&gt;=INDIRECT("Données!C"&amp;MATCH(A21,BlisteM,0)+2),B18&lt;=INDIRECT("Données!D"&amp;MATCH(A21,BlisteM,0)+2)),INDEX(DonnéesM,MATCH($A21,BlisteM,0),6),"")))))</f>
        <v>0</v>
      </c>
      <c r="D21" s="83"/>
      <c r="E21" s="83"/>
      <c r="F21" s="83"/>
      <c r="G21" s="93"/>
      <c r="H21" s="102"/>
    </row>
    <row r="22" spans="1:8">
      <c r="A22" s="100" t="s">
        <v>69</v>
      </c>
      <c r="B22" s="84" t="s">
        <v>34</v>
      </c>
      <c r="C22" s="85" t="e">
        <f ca="1">IF(AND(ISNA(MATCH(A22,BlisteM,0)),OR(WEEKDAY($B19,1)&gt;5,ISNUMBER(MATCH($B19,Fériés,0)))),"REPOS",IF(ISNA(MATCH(A22,BlisteM,0)),"",IF(OR(WEEKDAY($B19,1)&gt;5,ISNUMBER(MATCH($B19,Fériés,0))),"REPOS",IF(ISNUMBER(MATCH(A22,BlisteM,0)),IF(AND(B19&gt;=INDIRECT("Données!C"&amp;MATCH(A22,BlisteM,0)+2),B19&lt;=INDIRECT("Données!D"&amp;MATCH(A22,BlisteM,0)+2)),INDEX(DonnéesM,MATCH($A22,BlisteM,0),6),"")))))</f>
        <v>#VALUE!</v>
      </c>
      <c r="D22" s="83"/>
      <c r="E22" s="83"/>
      <c r="F22" s="83"/>
      <c r="G22" s="103"/>
      <c r="H22" s="104"/>
    </row>
    <row r="23" spans="1:8">
      <c r="A23" s="60" t="s">
        <v>67</v>
      </c>
      <c r="B23" s="61"/>
      <c r="C23" s="84" t="s">
        <v>64</v>
      </c>
      <c r="D23" s="84" t="s">
        <v>27</v>
      </c>
      <c r="E23" s="84" t="s">
        <v>27</v>
      </c>
      <c r="F23" s="84" t="s">
        <v>65</v>
      </c>
      <c r="G23" s="84" t="s">
        <v>65</v>
      </c>
      <c r="H23" s="84" t="s">
        <v>64</v>
      </c>
    </row>
    <row r="24" spans="1:8">
      <c r="A24" s="100" t="str">
        <f>INDEX(TabBrgd,MATCH(B18,BDate,0),3)</f>
        <v>Nom1</v>
      </c>
      <c r="B24" s="84" t="str">
        <f>INDEX(Liste,MATCH(A24,NBrgd,0),3)</f>
        <v>IGE</v>
      </c>
      <c r="C24" s="86"/>
      <c r="D24" s="86"/>
      <c r="E24" s="83" t="s">
        <v>66</v>
      </c>
      <c r="F24" s="87"/>
      <c r="G24" s="89"/>
      <c r="H24" s="105"/>
    </row>
    <row r="25" spans="1:8">
      <c r="A25" s="100" t="str">
        <f>INDEX(TabBrgd,MATCH(B18,BDate,0),4)</f>
        <v>Nom3</v>
      </c>
      <c r="B25" s="84" t="str">
        <f>INDEX(Liste,MATCH(A25,NBrgd,0),3)</f>
        <v>IGE</v>
      </c>
      <c r="C25" s="83" t="s">
        <v>66</v>
      </c>
      <c r="D25" s="87"/>
      <c r="E25" s="86"/>
      <c r="F25" s="86"/>
      <c r="G25" s="79"/>
      <c r="H25" s="106"/>
    </row>
    <row r="26" spans="1:8">
      <c r="A26" s="100" t="str">
        <f>INDEX(TabBrgd,MATCH(B18,BDate,0),5)</f>
        <v>Nom4</v>
      </c>
      <c r="B26" s="84" t="str">
        <f>INDEX(Liste,MATCH(A26,NBrgd,0),3)</f>
        <v>T</v>
      </c>
      <c r="C26" s="83" t="s">
        <v>66</v>
      </c>
      <c r="D26" s="83"/>
      <c r="E26" s="83"/>
      <c r="F26" s="83"/>
      <c r="G26" s="86"/>
      <c r="H26" s="86"/>
    </row>
    <row r="27" spans="1:8">
      <c r="A27" s="100" t="str">
        <f>IF(A26="Nom5","Nom4","Nom5")</f>
        <v>Nom5</v>
      </c>
      <c r="B27" s="84" t="str">
        <f>INDEX(Liste,MATCH(A27,NBrgd,0),3)</f>
        <v>OP</v>
      </c>
      <c r="C27" s="83" t="s">
        <v>66</v>
      </c>
      <c r="D27" s="83"/>
      <c r="E27" s="83"/>
      <c r="F27" s="83"/>
      <c r="G27" s="83"/>
      <c r="H27" s="83"/>
    </row>
    <row r="28" spans="1:8" ht="15.75" thickBot="1">
      <c r="A28" s="43"/>
      <c r="B28" s="44"/>
      <c r="C28" s="45"/>
      <c r="D28" s="45"/>
      <c r="E28" s="45"/>
      <c r="F28" s="45"/>
      <c r="G28" s="45"/>
      <c r="H28" s="45"/>
    </row>
    <row r="29" spans="1:8">
      <c r="A29" s="100" t="s">
        <v>17</v>
      </c>
      <c r="B29" s="48">
        <f>B7+2</f>
        <v>41424</v>
      </c>
      <c r="C29" s="83" t="s">
        <v>18</v>
      </c>
      <c r="D29" s="83"/>
      <c r="E29" s="83" t="s">
        <v>19</v>
      </c>
      <c r="F29" s="83"/>
      <c r="G29" s="83" t="s">
        <v>20</v>
      </c>
      <c r="H29" s="83"/>
    </row>
    <row r="30" spans="1:8">
      <c r="A30" s="100" t="s">
        <v>21</v>
      </c>
      <c r="B30" s="84" t="s">
        <v>22</v>
      </c>
      <c r="C30" s="83" t="s">
        <v>23</v>
      </c>
      <c r="D30" s="83"/>
      <c r="E30" s="83"/>
      <c r="F30" s="83"/>
      <c r="G30" s="83"/>
      <c r="H30" s="83"/>
    </row>
    <row r="31" spans="1:8">
      <c r="A31" s="60" t="s">
        <v>24</v>
      </c>
      <c r="B31" s="61"/>
      <c r="C31" s="84" t="s">
        <v>25</v>
      </c>
      <c r="D31" s="84" t="s">
        <v>26</v>
      </c>
      <c r="E31" s="84" t="s">
        <v>27</v>
      </c>
      <c r="F31" s="84" t="s">
        <v>28</v>
      </c>
      <c r="G31" s="88"/>
      <c r="H31" s="101"/>
    </row>
    <row r="32" spans="1:8">
      <c r="A32" s="100" t="str">
        <f>IF(ISNA(INDEX(Liste,MATCH("L",SBrgd,0),2)),"",INDEX(Liste,MATCH("L",SBrgd,0),2))</f>
        <v>Nom2</v>
      </c>
      <c r="B32" s="84" t="str">
        <f>INDEX(Liste,MATCH(A32,NBrgd,0),3)</f>
        <v>TS</v>
      </c>
      <c r="C32" s="85" t="b">
        <f ca="1">IF(AND(ISNA(MATCH(A32,BlisteM,0)),OR(WEEKDAY($B29,1)&gt;5,ISNUMBER(MATCH($B29,Fériés,0)))),"REPOS",IF(ISNA(MATCH(A32,BlisteM,0)),"",IF(OR(WEEKDAY($B29,1)&gt;5,ISNUMBER(MATCH($B29,Fériés,0))),"REPOS",IF(ISNUMBER(MATCH(A32,BlisteM,0)),IF(AND(B29&gt;=INDIRECT("Données!C"&amp;MATCH(A32,BlisteM,0)+2),B29&lt;=INDIRECT("Données!D"&amp;MATCH(A32,BlisteM,0)+2)),INDEX(DonnéesM,MATCH($A32,BlisteM,0),6),"")))))</f>
        <v>0</v>
      </c>
      <c r="D32" s="83"/>
      <c r="E32" s="83"/>
      <c r="F32" s="83"/>
      <c r="G32" s="93"/>
      <c r="H32" s="102"/>
    </row>
    <row r="33" spans="1:8">
      <c r="A33" s="100" t="s">
        <v>69</v>
      </c>
      <c r="B33" s="84" t="s">
        <v>34</v>
      </c>
      <c r="C33" s="85" t="e">
        <f ca="1">IF(AND(ISNA(MATCH(A33,BlisteM,0)),OR(WEEKDAY($B30,1)&gt;5,ISNUMBER(MATCH($B30,Fériés,0)))),"REPOS",IF(ISNA(MATCH(A33,BlisteM,0)),"",IF(OR(WEEKDAY($B30,1)&gt;5,ISNUMBER(MATCH($B30,Fériés,0))),"REPOS",IF(ISNUMBER(MATCH(A33,BlisteM,0)),IF(AND(B30&gt;=INDIRECT("Données!C"&amp;MATCH(A33,BlisteM,0)+2),B30&lt;=INDIRECT("Données!D"&amp;MATCH(A33,BlisteM,0)+2)),INDEX(DonnéesM,MATCH($A33,BlisteM,0),6),"")))))</f>
        <v>#VALUE!</v>
      </c>
      <c r="D33" s="83"/>
      <c r="E33" s="83"/>
      <c r="F33" s="83"/>
      <c r="G33" s="103"/>
      <c r="H33" s="104"/>
    </row>
    <row r="34" spans="1:8">
      <c r="A34" s="60" t="s">
        <v>67</v>
      </c>
      <c r="B34" s="61"/>
      <c r="C34" s="84" t="s">
        <v>64</v>
      </c>
      <c r="D34" s="84" t="s">
        <v>27</v>
      </c>
      <c r="E34" s="84" t="s">
        <v>27</v>
      </c>
      <c r="F34" s="84" t="s">
        <v>65</v>
      </c>
      <c r="G34" s="84" t="s">
        <v>65</v>
      </c>
      <c r="H34" s="84" t="s">
        <v>64</v>
      </c>
    </row>
    <row r="35" spans="1:8">
      <c r="A35" s="100" t="str">
        <f>INDEX(TabBrgd,MATCH(B29,BDate,0),3)</f>
        <v>Nom3</v>
      </c>
      <c r="B35" s="84" t="str">
        <f>INDEX(Liste,MATCH(A35,NBrgd,0),3)</f>
        <v>IGE</v>
      </c>
      <c r="C35" s="86"/>
      <c r="D35" s="86"/>
      <c r="E35" s="83" t="s">
        <v>66</v>
      </c>
      <c r="F35" s="87"/>
      <c r="G35" s="89"/>
      <c r="H35" s="105"/>
    </row>
    <row r="36" spans="1:8">
      <c r="A36" s="100" t="str">
        <f>INDEX(TabBrgd,MATCH(B29,BDate,0),4)</f>
        <v>Nom1</v>
      </c>
      <c r="B36" s="84" t="str">
        <f>INDEX(Liste,MATCH(A36,NBrgd,0),3)</f>
        <v>IGE</v>
      </c>
      <c r="C36" s="83" t="s">
        <v>66</v>
      </c>
      <c r="D36" s="87"/>
      <c r="E36" s="86"/>
      <c r="F36" s="86"/>
      <c r="G36" s="79"/>
      <c r="H36" s="106"/>
    </row>
    <row r="37" spans="1:8">
      <c r="A37" s="100" t="str">
        <f>INDEX(TabBrgd,MATCH(B29,BDate,0),5)</f>
        <v>Nom5</v>
      </c>
      <c r="B37" s="84" t="str">
        <f>INDEX(Liste,MATCH(A37,NBrgd,0),3)</f>
        <v>OP</v>
      </c>
      <c r="C37" s="83" t="s">
        <v>66</v>
      </c>
      <c r="D37" s="83"/>
      <c r="E37" s="83"/>
      <c r="F37" s="83"/>
      <c r="G37" s="86"/>
      <c r="H37" s="86"/>
    </row>
    <row r="38" spans="1:8">
      <c r="A38" s="100" t="str">
        <f>IF(A37="Nom5","Nom4","Nom5")</f>
        <v>Nom4</v>
      </c>
      <c r="B38" s="84" t="str">
        <f>INDEX(Liste,MATCH(A38,NBrgd,0),3)</f>
        <v>T</v>
      </c>
      <c r="C38" s="83" t="s">
        <v>66</v>
      </c>
      <c r="D38" s="83"/>
      <c r="E38" s="83"/>
      <c r="F38" s="83"/>
      <c r="G38" s="83"/>
      <c r="H38" s="83"/>
    </row>
    <row r="42" spans="1:8">
      <c r="G42" s="26" t="s">
        <v>74</v>
      </c>
    </row>
  </sheetData>
  <conditionalFormatting sqref="G9:H11 G33:H33 G20:H22">
    <cfRule type="expression" dxfId="29" priority="21" stopIfTrue="1">
      <formula>((ISNUMBER(INDEX(MichD,MATCH(MONTH($B9),MichD,0))))+($B9&gt;(DATE(YEAR(TODAY()),MONTH(TODAY())+1,0))))=2</formula>
    </cfRule>
  </conditionalFormatting>
  <conditionalFormatting sqref="G13:H14">
    <cfRule type="expression" dxfId="28" priority="20" stopIfTrue="1">
      <formula>((ISNUMBER(INDEX(MichD,MATCH(MONTH($B13),MichD,0))))+($B13&gt;(DATE(YEAR(TODAY()),MONTH(TODAY())+1,0))))=2</formula>
    </cfRule>
  </conditionalFormatting>
  <conditionalFormatting sqref="G20:H21">
    <cfRule type="expression" dxfId="27" priority="19" stopIfTrue="1">
      <formula>((ISNUMBER(INDEX(MichD,MATCH(MONTH($B20),MichD,0))))+($B20&gt;(DATE(YEAR(TODAY()),MONTH(TODAY())+1,0))))=2</formula>
    </cfRule>
  </conditionalFormatting>
  <conditionalFormatting sqref="G24:H25">
    <cfRule type="expression" dxfId="26" priority="18" stopIfTrue="1">
      <formula>((ISNUMBER(INDEX(MichD,MATCH(MONTH($B24),MichD,0))))+($B24&gt;(DATE(YEAR(TODAY()),MONTH(TODAY())+1,0))))=2</formula>
    </cfRule>
  </conditionalFormatting>
  <conditionalFormatting sqref="G31:H32">
    <cfRule type="expression" dxfId="25" priority="17" stopIfTrue="1">
      <formula>((ISNUMBER(INDEX(MichD,MATCH(MONTH($B31),MichD,0))))+($B31&gt;(DATE(YEAR(TODAY()),MONTH(TODAY())+1,0))))=2</formula>
    </cfRule>
  </conditionalFormatting>
  <conditionalFormatting sqref="G35:H36">
    <cfRule type="expression" dxfId="24" priority="16" stopIfTrue="1">
      <formula>((ISNUMBER(INDEX(MichD,MATCH(MONTH($B35),MichD,0))))+($B35&gt;(DATE(YEAR(TODAY()),MONTH(TODAY())+1,0))))=2</formula>
    </cfRule>
  </conditionalFormatting>
  <conditionalFormatting sqref="G20:H21">
    <cfRule type="expression" dxfId="23" priority="15" stopIfTrue="1">
      <formula>((ISNUMBER(INDEX(MichD,MATCH(MONTH($B20),MichD,0))))+($B20&gt;(DATE(YEAR(TODAY()),MONTH(TODAY())+1,0))))=2</formula>
    </cfRule>
  </conditionalFormatting>
  <conditionalFormatting sqref="G24:H25">
    <cfRule type="expression" dxfId="22" priority="14" stopIfTrue="1">
      <formula>((ISNUMBER(INDEX(MichD,MATCH(MONTH($B24),MichD,0))))+($B24&gt;(DATE(YEAR(TODAY()),MONTH(TODAY())+1,0))))=2</formula>
    </cfRule>
  </conditionalFormatting>
  <conditionalFormatting sqref="G31:H32">
    <cfRule type="expression" dxfId="21" priority="13" stopIfTrue="1">
      <formula>((ISNUMBER(INDEX(MichD,MATCH(MONTH($B31),MichD,0))))+($B31&gt;(DATE(YEAR(TODAY()),MONTH(TODAY())+1,0))))=2</formula>
    </cfRule>
  </conditionalFormatting>
  <conditionalFormatting sqref="G35:H36">
    <cfRule type="expression" dxfId="20" priority="12" stopIfTrue="1">
      <formula>((ISNUMBER(INDEX(MichD,MATCH(MONTH($B35),MichD,0))))+($B35&gt;(DATE(YEAR(TODAY()),MONTH(TODAY())+1,0))))=2</formula>
    </cfRule>
  </conditionalFormatting>
  <conditionalFormatting sqref="G20:H21">
    <cfRule type="expression" dxfId="19" priority="11" stopIfTrue="1">
      <formula>((ISNUMBER(INDEX(MichD,MATCH(MONTH($B20),MichD,0))))+($B20&gt;(DATE(YEAR(TODAY()),MONTH(TODAY())+1,0))))=2</formula>
    </cfRule>
  </conditionalFormatting>
  <conditionalFormatting sqref="G31:H32">
    <cfRule type="expression" dxfId="18" priority="10" stopIfTrue="1">
      <formula>((ISNUMBER(INDEX(MichD,MATCH(MONTH($B31),MichD,0))))+($B31&gt;(DATE(YEAR(TODAY()),MONTH(TODAY())+1,0))))=2</formula>
    </cfRule>
  </conditionalFormatting>
  <conditionalFormatting sqref="G31:H32">
    <cfRule type="expression" dxfId="17" priority="9" stopIfTrue="1">
      <formula>((ISNUMBER(INDEX(MichD,MATCH(MONTH($B31),MichD,0))))+($B31&gt;(DATE(YEAR(TODAY()),MONTH(TODAY())+1,0))))=2</formula>
    </cfRule>
  </conditionalFormatting>
  <conditionalFormatting sqref="G31:H32">
    <cfRule type="expression" dxfId="16" priority="8" stopIfTrue="1">
      <formula>((ISNUMBER(INDEX(MichD,MATCH(MONTH($B31),MichD,0))))+($B31&gt;(DATE(YEAR(TODAY()),MONTH(TODAY())+1,0))))=2</formula>
    </cfRule>
  </conditionalFormatting>
  <conditionalFormatting sqref="G24:H25">
    <cfRule type="expression" dxfId="15" priority="7" stopIfTrue="1">
      <formula>((ISNUMBER(INDEX(MichD,MATCH(MONTH($B24),MichD,0))))+($B24&gt;(DATE(YEAR(TODAY()),MONTH(TODAY())+1,0))))=2</formula>
    </cfRule>
  </conditionalFormatting>
  <conditionalFormatting sqref="G35:H36">
    <cfRule type="expression" dxfId="14" priority="6" stopIfTrue="1">
      <formula>((ISNUMBER(INDEX(MichD,MATCH(MONTH($B35),MichD,0))))+($B35&gt;(DATE(YEAR(TODAY()),MONTH(TODAY())+1,0))))=2</formula>
    </cfRule>
  </conditionalFormatting>
  <conditionalFormatting sqref="G35:H36">
    <cfRule type="expression" dxfId="13" priority="5" stopIfTrue="1">
      <formula>((ISNUMBER(INDEX(MichD,MATCH(MONTH($B35),MichD,0))))+($B35&gt;(DATE(YEAR(TODAY()),MONTH(TODAY())+1,0))))=2</formula>
    </cfRule>
  </conditionalFormatting>
  <conditionalFormatting sqref="G35:H36">
    <cfRule type="expression" dxfId="12" priority="4" stopIfTrue="1">
      <formula>((ISNUMBER(INDEX(MichD,MATCH(MONTH($B35),MichD,0))))+($B35&gt;(DATE(YEAR(TODAY()),MONTH(TODAY())+1,0))))=2</formula>
    </cfRule>
  </conditionalFormatting>
  <conditionalFormatting sqref="G35:H36">
    <cfRule type="expression" dxfId="11" priority="3" stopIfTrue="1">
      <formula>((ISNUMBER(INDEX(MichD,MATCH(MONTH($B35),MichD,0))))+($B35&gt;(DATE(YEAR(TODAY()),MONTH(TODAY())+1,0))))=2</formula>
    </cfRule>
  </conditionalFormatting>
  <conditionalFormatting sqref="G35:H36">
    <cfRule type="expression" dxfId="10" priority="2" stopIfTrue="1">
      <formula>((ISNUMBER(INDEX(MichD,MATCH(MONTH($B35),MichD,0))))+($B35&gt;(DATE(YEAR(TODAY()),MONTH(TODAY())+1,0))))=2</formula>
    </cfRule>
  </conditionalFormatting>
  <conditionalFormatting sqref="G35:H36">
    <cfRule type="expression" dxfId="9" priority="1" stopIfTrue="1">
      <formula>((ISNUMBER(INDEX(MichD,MATCH(MONTH($B35),MichD,0))))+($B35&gt;(DATE(YEAR(TODAY()),MONTH(TODAY())+1,0))))=2</formula>
    </cfRule>
  </conditionalFormatting>
  <pageMargins left="0.11811023622047245" right="0.11811023622047245" top="0.55118110236220474" bottom="0.55118110236220474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2"/>
  <sheetViews>
    <sheetView workbookViewId="0">
      <selection activeCell="H1" sqref="H1"/>
    </sheetView>
  </sheetViews>
  <sheetFormatPr baseColWidth="10" defaultRowHeight="15"/>
  <cols>
    <col min="1" max="1" width="17.7109375" bestFit="1" customWidth="1"/>
  </cols>
  <sheetData>
    <row r="1" spans="1:18" ht="15.75">
      <c r="A1" s="5" t="s">
        <v>3</v>
      </c>
      <c r="B1" s="5"/>
      <c r="C1" s="6"/>
      <c r="D1" s="7"/>
      <c r="E1" s="7"/>
      <c r="F1" s="7"/>
      <c r="G1" s="8"/>
      <c r="H1" s="9" t="s">
        <v>4</v>
      </c>
      <c r="J1" s="96" t="s">
        <v>73</v>
      </c>
      <c r="K1" s="96"/>
      <c r="M1" s="10" t="s">
        <v>5</v>
      </c>
      <c r="N1" s="11" t="s">
        <v>6</v>
      </c>
      <c r="O1" s="11" t="s">
        <v>7</v>
      </c>
      <c r="P1" s="11" t="s">
        <v>8</v>
      </c>
      <c r="Q1" s="11" t="s">
        <v>9</v>
      </c>
      <c r="R1" s="11" t="s">
        <v>4</v>
      </c>
    </row>
    <row r="2" spans="1:18" ht="15.75">
      <c r="A2" s="10" t="s">
        <v>5</v>
      </c>
      <c r="B2" s="11" t="s">
        <v>6</v>
      </c>
      <c r="C2" s="11" t="s">
        <v>7</v>
      </c>
      <c r="D2" s="11" t="s">
        <v>8</v>
      </c>
      <c r="E2" s="11" t="s">
        <v>9</v>
      </c>
      <c r="F2" s="11" t="s">
        <v>4</v>
      </c>
      <c r="G2" s="12"/>
      <c r="H2" s="13" t="s">
        <v>10</v>
      </c>
      <c r="J2" s="97" t="s">
        <v>16</v>
      </c>
      <c r="K2" s="97" t="b">
        <f>OR(MONTH(C3)=5,MONTH(D3)= 5)</f>
        <v>0</v>
      </c>
      <c r="M2" s="14" t="s">
        <v>35</v>
      </c>
      <c r="N2" s="15">
        <v>5</v>
      </c>
      <c r="O2" s="95">
        <v>41407</v>
      </c>
      <c r="P2" s="95">
        <v>41411</v>
      </c>
      <c r="Q2" s="17">
        <v>0</v>
      </c>
      <c r="R2" s="18" t="s">
        <v>16</v>
      </c>
    </row>
    <row r="3" spans="1:18" ht="15.75">
      <c r="A3" s="14" t="s">
        <v>36</v>
      </c>
      <c r="B3" s="15">
        <v>5</v>
      </c>
      <c r="C3" s="94">
        <v>41353</v>
      </c>
      <c r="D3" s="98">
        <v>41357</v>
      </c>
      <c r="E3" s="17" t="str">
        <f ca="1">IF((C3-TODAY())&gt;0,B3,IF(D3-TODAY()&lt;0,"",D3-TODAY()))</f>
        <v/>
      </c>
      <c r="F3" s="18" t="s">
        <v>14</v>
      </c>
      <c r="G3" s="12"/>
      <c r="H3" s="13" t="s">
        <v>13</v>
      </c>
    </row>
    <row r="4" spans="1:18" ht="15.75">
      <c r="A4" s="14" t="s">
        <v>35</v>
      </c>
      <c r="B4" s="15">
        <v>3</v>
      </c>
      <c r="C4" s="94">
        <v>41383</v>
      </c>
      <c r="D4" s="98">
        <f ca="1">WORKDAY(C4,B4-1,Fériés)</f>
        <v>41387</v>
      </c>
      <c r="E4" s="17" t="str">
        <f ca="1">IF((C4-TODAY())&gt;0,B4,IF(D4-TODAY()&lt;0,"",D4-TODAY()))</f>
        <v/>
      </c>
      <c r="F4" s="18" t="s">
        <v>12</v>
      </c>
      <c r="G4" s="12"/>
      <c r="H4" s="19" t="s">
        <v>14</v>
      </c>
    </row>
    <row r="5" spans="1:18" ht="15.75">
      <c r="A5" s="14" t="s">
        <v>35</v>
      </c>
      <c r="B5" s="15">
        <v>5</v>
      </c>
      <c r="C5" s="16">
        <v>41407</v>
      </c>
      <c r="D5" s="94">
        <v>41411</v>
      </c>
      <c r="E5" s="17">
        <f ca="1">IF((C5-TODAY())&gt;0,B5,IF(D5-TODAY()&lt;0,"",D5-TODAY()))</f>
        <v>0</v>
      </c>
      <c r="F5" s="18" t="s">
        <v>16</v>
      </c>
      <c r="G5" s="12"/>
      <c r="H5" s="19" t="s">
        <v>15</v>
      </c>
    </row>
    <row r="6" spans="1:18" ht="15.75">
      <c r="G6" s="12"/>
      <c r="H6" s="19" t="s">
        <v>16</v>
      </c>
    </row>
    <row r="7" spans="1:18" ht="15.75">
      <c r="G7" s="12"/>
      <c r="H7" s="19" t="s">
        <v>12</v>
      </c>
    </row>
    <row r="8" spans="1:18" ht="15.75">
      <c r="G8" s="20"/>
      <c r="H8" s="12"/>
    </row>
    <row r="9" spans="1:18" ht="15.75">
      <c r="G9" s="12"/>
      <c r="H9" s="12"/>
    </row>
    <row r="10" spans="1:18" ht="15.75">
      <c r="G10" s="12"/>
    </row>
    <row r="11" spans="1:18" ht="15.75">
      <c r="G11" s="12"/>
    </row>
    <row r="12" spans="1:18" ht="15.75">
      <c r="G12" s="12"/>
    </row>
  </sheetData>
  <dataValidations count="1">
    <dataValidation type="list" allowBlank="1" showInputMessage="1" showErrorMessage="1" sqref="F3:F5">
      <formula1>TypeArrêt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0"/>
  <sheetViews>
    <sheetView workbookViewId="0">
      <selection activeCell="B17" sqref="B17"/>
    </sheetView>
  </sheetViews>
  <sheetFormatPr baseColWidth="10" defaultRowHeight="15"/>
  <cols>
    <col min="1" max="1" width="13.7109375" bestFit="1" customWidth="1"/>
    <col min="2" max="2" width="15.5703125" bestFit="1" customWidth="1"/>
  </cols>
  <sheetData>
    <row r="1" spans="1:2" ht="15.75" thickBot="1">
      <c r="A1" s="1">
        <f ca="1">YEAR(TODAY())</f>
        <v>2013</v>
      </c>
      <c r="B1" s="1"/>
    </row>
    <row r="2" spans="1:2" ht="15.75" thickTop="1">
      <c r="A2" s="2">
        <f ca="1">DATE(pYear,1,1)</f>
        <v>41275</v>
      </c>
      <c r="B2" s="3" t="s">
        <v>0</v>
      </c>
    </row>
    <row r="3" spans="1:2">
      <c r="A3" s="2">
        <f ca="1">DATE(pYear,3,29.56+0.979*MOD(204-11*MOD(pYear,19),30)-WEEKDAY(DATE(pYear,3,28.56+0.979*MOD(204-11*MOD(pYear,19),30))))</f>
        <v>41364</v>
      </c>
      <c r="B3" s="3" t="s">
        <v>40</v>
      </c>
    </row>
    <row r="4" spans="1:2">
      <c r="A4" s="2">
        <f ca="1">pEaster+1</f>
        <v>41365</v>
      </c>
      <c r="B4" s="3" t="s">
        <v>41</v>
      </c>
    </row>
    <row r="5" spans="1:2">
      <c r="A5" s="2">
        <f ca="1">DATE(pYear,5,1)</f>
        <v>41395</v>
      </c>
      <c r="B5" s="3" t="s">
        <v>1</v>
      </c>
    </row>
    <row r="6" spans="1:2">
      <c r="A6" s="2">
        <f ca="1">DATE(pYear,5,8)</f>
        <v>41402</v>
      </c>
      <c r="B6" s="3" t="s">
        <v>42</v>
      </c>
    </row>
    <row r="7" spans="1:2">
      <c r="A7" s="2">
        <f ca="1">pEaster+39</f>
        <v>41403</v>
      </c>
      <c r="B7" s="3" t="s">
        <v>43</v>
      </c>
    </row>
    <row r="8" spans="1:2">
      <c r="A8" s="2">
        <f ca="1">pEaster+49</f>
        <v>41413</v>
      </c>
      <c r="B8" s="3" t="s">
        <v>44</v>
      </c>
    </row>
    <row r="9" spans="1:2">
      <c r="A9" s="2">
        <f ca="1">pEaster+50</f>
        <v>41414</v>
      </c>
      <c r="B9" s="3" t="s">
        <v>45</v>
      </c>
    </row>
    <row r="10" spans="1:2">
      <c r="A10" s="2">
        <f ca="1">DATE(pYear,7,14)</f>
        <v>41469</v>
      </c>
      <c r="B10" s="3" t="s">
        <v>2</v>
      </c>
    </row>
    <row r="11" spans="1:2">
      <c r="A11" s="2">
        <f ca="1">DATE(pYear,8,15)</f>
        <v>41501</v>
      </c>
      <c r="B11" s="3" t="s">
        <v>46</v>
      </c>
    </row>
    <row r="12" spans="1:2">
      <c r="A12" s="2">
        <f ca="1">DATE(pYear,11,1)</f>
        <v>41579</v>
      </c>
      <c r="B12" s="3" t="s">
        <v>47</v>
      </c>
    </row>
    <row r="13" spans="1:2">
      <c r="A13" s="2">
        <f ca="1">DATE(pYear,11,11)</f>
        <v>41589</v>
      </c>
      <c r="B13" s="3" t="s">
        <v>48</v>
      </c>
    </row>
    <row r="14" spans="1:2">
      <c r="A14" s="2">
        <f ca="1">DATE(pYear,12,25)</f>
        <v>41633</v>
      </c>
      <c r="B14" s="3" t="s">
        <v>49</v>
      </c>
    </row>
    <row r="15" spans="1:2">
      <c r="A15" s="4"/>
      <c r="B15" s="4"/>
    </row>
    <row r="16" spans="1:2">
      <c r="A16" s="4"/>
      <c r="B16" s="4"/>
    </row>
    <row r="17" spans="1:2">
      <c r="A17" s="4"/>
      <c r="B17" s="4"/>
    </row>
    <row r="18" spans="1:2">
      <c r="A18" s="4"/>
      <c r="B18" s="4"/>
    </row>
    <row r="19" spans="1:2">
      <c r="A19" s="4"/>
      <c r="B19" s="4"/>
    </row>
    <row r="20" spans="1:2">
      <c r="A20" s="4"/>
      <c r="B20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R45"/>
  <sheetViews>
    <sheetView showGridLines="0" topLeftCell="C13" workbookViewId="0">
      <selection activeCell="H21" sqref="H21"/>
    </sheetView>
  </sheetViews>
  <sheetFormatPr baseColWidth="10" defaultRowHeight="15"/>
  <cols>
    <col min="1" max="1" width="8.5703125" bestFit="1" customWidth="1"/>
    <col min="2" max="2" width="6.28515625" bestFit="1" customWidth="1"/>
    <col min="3" max="3" width="6.42578125" bestFit="1" customWidth="1"/>
    <col min="4" max="4" width="5.7109375" bestFit="1" customWidth="1"/>
    <col min="5" max="5" width="11.5703125" bestFit="1" customWidth="1"/>
    <col min="6" max="6" width="9.85546875" customWidth="1"/>
    <col min="7" max="11" width="14.7109375" customWidth="1"/>
  </cols>
  <sheetData>
    <row r="1" spans="1:18" ht="20.25" customHeight="1"/>
    <row r="2" spans="1:18">
      <c r="G2" s="28" t="str">
        <f ca="1">IF(MONTH(TODAY())={4,8}, "MOIS D'", "MOIS DE " ) &amp;  UPPER(TEXT(EDATE(TODAY(),0),"mmmm aaaa"))</f>
        <v>MOIS DE MAI 2013</v>
      </c>
      <c r="H2" s="28"/>
      <c r="I2" s="27"/>
      <c r="J2" s="28"/>
      <c r="K2" s="28"/>
    </row>
    <row r="4" spans="1:18" ht="28.5">
      <c r="G4" s="24" t="s">
        <v>52</v>
      </c>
      <c r="H4" s="24" t="s">
        <v>53</v>
      </c>
      <c r="I4" s="24" t="s">
        <v>54</v>
      </c>
      <c r="J4" s="24" t="s">
        <v>55</v>
      </c>
      <c r="K4" s="24" t="s">
        <v>56</v>
      </c>
    </row>
    <row r="5" spans="1:18" ht="16.5">
      <c r="A5" s="21" t="s">
        <v>29</v>
      </c>
      <c r="B5" s="21" t="s">
        <v>30</v>
      </c>
      <c r="C5" s="21" t="s">
        <v>22</v>
      </c>
      <c r="D5" s="21" t="s">
        <v>70</v>
      </c>
      <c r="E5" s="21" t="s">
        <v>72</v>
      </c>
      <c r="G5" s="31" t="str">
        <f>UPPER(TEXT(H5,"jjjj"))</f>
        <v>MERCREDI</v>
      </c>
      <c r="H5" s="30">
        <v>41395</v>
      </c>
      <c r="I5" s="31" t="str">
        <f>INDEX(Liste,MATCH("G",SBrgd,0),2)</f>
        <v>Nom1</v>
      </c>
      <c r="J5" s="31" t="str">
        <f>INDEX(Liste,MATCH("P",SBrgd,0),2)</f>
        <v>Nom3</v>
      </c>
      <c r="K5" s="31" t="str">
        <f>INDEX(Liste,MATCH("N1",SBrgd,0),2)</f>
        <v>Nom4</v>
      </c>
      <c r="Q5" t="s">
        <v>32</v>
      </c>
      <c r="R5" t="s">
        <v>24</v>
      </c>
    </row>
    <row r="6" spans="1:18" ht="16.5">
      <c r="A6" s="22" t="s">
        <v>57</v>
      </c>
      <c r="B6" s="22" t="s">
        <v>35</v>
      </c>
      <c r="C6" s="23" t="s">
        <v>31</v>
      </c>
      <c r="D6" s="22">
        <f t="shared" ref="D6:D11" ca="1" si="0">MATCH(B6,PlgNom,0)+7</f>
        <v>8</v>
      </c>
      <c r="E6" s="23"/>
      <c r="G6" s="31" t="str">
        <f t="shared" ref="G6:G35" si="1">UPPER(TEXT(H6,"jjjj"))</f>
        <v>JEUDI</v>
      </c>
      <c r="H6" s="30">
        <f>H5+1</f>
        <v>41396</v>
      </c>
      <c r="I6" s="31" t="str">
        <f t="shared" ref="I6:I35" si="2">J5</f>
        <v>Nom3</v>
      </c>
      <c r="J6" s="31" t="str">
        <f t="shared" ref="J6:J35" si="3">I5</f>
        <v>Nom1</v>
      </c>
      <c r="K6" s="31" t="str">
        <f>INDEX(Liste,MATCH("N2",SBrgd,0),2)</f>
        <v>Nom5</v>
      </c>
      <c r="Q6" t="s">
        <v>57</v>
      </c>
      <c r="R6" t="s">
        <v>50</v>
      </c>
    </row>
    <row r="7" spans="1:18" ht="16.5">
      <c r="A7" s="22" t="s">
        <v>32</v>
      </c>
      <c r="B7" s="22" t="s">
        <v>11</v>
      </c>
      <c r="C7" s="22" t="s">
        <v>33</v>
      </c>
      <c r="D7" s="22">
        <f t="shared" ca="1" si="0"/>
        <v>9</v>
      </c>
      <c r="E7" s="38" t="s">
        <v>71</v>
      </c>
      <c r="G7" s="31" t="str">
        <f t="shared" si="1"/>
        <v>VENDREDI</v>
      </c>
      <c r="H7" s="30">
        <f>H6+1</f>
        <v>41397</v>
      </c>
      <c r="I7" s="31" t="str">
        <f t="shared" si="2"/>
        <v>Nom1</v>
      </c>
      <c r="J7" s="31" t="str">
        <f t="shared" si="3"/>
        <v>Nom3</v>
      </c>
      <c r="K7" s="31" t="str">
        <f>INDEX(Liste,MATCH("N1",SBrgd,0),2)</f>
        <v>Nom4</v>
      </c>
      <c r="Q7" t="s">
        <v>58</v>
      </c>
      <c r="R7" t="s">
        <v>51</v>
      </c>
    </row>
    <row r="8" spans="1:18" ht="16.5">
      <c r="A8" s="22" t="s">
        <v>58</v>
      </c>
      <c r="B8" s="22" t="s">
        <v>36</v>
      </c>
      <c r="C8" s="22" t="s">
        <v>31</v>
      </c>
      <c r="D8" s="22">
        <f t="shared" ca="1" si="0"/>
        <v>10</v>
      </c>
      <c r="E8" s="22"/>
      <c r="G8" s="31" t="str">
        <f t="shared" si="1"/>
        <v>SAMEDI</v>
      </c>
      <c r="H8" s="30">
        <f t="shared" ref="H8:H35" si="4">H7+1</f>
        <v>41398</v>
      </c>
      <c r="I8" s="31" t="str">
        <f t="shared" si="2"/>
        <v>Nom3</v>
      </c>
      <c r="J8" s="31" t="str">
        <f t="shared" si="3"/>
        <v>Nom1</v>
      </c>
      <c r="K8" s="31" t="str">
        <f>INDEX(Liste,MATCH("N2",SBrgd,0),2)</f>
        <v>Nom5</v>
      </c>
      <c r="Q8" t="s">
        <v>59</v>
      </c>
      <c r="R8" t="s">
        <v>60</v>
      </c>
    </row>
    <row r="9" spans="1:18" ht="16.5">
      <c r="A9" s="22" t="s">
        <v>60</v>
      </c>
      <c r="B9" s="22" t="s">
        <v>37</v>
      </c>
      <c r="C9" s="22" t="s">
        <v>34</v>
      </c>
      <c r="D9" s="22">
        <f t="shared" ca="1" si="0"/>
        <v>11</v>
      </c>
      <c r="E9" s="22"/>
      <c r="G9" s="31" t="str">
        <f t="shared" si="1"/>
        <v>DIMANCHE</v>
      </c>
      <c r="H9" s="30">
        <f t="shared" si="4"/>
        <v>41399</v>
      </c>
      <c r="I9" s="31" t="str">
        <f t="shared" si="2"/>
        <v>Nom1</v>
      </c>
      <c r="J9" s="31" t="str">
        <f t="shared" si="3"/>
        <v>Nom3</v>
      </c>
      <c r="K9" s="31" t="str">
        <f>INDEX(Liste,MATCH("N1",SBrgd,0),2)</f>
        <v>Nom4</v>
      </c>
      <c r="Q9" t="s">
        <v>61</v>
      </c>
      <c r="R9" t="s">
        <v>62</v>
      </c>
    </row>
    <row r="10" spans="1:18" ht="16.5">
      <c r="A10" s="22" t="s">
        <v>62</v>
      </c>
      <c r="B10" s="22" t="s">
        <v>38</v>
      </c>
      <c r="C10" s="22" t="s">
        <v>39</v>
      </c>
      <c r="D10" s="22">
        <f t="shared" ca="1" si="0"/>
        <v>12</v>
      </c>
      <c r="E10" s="22"/>
      <c r="G10" s="31" t="str">
        <f t="shared" si="1"/>
        <v>LUNDI</v>
      </c>
      <c r="H10" s="30">
        <f t="shared" si="4"/>
        <v>41400</v>
      </c>
      <c r="I10" s="31" t="str">
        <f t="shared" si="2"/>
        <v>Nom3</v>
      </c>
      <c r="J10" s="31" t="str">
        <f t="shared" si="3"/>
        <v>Nom1</v>
      </c>
      <c r="K10" s="31" t="str">
        <f>INDEX(Liste,MATCH("N2",SBrgd,0),2)</f>
        <v>Nom5</v>
      </c>
    </row>
    <row r="11" spans="1:18" ht="16.5">
      <c r="A11" s="22" t="s">
        <v>32</v>
      </c>
      <c r="B11" s="22" t="s">
        <v>69</v>
      </c>
      <c r="C11" s="22" t="s">
        <v>34</v>
      </c>
      <c r="D11" s="22">
        <f t="shared" ca="1" si="0"/>
        <v>13</v>
      </c>
      <c r="E11" s="22"/>
      <c r="G11" s="31" t="str">
        <f t="shared" si="1"/>
        <v>MARDI</v>
      </c>
      <c r="H11" s="30">
        <f t="shared" si="4"/>
        <v>41401</v>
      </c>
      <c r="I11" s="31" t="str">
        <f t="shared" si="2"/>
        <v>Nom1</v>
      </c>
      <c r="J11" s="31" t="str">
        <f t="shared" si="3"/>
        <v>Nom3</v>
      </c>
      <c r="K11" s="31" t="str">
        <f>INDEX(Liste,MATCH("N1",SBrgd,0),2)</f>
        <v>Nom4</v>
      </c>
    </row>
    <row r="12" spans="1:18" ht="16.5">
      <c r="G12" s="31" t="str">
        <f t="shared" si="1"/>
        <v>MERCREDI</v>
      </c>
      <c r="H12" s="30">
        <f t="shared" si="4"/>
        <v>41402</v>
      </c>
      <c r="I12" s="31" t="str">
        <f t="shared" si="2"/>
        <v>Nom3</v>
      </c>
      <c r="J12" s="31" t="str">
        <f t="shared" si="3"/>
        <v>Nom1</v>
      </c>
      <c r="K12" s="31" t="str">
        <f>INDEX(Liste,MATCH("N2",SBrgd,0),2)</f>
        <v>Nom5</v>
      </c>
    </row>
    <row r="13" spans="1:18" ht="16.5">
      <c r="G13" s="31" t="str">
        <f t="shared" si="1"/>
        <v>JEUDI</v>
      </c>
      <c r="H13" s="30">
        <f t="shared" si="4"/>
        <v>41403</v>
      </c>
      <c r="I13" s="31" t="str">
        <f t="shared" si="2"/>
        <v>Nom1</v>
      </c>
      <c r="J13" s="31" t="str">
        <f t="shared" si="3"/>
        <v>Nom3</v>
      </c>
      <c r="K13" s="31" t="str">
        <f>INDEX(Liste,MATCH("N1",SBrgd,0),2)</f>
        <v>Nom4</v>
      </c>
    </row>
    <row r="14" spans="1:18" ht="16.5">
      <c r="G14" s="31" t="str">
        <f t="shared" si="1"/>
        <v>VENDREDI</v>
      </c>
      <c r="H14" s="30">
        <f t="shared" si="4"/>
        <v>41404</v>
      </c>
      <c r="I14" s="31" t="str">
        <f t="shared" si="2"/>
        <v>Nom3</v>
      </c>
      <c r="J14" s="31" t="str">
        <f t="shared" si="3"/>
        <v>Nom1</v>
      </c>
      <c r="K14" s="31" t="str">
        <f>INDEX(Liste,MATCH("N2",SBrgd,0),2)</f>
        <v>Nom5</v>
      </c>
    </row>
    <row r="15" spans="1:18" ht="16.5">
      <c r="G15" s="31" t="str">
        <f t="shared" si="1"/>
        <v>SAMEDI</v>
      </c>
      <c r="H15" s="30">
        <f t="shared" si="4"/>
        <v>41405</v>
      </c>
      <c r="I15" s="31" t="str">
        <f t="shared" si="2"/>
        <v>Nom1</v>
      </c>
      <c r="J15" s="31" t="str">
        <f t="shared" si="3"/>
        <v>Nom3</v>
      </c>
      <c r="K15" s="31" t="str">
        <f>INDEX(Liste,MATCH("N1",SBrgd,0),2)</f>
        <v>Nom4</v>
      </c>
    </row>
    <row r="16" spans="1:18" ht="16.5">
      <c r="G16" s="31" t="str">
        <f t="shared" si="1"/>
        <v>DIMANCHE</v>
      </c>
      <c r="H16" s="30">
        <f t="shared" si="4"/>
        <v>41406</v>
      </c>
      <c r="I16" s="31" t="str">
        <f t="shared" si="2"/>
        <v>Nom3</v>
      </c>
      <c r="J16" s="31" t="str">
        <f t="shared" si="3"/>
        <v>Nom1</v>
      </c>
      <c r="K16" s="31" t="str">
        <f>INDEX(Liste,MATCH("N2",SBrgd,0),2)</f>
        <v>Nom5</v>
      </c>
    </row>
    <row r="17" spans="7:11" ht="16.5">
      <c r="G17" s="31" t="str">
        <f t="shared" si="1"/>
        <v>LUNDI</v>
      </c>
      <c r="H17" s="30">
        <f t="shared" si="4"/>
        <v>41407</v>
      </c>
      <c r="I17" s="31" t="str">
        <f t="shared" si="2"/>
        <v>Nom1</v>
      </c>
      <c r="J17" s="31" t="str">
        <f t="shared" si="3"/>
        <v>Nom3</v>
      </c>
      <c r="K17" s="31" t="str">
        <f>INDEX(Liste,MATCH("N1",SBrgd,0),2)</f>
        <v>Nom4</v>
      </c>
    </row>
    <row r="18" spans="7:11" ht="16.5">
      <c r="G18" s="31" t="str">
        <f t="shared" si="1"/>
        <v>MARDI</v>
      </c>
      <c r="H18" s="30">
        <f t="shared" si="4"/>
        <v>41408</v>
      </c>
      <c r="I18" s="31" t="str">
        <f t="shared" si="2"/>
        <v>Nom3</v>
      </c>
      <c r="J18" s="31" t="str">
        <f t="shared" si="3"/>
        <v>Nom1</v>
      </c>
      <c r="K18" s="31" t="str">
        <f>INDEX(Liste,MATCH("N2",SBrgd,0),2)</f>
        <v>Nom5</v>
      </c>
    </row>
    <row r="19" spans="7:11" ht="16.5">
      <c r="G19" s="31" t="str">
        <f t="shared" si="1"/>
        <v>MERCREDI</v>
      </c>
      <c r="H19" s="30">
        <f t="shared" si="4"/>
        <v>41409</v>
      </c>
      <c r="I19" s="31" t="str">
        <f t="shared" si="2"/>
        <v>Nom1</v>
      </c>
      <c r="J19" s="31" t="str">
        <f t="shared" si="3"/>
        <v>Nom3</v>
      </c>
      <c r="K19" s="31" t="str">
        <f>INDEX(Liste,MATCH("N1",SBrgd,0),2)</f>
        <v>Nom4</v>
      </c>
    </row>
    <row r="20" spans="7:11" ht="16.5">
      <c r="G20" s="31" t="str">
        <f t="shared" si="1"/>
        <v>JEUDI</v>
      </c>
      <c r="H20" s="30">
        <f t="shared" si="4"/>
        <v>41410</v>
      </c>
      <c r="I20" s="31" t="str">
        <f t="shared" si="2"/>
        <v>Nom3</v>
      </c>
      <c r="J20" s="31" t="str">
        <f t="shared" si="3"/>
        <v>Nom1</v>
      </c>
      <c r="K20" s="31" t="str">
        <f>INDEX(Liste,MATCH("N2",SBrgd,0),2)</f>
        <v>Nom5</v>
      </c>
    </row>
    <row r="21" spans="7:11" ht="16.5">
      <c r="G21" s="31" t="str">
        <f t="shared" si="1"/>
        <v>VENDREDI</v>
      </c>
      <c r="H21" s="30">
        <f t="shared" si="4"/>
        <v>41411</v>
      </c>
      <c r="I21" s="31" t="str">
        <f t="shared" si="2"/>
        <v>Nom1</v>
      </c>
      <c r="J21" s="31" t="str">
        <f t="shared" si="3"/>
        <v>Nom3</v>
      </c>
      <c r="K21" s="31" t="str">
        <f>INDEX(Liste,MATCH("N1",SBrgd,0),2)</f>
        <v>Nom4</v>
      </c>
    </row>
    <row r="22" spans="7:11" ht="16.5">
      <c r="G22" s="31" t="str">
        <f t="shared" si="1"/>
        <v>SAMEDI</v>
      </c>
      <c r="H22" s="30">
        <f t="shared" si="4"/>
        <v>41412</v>
      </c>
      <c r="I22" s="31" t="str">
        <f t="shared" si="2"/>
        <v>Nom3</v>
      </c>
      <c r="J22" s="31" t="str">
        <f t="shared" si="3"/>
        <v>Nom1</v>
      </c>
      <c r="K22" s="31" t="str">
        <f>INDEX(Liste,MATCH("N2",SBrgd,0),2)</f>
        <v>Nom5</v>
      </c>
    </row>
    <row r="23" spans="7:11" ht="16.5">
      <c r="G23" s="31" t="str">
        <f t="shared" si="1"/>
        <v>DIMANCHE</v>
      </c>
      <c r="H23" s="30">
        <f t="shared" si="4"/>
        <v>41413</v>
      </c>
      <c r="I23" s="31" t="str">
        <f t="shared" si="2"/>
        <v>Nom1</v>
      </c>
      <c r="J23" s="31" t="str">
        <f t="shared" si="3"/>
        <v>Nom3</v>
      </c>
      <c r="K23" s="31" t="str">
        <f>INDEX(Liste,MATCH("N1",SBrgd,0),2)</f>
        <v>Nom4</v>
      </c>
    </row>
    <row r="24" spans="7:11" ht="16.5">
      <c r="G24" s="31" t="str">
        <f t="shared" si="1"/>
        <v>LUNDI</v>
      </c>
      <c r="H24" s="30">
        <f t="shared" si="4"/>
        <v>41414</v>
      </c>
      <c r="I24" s="32" t="str">
        <f t="shared" si="2"/>
        <v>Nom3</v>
      </c>
      <c r="J24" s="32" t="str">
        <f t="shared" si="3"/>
        <v>Nom1</v>
      </c>
      <c r="K24" s="31" t="str">
        <f>INDEX(Liste,MATCH("N2",SBrgd,0),2)</f>
        <v>Nom5</v>
      </c>
    </row>
    <row r="25" spans="7:11" ht="16.5">
      <c r="G25" s="31" t="str">
        <f t="shared" si="1"/>
        <v>MARDI</v>
      </c>
      <c r="H25" s="30">
        <f t="shared" si="4"/>
        <v>41415</v>
      </c>
      <c r="I25" s="31" t="str">
        <f t="shared" si="2"/>
        <v>Nom1</v>
      </c>
      <c r="J25" s="31" t="str">
        <f t="shared" si="3"/>
        <v>Nom3</v>
      </c>
      <c r="K25" s="31" t="str">
        <f>INDEX(Liste,MATCH("N1",SBrgd,0),2)</f>
        <v>Nom4</v>
      </c>
    </row>
    <row r="26" spans="7:11" ht="16.5">
      <c r="G26" s="31" t="str">
        <f t="shared" si="1"/>
        <v>MERCREDI</v>
      </c>
      <c r="H26" s="30">
        <f t="shared" si="4"/>
        <v>41416</v>
      </c>
      <c r="I26" s="31" t="str">
        <f t="shared" si="2"/>
        <v>Nom3</v>
      </c>
      <c r="J26" s="31" t="str">
        <f t="shared" si="3"/>
        <v>Nom1</v>
      </c>
      <c r="K26" s="31" t="str">
        <f>INDEX(Liste,MATCH("N2",SBrgd,0),2)</f>
        <v>Nom5</v>
      </c>
    </row>
    <row r="27" spans="7:11" ht="16.5">
      <c r="G27" s="31" t="str">
        <f t="shared" si="1"/>
        <v>JEUDI</v>
      </c>
      <c r="H27" s="30">
        <f t="shared" si="4"/>
        <v>41417</v>
      </c>
      <c r="I27" s="31" t="str">
        <f t="shared" si="2"/>
        <v>Nom1</v>
      </c>
      <c r="J27" s="31" t="str">
        <f t="shared" si="3"/>
        <v>Nom3</v>
      </c>
      <c r="K27" s="31" t="str">
        <f>INDEX(Liste,MATCH("N1",SBrgd,0),2)</f>
        <v>Nom4</v>
      </c>
    </row>
    <row r="28" spans="7:11" ht="16.5">
      <c r="G28" s="31" t="str">
        <f t="shared" si="1"/>
        <v>VENDREDI</v>
      </c>
      <c r="H28" s="30">
        <f t="shared" si="4"/>
        <v>41418</v>
      </c>
      <c r="I28" s="31" t="str">
        <f t="shared" si="2"/>
        <v>Nom3</v>
      </c>
      <c r="J28" s="31" t="str">
        <f t="shared" si="3"/>
        <v>Nom1</v>
      </c>
      <c r="K28" s="31" t="str">
        <f>INDEX(Liste,MATCH("N2",SBrgd,0),2)</f>
        <v>Nom5</v>
      </c>
    </row>
    <row r="29" spans="7:11" ht="16.5">
      <c r="G29" s="31" t="str">
        <f t="shared" si="1"/>
        <v>SAMEDI</v>
      </c>
      <c r="H29" s="30">
        <f t="shared" si="4"/>
        <v>41419</v>
      </c>
      <c r="I29" s="31" t="str">
        <f t="shared" si="2"/>
        <v>Nom1</v>
      </c>
      <c r="J29" s="31" t="str">
        <f t="shared" si="3"/>
        <v>Nom3</v>
      </c>
      <c r="K29" s="31" t="str">
        <f>INDEX(Liste,MATCH("N1",SBrgd,0),2)</f>
        <v>Nom4</v>
      </c>
    </row>
    <row r="30" spans="7:11" ht="16.5">
      <c r="G30" s="31" t="str">
        <f t="shared" si="1"/>
        <v>DIMANCHE</v>
      </c>
      <c r="H30" s="30">
        <f t="shared" si="4"/>
        <v>41420</v>
      </c>
      <c r="I30" s="31" t="str">
        <f t="shared" si="2"/>
        <v>Nom3</v>
      </c>
      <c r="J30" s="31" t="str">
        <f t="shared" si="3"/>
        <v>Nom1</v>
      </c>
      <c r="K30" s="31" t="str">
        <f>INDEX(Liste,MATCH("N2",SBrgd,0),2)</f>
        <v>Nom5</v>
      </c>
    </row>
    <row r="31" spans="7:11" ht="16.5">
      <c r="G31" s="31" t="str">
        <f t="shared" si="1"/>
        <v>LUNDI</v>
      </c>
      <c r="H31" s="30">
        <f t="shared" si="4"/>
        <v>41421</v>
      </c>
      <c r="I31" s="31" t="str">
        <f t="shared" si="2"/>
        <v>Nom1</v>
      </c>
      <c r="J31" s="31" t="str">
        <f t="shared" si="3"/>
        <v>Nom3</v>
      </c>
      <c r="K31" s="31" t="str">
        <f>INDEX(Liste,MATCH("N1",SBrgd,0),2)</f>
        <v>Nom4</v>
      </c>
    </row>
    <row r="32" spans="7:11" ht="16.5">
      <c r="G32" s="31" t="str">
        <f t="shared" si="1"/>
        <v>MARDI</v>
      </c>
      <c r="H32" s="30">
        <f t="shared" si="4"/>
        <v>41422</v>
      </c>
      <c r="I32" s="31" t="str">
        <f t="shared" si="2"/>
        <v>Nom3</v>
      </c>
      <c r="J32" s="31" t="str">
        <f t="shared" si="3"/>
        <v>Nom1</v>
      </c>
      <c r="K32" s="31" t="str">
        <f>INDEX(Liste,MATCH("N2",SBrgd,0),2)</f>
        <v>Nom5</v>
      </c>
    </row>
    <row r="33" spans="7:11" ht="16.5">
      <c r="G33" s="31" t="str">
        <f t="shared" si="1"/>
        <v>MERCREDI</v>
      </c>
      <c r="H33" s="30">
        <f t="shared" si="4"/>
        <v>41423</v>
      </c>
      <c r="I33" s="31" t="str">
        <f t="shared" si="2"/>
        <v>Nom1</v>
      </c>
      <c r="J33" s="31" t="str">
        <f t="shared" si="3"/>
        <v>Nom3</v>
      </c>
      <c r="K33" s="31" t="str">
        <f>INDEX(Liste,MATCH("N1",SBrgd,0),2)</f>
        <v>Nom4</v>
      </c>
    </row>
    <row r="34" spans="7:11" ht="16.5">
      <c r="G34" s="31" t="str">
        <f t="shared" si="1"/>
        <v>JEUDI</v>
      </c>
      <c r="H34" s="30">
        <f t="shared" si="4"/>
        <v>41424</v>
      </c>
      <c r="I34" s="31" t="str">
        <f t="shared" si="2"/>
        <v>Nom3</v>
      </c>
      <c r="J34" s="31" t="str">
        <f t="shared" si="3"/>
        <v>Nom1</v>
      </c>
      <c r="K34" s="31" t="str">
        <f>INDEX(Liste,MATCH("N2",SBrgd,0),2)</f>
        <v>Nom5</v>
      </c>
    </row>
    <row r="35" spans="7:11" ht="16.5">
      <c r="G35" s="31" t="str">
        <f t="shared" si="1"/>
        <v>VENDREDI</v>
      </c>
      <c r="H35" s="30">
        <f t="shared" si="4"/>
        <v>41425</v>
      </c>
      <c r="I35" s="31" t="str">
        <f t="shared" si="2"/>
        <v>Nom1</v>
      </c>
      <c r="J35" s="31" t="str">
        <f t="shared" si="3"/>
        <v>Nom3</v>
      </c>
      <c r="K35" s="31" t="str">
        <f>INDEX(Liste,MATCH("N1",SBrgd,0),2)</f>
        <v>Nom4</v>
      </c>
    </row>
    <row r="36" spans="7:11" ht="16.5">
      <c r="G36" s="25"/>
      <c r="H36" s="25"/>
      <c r="I36" s="25"/>
      <c r="J36" s="25"/>
      <c r="K36" s="29"/>
    </row>
    <row r="37" spans="7:11" ht="16.5">
      <c r="G37" s="25"/>
      <c r="H37" s="25"/>
      <c r="I37" s="25"/>
      <c r="J37" s="25"/>
      <c r="K37" s="25"/>
    </row>
    <row r="38" spans="7:11" ht="16.5">
      <c r="G38" s="25"/>
      <c r="H38" s="25"/>
      <c r="I38" s="25"/>
      <c r="J38" s="25"/>
      <c r="K38" s="25"/>
    </row>
    <row r="39" spans="7:11" ht="16.5">
      <c r="G39" s="25"/>
      <c r="H39" s="25"/>
      <c r="I39" s="25"/>
      <c r="J39" s="26" t="s">
        <v>74</v>
      </c>
    </row>
    <row r="40" spans="7:11" ht="16.5">
      <c r="G40" s="25"/>
      <c r="H40" s="25"/>
      <c r="I40" s="25"/>
      <c r="J40" s="25"/>
      <c r="K40" s="25"/>
    </row>
    <row r="41" spans="7:11" ht="16.5">
      <c r="G41" s="25"/>
      <c r="H41" s="25"/>
      <c r="I41" s="25"/>
      <c r="J41" s="25"/>
      <c r="K41" s="25"/>
    </row>
    <row r="42" spans="7:11" ht="16.5">
      <c r="G42" s="25"/>
      <c r="H42" s="25"/>
      <c r="I42" s="25"/>
      <c r="J42" s="25"/>
      <c r="K42" s="25"/>
    </row>
    <row r="43" spans="7:11" ht="16.5">
      <c r="G43" s="25"/>
      <c r="H43" s="25"/>
      <c r="I43" s="25"/>
      <c r="J43" s="25"/>
      <c r="K43" s="25"/>
    </row>
    <row r="44" spans="7:11" ht="16.5">
      <c r="G44" s="25"/>
      <c r="H44" s="25"/>
      <c r="I44" s="25"/>
      <c r="J44" s="25"/>
      <c r="K44" s="25"/>
    </row>
    <row r="45" spans="7:11" ht="16.5">
      <c r="G45" s="25"/>
      <c r="H45" s="25"/>
      <c r="I45" s="25"/>
      <c r="J45" s="25"/>
      <c r="K45" s="25"/>
    </row>
  </sheetData>
  <sortState ref="A6:C10">
    <sortCondition ref="B6:B10"/>
  </sortState>
  <conditionalFormatting sqref="G5:K35">
    <cfRule type="expression" dxfId="8" priority="62" stopIfTrue="1">
      <formula>OR(WEEKDAY($H5,2)&gt;5,COUNTIF(Fériés,$H5)&gt;0)</formula>
    </cfRule>
  </conditionalFormatting>
  <conditionalFormatting sqref="G33:K35">
    <cfRule type="expression" priority="64">
      <formula>MONTH($H33)&gt;MONTH($H32)</formula>
    </cfRule>
  </conditionalFormatting>
  <dataValidations count="1">
    <dataValidation type="list" allowBlank="1" showInputMessage="1" showErrorMessage="1" sqref="A6:A11">
      <formula1>"L,G,P,N1,N2"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5:AF13"/>
  <sheetViews>
    <sheetView showGridLines="0" zoomScale="90" zoomScaleNormal="90" workbookViewId="0">
      <selection activeCell="AE28" sqref="AE28"/>
    </sheetView>
  </sheetViews>
  <sheetFormatPr baseColWidth="10" defaultRowHeight="15"/>
  <cols>
    <col min="2" max="32" width="4.7109375" customWidth="1"/>
  </cols>
  <sheetData>
    <row r="5" spans="1:32" ht="16.5">
      <c r="B5" s="74">
        <f ca="1">DATE(année,5,1)</f>
        <v>41395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</row>
    <row r="6" spans="1:32">
      <c r="B6" s="76">
        <f ca="1">WEEKDAY(B5)</f>
        <v>4</v>
      </c>
      <c r="C6" s="73">
        <f ca="1">WEEKDAY($B$6+1)</f>
        <v>5</v>
      </c>
      <c r="D6" s="73">
        <f ca="1">WEEKDAY($B$6+2)</f>
        <v>6</v>
      </c>
      <c r="E6" s="73">
        <f ca="1">WEEKDAY($B$6+3)</f>
        <v>7</v>
      </c>
      <c r="F6" s="73">
        <f ca="1">WEEKDAY($B$6+4)</f>
        <v>1</v>
      </c>
      <c r="G6" s="73">
        <f ca="1">WEEKDAY($B$6+5)</f>
        <v>2</v>
      </c>
      <c r="H6" s="73">
        <f ca="1">WEEKDAY($B$6+6)</f>
        <v>3</v>
      </c>
      <c r="I6" s="73">
        <f ca="1">WEEKDAY($B$6+7)</f>
        <v>4</v>
      </c>
      <c r="J6" s="73">
        <f ca="1">WEEKDAY($B$6+8)</f>
        <v>5</v>
      </c>
      <c r="K6" s="73">
        <f ca="1">WEEKDAY($B$6+9)</f>
        <v>6</v>
      </c>
      <c r="L6" s="73">
        <f ca="1">WEEKDAY($B$6+10)</f>
        <v>7</v>
      </c>
      <c r="M6" s="73">
        <f ca="1">WEEKDAY($B$6+11)</f>
        <v>1</v>
      </c>
      <c r="N6" s="73">
        <f ca="1">WEEKDAY($B$6+12)</f>
        <v>2</v>
      </c>
      <c r="O6" s="73">
        <f ca="1">WEEKDAY($B$6+13)</f>
        <v>3</v>
      </c>
      <c r="P6" s="73">
        <f ca="1">WEEKDAY($B$6+14)</f>
        <v>4</v>
      </c>
      <c r="Q6" s="73">
        <f ca="1">WEEKDAY($B$6+15)</f>
        <v>5</v>
      </c>
      <c r="R6" s="73">
        <f ca="1">WEEKDAY($B$6+16)</f>
        <v>6</v>
      </c>
      <c r="S6" s="73">
        <f ca="1">WEEKDAY($B$6+17)</f>
        <v>7</v>
      </c>
      <c r="T6" s="73">
        <f ca="1">WEEKDAY($B$6+18)</f>
        <v>1</v>
      </c>
      <c r="U6" s="73">
        <f ca="1">WEEKDAY($B$6+19)</f>
        <v>2</v>
      </c>
      <c r="V6" s="73">
        <f ca="1">WEEKDAY($B$6+20)</f>
        <v>3</v>
      </c>
      <c r="W6" s="73">
        <f ca="1">WEEKDAY($B$6+21)</f>
        <v>4</v>
      </c>
      <c r="X6" s="73">
        <f ca="1">WEEKDAY($B$6+22)</f>
        <v>5</v>
      </c>
      <c r="Y6" s="73">
        <f ca="1">WEEKDAY($B$6+23)</f>
        <v>6</v>
      </c>
      <c r="Z6" s="73">
        <f ca="1">WEEKDAY($B$6+24)</f>
        <v>7</v>
      </c>
      <c r="AA6" s="73">
        <f ca="1">WEEKDAY($B$6+25)</f>
        <v>1</v>
      </c>
      <c r="AB6" s="73">
        <f ca="1">WEEKDAY($B$6+26)</f>
        <v>2</v>
      </c>
      <c r="AC6" s="73">
        <f ca="1">WEEKDAY($B$6+27)</f>
        <v>3</v>
      </c>
      <c r="AD6" s="73">
        <f ca="1">WEEKDAY($B$6+28)</f>
        <v>4</v>
      </c>
      <c r="AE6" s="73">
        <f ca="1">WEEKDAY($B$6+29)</f>
        <v>5</v>
      </c>
      <c r="AF6" s="73">
        <f ca="1">WEEKDAY($B$6+30)</f>
        <v>6</v>
      </c>
    </row>
    <row r="7" spans="1:32">
      <c r="B7" s="78">
        <f ca="1">DAY(B5)</f>
        <v>1</v>
      </c>
      <c r="C7" s="78">
        <f ca="1">B7+1</f>
        <v>2</v>
      </c>
      <c r="D7" s="78">
        <f t="shared" ref="D7:T7" ca="1" si="0">C7+1</f>
        <v>3</v>
      </c>
      <c r="E7" s="78">
        <f t="shared" ca="1" si="0"/>
        <v>4</v>
      </c>
      <c r="F7" s="78">
        <f t="shared" ca="1" si="0"/>
        <v>5</v>
      </c>
      <c r="G7" s="78">
        <f t="shared" ca="1" si="0"/>
        <v>6</v>
      </c>
      <c r="H7" s="78">
        <f t="shared" ca="1" si="0"/>
        <v>7</v>
      </c>
      <c r="I7" s="78">
        <f t="shared" ca="1" si="0"/>
        <v>8</v>
      </c>
      <c r="J7" s="78">
        <f t="shared" ca="1" si="0"/>
        <v>9</v>
      </c>
      <c r="K7" s="78">
        <f t="shared" ca="1" si="0"/>
        <v>10</v>
      </c>
      <c r="L7" s="78">
        <f t="shared" ca="1" si="0"/>
        <v>11</v>
      </c>
      <c r="M7" s="78">
        <f t="shared" ca="1" si="0"/>
        <v>12</v>
      </c>
      <c r="N7" s="78">
        <f t="shared" ca="1" si="0"/>
        <v>13</v>
      </c>
      <c r="O7" s="78">
        <f t="shared" ca="1" si="0"/>
        <v>14</v>
      </c>
      <c r="P7" s="78">
        <f t="shared" ca="1" si="0"/>
        <v>15</v>
      </c>
      <c r="Q7" s="78">
        <f t="shared" ca="1" si="0"/>
        <v>16</v>
      </c>
      <c r="R7" s="78">
        <f t="shared" ca="1" si="0"/>
        <v>17</v>
      </c>
      <c r="S7" s="78">
        <f t="shared" ca="1" si="0"/>
        <v>18</v>
      </c>
      <c r="T7" s="78">
        <f t="shared" ca="1" si="0"/>
        <v>19</v>
      </c>
      <c r="U7" s="78">
        <f ca="1">T7+1</f>
        <v>20</v>
      </c>
      <c r="V7" s="78">
        <f ca="1">U7+1</f>
        <v>21</v>
      </c>
      <c r="W7" s="78">
        <f ca="1">V7+1</f>
        <v>22</v>
      </c>
      <c r="X7" s="78">
        <f t="shared" ref="X7:AF7" ca="1" si="1">W7+1</f>
        <v>23</v>
      </c>
      <c r="Y7" s="78">
        <f t="shared" ca="1" si="1"/>
        <v>24</v>
      </c>
      <c r="Z7" s="78">
        <f t="shared" ca="1" si="1"/>
        <v>25</v>
      </c>
      <c r="AA7" s="78">
        <f t="shared" ca="1" si="1"/>
        <v>26</v>
      </c>
      <c r="AB7" s="78">
        <f t="shared" ca="1" si="1"/>
        <v>27</v>
      </c>
      <c r="AC7" s="78">
        <f t="shared" ca="1" si="1"/>
        <v>28</v>
      </c>
      <c r="AD7" s="78">
        <f t="shared" ca="1" si="1"/>
        <v>29</v>
      </c>
      <c r="AE7" s="78">
        <f t="shared" ca="1" si="1"/>
        <v>30</v>
      </c>
      <c r="AF7" s="78">
        <f t="shared" ca="1" si="1"/>
        <v>31</v>
      </c>
    </row>
    <row r="8" spans="1:32">
      <c r="A8" s="75" t="s">
        <v>35</v>
      </c>
      <c r="B8" s="77" t="s">
        <v>58</v>
      </c>
      <c r="C8" s="77" t="s">
        <v>57</v>
      </c>
      <c r="D8" s="77" t="s">
        <v>58</v>
      </c>
      <c r="E8" s="77" t="s">
        <v>57</v>
      </c>
      <c r="F8" s="77" t="s">
        <v>58</v>
      </c>
      <c r="G8" s="77" t="s">
        <v>57</v>
      </c>
      <c r="H8" s="77" t="s">
        <v>58</v>
      </c>
      <c r="I8" s="77" t="s">
        <v>57</v>
      </c>
      <c r="J8" s="77" t="s">
        <v>58</v>
      </c>
      <c r="K8" s="77" t="s">
        <v>57</v>
      </c>
      <c r="L8" s="77" t="s">
        <v>58</v>
      </c>
      <c r="M8" s="77" t="s">
        <v>57</v>
      </c>
      <c r="N8" s="77" t="s">
        <v>16</v>
      </c>
      <c r="O8" s="77" t="s">
        <v>16</v>
      </c>
      <c r="P8" s="77" t="s">
        <v>16</v>
      </c>
      <c r="Q8" s="77" t="s">
        <v>16</v>
      </c>
      <c r="R8" s="77" t="s">
        <v>16</v>
      </c>
      <c r="S8" s="77" t="s">
        <v>57</v>
      </c>
      <c r="T8" s="77" t="s">
        <v>58</v>
      </c>
      <c r="U8" s="77" t="s">
        <v>57</v>
      </c>
      <c r="V8" s="77" t="s">
        <v>58</v>
      </c>
      <c r="W8" s="77" t="s">
        <v>57</v>
      </c>
      <c r="X8" s="77" t="s">
        <v>58</v>
      </c>
      <c r="Y8" s="77" t="s">
        <v>57</v>
      </c>
      <c r="Z8" s="77" t="s">
        <v>58</v>
      </c>
      <c r="AA8" s="77" t="s">
        <v>57</v>
      </c>
      <c r="AB8" s="77" t="s">
        <v>58</v>
      </c>
      <c r="AC8" s="77" t="s">
        <v>57</v>
      </c>
      <c r="AD8" s="77" t="s">
        <v>58</v>
      </c>
      <c r="AE8" s="77" t="s">
        <v>57</v>
      </c>
      <c r="AF8" s="77" t="s">
        <v>58</v>
      </c>
    </row>
    <row r="9" spans="1:32">
      <c r="A9" s="75" t="s">
        <v>11</v>
      </c>
      <c r="B9" s="77" t="s">
        <v>63</v>
      </c>
      <c r="C9" s="77" t="s">
        <v>32</v>
      </c>
      <c r="D9" s="77" t="s">
        <v>32</v>
      </c>
      <c r="E9" s="77" t="s">
        <v>63</v>
      </c>
      <c r="F9" s="77" t="s">
        <v>63</v>
      </c>
      <c r="G9" s="77" t="s">
        <v>32</v>
      </c>
      <c r="H9" s="77" t="s">
        <v>32</v>
      </c>
      <c r="I9" s="77" t="s">
        <v>63</v>
      </c>
      <c r="J9" s="77" t="s">
        <v>63</v>
      </c>
      <c r="K9" s="77" t="s">
        <v>32</v>
      </c>
      <c r="L9" s="77" t="s">
        <v>63</v>
      </c>
      <c r="M9" s="77" t="s">
        <v>63</v>
      </c>
      <c r="N9" s="77" t="s">
        <v>58</v>
      </c>
      <c r="O9" s="77" t="s">
        <v>57</v>
      </c>
      <c r="P9" s="77" t="s">
        <v>58</v>
      </c>
      <c r="Q9" s="77" t="s">
        <v>57</v>
      </c>
      <c r="R9" s="77" t="s">
        <v>58</v>
      </c>
      <c r="S9" s="77" t="s">
        <v>63</v>
      </c>
      <c r="T9" s="77" t="s">
        <v>63</v>
      </c>
      <c r="U9" s="77" t="s">
        <v>63</v>
      </c>
      <c r="V9" s="77" t="s">
        <v>32</v>
      </c>
      <c r="W9" s="77" t="s">
        <v>32</v>
      </c>
      <c r="X9" s="77" t="s">
        <v>32</v>
      </c>
      <c r="Y9" s="77" t="s">
        <v>32</v>
      </c>
      <c r="Z9" s="77" t="s">
        <v>63</v>
      </c>
      <c r="AA9" s="77" t="s">
        <v>63</v>
      </c>
      <c r="AB9" s="77" t="s">
        <v>32</v>
      </c>
      <c r="AC9" s="77" t="s">
        <v>32</v>
      </c>
      <c r="AD9" s="77" t="s">
        <v>32</v>
      </c>
      <c r="AE9" s="77" t="s">
        <v>32</v>
      </c>
      <c r="AF9" s="77" t="s">
        <v>32</v>
      </c>
    </row>
    <row r="10" spans="1:32">
      <c r="A10" s="75" t="s">
        <v>36</v>
      </c>
      <c r="B10" s="77" t="s">
        <v>57</v>
      </c>
      <c r="C10" s="77" t="s">
        <v>58</v>
      </c>
      <c r="D10" s="77" t="s">
        <v>57</v>
      </c>
      <c r="E10" s="77" t="s">
        <v>58</v>
      </c>
      <c r="F10" s="77" t="s">
        <v>57</v>
      </c>
      <c r="G10" s="77" t="s">
        <v>58</v>
      </c>
      <c r="H10" s="77" t="s">
        <v>57</v>
      </c>
      <c r="I10" s="77" t="s">
        <v>58</v>
      </c>
      <c r="J10" s="77" t="s">
        <v>57</v>
      </c>
      <c r="K10" s="77" t="s">
        <v>58</v>
      </c>
      <c r="L10" s="77" t="s">
        <v>57</v>
      </c>
      <c r="M10" s="77" t="s">
        <v>58</v>
      </c>
      <c r="N10" s="77" t="s">
        <v>57</v>
      </c>
      <c r="O10" s="77" t="s">
        <v>58</v>
      </c>
      <c r="P10" s="77" t="s">
        <v>57</v>
      </c>
      <c r="Q10" s="77" t="s">
        <v>58</v>
      </c>
      <c r="R10" s="77" t="s">
        <v>57</v>
      </c>
      <c r="S10" s="77" t="s">
        <v>58</v>
      </c>
      <c r="T10" s="77" t="s">
        <v>57</v>
      </c>
      <c r="U10" s="77" t="s">
        <v>58</v>
      </c>
      <c r="V10" s="77" t="s">
        <v>57</v>
      </c>
      <c r="W10" s="77" t="s">
        <v>58</v>
      </c>
      <c r="X10" s="77" t="s">
        <v>57</v>
      </c>
      <c r="Y10" s="77" t="s">
        <v>58</v>
      </c>
      <c r="Z10" s="77" t="s">
        <v>57</v>
      </c>
      <c r="AA10" s="77" t="s">
        <v>58</v>
      </c>
      <c r="AB10" s="77" t="s">
        <v>57</v>
      </c>
      <c r="AC10" s="77" t="s">
        <v>58</v>
      </c>
      <c r="AD10" s="77" t="s">
        <v>57</v>
      </c>
      <c r="AE10" s="77" t="s">
        <v>58</v>
      </c>
      <c r="AF10" s="77" t="s">
        <v>57</v>
      </c>
    </row>
    <row r="11" spans="1:32">
      <c r="A11" s="75" t="s">
        <v>37</v>
      </c>
      <c r="B11" s="77" t="s">
        <v>68</v>
      </c>
      <c r="C11" s="77" t="s">
        <v>63</v>
      </c>
      <c r="D11" s="77" t="s">
        <v>68</v>
      </c>
      <c r="E11" s="77" t="s">
        <v>63</v>
      </c>
      <c r="F11" s="77" t="s">
        <v>68</v>
      </c>
      <c r="G11" s="77" t="s">
        <v>63</v>
      </c>
      <c r="H11" s="77" t="s">
        <v>68</v>
      </c>
      <c r="I11" s="77" t="s">
        <v>63</v>
      </c>
      <c r="J11" s="77" t="s">
        <v>68</v>
      </c>
      <c r="K11" s="77" t="s">
        <v>63</v>
      </c>
      <c r="L11" s="77" t="s">
        <v>68</v>
      </c>
      <c r="M11" s="77" t="s">
        <v>63</v>
      </c>
      <c r="N11" s="77" t="s">
        <v>68</v>
      </c>
      <c r="O11" s="77" t="s">
        <v>63</v>
      </c>
      <c r="P11" s="77" t="s">
        <v>68</v>
      </c>
      <c r="Q11" s="77" t="s">
        <v>63</v>
      </c>
      <c r="R11" s="77" t="s">
        <v>68</v>
      </c>
      <c r="S11" s="77" t="s">
        <v>63</v>
      </c>
      <c r="T11" s="77" t="s">
        <v>68</v>
      </c>
      <c r="U11" s="77" t="s">
        <v>63</v>
      </c>
      <c r="V11" s="77" t="s">
        <v>68</v>
      </c>
      <c r="W11" s="77" t="s">
        <v>63</v>
      </c>
      <c r="X11" s="77" t="s">
        <v>68</v>
      </c>
      <c r="Y11" s="77" t="s">
        <v>63</v>
      </c>
      <c r="Z11" s="77" t="s">
        <v>68</v>
      </c>
      <c r="AA11" s="77" t="s">
        <v>63</v>
      </c>
      <c r="AB11" s="77" t="s">
        <v>68</v>
      </c>
      <c r="AC11" s="77" t="s">
        <v>63</v>
      </c>
      <c r="AD11" s="77" t="s">
        <v>68</v>
      </c>
      <c r="AE11" s="77" t="s">
        <v>63</v>
      </c>
      <c r="AF11" s="77" t="s">
        <v>68</v>
      </c>
    </row>
    <row r="12" spans="1:32">
      <c r="A12" s="75" t="s">
        <v>38</v>
      </c>
      <c r="B12" s="77" t="s">
        <v>63</v>
      </c>
      <c r="C12" s="77" t="s">
        <v>68</v>
      </c>
      <c r="D12" s="77" t="s">
        <v>63</v>
      </c>
      <c r="E12" s="77" t="s">
        <v>68</v>
      </c>
      <c r="F12" s="77" t="s">
        <v>63</v>
      </c>
      <c r="G12" s="77" t="s">
        <v>68</v>
      </c>
      <c r="H12" s="77" t="s">
        <v>63</v>
      </c>
      <c r="I12" s="77" t="s">
        <v>68</v>
      </c>
      <c r="J12" s="77" t="s">
        <v>63</v>
      </c>
      <c r="K12" s="77" t="s">
        <v>68</v>
      </c>
      <c r="L12" s="77" t="s">
        <v>63</v>
      </c>
      <c r="M12" s="77" t="s">
        <v>68</v>
      </c>
      <c r="N12" s="77" t="s">
        <v>63</v>
      </c>
      <c r="O12" s="77" t="s">
        <v>68</v>
      </c>
      <c r="P12" s="77" t="s">
        <v>63</v>
      </c>
      <c r="Q12" s="77" t="s">
        <v>68</v>
      </c>
      <c r="R12" s="77" t="s">
        <v>63</v>
      </c>
      <c r="S12" s="77" t="s">
        <v>68</v>
      </c>
      <c r="T12" s="77" t="s">
        <v>63</v>
      </c>
      <c r="U12" s="77" t="s">
        <v>68</v>
      </c>
      <c r="V12" s="77" t="s">
        <v>63</v>
      </c>
      <c r="W12" s="77" t="s">
        <v>68</v>
      </c>
      <c r="X12" s="77" t="s">
        <v>63</v>
      </c>
      <c r="Y12" s="77" t="s">
        <v>68</v>
      </c>
      <c r="Z12" s="77" t="s">
        <v>63</v>
      </c>
      <c r="AA12" s="77" t="s">
        <v>68</v>
      </c>
      <c r="AB12" s="77" t="s">
        <v>63</v>
      </c>
      <c r="AC12" s="77" t="s">
        <v>68</v>
      </c>
      <c r="AD12" s="77" t="s">
        <v>63</v>
      </c>
      <c r="AE12" s="77" t="s">
        <v>68</v>
      </c>
      <c r="AF12" s="77" t="s">
        <v>68</v>
      </c>
    </row>
    <row r="13" spans="1:32">
      <c r="A13" s="75" t="s">
        <v>69</v>
      </c>
      <c r="B13" s="77" t="s">
        <v>63</v>
      </c>
      <c r="C13" s="77" t="s">
        <v>32</v>
      </c>
      <c r="D13" s="77" t="s">
        <v>32</v>
      </c>
      <c r="E13" s="77" t="s">
        <v>63</v>
      </c>
      <c r="F13" s="77" t="s">
        <v>63</v>
      </c>
      <c r="G13" s="77" t="s">
        <v>32</v>
      </c>
      <c r="H13" s="77" t="s">
        <v>32</v>
      </c>
      <c r="I13" s="77" t="s">
        <v>63</v>
      </c>
      <c r="J13" s="77" t="s">
        <v>63</v>
      </c>
      <c r="K13" s="77" t="s">
        <v>32</v>
      </c>
      <c r="L13" s="77" t="s">
        <v>63</v>
      </c>
      <c r="M13" s="77" t="s">
        <v>63</v>
      </c>
      <c r="N13" s="77" t="s">
        <v>58</v>
      </c>
      <c r="O13" s="77" t="s">
        <v>57</v>
      </c>
      <c r="P13" s="77" t="s">
        <v>58</v>
      </c>
      <c r="Q13" s="77" t="s">
        <v>57</v>
      </c>
      <c r="R13" s="77" t="s">
        <v>58</v>
      </c>
      <c r="S13" s="77" t="s">
        <v>63</v>
      </c>
      <c r="T13" s="77" t="s">
        <v>63</v>
      </c>
      <c r="U13" s="77" t="s">
        <v>63</v>
      </c>
      <c r="V13" s="77" t="s">
        <v>32</v>
      </c>
      <c r="W13" s="77" t="s">
        <v>32</v>
      </c>
      <c r="X13" s="77" t="s">
        <v>32</v>
      </c>
      <c r="Y13" s="77" t="s">
        <v>32</v>
      </c>
      <c r="Z13" s="77" t="s">
        <v>63</v>
      </c>
      <c r="AA13" s="77" t="s">
        <v>63</v>
      </c>
      <c r="AB13" s="77" t="s">
        <v>32</v>
      </c>
      <c r="AC13" s="77" t="s">
        <v>32</v>
      </c>
      <c r="AD13" s="77" t="s">
        <v>32</v>
      </c>
      <c r="AE13" s="77" t="s">
        <v>32</v>
      </c>
      <c r="AF13" s="77" t="s">
        <v>32</v>
      </c>
    </row>
  </sheetData>
  <conditionalFormatting sqref="AD6:AF7">
    <cfRule type="expression" dxfId="7" priority="5">
      <formula>ISERROR(MONTH(AD$7&amp;"/"&amp;MONTH($B$5)&amp;"/"&amp;YEAR($B$5))&lt;&gt;MONTH($B$5))</formula>
    </cfRule>
  </conditionalFormatting>
  <conditionalFormatting sqref="B8:AF13">
    <cfRule type="expression" dxfId="6" priority="3">
      <formula>B8=""</formula>
    </cfRule>
  </conditionalFormatting>
  <conditionalFormatting sqref="B6:AF13">
    <cfRule type="expression" dxfId="5" priority="1">
      <formula>OR(WEEKDAY(B$6,2)=6,WEEKDAY(B$6,2)=7)</formula>
    </cfRule>
    <cfRule type="expression" dxfId="4" priority="2">
      <formula>COUNTIF(Fériés,"="&amp;B$7&amp;"/"&amp;MONTH($B$5)&amp;"/"&amp;YEAR($B$5))&gt;0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5:AF13"/>
  <sheetViews>
    <sheetView showGridLines="0"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R8" sqref="R8"/>
    </sheetView>
  </sheetViews>
  <sheetFormatPr baseColWidth="10" defaultRowHeight="15"/>
  <cols>
    <col min="2" max="32" width="4.7109375" customWidth="1"/>
  </cols>
  <sheetData>
    <row r="5" spans="1:32" ht="16.5">
      <c r="B5" s="74">
        <f ca="1">DATE(année,5,1)</f>
        <v>41395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</row>
    <row r="6" spans="1:32">
      <c r="B6" s="76">
        <f ca="1">WEEKDAY(B5)</f>
        <v>4</v>
      </c>
      <c r="C6" s="73">
        <f ca="1">WEEKDAY($B$6+1)</f>
        <v>5</v>
      </c>
      <c r="D6" s="73">
        <f ca="1">WEEKDAY($B$6+2)</f>
        <v>6</v>
      </c>
      <c r="E6" s="73">
        <f ca="1">WEEKDAY($B$6+3)</f>
        <v>7</v>
      </c>
      <c r="F6" s="73">
        <f ca="1">WEEKDAY($B$6+4)</f>
        <v>1</v>
      </c>
      <c r="G6" s="73">
        <f ca="1">WEEKDAY($B$6+5)</f>
        <v>2</v>
      </c>
      <c r="H6" s="73">
        <f ca="1">WEEKDAY($B$6+6)</f>
        <v>3</v>
      </c>
      <c r="I6" s="73">
        <f ca="1">WEEKDAY($B$6+7)</f>
        <v>4</v>
      </c>
      <c r="J6" s="73">
        <f ca="1">WEEKDAY($B$6+8)</f>
        <v>5</v>
      </c>
      <c r="K6" s="73">
        <f ca="1">WEEKDAY($B$6+9)</f>
        <v>6</v>
      </c>
      <c r="L6" s="73">
        <f ca="1">WEEKDAY($B$6+10)</f>
        <v>7</v>
      </c>
      <c r="M6" s="73">
        <f ca="1">WEEKDAY($B$6+11)</f>
        <v>1</v>
      </c>
      <c r="N6" s="73">
        <f ca="1">WEEKDAY($B$6+12)</f>
        <v>2</v>
      </c>
      <c r="O6" s="73">
        <f ca="1">WEEKDAY($B$6+13)</f>
        <v>3</v>
      </c>
      <c r="P6" s="73">
        <f ca="1">WEEKDAY($B$6+14)</f>
        <v>4</v>
      </c>
      <c r="Q6" s="73">
        <f ca="1">WEEKDAY($B$6+15)</f>
        <v>5</v>
      </c>
      <c r="R6" s="73">
        <f ca="1">WEEKDAY($B$6+16)</f>
        <v>6</v>
      </c>
      <c r="S6" s="73">
        <f ca="1">WEEKDAY($B$6+17)</f>
        <v>7</v>
      </c>
      <c r="T6" s="73">
        <f ca="1">WEEKDAY($B$6+18)</f>
        <v>1</v>
      </c>
      <c r="U6" s="73">
        <f ca="1">WEEKDAY($B$6+19)</f>
        <v>2</v>
      </c>
      <c r="V6" s="73">
        <f ca="1">WEEKDAY($B$6+20)</f>
        <v>3</v>
      </c>
      <c r="W6" s="73">
        <f ca="1">WEEKDAY($B$6+21)</f>
        <v>4</v>
      </c>
      <c r="X6" s="73">
        <f ca="1">WEEKDAY($B$6+22)</f>
        <v>5</v>
      </c>
      <c r="Y6" s="73">
        <f ca="1">WEEKDAY($B$6+23)</f>
        <v>6</v>
      </c>
      <c r="Z6" s="73">
        <f ca="1">WEEKDAY($B$6+24)</f>
        <v>7</v>
      </c>
      <c r="AA6" s="73">
        <f ca="1">WEEKDAY($B$6+25)</f>
        <v>1</v>
      </c>
      <c r="AB6" s="73">
        <f ca="1">WEEKDAY($B$6+26)</f>
        <v>2</v>
      </c>
      <c r="AC6" s="73">
        <f ca="1">WEEKDAY($B$6+27)</f>
        <v>3</v>
      </c>
      <c r="AD6" s="73">
        <f ca="1">WEEKDAY($B$6+28)</f>
        <v>4</v>
      </c>
      <c r="AE6" s="73">
        <f ca="1">WEEKDAY($B$6+29)</f>
        <v>5</v>
      </c>
      <c r="AF6" s="73">
        <f ca="1">WEEKDAY($B$6+30)</f>
        <v>6</v>
      </c>
    </row>
    <row r="7" spans="1:32">
      <c r="B7" s="78">
        <f ca="1">DAY(B5)</f>
        <v>1</v>
      </c>
      <c r="C7" s="78">
        <f ca="1">B7+1</f>
        <v>2</v>
      </c>
      <c r="D7" s="78">
        <f t="shared" ref="D7:R7" ca="1" si="0">C7+1</f>
        <v>3</v>
      </c>
      <c r="E7" s="78">
        <f t="shared" ca="1" si="0"/>
        <v>4</v>
      </c>
      <c r="F7" s="78">
        <f t="shared" ca="1" si="0"/>
        <v>5</v>
      </c>
      <c r="G7" s="78">
        <f t="shared" ca="1" si="0"/>
        <v>6</v>
      </c>
      <c r="H7" s="78">
        <f t="shared" ca="1" si="0"/>
        <v>7</v>
      </c>
      <c r="I7" s="78">
        <f t="shared" ca="1" si="0"/>
        <v>8</v>
      </c>
      <c r="J7" s="78">
        <f t="shared" ca="1" si="0"/>
        <v>9</v>
      </c>
      <c r="K7" s="78">
        <f t="shared" ca="1" si="0"/>
        <v>10</v>
      </c>
      <c r="L7" s="78">
        <f t="shared" ca="1" si="0"/>
        <v>11</v>
      </c>
      <c r="M7" s="78">
        <f t="shared" ca="1" si="0"/>
        <v>12</v>
      </c>
      <c r="N7" s="78">
        <f t="shared" ca="1" si="0"/>
        <v>13</v>
      </c>
      <c r="O7" s="78">
        <f t="shared" ca="1" si="0"/>
        <v>14</v>
      </c>
      <c r="P7" s="78">
        <f t="shared" ca="1" si="0"/>
        <v>15</v>
      </c>
      <c r="Q7" s="78">
        <f t="shared" ca="1" si="0"/>
        <v>16</v>
      </c>
      <c r="R7" s="78">
        <f t="shared" ca="1" si="0"/>
        <v>17</v>
      </c>
      <c r="S7" s="78">
        <f t="shared" ref="S7" ca="1" si="1">R7+1</f>
        <v>18</v>
      </c>
      <c r="T7" s="78">
        <f t="shared" ref="T7" ca="1" si="2">S7+1</f>
        <v>19</v>
      </c>
      <c r="U7" s="78">
        <f t="shared" ref="U7" ca="1" si="3">T7+1</f>
        <v>20</v>
      </c>
      <c r="V7" s="78">
        <f t="shared" ref="V7" ca="1" si="4">U7+1</f>
        <v>21</v>
      </c>
      <c r="W7" s="78">
        <f ca="1">V7+1</f>
        <v>22</v>
      </c>
      <c r="X7" s="78">
        <f t="shared" ref="X7:AF7" ca="1" si="5">W7+1</f>
        <v>23</v>
      </c>
      <c r="Y7" s="78">
        <f t="shared" ca="1" si="5"/>
        <v>24</v>
      </c>
      <c r="Z7" s="78">
        <f t="shared" ca="1" si="5"/>
        <v>25</v>
      </c>
      <c r="AA7" s="78">
        <f t="shared" ca="1" si="5"/>
        <v>26</v>
      </c>
      <c r="AB7" s="78">
        <f t="shared" ca="1" si="5"/>
        <v>27</v>
      </c>
      <c r="AC7" s="78">
        <f t="shared" ca="1" si="5"/>
        <v>28</v>
      </c>
      <c r="AD7" s="78">
        <f t="shared" ca="1" si="5"/>
        <v>29</v>
      </c>
      <c r="AE7" s="78">
        <f t="shared" ca="1" si="5"/>
        <v>30</v>
      </c>
      <c r="AF7" s="78">
        <f t="shared" ca="1" si="5"/>
        <v>31</v>
      </c>
    </row>
    <row r="8" spans="1:32">
      <c r="A8" s="75" t="s">
        <v>35</v>
      </c>
      <c r="B8" s="77" t="s">
        <v>58</v>
      </c>
      <c r="C8" s="77" t="s">
        <v>57</v>
      </c>
      <c r="D8" s="77" t="s">
        <v>58</v>
      </c>
      <c r="E8" s="77" t="s">
        <v>57</v>
      </c>
      <c r="F8" s="77" t="s">
        <v>58</v>
      </c>
      <c r="G8" s="77" t="s">
        <v>57</v>
      </c>
      <c r="H8" s="77" t="s">
        <v>58</v>
      </c>
      <c r="I8" s="77" t="s">
        <v>57</v>
      </c>
      <c r="J8" s="77" t="s">
        <v>58</v>
      </c>
      <c r="K8" s="77" t="s">
        <v>57</v>
      </c>
      <c r="L8" s="77" t="s">
        <v>58</v>
      </c>
      <c r="M8" s="77" t="s">
        <v>57</v>
      </c>
      <c r="N8" s="99" t="s">
        <v>16</v>
      </c>
      <c r="O8" s="99" t="s">
        <v>16</v>
      </c>
      <c r="P8" s="99" t="s">
        <v>16</v>
      </c>
      <c r="Q8" s="99" t="s">
        <v>16</v>
      </c>
      <c r="R8" s="99" t="s">
        <v>16</v>
      </c>
      <c r="S8" s="77" t="s">
        <v>57</v>
      </c>
      <c r="T8" s="77" t="s">
        <v>58</v>
      </c>
      <c r="U8" s="77" t="s">
        <v>57</v>
      </c>
      <c r="V8" s="77" t="s">
        <v>58</v>
      </c>
      <c r="W8" s="77" t="s">
        <v>57</v>
      </c>
      <c r="X8" s="77" t="s">
        <v>58</v>
      </c>
      <c r="Y8" s="77" t="s">
        <v>57</v>
      </c>
      <c r="Z8" s="77" t="s">
        <v>58</v>
      </c>
      <c r="AA8" s="77" t="s">
        <v>57</v>
      </c>
      <c r="AB8" s="77" t="s">
        <v>58</v>
      </c>
      <c r="AC8" s="77" t="s">
        <v>57</v>
      </c>
      <c r="AD8" s="77" t="s">
        <v>58</v>
      </c>
      <c r="AE8" s="77" t="s">
        <v>57</v>
      </c>
      <c r="AF8" s="77" t="s">
        <v>58</v>
      </c>
    </row>
    <row r="9" spans="1:32">
      <c r="A9" s="75" t="s">
        <v>11</v>
      </c>
      <c r="B9" s="77" t="s">
        <v>63</v>
      </c>
      <c r="C9" s="77" t="s">
        <v>32</v>
      </c>
      <c r="D9" s="77" t="s">
        <v>32</v>
      </c>
      <c r="E9" s="77" t="s">
        <v>63</v>
      </c>
      <c r="F9" s="77" t="s">
        <v>63</v>
      </c>
      <c r="G9" s="77" t="s">
        <v>32</v>
      </c>
      <c r="H9" s="77" t="s">
        <v>32</v>
      </c>
      <c r="I9" s="77" t="s">
        <v>63</v>
      </c>
      <c r="J9" s="77" t="s">
        <v>63</v>
      </c>
      <c r="K9" s="77" t="s">
        <v>32</v>
      </c>
      <c r="L9" s="77" t="s">
        <v>63</v>
      </c>
      <c r="M9" s="77" t="s">
        <v>63</v>
      </c>
      <c r="N9" s="77" t="s">
        <v>58</v>
      </c>
      <c r="O9" s="77" t="s">
        <v>57</v>
      </c>
      <c r="P9" s="77" t="s">
        <v>58</v>
      </c>
      <c r="Q9" s="77" t="s">
        <v>57</v>
      </c>
      <c r="R9" s="77" t="s">
        <v>58</v>
      </c>
      <c r="S9" s="77" t="s">
        <v>63</v>
      </c>
      <c r="T9" s="77" t="s">
        <v>63</v>
      </c>
      <c r="U9" s="77" t="s">
        <v>63</v>
      </c>
      <c r="V9" s="77" t="s">
        <v>32</v>
      </c>
      <c r="W9" s="77" t="s">
        <v>32</v>
      </c>
      <c r="X9" s="77" t="s">
        <v>32</v>
      </c>
      <c r="Y9" s="77" t="s">
        <v>32</v>
      </c>
      <c r="Z9" s="77" t="s">
        <v>63</v>
      </c>
      <c r="AA9" s="77" t="s">
        <v>63</v>
      </c>
      <c r="AB9" s="77" t="s">
        <v>32</v>
      </c>
      <c r="AC9" s="77" t="s">
        <v>32</v>
      </c>
      <c r="AD9" s="77" t="s">
        <v>32</v>
      </c>
      <c r="AE9" s="77" t="s">
        <v>32</v>
      </c>
      <c r="AF9" s="77" t="s">
        <v>32</v>
      </c>
    </row>
    <row r="10" spans="1:32">
      <c r="A10" s="75" t="s">
        <v>36</v>
      </c>
      <c r="B10" s="77" t="s">
        <v>57</v>
      </c>
      <c r="C10" s="77" t="s">
        <v>58</v>
      </c>
      <c r="D10" s="77" t="s">
        <v>57</v>
      </c>
      <c r="E10" s="77" t="s">
        <v>58</v>
      </c>
      <c r="F10" s="77" t="s">
        <v>57</v>
      </c>
      <c r="G10" s="77" t="s">
        <v>58</v>
      </c>
      <c r="H10" s="77" t="s">
        <v>57</v>
      </c>
      <c r="I10" s="77" t="s">
        <v>58</v>
      </c>
      <c r="J10" s="77" t="s">
        <v>57</v>
      </c>
      <c r="K10" s="77" t="s">
        <v>58</v>
      </c>
      <c r="L10" s="77" t="s">
        <v>57</v>
      </c>
      <c r="M10" s="77" t="s">
        <v>58</v>
      </c>
      <c r="N10" s="77" t="s">
        <v>57</v>
      </c>
      <c r="O10" s="77" t="s">
        <v>58</v>
      </c>
      <c r="P10" s="77" t="s">
        <v>57</v>
      </c>
      <c r="Q10" s="77" t="s">
        <v>58</v>
      </c>
      <c r="R10" s="77" t="s">
        <v>57</v>
      </c>
      <c r="S10" s="77" t="s">
        <v>58</v>
      </c>
      <c r="T10" s="77" t="s">
        <v>57</v>
      </c>
      <c r="U10" s="77" t="s">
        <v>58</v>
      </c>
      <c r="V10" s="77" t="s">
        <v>57</v>
      </c>
      <c r="W10" s="77" t="s">
        <v>58</v>
      </c>
      <c r="X10" s="77" t="s">
        <v>57</v>
      </c>
      <c r="Y10" s="77" t="s">
        <v>58</v>
      </c>
      <c r="Z10" s="77" t="s">
        <v>57</v>
      </c>
      <c r="AA10" s="77" t="s">
        <v>58</v>
      </c>
      <c r="AB10" s="77" t="s">
        <v>57</v>
      </c>
      <c r="AC10" s="77" t="s">
        <v>58</v>
      </c>
      <c r="AD10" s="77" t="s">
        <v>57</v>
      </c>
      <c r="AE10" s="77" t="s">
        <v>58</v>
      </c>
      <c r="AF10" s="77" t="s">
        <v>57</v>
      </c>
    </row>
    <row r="11" spans="1:32">
      <c r="A11" s="75" t="s">
        <v>37</v>
      </c>
      <c r="B11" s="77" t="s">
        <v>68</v>
      </c>
      <c r="C11" s="77" t="s">
        <v>63</v>
      </c>
      <c r="D11" s="77" t="s">
        <v>68</v>
      </c>
      <c r="E11" s="77" t="s">
        <v>63</v>
      </c>
      <c r="F11" s="77" t="s">
        <v>68</v>
      </c>
      <c r="G11" s="77" t="s">
        <v>63</v>
      </c>
      <c r="H11" s="77" t="s">
        <v>68</v>
      </c>
      <c r="I11" s="77" t="s">
        <v>63</v>
      </c>
      <c r="J11" s="77" t="s">
        <v>68</v>
      </c>
      <c r="K11" s="77" t="s">
        <v>63</v>
      </c>
      <c r="L11" s="77" t="s">
        <v>68</v>
      </c>
      <c r="M11" s="77" t="s">
        <v>63</v>
      </c>
      <c r="N11" s="77" t="s">
        <v>68</v>
      </c>
      <c r="O11" s="77" t="s">
        <v>63</v>
      </c>
      <c r="P11" s="77" t="s">
        <v>68</v>
      </c>
      <c r="Q11" s="77" t="s">
        <v>63</v>
      </c>
      <c r="R11" s="77" t="s">
        <v>68</v>
      </c>
      <c r="S11" s="77" t="s">
        <v>63</v>
      </c>
      <c r="T11" s="77" t="s">
        <v>68</v>
      </c>
      <c r="U11" s="77" t="s">
        <v>63</v>
      </c>
      <c r="V11" s="77" t="s">
        <v>68</v>
      </c>
      <c r="W11" s="77" t="s">
        <v>63</v>
      </c>
      <c r="X11" s="77" t="s">
        <v>68</v>
      </c>
      <c r="Y11" s="77" t="s">
        <v>63</v>
      </c>
      <c r="Z11" s="77" t="s">
        <v>68</v>
      </c>
      <c r="AA11" s="77" t="s">
        <v>63</v>
      </c>
      <c r="AB11" s="77" t="s">
        <v>68</v>
      </c>
      <c r="AC11" s="77" t="s">
        <v>63</v>
      </c>
      <c r="AD11" s="77" t="s">
        <v>68</v>
      </c>
      <c r="AE11" s="77" t="s">
        <v>63</v>
      </c>
      <c r="AF11" s="77" t="s">
        <v>68</v>
      </c>
    </row>
    <row r="12" spans="1:32">
      <c r="A12" s="75" t="s">
        <v>38</v>
      </c>
      <c r="B12" s="77" t="s">
        <v>63</v>
      </c>
      <c r="C12" s="77" t="s">
        <v>68</v>
      </c>
      <c r="D12" s="77" t="s">
        <v>63</v>
      </c>
      <c r="E12" s="77" t="s">
        <v>68</v>
      </c>
      <c r="F12" s="77" t="s">
        <v>63</v>
      </c>
      <c r="G12" s="77" t="s">
        <v>68</v>
      </c>
      <c r="H12" s="77" t="s">
        <v>63</v>
      </c>
      <c r="I12" s="77" t="s">
        <v>68</v>
      </c>
      <c r="J12" s="77" t="s">
        <v>63</v>
      </c>
      <c r="K12" s="77" t="s">
        <v>68</v>
      </c>
      <c r="L12" s="77" t="s">
        <v>63</v>
      </c>
      <c r="M12" s="77" t="s">
        <v>68</v>
      </c>
      <c r="N12" s="77" t="s">
        <v>63</v>
      </c>
      <c r="O12" s="77" t="s">
        <v>68</v>
      </c>
      <c r="P12" s="77" t="s">
        <v>63</v>
      </c>
      <c r="Q12" s="77" t="s">
        <v>68</v>
      </c>
      <c r="R12" s="77" t="s">
        <v>63</v>
      </c>
      <c r="S12" s="77" t="s">
        <v>68</v>
      </c>
      <c r="T12" s="77" t="s">
        <v>63</v>
      </c>
      <c r="U12" s="77" t="s">
        <v>68</v>
      </c>
      <c r="V12" s="77" t="s">
        <v>63</v>
      </c>
      <c r="W12" s="77" t="s">
        <v>68</v>
      </c>
      <c r="X12" s="77" t="s">
        <v>63</v>
      </c>
      <c r="Y12" s="77" t="s">
        <v>68</v>
      </c>
      <c r="Z12" s="77" t="s">
        <v>63</v>
      </c>
      <c r="AA12" s="77" t="s">
        <v>68</v>
      </c>
      <c r="AB12" s="77" t="s">
        <v>63</v>
      </c>
      <c r="AC12" s="77" t="s">
        <v>68</v>
      </c>
      <c r="AD12" s="77" t="s">
        <v>63</v>
      </c>
      <c r="AE12" s="77" t="s">
        <v>68</v>
      </c>
      <c r="AF12" s="77" t="s">
        <v>63</v>
      </c>
    </row>
    <row r="13" spans="1:32">
      <c r="A13" s="75" t="s">
        <v>69</v>
      </c>
      <c r="B13" s="77" t="s">
        <v>63</v>
      </c>
      <c r="C13" s="77" t="s">
        <v>32</v>
      </c>
      <c r="D13" s="77" t="s">
        <v>32</v>
      </c>
      <c r="E13" s="77" t="s">
        <v>63</v>
      </c>
      <c r="F13" s="77" t="s">
        <v>63</v>
      </c>
      <c r="G13" s="77" t="s">
        <v>32</v>
      </c>
      <c r="H13" s="77" t="s">
        <v>32</v>
      </c>
      <c r="I13" s="77" t="s">
        <v>63</v>
      </c>
      <c r="J13" s="77" t="s">
        <v>63</v>
      </c>
      <c r="K13" s="77" t="s">
        <v>32</v>
      </c>
      <c r="L13" s="77" t="s">
        <v>63</v>
      </c>
      <c r="M13" s="77" t="s">
        <v>63</v>
      </c>
      <c r="N13" s="77" t="s">
        <v>32</v>
      </c>
      <c r="O13" s="77" t="s">
        <v>32</v>
      </c>
      <c r="P13" s="77" t="s">
        <v>32</v>
      </c>
      <c r="Q13" s="77" t="s">
        <v>32</v>
      </c>
      <c r="R13" s="77" t="s">
        <v>32</v>
      </c>
      <c r="S13" s="77" t="s">
        <v>63</v>
      </c>
      <c r="T13" s="77" t="s">
        <v>63</v>
      </c>
      <c r="U13" s="77" t="s">
        <v>63</v>
      </c>
      <c r="V13" s="77" t="s">
        <v>32</v>
      </c>
      <c r="W13" s="77" t="s">
        <v>32</v>
      </c>
      <c r="X13" s="77" t="s">
        <v>32</v>
      </c>
      <c r="Y13" s="77" t="s">
        <v>32</v>
      </c>
      <c r="Z13" s="77" t="s">
        <v>63</v>
      </c>
      <c r="AA13" s="77" t="s">
        <v>63</v>
      </c>
      <c r="AB13" s="77" t="s">
        <v>32</v>
      </c>
      <c r="AC13" s="77" t="s">
        <v>32</v>
      </c>
      <c r="AD13" s="77" t="s">
        <v>32</v>
      </c>
      <c r="AE13" s="77" t="s">
        <v>32</v>
      </c>
      <c r="AF13" s="77" t="s">
        <v>32</v>
      </c>
    </row>
  </sheetData>
  <conditionalFormatting sqref="AD6:AF7">
    <cfRule type="expression" dxfId="3" priority="4">
      <formula>ISERROR(MONTH(AD$7&amp;"/"&amp;MONTH($B$5)&amp;"/"&amp;YEAR($B$5))&lt;&gt;MONTH($B$5))</formula>
    </cfRule>
  </conditionalFormatting>
  <conditionalFormatting sqref="B8:AF13">
    <cfRule type="expression" dxfId="2" priority="3">
      <formula>B8=""</formula>
    </cfRule>
  </conditionalFormatting>
  <conditionalFormatting sqref="B6:AF13">
    <cfRule type="expression" dxfId="1" priority="1">
      <formula>OR(WEEKDAY(B$6,2)=6,WEEKDAY(B$6,2)=7)</formula>
    </cfRule>
    <cfRule type="expression" dxfId="0" priority="2">
      <formula>COUNTIF(Fériés,"="&amp;B$7&amp;"/"&amp;MONTH($B$5)&amp;"/"&amp;YEAR($B$5))&gt;0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FP</vt:lpstr>
      <vt:lpstr>Données</vt:lpstr>
      <vt:lpstr>Fériés</vt:lpstr>
      <vt:lpstr>Brgd</vt:lpstr>
      <vt:lpstr>Mai (Résultat souhaité)</vt:lpstr>
      <vt:lpstr>Mai</vt:lpstr>
      <vt:lpstr>année</vt:lpstr>
      <vt:lpstr>BDate</vt:lpstr>
      <vt:lpstr>Données!Criteres</vt:lpstr>
      <vt:lpstr>Données!Extraire</vt:lpstr>
      <vt:lpstr>Fériés</vt:lpstr>
      <vt:lpstr>Liste</vt:lpstr>
      <vt:lpstr>NBrgd</vt:lpstr>
      <vt:lpstr>Pâques</vt:lpstr>
      <vt:lpstr>Fériés!pEaster</vt:lpstr>
      <vt:lpstr>Fériés!pYear</vt:lpstr>
      <vt:lpstr>SBrgd</vt:lpstr>
      <vt:lpstr>TabBrgd</vt:lpstr>
      <vt:lpstr>TypeArrêt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Fatima</cp:lastModifiedBy>
  <cp:lastPrinted>2013-05-17T17:47:32Z</cp:lastPrinted>
  <dcterms:created xsi:type="dcterms:W3CDTF">2013-05-02T13:03:07Z</dcterms:created>
  <dcterms:modified xsi:type="dcterms:W3CDTF">2013-05-17T19:37:25Z</dcterms:modified>
</cp:coreProperties>
</file>