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576" yWindow="156" windowWidth="20736" windowHeight="9288" activeTab="20"/>
  </bookViews>
  <sheets>
    <sheet name="Liste choix menus" sheetId="1" r:id="rId1"/>
    <sheet name="Accueil" sheetId="2" r:id="rId2"/>
    <sheet name="Saisie des référentiels" sheetId="3" r:id="rId3"/>
    <sheet name="Liste référentiels" sheetId="4" r:id="rId4"/>
    <sheet name="Saisie des menus" sheetId="5" r:id="rId5"/>
    <sheet name="Menus midi retraite" sheetId="6" r:id="rId6"/>
    <sheet name="Menus journaliers" sheetId="7" r:id="rId7"/>
    <sheet name="Menus viandes weekend" sheetId="8" r:id="rId8"/>
    <sheet name="Janvier" sheetId="9" r:id="rId9"/>
    <sheet name="Février" sheetId="10" r:id="rId10"/>
    <sheet name="Mars" sheetId="11" r:id="rId11"/>
    <sheet name="Avril" sheetId="12" r:id="rId12"/>
    <sheet name="Mai" sheetId="13" r:id="rId13"/>
    <sheet name="Juin" sheetId="14" r:id="rId14"/>
    <sheet name="Juillet" sheetId="15" r:id="rId15"/>
    <sheet name="Août" sheetId="16" r:id="rId16"/>
    <sheet name="Septembre" sheetId="17" r:id="rId17"/>
    <sheet name="Octobre" sheetId="18" r:id="rId18"/>
    <sheet name="Novembre" sheetId="19" r:id="rId19"/>
    <sheet name="Décembre" sheetId="20" r:id="rId20"/>
    <sheet name="Quantité desserts" sheetId="21" r:id="rId21"/>
    <sheet name="Quantité légumes" sheetId="22" r:id="rId22"/>
    <sheet name="Quantité viandes" sheetId="23" r:id="rId23"/>
    <sheet name="Propostion MMR" sheetId="24" r:id="rId24"/>
    <sheet name="Proposition MJ" sheetId="25" r:id="rId25"/>
    <sheet name="Proposition MVWE" sheetId="26" r:id="rId26"/>
  </sheets>
  <definedNames>
    <definedName name="Aliments">IF('Saisie des référentiels'!$B$4="Desserts",OFFSET('Liste choix menus'!$F$2,0,0,COUNTA('Liste choix menus'!$F$2:$F$23),1),IF('Saisie des référentiels'!$B$4="Légume deux",OFFSET('Liste choix menus'!$F$44,0,0,COUNTA('Liste choix menus'!$F$44:$F$44),1),IF('Saisie des référentiels'!$B$4="Légumes",OFFSET('Liste choix menus'!$F$24,0,0,COUNTA('Liste choix menus'!$F$24:$F$59),1),IF('Saisie des référentiels'!$B$4="Viandes",OFFSET('Liste choix menus'!$F$60,0,0,COUNTA('Liste choix menus'!$F$60:$F$98),1),IF('Saisie des référentiels'!$B$4="Observations",OFFSET('Liste choix menus'!$C$2,0,0,COUNTA('Liste choix menus'!$C$2:$C$14),1),IF('Saisie des référentiels'!$B$4="Période concernée",OFFSET('Liste choix menus'!$G$2,0,0,COUNTA('Liste choix menus'!$G$2:$G$13),1)))))))</definedName>
    <definedName name="Choix_référentiels">IF('Saisie des référentiels'!$B$4="Desserts",OFFSET('Liste choix menus'!$F$2,0,0,COUNTA('Liste choix menus'!$F$2:$F$23),1))</definedName>
    <definedName name="Code_desserts">OFFSET('Liste référentiels'!$A$4,0,0,COUNTA('Liste référentiels'!$A$4:$A$26),1)</definedName>
    <definedName name="Code_légume_deux">OFFSET('Liste référentiels'!$H$4,0,0,COUNTA('Liste référentiels'!$H$4:$H$4),1)</definedName>
    <definedName name="Code_légumes">OFFSET('Liste référentiels'!$O$4,0,0,COUNTA('Liste référentiels'!$O$4:$O$57),1)</definedName>
    <definedName name="Code_observations">OFFSET('Liste référentiels'!$AC$4,0,0,COUNTA('Liste référentiels'!$AC$4:$AC$16),1)</definedName>
    <definedName name="Code_période_concernée">OFFSET('Liste référentiels'!$AG$4,0,0,COUNTA('Liste référentiels'!$AG$4:$AG$15),1)</definedName>
    <definedName name="Code_viandes">OFFSET('Liste référentiels'!$V$4,0,0,COUNTA('Liste référentiels'!$V$4:$V$43),1)</definedName>
    <definedName name="Conditionnement">OFFSET('Liste choix menus'!$E$2,0,0,COUNTA('Liste choix menus'!$E$2:$E$34),1)</definedName>
    <definedName name="Destination_du_produit">OFFSET('Liste choix menus'!$B$2,0,0,COUNTA('Liste choix menus'!$B$2:$B$50),1)</definedName>
    <definedName name="_xlnm.Print_Titles" localSheetId="0">'Liste choix menus'!$1:$1</definedName>
    <definedName name="Jours">OFFSET('Liste choix menus'!$D$2,0,0,COUNTA('Liste choix menus'!$D$2:$D$13),1)</definedName>
    <definedName name="Nature_des_produits">OFFSET('Liste choix menus'!$A$2,0,0,COUNTA('Liste choix menus'!$A$2:$A$7),1)</definedName>
    <definedName name="Observations">OFFSET('Liste choix menus'!$C$2,0,0,COUNTA('Liste choix menus'!$C$2:$C$14),1)</definedName>
    <definedName name="Période_concernée">OFFSET('Liste choix menus'!$G$2,0,0,COUNTA('Liste choix menus'!$G$2:$G$13),1)</definedName>
    <definedName name="_xlnm.Print_Area" localSheetId="0">'Liste choix menus'!$A$1:$G$98</definedName>
    <definedName name="_xlnm.Print_Area" localSheetId="6">'Menus journaliers'!$A$1:$H$403</definedName>
    <definedName name="_xlnm.Print_Area" localSheetId="5">'Menus midi retraite'!$A$1:$G$299</definedName>
    <definedName name="_xlnm.Print_Area" localSheetId="7">'Menus viandes weekend'!$A$1:$E$109</definedName>
    <definedName name="_xlnm.Print_Area" localSheetId="24">'Proposition MJ'!$A$1:$H$953</definedName>
    <definedName name="_xlnm.Print_Area" localSheetId="25">'Proposition MVWE'!$A$1:$H$149</definedName>
    <definedName name="_xlnm.Print_Area" localSheetId="23">'Propostion MMR'!$A$1:$H$569</definedName>
    <definedName name="_xlnm.Print_Area" localSheetId="20">'Quantité desserts'!$A$1:$O$26</definedName>
    <definedName name="_xlnm.Print_Area" localSheetId="21">'Quantité légumes'!$A$1:$O$42</definedName>
    <definedName name="_xlnm.Print_Area" localSheetId="22">'Quantité viandes'!$A$1:$O$43</definedName>
    <definedName name="_xlnm.Print_Area" localSheetId="4">'Saisie des menus'!$A$1:$E$35</definedName>
    <definedName name="_xlnm.Print_Area" localSheetId="2">'Saisie des référentiels'!$A$1:$E$12</definedName>
  </definedNames>
  <calcPr calcId="145621"/>
</workbook>
</file>

<file path=xl/calcChain.xml><?xml version="1.0" encoding="utf-8"?>
<calcChain xmlns="http://schemas.openxmlformats.org/spreadsheetml/2006/main">
  <c r="N25" i="21" l="1"/>
  <c r="N24" i="21"/>
  <c r="N23" i="21"/>
  <c r="N22" i="21"/>
  <c r="N21" i="21"/>
  <c r="N20" i="21"/>
  <c r="N19" i="21"/>
  <c r="N18" i="21"/>
  <c r="N17" i="21"/>
  <c r="N16" i="21"/>
  <c r="N15" i="21"/>
  <c r="N14" i="21"/>
  <c r="N13" i="21"/>
  <c r="N12" i="21"/>
  <c r="N11" i="21"/>
  <c r="N10" i="21"/>
  <c r="N9" i="21"/>
  <c r="N8" i="21"/>
  <c r="N7" i="21"/>
  <c r="N6" i="21"/>
  <c r="N5" i="21"/>
  <c r="N4" i="21"/>
  <c r="M25" i="21"/>
  <c r="M24" i="21"/>
  <c r="M23" i="21"/>
  <c r="M22" i="21"/>
  <c r="M21" i="21"/>
  <c r="M20" i="21"/>
  <c r="M19" i="21"/>
  <c r="M18" i="21"/>
  <c r="M17" i="21"/>
  <c r="M16" i="21"/>
  <c r="M15" i="21"/>
  <c r="M14" i="21"/>
  <c r="M13" i="21"/>
  <c r="M12" i="21"/>
  <c r="M11" i="21"/>
  <c r="M10" i="21"/>
  <c r="M9" i="21"/>
  <c r="M8" i="21"/>
  <c r="M7" i="21"/>
  <c r="M6" i="21"/>
  <c r="M5" i="21"/>
  <c r="M4" i="21"/>
  <c r="L25" i="21"/>
  <c r="L24" i="21"/>
  <c r="L23" i="21"/>
  <c r="L22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9" i="21"/>
  <c r="L8" i="21"/>
  <c r="L7" i="21"/>
  <c r="L6" i="21"/>
  <c r="L5" i="21"/>
  <c r="L4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K11" i="21"/>
  <c r="K10" i="21"/>
  <c r="K9" i="21"/>
  <c r="K8" i="21"/>
  <c r="K7" i="21"/>
  <c r="K6" i="21"/>
  <c r="K5" i="21"/>
  <c r="K4" i="21"/>
  <c r="J25" i="21"/>
  <c r="J24" i="21"/>
  <c r="J23" i="21"/>
  <c r="J22" i="21"/>
  <c r="J21" i="21"/>
  <c r="J20" i="21"/>
  <c r="J19" i="21"/>
  <c r="J18" i="21"/>
  <c r="J17" i="21"/>
  <c r="J16" i="21"/>
  <c r="J15" i="21"/>
  <c r="J14" i="21"/>
  <c r="J13" i="21"/>
  <c r="J12" i="21"/>
  <c r="J11" i="21"/>
  <c r="J10" i="21"/>
  <c r="J9" i="21"/>
  <c r="J8" i="21"/>
  <c r="J7" i="21"/>
  <c r="J6" i="21"/>
  <c r="J5" i="21"/>
  <c r="J4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H25" i="21"/>
  <c r="H24" i="21"/>
  <c r="H23" i="21"/>
  <c r="H22" i="21"/>
  <c r="H21" i="21"/>
  <c r="H20" i="21"/>
  <c r="H19" i="21"/>
  <c r="H18" i="21"/>
  <c r="H17" i="21"/>
  <c r="H16" i="21"/>
  <c r="H15" i="21"/>
  <c r="H14" i="21"/>
  <c r="H13" i="21"/>
  <c r="H12" i="21"/>
  <c r="H11" i="21"/>
  <c r="H10" i="21"/>
  <c r="H9" i="21"/>
  <c r="H8" i="21"/>
  <c r="H7" i="21"/>
  <c r="H6" i="21"/>
  <c r="H5" i="21"/>
  <c r="H4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5" i="21"/>
  <c r="F4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E5" i="21"/>
  <c r="E4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D8" i="21"/>
  <c r="D7" i="21"/>
  <c r="D6" i="21"/>
  <c r="D5" i="21"/>
  <c r="D4" i="21"/>
  <c r="B8" i="5"/>
  <c r="B6" i="5" l="1"/>
  <c r="E557" i="24" l="1"/>
  <c r="C938" i="25" l="1"/>
  <c r="B938" i="25"/>
  <c r="H920" i="25"/>
  <c r="G920" i="25"/>
  <c r="F920" i="25"/>
  <c r="E920" i="25"/>
  <c r="D920" i="25"/>
  <c r="C920" i="25"/>
  <c r="B920" i="25"/>
  <c r="H902" i="25"/>
  <c r="G902" i="25"/>
  <c r="F902" i="25"/>
  <c r="E902" i="25"/>
  <c r="D902" i="25"/>
  <c r="C902" i="25"/>
  <c r="B902" i="25"/>
  <c r="H884" i="25"/>
  <c r="G884" i="25"/>
  <c r="F884" i="25"/>
  <c r="E884" i="25"/>
  <c r="D884" i="25"/>
  <c r="C884" i="25"/>
  <c r="B884" i="25"/>
  <c r="H866" i="25"/>
  <c r="G866" i="25"/>
  <c r="F866" i="25"/>
  <c r="E866" i="25"/>
  <c r="D866" i="25"/>
  <c r="C866" i="25"/>
  <c r="B866" i="25"/>
  <c r="H848" i="25"/>
  <c r="G848" i="25"/>
  <c r="F848" i="25"/>
  <c r="E848" i="25"/>
  <c r="D848" i="25"/>
  <c r="C848" i="25"/>
  <c r="B848" i="25"/>
  <c r="H830" i="25"/>
  <c r="G830" i="25"/>
  <c r="F830" i="25"/>
  <c r="E830" i="25"/>
  <c r="D830" i="25"/>
  <c r="C830" i="25"/>
  <c r="B830" i="25"/>
  <c r="H812" i="25"/>
  <c r="G812" i="25"/>
  <c r="F812" i="25"/>
  <c r="E812" i="25"/>
  <c r="D812" i="25"/>
  <c r="C812" i="25"/>
  <c r="B812" i="25"/>
  <c r="H794" i="25"/>
  <c r="G794" i="25"/>
  <c r="F794" i="25"/>
  <c r="E794" i="25"/>
  <c r="D794" i="25"/>
  <c r="C794" i="25"/>
  <c r="B794" i="25"/>
  <c r="H776" i="25"/>
  <c r="G776" i="25"/>
  <c r="F776" i="25"/>
  <c r="E776" i="25"/>
  <c r="D776" i="25"/>
  <c r="C776" i="25"/>
  <c r="B776" i="25"/>
  <c r="H758" i="25"/>
  <c r="G758" i="25"/>
  <c r="F758" i="25"/>
  <c r="E758" i="25"/>
  <c r="D758" i="25"/>
  <c r="C758" i="25"/>
  <c r="B758" i="25"/>
  <c r="H740" i="25"/>
  <c r="G740" i="25"/>
  <c r="F740" i="25"/>
  <c r="E740" i="25"/>
  <c r="D740" i="25"/>
  <c r="C740" i="25"/>
  <c r="B740" i="25"/>
  <c r="H722" i="25"/>
  <c r="G722" i="25"/>
  <c r="F722" i="25"/>
  <c r="E722" i="25"/>
  <c r="D722" i="25"/>
  <c r="C722" i="25"/>
  <c r="B722" i="25"/>
  <c r="H704" i="25"/>
  <c r="G704" i="25"/>
  <c r="F704" i="25"/>
  <c r="E704" i="25"/>
  <c r="D704" i="25"/>
  <c r="C704" i="25"/>
  <c r="B704" i="25"/>
  <c r="H686" i="25"/>
  <c r="G686" i="25"/>
  <c r="F686" i="25"/>
  <c r="E686" i="25"/>
  <c r="D686" i="25"/>
  <c r="C686" i="25"/>
  <c r="B686" i="25"/>
  <c r="H668" i="25"/>
  <c r="G668" i="25"/>
  <c r="F668" i="25"/>
  <c r="E668" i="25"/>
  <c r="D668" i="25"/>
  <c r="C668" i="25"/>
  <c r="B668" i="25"/>
  <c r="H650" i="25"/>
  <c r="G650" i="25"/>
  <c r="F650" i="25"/>
  <c r="E650" i="25"/>
  <c r="D650" i="25"/>
  <c r="C650" i="25"/>
  <c r="B650" i="25"/>
  <c r="H632" i="25"/>
  <c r="G632" i="25"/>
  <c r="F632" i="25"/>
  <c r="E632" i="25"/>
  <c r="D632" i="25"/>
  <c r="C632" i="25"/>
  <c r="B632" i="25"/>
  <c r="H614" i="25"/>
  <c r="G614" i="25"/>
  <c r="F614" i="25"/>
  <c r="E614" i="25"/>
  <c r="D614" i="25"/>
  <c r="C614" i="25"/>
  <c r="B614" i="25"/>
  <c r="H596" i="25"/>
  <c r="G596" i="25"/>
  <c r="F596" i="25"/>
  <c r="E596" i="25"/>
  <c r="D596" i="25"/>
  <c r="C596" i="25"/>
  <c r="B596" i="25"/>
  <c r="H578" i="25"/>
  <c r="G578" i="25"/>
  <c r="F578" i="25"/>
  <c r="E578" i="25"/>
  <c r="D578" i="25"/>
  <c r="C578" i="25"/>
  <c r="B578" i="25"/>
  <c r="H560" i="25"/>
  <c r="G560" i="25"/>
  <c r="F560" i="25"/>
  <c r="E560" i="25"/>
  <c r="D560" i="25"/>
  <c r="C560" i="25"/>
  <c r="B560" i="25"/>
  <c r="H542" i="25"/>
  <c r="G542" i="25"/>
  <c r="F542" i="25"/>
  <c r="E542" i="25"/>
  <c r="D542" i="25"/>
  <c r="C542" i="25"/>
  <c r="B542" i="25"/>
  <c r="H524" i="25"/>
  <c r="G524" i="25"/>
  <c r="F524" i="25"/>
  <c r="E524" i="25"/>
  <c r="D524" i="25"/>
  <c r="C524" i="25"/>
  <c r="B524" i="25"/>
  <c r="H506" i="25"/>
  <c r="G506" i="25"/>
  <c r="F506" i="25"/>
  <c r="E506" i="25"/>
  <c r="D506" i="25"/>
  <c r="C506" i="25"/>
  <c r="B506" i="25"/>
  <c r="H488" i="25"/>
  <c r="G488" i="25"/>
  <c r="F488" i="25"/>
  <c r="E488" i="25"/>
  <c r="D488" i="25"/>
  <c r="C488" i="25"/>
  <c r="B488" i="25"/>
  <c r="H470" i="25"/>
  <c r="G470" i="25"/>
  <c r="F470" i="25"/>
  <c r="E470" i="25"/>
  <c r="D470" i="25"/>
  <c r="C470" i="25"/>
  <c r="B470" i="25"/>
  <c r="H452" i="25"/>
  <c r="G452" i="25"/>
  <c r="F452" i="25"/>
  <c r="E452" i="25"/>
  <c r="D452" i="25"/>
  <c r="C452" i="25"/>
  <c r="B452" i="25"/>
  <c r="H434" i="25"/>
  <c r="G434" i="25"/>
  <c r="F434" i="25"/>
  <c r="E434" i="25"/>
  <c r="D434" i="25"/>
  <c r="C434" i="25"/>
  <c r="B434" i="25"/>
  <c r="H416" i="25"/>
  <c r="G416" i="25"/>
  <c r="F416" i="25"/>
  <c r="E416" i="25"/>
  <c r="D416" i="25"/>
  <c r="C416" i="25"/>
  <c r="B416" i="25"/>
  <c r="H398" i="25"/>
  <c r="G398" i="25"/>
  <c r="F398" i="25"/>
  <c r="E398" i="25"/>
  <c r="D398" i="25"/>
  <c r="C398" i="25"/>
  <c r="B398" i="25"/>
  <c r="H380" i="25"/>
  <c r="G380" i="25"/>
  <c r="F380" i="25"/>
  <c r="E380" i="25"/>
  <c r="D380" i="25"/>
  <c r="C380" i="25"/>
  <c r="B380" i="25"/>
  <c r="H362" i="25"/>
  <c r="G362" i="25"/>
  <c r="F362" i="25"/>
  <c r="E362" i="25"/>
  <c r="D362" i="25"/>
  <c r="C362" i="25"/>
  <c r="B362" i="25"/>
  <c r="H344" i="25"/>
  <c r="G344" i="25"/>
  <c r="F344" i="25"/>
  <c r="E344" i="25"/>
  <c r="D344" i="25"/>
  <c r="C344" i="25"/>
  <c r="B344" i="25"/>
  <c r="H326" i="25"/>
  <c r="G326" i="25"/>
  <c r="F326" i="25"/>
  <c r="E326" i="25"/>
  <c r="D326" i="25"/>
  <c r="C326" i="25"/>
  <c r="B326" i="25"/>
  <c r="H308" i="25"/>
  <c r="G308" i="25"/>
  <c r="F308" i="25"/>
  <c r="E308" i="25"/>
  <c r="D308" i="25"/>
  <c r="C308" i="25"/>
  <c r="B308" i="25"/>
  <c r="H290" i="25"/>
  <c r="G290" i="25"/>
  <c r="F290" i="25"/>
  <c r="E290" i="25"/>
  <c r="D290" i="25"/>
  <c r="C290" i="25"/>
  <c r="B290" i="25"/>
  <c r="H272" i="25"/>
  <c r="G272" i="25"/>
  <c r="F272" i="25"/>
  <c r="E272" i="25"/>
  <c r="D272" i="25"/>
  <c r="C272" i="25"/>
  <c r="B272" i="25"/>
  <c r="H254" i="25"/>
  <c r="G254" i="25"/>
  <c r="F254" i="25"/>
  <c r="E254" i="25"/>
  <c r="D254" i="25"/>
  <c r="C254" i="25"/>
  <c r="B254" i="25"/>
  <c r="H236" i="25"/>
  <c r="G236" i="25"/>
  <c r="F236" i="25"/>
  <c r="E236" i="25"/>
  <c r="D236" i="25"/>
  <c r="C236" i="25"/>
  <c r="B236" i="25"/>
  <c r="H218" i="25"/>
  <c r="G218" i="25"/>
  <c r="F218" i="25"/>
  <c r="E218" i="25"/>
  <c r="D218" i="25"/>
  <c r="C218" i="25"/>
  <c r="B218" i="25"/>
  <c r="H200" i="25"/>
  <c r="G200" i="25"/>
  <c r="F200" i="25"/>
  <c r="E200" i="25"/>
  <c r="D200" i="25"/>
  <c r="C200" i="25"/>
  <c r="B200" i="25"/>
  <c r="H182" i="25"/>
  <c r="G182" i="25"/>
  <c r="F182" i="25"/>
  <c r="E182" i="25"/>
  <c r="D182" i="25"/>
  <c r="C182" i="25"/>
  <c r="B182" i="25"/>
  <c r="H164" i="25"/>
  <c r="G164" i="25"/>
  <c r="F164" i="25"/>
  <c r="E164" i="25"/>
  <c r="D164" i="25"/>
  <c r="C164" i="25"/>
  <c r="B164" i="25"/>
  <c r="H146" i="25"/>
  <c r="G146" i="25"/>
  <c r="F146" i="25"/>
  <c r="E146" i="25"/>
  <c r="D146" i="25"/>
  <c r="C146" i="25"/>
  <c r="B146" i="25"/>
  <c r="H128" i="25"/>
  <c r="G128" i="25"/>
  <c r="F128" i="25"/>
  <c r="E128" i="25"/>
  <c r="D128" i="25"/>
  <c r="C128" i="25"/>
  <c r="B128" i="25"/>
  <c r="H110" i="25"/>
  <c r="G110" i="25"/>
  <c r="F110" i="25"/>
  <c r="E110" i="25"/>
  <c r="D110" i="25"/>
  <c r="C110" i="25"/>
  <c r="B110" i="25"/>
  <c r="H92" i="25"/>
  <c r="G92" i="25"/>
  <c r="F92" i="25"/>
  <c r="E92" i="25"/>
  <c r="D92" i="25"/>
  <c r="C92" i="25"/>
  <c r="B92" i="25"/>
  <c r="H74" i="25"/>
  <c r="G74" i="25"/>
  <c r="F74" i="25"/>
  <c r="E74" i="25"/>
  <c r="D74" i="25"/>
  <c r="C74" i="25"/>
  <c r="B74" i="25"/>
  <c r="H56" i="25"/>
  <c r="G56" i="25"/>
  <c r="F56" i="25"/>
  <c r="E56" i="25"/>
  <c r="D56" i="25"/>
  <c r="C56" i="25"/>
  <c r="B56" i="25"/>
  <c r="H38" i="25"/>
  <c r="G38" i="25"/>
  <c r="F38" i="25"/>
  <c r="E38" i="25"/>
  <c r="D38" i="25"/>
  <c r="C38" i="25"/>
  <c r="B38" i="25"/>
  <c r="H20" i="25"/>
  <c r="G20" i="25"/>
  <c r="F20" i="25"/>
  <c r="E20" i="25"/>
  <c r="D20" i="25"/>
  <c r="C20" i="25"/>
  <c r="B20" i="25"/>
  <c r="D557" i="24" l="1"/>
  <c r="C557" i="24"/>
  <c r="B557" i="24"/>
  <c r="H542" i="24"/>
  <c r="G542" i="24"/>
  <c r="F542" i="24"/>
  <c r="E542" i="24"/>
  <c r="D542" i="24"/>
  <c r="C542" i="24"/>
  <c r="B542" i="24"/>
  <c r="H527" i="24"/>
  <c r="G527" i="24"/>
  <c r="F527" i="24"/>
  <c r="E527" i="24"/>
  <c r="D527" i="24"/>
  <c r="C527" i="24"/>
  <c r="B527" i="24"/>
  <c r="H512" i="24"/>
  <c r="G512" i="24"/>
  <c r="F512" i="24"/>
  <c r="E512" i="24"/>
  <c r="D512" i="24"/>
  <c r="C512" i="24"/>
  <c r="B512" i="24"/>
  <c r="H497" i="24"/>
  <c r="G497" i="24"/>
  <c r="F497" i="24"/>
  <c r="E497" i="24"/>
  <c r="D497" i="24"/>
  <c r="C497" i="24"/>
  <c r="B497" i="24"/>
  <c r="H482" i="24"/>
  <c r="G482" i="24"/>
  <c r="F482" i="24"/>
  <c r="E482" i="24"/>
  <c r="D482" i="24"/>
  <c r="C482" i="24"/>
  <c r="B482" i="24"/>
  <c r="H467" i="24"/>
  <c r="G467" i="24"/>
  <c r="F467" i="24"/>
  <c r="E467" i="24"/>
  <c r="D467" i="24"/>
  <c r="C467" i="24"/>
  <c r="B467" i="24"/>
  <c r="H452" i="24"/>
  <c r="G452" i="24"/>
  <c r="F452" i="24"/>
  <c r="E452" i="24"/>
  <c r="D452" i="24"/>
  <c r="C452" i="24"/>
  <c r="B452" i="24"/>
  <c r="H437" i="24"/>
  <c r="G437" i="24"/>
  <c r="F437" i="24"/>
  <c r="E437" i="24"/>
  <c r="D437" i="24"/>
  <c r="C437" i="24"/>
  <c r="B437" i="24"/>
  <c r="H422" i="24"/>
  <c r="G422" i="24"/>
  <c r="F422" i="24"/>
  <c r="E422" i="24"/>
  <c r="D422" i="24"/>
  <c r="C422" i="24"/>
  <c r="B422" i="24"/>
  <c r="H407" i="24"/>
  <c r="G407" i="24"/>
  <c r="F407" i="24"/>
  <c r="E407" i="24"/>
  <c r="D407" i="24"/>
  <c r="C407" i="24"/>
  <c r="B407" i="24"/>
  <c r="H392" i="24"/>
  <c r="G392" i="24"/>
  <c r="F392" i="24"/>
  <c r="E392" i="24"/>
  <c r="D392" i="24"/>
  <c r="C392" i="24"/>
  <c r="B392" i="24"/>
  <c r="H377" i="24"/>
  <c r="G377" i="24"/>
  <c r="F377" i="24"/>
  <c r="E377" i="24"/>
  <c r="D377" i="24"/>
  <c r="C377" i="24"/>
  <c r="B377" i="24"/>
  <c r="H362" i="24"/>
  <c r="G362" i="24"/>
  <c r="F362" i="24"/>
  <c r="E362" i="24"/>
  <c r="D362" i="24"/>
  <c r="C362" i="24"/>
  <c r="B362" i="24"/>
  <c r="H347" i="24"/>
  <c r="G347" i="24"/>
  <c r="F347" i="24"/>
  <c r="E347" i="24"/>
  <c r="D347" i="24"/>
  <c r="C347" i="24"/>
  <c r="B347" i="24"/>
  <c r="H332" i="24"/>
  <c r="G332" i="24"/>
  <c r="F332" i="24"/>
  <c r="E332" i="24"/>
  <c r="D332" i="24"/>
  <c r="C332" i="24"/>
  <c r="B332" i="24"/>
  <c r="H317" i="24"/>
  <c r="G317" i="24"/>
  <c r="F317" i="24"/>
  <c r="E317" i="24"/>
  <c r="D317" i="24"/>
  <c r="C317" i="24"/>
  <c r="B317" i="24"/>
  <c r="H302" i="24"/>
  <c r="G302" i="24"/>
  <c r="F302" i="24"/>
  <c r="E302" i="24"/>
  <c r="D302" i="24"/>
  <c r="C302" i="24"/>
  <c r="B302" i="24"/>
  <c r="H287" i="24"/>
  <c r="G287" i="24"/>
  <c r="F287" i="24"/>
  <c r="E287" i="24"/>
  <c r="D287" i="24"/>
  <c r="C287" i="24"/>
  <c r="B287" i="24"/>
  <c r="H272" i="24"/>
  <c r="G272" i="24"/>
  <c r="F272" i="24"/>
  <c r="E272" i="24"/>
  <c r="D272" i="24"/>
  <c r="C272" i="24"/>
  <c r="B272" i="24"/>
  <c r="H257" i="24"/>
  <c r="G257" i="24"/>
  <c r="F257" i="24"/>
  <c r="E257" i="24"/>
  <c r="D257" i="24"/>
  <c r="C257" i="24"/>
  <c r="B257" i="24"/>
  <c r="H242" i="24"/>
  <c r="G242" i="24"/>
  <c r="F242" i="24"/>
  <c r="E242" i="24"/>
  <c r="D242" i="24"/>
  <c r="C242" i="24"/>
  <c r="B242" i="24"/>
  <c r="H227" i="24"/>
  <c r="G227" i="24"/>
  <c r="F227" i="24"/>
  <c r="E227" i="24"/>
  <c r="D227" i="24"/>
  <c r="C227" i="24"/>
  <c r="B227" i="24"/>
  <c r="H212" i="24"/>
  <c r="G212" i="24"/>
  <c r="F212" i="24"/>
  <c r="E212" i="24"/>
  <c r="D212" i="24"/>
  <c r="C212" i="24"/>
  <c r="B212" i="24"/>
  <c r="H197" i="24"/>
  <c r="G197" i="24"/>
  <c r="F197" i="24"/>
  <c r="E197" i="24"/>
  <c r="D197" i="24"/>
  <c r="C197" i="24"/>
  <c r="B197" i="24"/>
  <c r="H182" i="24"/>
  <c r="G182" i="24"/>
  <c r="F182" i="24"/>
  <c r="E182" i="24"/>
  <c r="D182" i="24"/>
  <c r="C182" i="24"/>
  <c r="B182" i="24"/>
  <c r="H167" i="24"/>
  <c r="G167" i="24"/>
  <c r="F167" i="24"/>
  <c r="E167" i="24"/>
  <c r="D167" i="24"/>
  <c r="C167" i="24"/>
  <c r="B167" i="24"/>
  <c r="H152" i="24"/>
  <c r="G152" i="24"/>
  <c r="F152" i="24"/>
  <c r="E152" i="24"/>
  <c r="D152" i="24"/>
  <c r="C152" i="24"/>
  <c r="B152" i="24"/>
  <c r="H137" i="24"/>
  <c r="G137" i="24"/>
  <c r="F137" i="24"/>
  <c r="E137" i="24"/>
  <c r="D137" i="24"/>
  <c r="C137" i="24"/>
  <c r="B137" i="24"/>
  <c r="H122" i="24"/>
  <c r="G122" i="24"/>
  <c r="F122" i="24"/>
  <c r="E122" i="24"/>
  <c r="D122" i="24"/>
  <c r="C122" i="24"/>
  <c r="B122" i="24"/>
  <c r="H107" i="24"/>
  <c r="G107" i="24"/>
  <c r="F107" i="24"/>
  <c r="E107" i="24"/>
  <c r="D107" i="24"/>
  <c r="C107" i="24"/>
  <c r="B107" i="24"/>
  <c r="H92" i="24"/>
  <c r="G92" i="24"/>
  <c r="F92" i="24"/>
  <c r="E92" i="24"/>
  <c r="D92" i="24"/>
  <c r="C92" i="24"/>
  <c r="B92" i="24"/>
  <c r="H77" i="24"/>
  <c r="G77" i="24"/>
  <c r="F77" i="24"/>
  <c r="E77" i="24"/>
  <c r="D77" i="24"/>
  <c r="C77" i="24"/>
  <c r="B77" i="24"/>
  <c r="H62" i="24"/>
  <c r="G62" i="24"/>
  <c r="F62" i="24"/>
  <c r="E62" i="24"/>
  <c r="D62" i="24"/>
  <c r="C62" i="24"/>
  <c r="B62" i="24"/>
  <c r="H47" i="24"/>
  <c r="G47" i="24"/>
  <c r="F47" i="24"/>
  <c r="E47" i="24"/>
  <c r="D47" i="24"/>
  <c r="C47" i="24"/>
  <c r="B47" i="24"/>
  <c r="H32" i="24"/>
  <c r="G32" i="24"/>
  <c r="F32" i="24"/>
  <c r="E32" i="24"/>
  <c r="D32" i="24"/>
  <c r="C32" i="24"/>
  <c r="B32" i="24"/>
  <c r="H17" i="24"/>
  <c r="G17" i="24"/>
  <c r="F17" i="24"/>
  <c r="E17" i="24"/>
  <c r="D17" i="24"/>
  <c r="C17" i="24"/>
  <c r="B17" i="24"/>
  <c r="H143" i="26" l="1"/>
  <c r="G143" i="26"/>
  <c r="F143" i="26"/>
  <c r="E143" i="26"/>
  <c r="D143" i="26"/>
  <c r="C143" i="26"/>
  <c r="B143" i="26"/>
  <c r="H133" i="26"/>
  <c r="G133" i="26"/>
  <c r="F133" i="26"/>
  <c r="E133" i="26"/>
  <c r="D133" i="26"/>
  <c r="C133" i="26"/>
  <c r="B133" i="26"/>
  <c r="H123" i="26"/>
  <c r="G123" i="26"/>
  <c r="F123" i="26"/>
  <c r="E123" i="26"/>
  <c r="D123" i="26"/>
  <c r="C123" i="26"/>
  <c r="B123" i="26"/>
  <c r="H113" i="26"/>
  <c r="G113" i="26"/>
  <c r="F113" i="26"/>
  <c r="E113" i="26"/>
  <c r="D113" i="26"/>
  <c r="C113" i="26"/>
  <c r="B113" i="26"/>
  <c r="H103" i="26"/>
  <c r="G103" i="26"/>
  <c r="F103" i="26"/>
  <c r="E103" i="26"/>
  <c r="D103" i="26"/>
  <c r="C103" i="26"/>
  <c r="B103" i="26"/>
  <c r="H93" i="26"/>
  <c r="G93" i="26"/>
  <c r="F93" i="26"/>
  <c r="E93" i="26"/>
  <c r="D93" i="26"/>
  <c r="C93" i="26"/>
  <c r="B93" i="26"/>
  <c r="H83" i="26"/>
  <c r="G83" i="26"/>
  <c r="F83" i="26"/>
  <c r="E83" i="26"/>
  <c r="D83" i="26"/>
  <c r="C83" i="26"/>
  <c r="B83" i="26"/>
  <c r="H73" i="26"/>
  <c r="G73" i="26"/>
  <c r="F73" i="26"/>
  <c r="E73" i="26"/>
  <c r="D73" i="26"/>
  <c r="C73" i="26"/>
  <c r="B73" i="26"/>
  <c r="H63" i="26"/>
  <c r="G63" i="26"/>
  <c r="F63" i="26"/>
  <c r="E63" i="26"/>
  <c r="D63" i="26"/>
  <c r="C63" i="26"/>
  <c r="B63" i="26"/>
  <c r="H53" i="26"/>
  <c r="G53" i="26"/>
  <c r="F53" i="26"/>
  <c r="E53" i="26"/>
  <c r="D53" i="26"/>
  <c r="C53" i="26"/>
  <c r="B53" i="26"/>
  <c r="H43" i="26"/>
  <c r="G43" i="26"/>
  <c r="F43" i="26"/>
  <c r="E43" i="26"/>
  <c r="D43" i="26"/>
  <c r="C43" i="26"/>
  <c r="B43" i="26"/>
  <c r="H33" i="26"/>
  <c r="G33" i="26"/>
  <c r="F33" i="26"/>
  <c r="E33" i="26"/>
  <c r="D33" i="26"/>
  <c r="C33" i="26"/>
  <c r="B33" i="26"/>
  <c r="H23" i="26"/>
  <c r="G23" i="26"/>
  <c r="F23" i="26"/>
  <c r="E23" i="26"/>
  <c r="D23" i="26"/>
  <c r="C23" i="26"/>
  <c r="B23" i="26"/>
  <c r="H13" i="26"/>
  <c r="G13" i="26"/>
  <c r="F13" i="26"/>
  <c r="E13" i="26"/>
  <c r="D13" i="26"/>
  <c r="C13" i="26"/>
  <c r="B13" i="26"/>
  <c r="N42" i="23" l="1"/>
  <c r="M42" i="23"/>
  <c r="L42" i="23"/>
  <c r="K42" i="23"/>
  <c r="J42" i="23"/>
  <c r="I42" i="23"/>
  <c r="H42" i="23"/>
  <c r="G42" i="23"/>
  <c r="F42" i="23"/>
  <c r="E42" i="23"/>
  <c r="D42" i="23"/>
  <c r="C42" i="23"/>
  <c r="N41" i="23"/>
  <c r="M41" i="23"/>
  <c r="L41" i="23"/>
  <c r="K41" i="23"/>
  <c r="J41" i="23"/>
  <c r="I41" i="23"/>
  <c r="H41" i="23"/>
  <c r="G41" i="23"/>
  <c r="F41" i="23"/>
  <c r="E41" i="23"/>
  <c r="D41" i="23"/>
  <c r="C41" i="23"/>
  <c r="N40" i="23"/>
  <c r="M40" i="23"/>
  <c r="L40" i="23"/>
  <c r="K40" i="23"/>
  <c r="J40" i="23"/>
  <c r="I40" i="23"/>
  <c r="H40" i="23"/>
  <c r="G40" i="23"/>
  <c r="F40" i="23"/>
  <c r="E40" i="23"/>
  <c r="D40" i="23"/>
  <c r="C40" i="23"/>
  <c r="N39" i="23"/>
  <c r="M39" i="23"/>
  <c r="L39" i="23"/>
  <c r="K39" i="23"/>
  <c r="J39" i="23"/>
  <c r="I39" i="23"/>
  <c r="H39" i="23"/>
  <c r="G39" i="23"/>
  <c r="F39" i="23"/>
  <c r="E39" i="23"/>
  <c r="D39" i="23"/>
  <c r="C39" i="23"/>
  <c r="N38" i="23"/>
  <c r="M38" i="23"/>
  <c r="L38" i="23"/>
  <c r="K38" i="23"/>
  <c r="J38" i="23"/>
  <c r="I38" i="23"/>
  <c r="H38" i="23"/>
  <c r="G38" i="23"/>
  <c r="F38" i="23"/>
  <c r="E38" i="23"/>
  <c r="D38" i="23"/>
  <c r="C38" i="23"/>
  <c r="N37" i="23"/>
  <c r="M37" i="23"/>
  <c r="L37" i="23"/>
  <c r="K37" i="23"/>
  <c r="J37" i="23"/>
  <c r="I37" i="23"/>
  <c r="H37" i="23"/>
  <c r="G37" i="23"/>
  <c r="F37" i="23"/>
  <c r="E37" i="23"/>
  <c r="D37" i="23"/>
  <c r="C37" i="23"/>
  <c r="N36" i="23"/>
  <c r="M36" i="23"/>
  <c r="L36" i="23"/>
  <c r="K36" i="23"/>
  <c r="J36" i="23"/>
  <c r="I36" i="23"/>
  <c r="H36" i="23"/>
  <c r="G36" i="23"/>
  <c r="F36" i="23"/>
  <c r="E36" i="23"/>
  <c r="D36" i="23"/>
  <c r="C36" i="23"/>
  <c r="N35" i="23"/>
  <c r="M35" i="23"/>
  <c r="L35" i="23"/>
  <c r="K35" i="23"/>
  <c r="J35" i="23"/>
  <c r="I35" i="23"/>
  <c r="H35" i="23"/>
  <c r="G35" i="23"/>
  <c r="F35" i="23"/>
  <c r="E35" i="23"/>
  <c r="D35" i="23"/>
  <c r="C35" i="23"/>
  <c r="N34" i="23"/>
  <c r="M34" i="23"/>
  <c r="L34" i="23"/>
  <c r="K34" i="23"/>
  <c r="J34" i="23"/>
  <c r="I34" i="23"/>
  <c r="H34" i="23"/>
  <c r="G34" i="23"/>
  <c r="F34" i="23"/>
  <c r="E34" i="23"/>
  <c r="D34" i="23"/>
  <c r="C34" i="23"/>
  <c r="N33" i="23"/>
  <c r="M33" i="23"/>
  <c r="L33" i="23"/>
  <c r="K33" i="23"/>
  <c r="J33" i="23"/>
  <c r="I33" i="23"/>
  <c r="H33" i="23"/>
  <c r="G33" i="23"/>
  <c r="F33" i="23"/>
  <c r="E33" i="23"/>
  <c r="D33" i="23"/>
  <c r="C33" i="23"/>
  <c r="N32" i="23"/>
  <c r="M32" i="23"/>
  <c r="L32" i="23"/>
  <c r="K32" i="23"/>
  <c r="J32" i="23"/>
  <c r="I32" i="23"/>
  <c r="H32" i="23"/>
  <c r="G32" i="23"/>
  <c r="F32" i="23"/>
  <c r="E32" i="23"/>
  <c r="D32" i="23"/>
  <c r="C32" i="23"/>
  <c r="N31" i="23"/>
  <c r="M31" i="23"/>
  <c r="L31" i="23"/>
  <c r="K31" i="23"/>
  <c r="J31" i="23"/>
  <c r="I31" i="23"/>
  <c r="H31" i="23"/>
  <c r="G31" i="23"/>
  <c r="F31" i="23"/>
  <c r="E31" i="23"/>
  <c r="D31" i="23"/>
  <c r="C31" i="23"/>
  <c r="N30" i="23"/>
  <c r="M30" i="23"/>
  <c r="L30" i="23"/>
  <c r="K30" i="23"/>
  <c r="J30" i="23"/>
  <c r="I30" i="23"/>
  <c r="H30" i="23"/>
  <c r="G30" i="23"/>
  <c r="F30" i="23"/>
  <c r="E30" i="23"/>
  <c r="D30" i="23"/>
  <c r="C30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N28" i="23"/>
  <c r="M28" i="23"/>
  <c r="L28" i="23"/>
  <c r="K28" i="23"/>
  <c r="J28" i="23"/>
  <c r="I28" i="23"/>
  <c r="H28" i="23"/>
  <c r="G28" i="23"/>
  <c r="F28" i="23"/>
  <c r="E28" i="23"/>
  <c r="D28" i="23"/>
  <c r="C28" i="23"/>
  <c r="N27" i="23"/>
  <c r="M27" i="23"/>
  <c r="L27" i="23"/>
  <c r="K27" i="23"/>
  <c r="J27" i="23"/>
  <c r="I27" i="23"/>
  <c r="H27" i="23"/>
  <c r="G27" i="23"/>
  <c r="F27" i="23"/>
  <c r="E27" i="23"/>
  <c r="D27" i="23"/>
  <c r="C27" i="23"/>
  <c r="N26" i="23"/>
  <c r="M26" i="23"/>
  <c r="L26" i="23"/>
  <c r="K26" i="23"/>
  <c r="J26" i="23"/>
  <c r="I26" i="23"/>
  <c r="H26" i="23"/>
  <c r="G26" i="23"/>
  <c r="F26" i="23"/>
  <c r="E26" i="23"/>
  <c r="D26" i="23"/>
  <c r="C26" i="23"/>
  <c r="N25" i="23"/>
  <c r="M25" i="23"/>
  <c r="L25" i="23"/>
  <c r="K25" i="23"/>
  <c r="J25" i="23"/>
  <c r="I25" i="23"/>
  <c r="H25" i="23"/>
  <c r="G25" i="23"/>
  <c r="F25" i="23"/>
  <c r="E25" i="23"/>
  <c r="D25" i="23"/>
  <c r="C25" i="23"/>
  <c r="N24" i="23"/>
  <c r="M24" i="23"/>
  <c r="L24" i="23"/>
  <c r="K24" i="23"/>
  <c r="J24" i="23"/>
  <c r="I24" i="23"/>
  <c r="H24" i="23"/>
  <c r="G24" i="23"/>
  <c r="F24" i="23"/>
  <c r="E24" i="23"/>
  <c r="D24" i="23"/>
  <c r="C24" i="23"/>
  <c r="N23" i="23"/>
  <c r="M23" i="23"/>
  <c r="L23" i="23"/>
  <c r="K23" i="23"/>
  <c r="J23" i="23"/>
  <c r="I23" i="23"/>
  <c r="H23" i="23"/>
  <c r="G23" i="23"/>
  <c r="F23" i="23"/>
  <c r="E23" i="23"/>
  <c r="D23" i="23"/>
  <c r="C23" i="23"/>
  <c r="N22" i="23"/>
  <c r="M22" i="23"/>
  <c r="L22" i="23"/>
  <c r="K22" i="23"/>
  <c r="J22" i="23"/>
  <c r="I22" i="23"/>
  <c r="H22" i="23"/>
  <c r="G22" i="23"/>
  <c r="F22" i="23"/>
  <c r="E22" i="23"/>
  <c r="D22" i="23"/>
  <c r="C22" i="23"/>
  <c r="N21" i="23"/>
  <c r="M21" i="23"/>
  <c r="L21" i="23"/>
  <c r="K21" i="23"/>
  <c r="J21" i="23"/>
  <c r="I21" i="23"/>
  <c r="H21" i="23"/>
  <c r="G21" i="23"/>
  <c r="F21" i="23"/>
  <c r="E21" i="23"/>
  <c r="D21" i="23"/>
  <c r="C21" i="23"/>
  <c r="N20" i="23"/>
  <c r="M20" i="23"/>
  <c r="L20" i="23"/>
  <c r="K20" i="23"/>
  <c r="J20" i="23"/>
  <c r="I20" i="23"/>
  <c r="H20" i="23"/>
  <c r="G20" i="23"/>
  <c r="F20" i="23"/>
  <c r="E20" i="23"/>
  <c r="D20" i="23"/>
  <c r="C20" i="23"/>
  <c r="N19" i="23"/>
  <c r="M19" i="23"/>
  <c r="L19" i="23"/>
  <c r="K19" i="23"/>
  <c r="J19" i="23"/>
  <c r="I19" i="23"/>
  <c r="H19" i="23"/>
  <c r="G19" i="23"/>
  <c r="F19" i="23"/>
  <c r="E19" i="23"/>
  <c r="D19" i="23"/>
  <c r="C19" i="23"/>
  <c r="N18" i="23"/>
  <c r="M18" i="23"/>
  <c r="L18" i="23"/>
  <c r="K18" i="23"/>
  <c r="J18" i="23"/>
  <c r="I18" i="23"/>
  <c r="H18" i="23"/>
  <c r="G18" i="23"/>
  <c r="F18" i="23"/>
  <c r="E18" i="23"/>
  <c r="D18" i="23"/>
  <c r="C18" i="23"/>
  <c r="N17" i="23"/>
  <c r="M17" i="23"/>
  <c r="L17" i="23"/>
  <c r="K17" i="23"/>
  <c r="J17" i="23"/>
  <c r="I17" i="23"/>
  <c r="H17" i="23"/>
  <c r="G17" i="23"/>
  <c r="F17" i="23"/>
  <c r="E17" i="23"/>
  <c r="D17" i="23"/>
  <c r="C17" i="23"/>
  <c r="N16" i="23"/>
  <c r="M16" i="23"/>
  <c r="L16" i="23"/>
  <c r="K16" i="23"/>
  <c r="J16" i="23"/>
  <c r="I16" i="23"/>
  <c r="H16" i="23"/>
  <c r="G16" i="23"/>
  <c r="F16" i="23"/>
  <c r="E16" i="23"/>
  <c r="D16" i="23"/>
  <c r="C16" i="23"/>
  <c r="N15" i="23"/>
  <c r="M15" i="23"/>
  <c r="L15" i="23"/>
  <c r="K15" i="23"/>
  <c r="J15" i="23"/>
  <c r="I15" i="23"/>
  <c r="H15" i="23"/>
  <c r="G15" i="23"/>
  <c r="F15" i="23"/>
  <c r="E15" i="23"/>
  <c r="D15" i="23"/>
  <c r="C15" i="23"/>
  <c r="N14" i="23"/>
  <c r="M14" i="23"/>
  <c r="L14" i="23"/>
  <c r="K14" i="23"/>
  <c r="J14" i="23"/>
  <c r="I14" i="23"/>
  <c r="H14" i="23"/>
  <c r="G14" i="23"/>
  <c r="F14" i="23"/>
  <c r="E14" i="23"/>
  <c r="D14" i="23"/>
  <c r="C14" i="23"/>
  <c r="N13" i="23"/>
  <c r="M13" i="23"/>
  <c r="L13" i="23"/>
  <c r="K13" i="23"/>
  <c r="J13" i="23"/>
  <c r="I13" i="23"/>
  <c r="H13" i="23"/>
  <c r="G13" i="23"/>
  <c r="F13" i="23"/>
  <c r="E13" i="23"/>
  <c r="D13" i="23"/>
  <c r="C13" i="23"/>
  <c r="N12" i="23"/>
  <c r="M12" i="23"/>
  <c r="L12" i="23"/>
  <c r="K12" i="23"/>
  <c r="J12" i="23"/>
  <c r="I12" i="23"/>
  <c r="H12" i="23"/>
  <c r="G12" i="23"/>
  <c r="F12" i="23"/>
  <c r="E12" i="23"/>
  <c r="D12" i="23"/>
  <c r="C12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N10" i="23"/>
  <c r="M10" i="23"/>
  <c r="L10" i="23"/>
  <c r="K10" i="23"/>
  <c r="J10" i="23"/>
  <c r="I10" i="23"/>
  <c r="H10" i="23"/>
  <c r="G10" i="23"/>
  <c r="F10" i="23"/>
  <c r="E10" i="23"/>
  <c r="D10" i="23"/>
  <c r="C10" i="23"/>
  <c r="N9" i="23"/>
  <c r="M9" i="23"/>
  <c r="L9" i="23"/>
  <c r="K9" i="23"/>
  <c r="J9" i="23"/>
  <c r="I9" i="23"/>
  <c r="H9" i="23"/>
  <c r="G9" i="23"/>
  <c r="F9" i="23"/>
  <c r="E9" i="23"/>
  <c r="D9" i="23"/>
  <c r="C9" i="23"/>
  <c r="N8" i="23"/>
  <c r="M8" i="23"/>
  <c r="L8" i="23"/>
  <c r="K8" i="23"/>
  <c r="J8" i="23"/>
  <c r="I8" i="23"/>
  <c r="H8" i="23"/>
  <c r="G8" i="23"/>
  <c r="F8" i="23"/>
  <c r="E8" i="23"/>
  <c r="D8" i="23"/>
  <c r="C8" i="23"/>
  <c r="N7" i="23"/>
  <c r="M7" i="23"/>
  <c r="L7" i="23"/>
  <c r="K7" i="23"/>
  <c r="J7" i="23"/>
  <c r="I7" i="23"/>
  <c r="H7" i="23"/>
  <c r="G7" i="23"/>
  <c r="F7" i="23"/>
  <c r="E7" i="23"/>
  <c r="D7" i="23"/>
  <c r="C7" i="23"/>
  <c r="N6" i="23"/>
  <c r="M6" i="23"/>
  <c r="L6" i="23"/>
  <c r="K6" i="23"/>
  <c r="J6" i="23"/>
  <c r="I6" i="23"/>
  <c r="H6" i="23"/>
  <c r="G6" i="23"/>
  <c r="F6" i="23"/>
  <c r="E6" i="23"/>
  <c r="D6" i="23"/>
  <c r="C6" i="23"/>
  <c r="N5" i="23"/>
  <c r="M5" i="23"/>
  <c r="L5" i="23"/>
  <c r="K5" i="23"/>
  <c r="J5" i="23"/>
  <c r="I5" i="23"/>
  <c r="H5" i="23"/>
  <c r="G5" i="23"/>
  <c r="F5" i="23"/>
  <c r="E5" i="23"/>
  <c r="D5" i="23"/>
  <c r="C5" i="23"/>
  <c r="N4" i="23"/>
  <c r="M4" i="23"/>
  <c r="L4" i="23"/>
  <c r="K4" i="23"/>
  <c r="J4" i="23"/>
  <c r="I4" i="23"/>
  <c r="H4" i="23"/>
  <c r="G4" i="23"/>
  <c r="F4" i="23"/>
  <c r="E4" i="23"/>
  <c r="D4" i="23"/>
  <c r="C4" i="23"/>
  <c r="N39" i="22"/>
  <c r="M39" i="22"/>
  <c r="L39" i="22"/>
  <c r="K39" i="22"/>
  <c r="J39" i="22"/>
  <c r="I39" i="22"/>
  <c r="H39" i="22"/>
  <c r="G39" i="22"/>
  <c r="F39" i="22"/>
  <c r="E39" i="22"/>
  <c r="D39" i="22"/>
  <c r="C39" i="22"/>
  <c r="N38" i="22"/>
  <c r="M38" i="22"/>
  <c r="L38" i="22"/>
  <c r="K38" i="22"/>
  <c r="J38" i="22"/>
  <c r="I38" i="22"/>
  <c r="H38" i="22"/>
  <c r="G38" i="22"/>
  <c r="F38" i="22"/>
  <c r="E38" i="22"/>
  <c r="D38" i="22"/>
  <c r="C38" i="22"/>
  <c r="N37" i="22"/>
  <c r="M37" i="22"/>
  <c r="L37" i="22"/>
  <c r="K37" i="22"/>
  <c r="J37" i="22"/>
  <c r="I37" i="22"/>
  <c r="H37" i="22"/>
  <c r="G37" i="22"/>
  <c r="F37" i="22"/>
  <c r="E37" i="22"/>
  <c r="D37" i="22"/>
  <c r="C37" i="22"/>
  <c r="N36" i="22"/>
  <c r="M36" i="22"/>
  <c r="L36" i="22"/>
  <c r="K36" i="22"/>
  <c r="J36" i="22"/>
  <c r="I36" i="22"/>
  <c r="H36" i="22"/>
  <c r="G36" i="22"/>
  <c r="F36" i="22"/>
  <c r="E36" i="22"/>
  <c r="D36" i="22"/>
  <c r="C36" i="22"/>
  <c r="N35" i="22"/>
  <c r="M35" i="22"/>
  <c r="L35" i="22"/>
  <c r="K35" i="22"/>
  <c r="J35" i="22"/>
  <c r="I35" i="22"/>
  <c r="H35" i="22"/>
  <c r="G35" i="22"/>
  <c r="F35" i="22"/>
  <c r="E35" i="22"/>
  <c r="D35" i="22"/>
  <c r="C35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N31" i="22"/>
  <c r="M31" i="22"/>
  <c r="L31" i="22"/>
  <c r="K31" i="22"/>
  <c r="J31" i="22"/>
  <c r="I31" i="22"/>
  <c r="H31" i="22"/>
  <c r="G31" i="22"/>
  <c r="F31" i="22"/>
  <c r="E31" i="22"/>
  <c r="D31" i="22"/>
  <c r="C31" i="22"/>
  <c r="N30" i="22"/>
  <c r="M30" i="22"/>
  <c r="L30" i="22"/>
  <c r="K30" i="22"/>
  <c r="J30" i="22"/>
  <c r="I30" i="22"/>
  <c r="H30" i="22"/>
  <c r="G30" i="22"/>
  <c r="F30" i="22"/>
  <c r="E30" i="22"/>
  <c r="D30" i="22"/>
  <c r="C30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N28" i="22"/>
  <c r="M28" i="22"/>
  <c r="L28" i="22"/>
  <c r="K28" i="22"/>
  <c r="J28" i="22"/>
  <c r="I28" i="22"/>
  <c r="H28" i="22"/>
  <c r="G28" i="22"/>
  <c r="F28" i="22"/>
  <c r="E28" i="22"/>
  <c r="D28" i="22"/>
  <c r="C28" i="22"/>
  <c r="N27" i="22"/>
  <c r="M27" i="22"/>
  <c r="L27" i="22"/>
  <c r="K27" i="22"/>
  <c r="J27" i="22"/>
  <c r="I27" i="22"/>
  <c r="H27" i="22"/>
  <c r="G27" i="22"/>
  <c r="F27" i="22"/>
  <c r="E27" i="22"/>
  <c r="D27" i="22"/>
  <c r="C27" i="22"/>
  <c r="N26" i="22"/>
  <c r="M26" i="22"/>
  <c r="L26" i="22"/>
  <c r="K26" i="22"/>
  <c r="J26" i="22"/>
  <c r="I26" i="22"/>
  <c r="H26" i="22"/>
  <c r="G26" i="22"/>
  <c r="F26" i="22"/>
  <c r="E26" i="22"/>
  <c r="D26" i="22"/>
  <c r="C26" i="22"/>
  <c r="N25" i="22"/>
  <c r="M25" i="22"/>
  <c r="L25" i="22"/>
  <c r="K25" i="22"/>
  <c r="J25" i="22"/>
  <c r="I25" i="22"/>
  <c r="H25" i="22"/>
  <c r="G25" i="22"/>
  <c r="F25" i="22"/>
  <c r="E25" i="22"/>
  <c r="D25" i="22"/>
  <c r="C25" i="22"/>
  <c r="N24" i="22"/>
  <c r="M24" i="22"/>
  <c r="L24" i="22"/>
  <c r="K24" i="22"/>
  <c r="J24" i="22"/>
  <c r="I24" i="22"/>
  <c r="H24" i="22"/>
  <c r="G24" i="22"/>
  <c r="F24" i="22"/>
  <c r="E24" i="22"/>
  <c r="D24" i="22"/>
  <c r="C24" i="22"/>
  <c r="N23" i="22"/>
  <c r="M23" i="22"/>
  <c r="L23" i="22"/>
  <c r="K23" i="22"/>
  <c r="J23" i="22"/>
  <c r="I23" i="22"/>
  <c r="H23" i="22"/>
  <c r="G23" i="22"/>
  <c r="F23" i="22"/>
  <c r="E23" i="22"/>
  <c r="D23" i="22"/>
  <c r="C23" i="22"/>
  <c r="N22" i="22"/>
  <c r="M22" i="22"/>
  <c r="L22" i="22"/>
  <c r="K22" i="22"/>
  <c r="J22" i="22"/>
  <c r="I22" i="22"/>
  <c r="H22" i="22"/>
  <c r="G22" i="22"/>
  <c r="F22" i="22"/>
  <c r="E22" i="22"/>
  <c r="D22" i="22"/>
  <c r="C22" i="22"/>
  <c r="N21" i="22"/>
  <c r="M21" i="22"/>
  <c r="L21" i="22"/>
  <c r="K21" i="22"/>
  <c r="J21" i="22"/>
  <c r="I21" i="22"/>
  <c r="H21" i="22"/>
  <c r="G21" i="22"/>
  <c r="F21" i="22"/>
  <c r="E21" i="22"/>
  <c r="D21" i="22"/>
  <c r="C21" i="22"/>
  <c r="N20" i="22"/>
  <c r="M20" i="22"/>
  <c r="L20" i="22"/>
  <c r="K20" i="22"/>
  <c r="J20" i="22"/>
  <c r="I20" i="22"/>
  <c r="H20" i="22"/>
  <c r="G20" i="22"/>
  <c r="F20" i="22"/>
  <c r="E20" i="22"/>
  <c r="D20" i="22"/>
  <c r="C20" i="22"/>
  <c r="N19" i="22"/>
  <c r="M19" i="22"/>
  <c r="L19" i="22"/>
  <c r="K19" i="22"/>
  <c r="J19" i="22"/>
  <c r="I19" i="22"/>
  <c r="H19" i="22"/>
  <c r="G19" i="22"/>
  <c r="F19" i="22"/>
  <c r="E19" i="22"/>
  <c r="D19" i="22"/>
  <c r="C19" i="22"/>
  <c r="N18" i="22"/>
  <c r="M18" i="22"/>
  <c r="L18" i="22"/>
  <c r="K18" i="22"/>
  <c r="J18" i="22"/>
  <c r="I18" i="22"/>
  <c r="H18" i="22"/>
  <c r="G18" i="22"/>
  <c r="F18" i="22"/>
  <c r="E18" i="22"/>
  <c r="D18" i="22"/>
  <c r="C18" i="22"/>
  <c r="N17" i="22"/>
  <c r="M17" i="22"/>
  <c r="L17" i="22"/>
  <c r="K17" i="22"/>
  <c r="J17" i="22"/>
  <c r="I17" i="22"/>
  <c r="H17" i="22"/>
  <c r="G17" i="22"/>
  <c r="F17" i="22"/>
  <c r="E17" i="22"/>
  <c r="D17" i="22"/>
  <c r="C17" i="22"/>
  <c r="N16" i="22"/>
  <c r="M16" i="22"/>
  <c r="L16" i="22"/>
  <c r="K16" i="22"/>
  <c r="J16" i="22"/>
  <c r="I16" i="22"/>
  <c r="H16" i="22"/>
  <c r="G16" i="22"/>
  <c r="F16" i="22"/>
  <c r="E16" i="22"/>
  <c r="D16" i="22"/>
  <c r="C16" i="22"/>
  <c r="N15" i="22"/>
  <c r="M15" i="22"/>
  <c r="L15" i="22"/>
  <c r="K15" i="22"/>
  <c r="J15" i="22"/>
  <c r="I15" i="22"/>
  <c r="H15" i="22"/>
  <c r="G15" i="22"/>
  <c r="F15" i="22"/>
  <c r="E15" i="22"/>
  <c r="D15" i="22"/>
  <c r="C15" i="22"/>
  <c r="N14" i="22"/>
  <c r="M14" i="22"/>
  <c r="L14" i="22"/>
  <c r="K14" i="22"/>
  <c r="J14" i="22"/>
  <c r="I14" i="22"/>
  <c r="H14" i="22"/>
  <c r="G14" i="22"/>
  <c r="F14" i="22"/>
  <c r="E14" i="22"/>
  <c r="D14" i="22"/>
  <c r="C14" i="22"/>
  <c r="N13" i="22"/>
  <c r="M13" i="22"/>
  <c r="L13" i="22"/>
  <c r="K13" i="22"/>
  <c r="J13" i="22"/>
  <c r="I13" i="22"/>
  <c r="H13" i="22"/>
  <c r="G13" i="22"/>
  <c r="F13" i="22"/>
  <c r="E13" i="22"/>
  <c r="D13" i="22"/>
  <c r="C13" i="22"/>
  <c r="N12" i="22"/>
  <c r="M12" i="22"/>
  <c r="L12" i="22"/>
  <c r="K12" i="22"/>
  <c r="J12" i="22"/>
  <c r="I12" i="22"/>
  <c r="H12" i="22"/>
  <c r="G12" i="22"/>
  <c r="F12" i="22"/>
  <c r="E12" i="22"/>
  <c r="D12" i="22"/>
  <c r="C12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N10" i="22"/>
  <c r="M10" i="22"/>
  <c r="L10" i="22"/>
  <c r="K10" i="22"/>
  <c r="J10" i="22"/>
  <c r="I10" i="22"/>
  <c r="H10" i="22"/>
  <c r="G10" i="22"/>
  <c r="F10" i="22"/>
  <c r="E10" i="22"/>
  <c r="D10" i="22"/>
  <c r="C10" i="22"/>
  <c r="N9" i="22"/>
  <c r="M9" i="22"/>
  <c r="L9" i="22"/>
  <c r="K9" i="22"/>
  <c r="J9" i="22"/>
  <c r="I9" i="22"/>
  <c r="H9" i="22"/>
  <c r="G9" i="22"/>
  <c r="F9" i="22"/>
  <c r="E9" i="22"/>
  <c r="D9" i="22"/>
  <c r="C9" i="22"/>
  <c r="N8" i="22"/>
  <c r="M8" i="22"/>
  <c r="L8" i="22"/>
  <c r="K8" i="22"/>
  <c r="J8" i="22"/>
  <c r="I8" i="22"/>
  <c r="H8" i="22"/>
  <c r="G8" i="22"/>
  <c r="F8" i="22"/>
  <c r="E8" i="22"/>
  <c r="D8" i="22"/>
  <c r="C8" i="22"/>
  <c r="N7" i="22"/>
  <c r="M7" i="22"/>
  <c r="L7" i="22"/>
  <c r="K7" i="22"/>
  <c r="J7" i="22"/>
  <c r="I7" i="22"/>
  <c r="H7" i="22"/>
  <c r="G7" i="22"/>
  <c r="F7" i="22"/>
  <c r="E7" i="22"/>
  <c r="D7" i="22"/>
  <c r="C7" i="22"/>
  <c r="N6" i="22"/>
  <c r="M6" i="22"/>
  <c r="L6" i="22"/>
  <c r="K6" i="22"/>
  <c r="J6" i="22"/>
  <c r="I6" i="22"/>
  <c r="H6" i="22"/>
  <c r="G6" i="22"/>
  <c r="F6" i="22"/>
  <c r="E6" i="22"/>
  <c r="D6" i="22"/>
  <c r="C6" i="22"/>
  <c r="N5" i="22"/>
  <c r="M5" i="22"/>
  <c r="L5" i="22"/>
  <c r="K5" i="22"/>
  <c r="J5" i="22"/>
  <c r="I5" i="22"/>
  <c r="H5" i="22"/>
  <c r="G5" i="22"/>
  <c r="F5" i="22"/>
  <c r="E5" i="22"/>
  <c r="D5" i="22"/>
  <c r="C5" i="22"/>
  <c r="O7" i="23" l="1"/>
  <c r="O9" i="23"/>
  <c r="O15" i="23"/>
  <c r="O17" i="23"/>
  <c r="O21" i="23"/>
  <c r="O23" i="23"/>
  <c r="O25" i="23"/>
  <c r="O8" i="23"/>
  <c r="O10" i="23"/>
  <c r="O12" i="23"/>
  <c r="O16" i="23"/>
  <c r="O18" i="23"/>
  <c r="O20" i="23"/>
  <c r="O24" i="23"/>
  <c r="O26" i="23"/>
  <c r="O28" i="23"/>
  <c r="O32" i="23"/>
  <c r="O34" i="23"/>
  <c r="O36" i="23"/>
  <c r="O40" i="23"/>
  <c r="O42" i="23"/>
  <c r="O29" i="23"/>
  <c r="O31" i="23"/>
  <c r="O33" i="23"/>
  <c r="O37" i="23"/>
  <c r="O39" i="23"/>
  <c r="O41" i="23"/>
  <c r="O11" i="23"/>
  <c r="O19" i="23"/>
  <c r="O27" i="23"/>
  <c r="O35" i="23"/>
  <c r="O13" i="23"/>
  <c r="O5" i="23"/>
  <c r="O6" i="23"/>
  <c r="O14" i="23"/>
  <c r="O22" i="23"/>
  <c r="O30" i="23"/>
  <c r="O38" i="23"/>
  <c r="O4" i="23"/>
  <c r="N40" i="22"/>
  <c r="N41" i="22" s="1"/>
  <c r="M40" i="22"/>
  <c r="M41" i="22" s="1"/>
  <c r="L40" i="22"/>
  <c r="L41" i="22" s="1"/>
  <c r="K40" i="22"/>
  <c r="K41" i="22" s="1"/>
  <c r="J40" i="22"/>
  <c r="J41" i="22" s="1"/>
  <c r="I40" i="22"/>
  <c r="I41" i="22" s="1"/>
  <c r="H40" i="22"/>
  <c r="H41" i="22" s="1"/>
  <c r="G40" i="22"/>
  <c r="G41" i="22" s="1"/>
  <c r="F40" i="22"/>
  <c r="F41" i="22" s="1"/>
  <c r="E40" i="22"/>
  <c r="E41" i="22" s="1"/>
  <c r="D40" i="22"/>
  <c r="D41" i="22" s="1"/>
  <c r="C40" i="22"/>
  <c r="C41" i="22" s="1"/>
  <c r="N4" i="22"/>
  <c r="M4" i="22"/>
  <c r="L4" i="22"/>
  <c r="K4" i="22"/>
  <c r="J4" i="22"/>
  <c r="I4" i="22"/>
  <c r="H4" i="22"/>
  <c r="G4" i="22"/>
  <c r="F4" i="22"/>
  <c r="E4" i="22"/>
  <c r="D4" i="22"/>
  <c r="C4" i="22"/>
  <c r="C25" i="21"/>
  <c r="C24" i="21"/>
  <c r="C23" i="21"/>
  <c r="C22" i="21"/>
  <c r="C21" i="21"/>
  <c r="C19" i="21"/>
  <c r="C18" i="21"/>
  <c r="C17" i="21"/>
  <c r="C16" i="21"/>
  <c r="C15" i="21"/>
  <c r="C14" i="21"/>
  <c r="C13" i="21"/>
  <c r="C12" i="21"/>
  <c r="C11" i="21"/>
  <c r="C10" i="21"/>
  <c r="C9" i="21"/>
  <c r="C8" i="21"/>
  <c r="C7" i="21"/>
  <c r="C6" i="21"/>
  <c r="C5" i="21"/>
  <c r="O40" i="22" l="1"/>
  <c r="O10" i="22"/>
  <c r="O18" i="22"/>
  <c r="O26" i="22"/>
  <c r="O34" i="22"/>
  <c r="O7" i="22"/>
  <c r="O9" i="22"/>
  <c r="O11" i="22"/>
  <c r="O15" i="22"/>
  <c r="O17" i="22"/>
  <c r="O19" i="22"/>
  <c r="O23" i="22"/>
  <c r="O25" i="22"/>
  <c r="O27" i="22"/>
  <c r="O31" i="22"/>
  <c r="O33" i="22"/>
  <c r="O35" i="22"/>
  <c r="O39" i="22"/>
  <c r="O13" i="22"/>
  <c r="O21" i="22"/>
  <c r="O29" i="22"/>
  <c r="O37" i="22"/>
  <c r="O5" i="22"/>
  <c r="O6" i="22"/>
  <c r="O8" i="22"/>
  <c r="O12" i="22"/>
  <c r="O14" i="22"/>
  <c r="O16" i="22"/>
  <c r="O20" i="22"/>
  <c r="O22" i="22"/>
  <c r="O24" i="22"/>
  <c r="O28" i="22"/>
  <c r="O30" i="22"/>
  <c r="O32" i="22"/>
  <c r="O36" i="22"/>
  <c r="O38" i="22"/>
  <c r="O4" i="22"/>
  <c r="C20" i="21"/>
  <c r="C4" i="21"/>
  <c r="O41" i="22" l="1"/>
  <c r="O20" i="21"/>
  <c r="O22" i="21"/>
  <c r="O5" i="21"/>
  <c r="O7" i="21"/>
  <c r="O9" i="21"/>
  <c r="O11" i="21"/>
  <c r="O15" i="21"/>
  <c r="O17" i="21"/>
  <c r="O19" i="21"/>
  <c r="O21" i="21"/>
  <c r="O23" i="21"/>
  <c r="O25" i="21"/>
  <c r="O13" i="21"/>
  <c r="O6" i="21"/>
  <c r="O8" i="21"/>
  <c r="O10" i="21"/>
  <c r="O12" i="21"/>
  <c r="O14" i="21"/>
  <c r="O16" i="21"/>
  <c r="O18" i="21"/>
  <c r="O24" i="21"/>
  <c r="O4" i="21"/>
  <c r="B19" i="5"/>
  <c r="B23" i="5" s="1"/>
  <c r="B32" i="5"/>
  <c r="B29" i="5"/>
  <c r="B28" i="5"/>
  <c r="B27" i="5"/>
  <c r="B17" i="5"/>
  <c r="B16" i="5"/>
  <c r="B15" i="5"/>
  <c r="B14" i="5"/>
  <c r="B11" i="5"/>
  <c r="B10" i="5"/>
  <c r="B9" i="5"/>
  <c r="B22" i="5" l="1"/>
  <c r="B20" i="5"/>
  <c r="B21" i="5"/>
  <c r="A5" i="3" l="1"/>
</calcChain>
</file>

<file path=xl/sharedStrings.xml><?xml version="1.0" encoding="utf-8"?>
<sst xmlns="http://schemas.openxmlformats.org/spreadsheetml/2006/main" count="20041" uniqueCount="1363">
  <si>
    <t>Nature des produits</t>
  </si>
  <si>
    <t>Destination du produit</t>
  </si>
  <si>
    <t>Observations</t>
  </si>
  <si>
    <t xml:space="preserve">Jours </t>
  </si>
  <si>
    <t>Conditionnement</t>
  </si>
  <si>
    <t>Desserts</t>
  </si>
  <si>
    <t>Légume deux</t>
  </si>
  <si>
    <t>Légumes</t>
  </si>
  <si>
    <t>Viandes</t>
  </si>
  <si>
    <t>Période concernée</t>
  </si>
  <si>
    <t>Menus midi retraite</t>
  </si>
  <si>
    <t>Armistice du 11 novembre 1918</t>
  </si>
  <si>
    <t>Dimanche midi</t>
  </si>
  <si>
    <t>1 bocal ou 1 boîte pour 1 repas</t>
  </si>
  <si>
    <t>Ananas</t>
  </si>
  <si>
    <t>Asperges</t>
  </si>
  <si>
    <t>Cassoulet</t>
  </si>
  <si>
    <t>Bifteck haché de bœuf</t>
  </si>
  <si>
    <t>Menus journaliers</t>
  </si>
  <si>
    <t>Ascension</t>
  </si>
  <si>
    <t>Dimanche midi et soir</t>
  </si>
  <si>
    <t>1 boîte de six œufs. 3 œufs pour 1 repas</t>
  </si>
  <si>
    <t>Autres fruits</t>
  </si>
  <si>
    <t>Choucroute</t>
  </si>
  <si>
    <t>Bifteck haché de cheval</t>
  </si>
  <si>
    <t>Menus viandes week-end</t>
  </si>
  <si>
    <t>Assomption</t>
  </si>
  <si>
    <t>Dimanche soir</t>
  </si>
  <si>
    <t>1 boîte ou 1 pot pour 1 repas</t>
  </si>
  <si>
    <t>Avocats</t>
  </si>
  <si>
    <t>Chou-fleur</t>
  </si>
  <si>
    <t>Bifteck haché de veau</t>
  </si>
  <si>
    <t>Fête du travail</t>
  </si>
  <si>
    <t>Lundi à dimanche soirs</t>
  </si>
  <si>
    <t>1 boîte pour 1 repas</t>
  </si>
  <si>
    <t>Bananes</t>
  </si>
  <si>
    <t>Choux de Bruxelles</t>
  </si>
  <si>
    <t>Bouchée à la reine</t>
  </si>
  <si>
    <t>Fête nationale</t>
  </si>
  <si>
    <t>Lundi à vendredi midis</t>
  </si>
  <si>
    <t>1 boîte pour 2 repas</t>
  </si>
  <si>
    <t>Clémentines</t>
  </si>
  <si>
    <t>Couscous</t>
  </si>
  <si>
    <t>Boudin</t>
  </si>
  <si>
    <t>Jour de l'an</t>
  </si>
  <si>
    <t>lundi à vendredi soirs</t>
  </si>
  <si>
    <t>1 botte ou 1 sachet pour 1 repas</t>
  </si>
  <si>
    <t>Crème</t>
  </si>
  <si>
    <t>Endives</t>
  </si>
  <si>
    <t>Cervelas</t>
  </si>
  <si>
    <t>Lundi de Pâques</t>
  </si>
  <si>
    <t>Lundi et mardi soirs</t>
  </si>
  <si>
    <t>Dattes</t>
  </si>
  <si>
    <t>Haricots verts</t>
  </si>
  <si>
    <t>Cœur</t>
  </si>
  <si>
    <t>Lundi de Pentecôte</t>
  </si>
  <si>
    <t>Mercredi et jeudi soirs</t>
  </si>
  <si>
    <t>1 morceau de 400 grammes (Leclerc) pour 3 repas</t>
  </si>
  <si>
    <t>Figues</t>
  </si>
  <si>
    <t>Maïs</t>
  </si>
  <si>
    <t>Croque-monsieur</t>
  </si>
  <si>
    <t>Noël</t>
  </si>
  <si>
    <t>Samedi et dimanche midis</t>
  </si>
  <si>
    <t>1 morceau de 500 grammes pour 5 repas</t>
  </si>
  <si>
    <t>Fromage blanc</t>
  </si>
  <si>
    <t>Paella</t>
  </si>
  <si>
    <t>Foie</t>
  </si>
  <si>
    <t>Pâques</t>
  </si>
  <si>
    <t>Samedi et dimanche midis et soirs</t>
  </si>
  <si>
    <t>1 pack de 4 pots pour le week-end. 1 pot pour 1 repas</t>
  </si>
  <si>
    <t>Fruits au sirop</t>
  </si>
  <si>
    <t>Poireau</t>
  </si>
  <si>
    <t>Fromage de tête</t>
  </si>
  <si>
    <t>Pentecôte</t>
  </si>
  <si>
    <t>Samedi midi et soir</t>
  </si>
  <si>
    <t>1 pack de 6 pots. 3 pots pour 1 repas</t>
  </si>
  <si>
    <t>Fruits de saison</t>
  </si>
  <si>
    <t>Pomme de terre</t>
  </si>
  <si>
    <t>Jambon</t>
  </si>
  <si>
    <t>Toussaint</t>
  </si>
  <si>
    <t>Vendredi soir</t>
  </si>
  <si>
    <t>1 paquet pour 1 repas</t>
  </si>
  <si>
    <t>Gâteau de riz</t>
  </si>
  <si>
    <t>Purée</t>
  </si>
  <si>
    <t>Jambonneau</t>
  </si>
  <si>
    <t>Décembre 2017</t>
  </si>
  <si>
    <t>Victoire du 08 mai 1945</t>
  </si>
  <si>
    <t>1 paquet pour 2 repas</t>
  </si>
  <si>
    <t>Gâteaux samedi et dimanche</t>
  </si>
  <si>
    <t>Quenelles</t>
  </si>
  <si>
    <t>Mortadelle</t>
  </si>
  <si>
    <t>1 paquet pour 2 repas. 1 ou 2 saucisses pour 1 repas</t>
  </si>
  <si>
    <t>Mousse au chocolat</t>
  </si>
  <si>
    <t>Riz</t>
  </si>
  <si>
    <t>Œufs</t>
  </si>
  <si>
    <t>1 paquet pour 4 repas</t>
  </si>
  <si>
    <t>Oranges</t>
  </si>
  <si>
    <t>Macédoine de légumes</t>
  </si>
  <si>
    <t>Pizza</t>
  </si>
  <si>
    <t>1 sachet de 2 kilogrammes. 1 pomme pour 1 repas</t>
  </si>
  <si>
    <t>Petits suisses</t>
  </si>
  <si>
    <t>Petits pois</t>
  </si>
  <si>
    <t>Poisson</t>
  </si>
  <si>
    <t>1 sachet pour 2 repas</t>
  </si>
  <si>
    <t>Pomme</t>
  </si>
  <si>
    <t>Petits pois et jeunes carottes</t>
  </si>
  <si>
    <t>Quiche lorraine</t>
  </si>
  <si>
    <t>1 sachet pour 4 repas</t>
  </si>
  <si>
    <t>Pruneaux</t>
  </si>
  <si>
    <t>Ratatouille</t>
  </si>
  <si>
    <t>Roulade à la pistache</t>
  </si>
  <si>
    <t>1 tranche pour 1 repas</t>
  </si>
  <si>
    <t>Raviolis</t>
  </si>
  <si>
    <t>Roulé au fromage</t>
  </si>
  <si>
    <t>1 tranche pour 2 repas</t>
  </si>
  <si>
    <t>Semoule de blé</t>
  </si>
  <si>
    <t>Tomates pelées</t>
  </si>
  <si>
    <t>Salami</t>
  </si>
  <si>
    <t>125 grammes pour 1 repas</t>
  </si>
  <si>
    <t>Tapioca</t>
  </si>
  <si>
    <t>Saucisses</t>
  </si>
  <si>
    <t>20 frites pour 1 repas</t>
  </si>
  <si>
    <t>Yaourts</t>
  </si>
  <si>
    <t>Avocat</t>
  </si>
  <si>
    <t>Saucisson</t>
  </si>
  <si>
    <t>25 grammes pour 1 repas</t>
  </si>
  <si>
    <t>Betterave rouge</t>
  </si>
  <si>
    <t>Tête persillée</t>
  </si>
  <si>
    <t>3 tranches pour 1 repas</t>
  </si>
  <si>
    <t>Carottes</t>
  </si>
  <si>
    <t>Tête roulée</t>
  </si>
  <si>
    <t>5 cuillères pour 1 repas</t>
  </si>
  <si>
    <t>Céleri</t>
  </si>
  <si>
    <t>Thon</t>
  </si>
  <si>
    <t>Unité : 1 branche pour 1 repas</t>
  </si>
  <si>
    <t>Champignons</t>
  </si>
  <si>
    <t>Viande cassoulet</t>
  </si>
  <si>
    <t>Unité : 1 morceau pour 2 repas</t>
  </si>
  <si>
    <t>Concombre</t>
  </si>
  <si>
    <t>Viande choucroute</t>
  </si>
  <si>
    <t>Unité : 1 pour 1 repas</t>
  </si>
  <si>
    <t>Radis</t>
  </si>
  <si>
    <t>Viande paella</t>
  </si>
  <si>
    <t>Unité : 1 pour 2 repas</t>
  </si>
  <si>
    <t>Salade</t>
  </si>
  <si>
    <t>Agneau</t>
  </si>
  <si>
    <t>Unité : 1 pour 4 repas</t>
  </si>
  <si>
    <t>Salsifis</t>
  </si>
  <si>
    <t>Bœuf</t>
  </si>
  <si>
    <t>Unité : 1 tête pour 1 repas</t>
  </si>
  <si>
    <t xml:space="preserve">Tomates </t>
  </si>
  <si>
    <t>Cheval</t>
  </si>
  <si>
    <t>Unité : 2 à 4 pour 1 repas</t>
  </si>
  <si>
    <t>Pâtes à la sauce tomates</t>
  </si>
  <si>
    <t>Dinde</t>
  </si>
  <si>
    <t>Unité : 2 pour 1 repas</t>
  </si>
  <si>
    <t>Pâtes au beurre</t>
  </si>
  <si>
    <t>Porc</t>
  </si>
  <si>
    <t>Pâtes au fromage râpé</t>
  </si>
  <si>
    <t>Veau</t>
  </si>
  <si>
    <t>Chips</t>
  </si>
  <si>
    <t>Rôti d'agneau</t>
  </si>
  <si>
    <t>Frites</t>
  </si>
  <si>
    <t>Rôti de bœuf</t>
  </si>
  <si>
    <t>Rôti de cheval</t>
  </si>
  <si>
    <t>Rôti de porc</t>
  </si>
  <si>
    <t>Rôti de veau</t>
  </si>
  <si>
    <t>Accueil</t>
  </si>
  <si>
    <t>Novembre</t>
  </si>
  <si>
    <t>Décembre</t>
  </si>
  <si>
    <t>Quantités légumes</t>
  </si>
  <si>
    <t>Quantités viandes</t>
  </si>
  <si>
    <t>Quantités desserts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</si>
  <si>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</si>
  <si>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</si>
  <si>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</si>
  <si>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</si>
  <si>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</si>
  <si>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</si>
  <si>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</si>
  <si>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</si>
  <si>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</si>
  <si>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</si>
  <si>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Saisie des référentiels</t>
  </si>
  <si>
    <t>Liste choix menus</t>
  </si>
  <si>
    <t>Titre</t>
  </si>
  <si>
    <t>Date de création du référentiel</t>
  </si>
  <si>
    <t>Code du référentiel</t>
  </si>
  <si>
    <t>Nom du référentiel</t>
  </si>
  <si>
    <t>Jour aliment</t>
  </si>
  <si>
    <t>Conditiopnnement aliment</t>
  </si>
  <si>
    <t>Destination aliment</t>
  </si>
  <si>
    <t>Aliments</t>
  </si>
  <si>
    <t>Liste des référentiels</t>
  </si>
  <si>
    <t>Code desserts</t>
  </si>
  <si>
    <t>Jours desserts</t>
  </si>
  <si>
    <t>Conditionnement desserts</t>
  </si>
  <si>
    <t>Destination desserts</t>
  </si>
  <si>
    <t>Numéro du référentiel</t>
  </si>
  <si>
    <t>Numéro création dessert</t>
  </si>
  <si>
    <t>Date création dessert</t>
  </si>
  <si>
    <t>Code légume deux</t>
  </si>
  <si>
    <t>Conditionnement légume deux</t>
  </si>
  <si>
    <t>Destination légume deux</t>
  </si>
  <si>
    <t>Code légumes</t>
  </si>
  <si>
    <t>Jours légumes</t>
  </si>
  <si>
    <t>Conditionnement légumes</t>
  </si>
  <si>
    <t>Destination légumes</t>
  </si>
  <si>
    <t>Code viandes</t>
  </si>
  <si>
    <t>Jours viandes</t>
  </si>
  <si>
    <t>Conditionnement viandes</t>
  </si>
  <si>
    <t>Destination viandes</t>
  </si>
  <si>
    <t>Code observations</t>
  </si>
  <si>
    <t>Numéro création légume deux</t>
  </si>
  <si>
    <t>Date création légume deux</t>
  </si>
  <si>
    <t>Numéro création légumes</t>
  </si>
  <si>
    <t>Date création légumes</t>
  </si>
  <si>
    <t>Numéro création viandes</t>
  </si>
  <si>
    <t>Date création viandes</t>
  </si>
  <si>
    <t>Numéro création obserations</t>
  </si>
  <si>
    <t>Date création observations</t>
  </si>
  <si>
    <t>Code période concernée</t>
  </si>
  <si>
    <t>Numéro création période concernée</t>
  </si>
  <si>
    <t>Date création période concernée</t>
  </si>
  <si>
    <t>1 botte ou 1 sachet pour 2 repas</t>
  </si>
  <si>
    <t>Jour légume deux</t>
  </si>
  <si>
    <t>Liste référentiels</t>
  </si>
  <si>
    <t>D01</t>
  </si>
  <si>
    <t>D02</t>
  </si>
  <si>
    <t>D03</t>
  </si>
  <si>
    <t>D04</t>
  </si>
  <si>
    <t>D05</t>
  </si>
  <si>
    <t>D-01</t>
  </si>
  <si>
    <t>D-02</t>
  </si>
  <si>
    <t>D-03</t>
  </si>
  <si>
    <t>D-04</t>
  </si>
  <si>
    <t>D-05</t>
  </si>
  <si>
    <t>D-06</t>
  </si>
  <si>
    <t>D06</t>
  </si>
  <si>
    <t>D-07</t>
  </si>
  <si>
    <t>D07</t>
  </si>
  <si>
    <t>D-08</t>
  </si>
  <si>
    <t>D08</t>
  </si>
  <si>
    <t>D-09</t>
  </si>
  <si>
    <t>D09</t>
  </si>
  <si>
    <t>D-10</t>
  </si>
  <si>
    <t>D10</t>
  </si>
  <si>
    <t>D-11</t>
  </si>
  <si>
    <t>D11</t>
  </si>
  <si>
    <t>D-12</t>
  </si>
  <si>
    <t>D12</t>
  </si>
  <si>
    <t>D-13</t>
  </si>
  <si>
    <t>D13</t>
  </si>
  <si>
    <t>D-14</t>
  </si>
  <si>
    <t>D14</t>
  </si>
  <si>
    <t>D-15</t>
  </si>
  <si>
    <t>D15</t>
  </si>
  <si>
    <t>D-16</t>
  </si>
  <si>
    <t>D16</t>
  </si>
  <si>
    <t>D-17</t>
  </si>
  <si>
    <t>D17</t>
  </si>
  <si>
    <t>D-18</t>
  </si>
  <si>
    <t>D18</t>
  </si>
  <si>
    <t>D-19</t>
  </si>
  <si>
    <t>D19</t>
  </si>
  <si>
    <t>D-20</t>
  </si>
  <si>
    <t>D20</t>
  </si>
  <si>
    <t>D-21</t>
  </si>
  <si>
    <t>D21</t>
  </si>
  <si>
    <t>D-22</t>
  </si>
  <si>
    <t>D22</t>
  </si>
  <si>
    <t>D-23</t>
  </si>
  <si>
    <t>DMR01</t>
  </si>
  <si>
    <t>LD-01</t>
  </si>
  <si>
    <t>LD01</t>
  </si>
  <si>
    <t>LLM01</t>
  </si>
  <si>
    <t>LLM-01</t>
  </si>
  <si>
    <t>LLM-02</t>
  </si>
  <si>
    <t>LLM02</t>
  </si>
  <si>
    <t>LLM03</t>
  </si>
  <si>
    <t>LLM-03</t>
  </si>
  <si>
    <t>LLM-04</t>
  </si>
  <si>
    <t>LLM04</t>
  </si>
  <si>
    <t>LLM-05</t>
  </si>
  <si>
    <t>LLM05</t>
  </si>
  <si>
    <t>LLM-06</t>
  </si>
  <si>
    <t>LLM06</t>
  </si>
  <si>
    <t>LLM-07</t>
  </si>
  <si>
    <t>LLM07</t>
  </si>
  <si>
    <t>LLM-08</t>
  </si>
  <si>
    <t>LLM08</t>
  </si>
  <si>
    <t>LLM09</t>
  </si>
  <si>
    <t>LLM-09</t>
  </si>
  <si>
    <t>LLM-10</t>
  </si>
  <si>
    <t>LLM10</t>
  </si>
  <si>
    <t>LLM-11</t>
  </si>
  <si>
    <t>LLM11</t>
  </si>
  <si>
    <t>LLM-12</t>
  </si>
  <si>
    <t>LLM12</t>
  </si>
  <si>
    <t>LLM-13</t>
  </si>
  <si>
    <t>LLM13</t>
  </si>
  <si>
    <t>LLM-14</t>
  </si>
  <si>
    <t>LLM14</t>
  </si>
  <si>
    <t>LV-01</t>
  </si>
  <si>
    <t>LV01</t>
  </si>
  <si>
    <t>LMJ-01</t>
  </si>
  <si>
    <t>LMJ01</t>
  </si>
  <si>
    <t>LMJ-02</t>
  </si>
  <si>
    <t>LMJ02</t>
  </si>
  <si>
    <t>LMJ-03</t>
  </si>
  <si>
    <t>LMJ03</t>
  </si>
  <si>
    <t>LMJ-04</t>
  </si>
  <si>
    <t>LMJ04</t>
  </si>
  <si>
    <t>LMJ-05</t>
  </si>
  <si>
    <t>LMJ05</t>
  </si>
  <si>
    <t>LMJ-06</t>
  </si>
  <si>
    <t>LMJ06</t>
  </si>
  <si>
    <t>LV-02</t>
  </si>
  <si>
    <t>LV02</t>
  </si>
  <si>
    <t>LV-03</t>
  </si>
  <si>
    <t>LV03</t>
  </si>
  <si>
    <t>LV-04</t>
  </si>
  <si>
    <t>LV04</t>
  </si>
  <si>
    <t>LV-05</t>
  </si>
  <si>
    <t>LV05</t>
  </si>
  <si>
    <t>LV-06</t>
  </si>
  <si>
    <t>LV06</t>
  </si>
  <si>
    <t>LV-07</t>
  </si>
  <si>
    <t>LV07</t>
  </si>
  <si>
    <t>LV-08</t>
  </si>
  <si>
    <t>LV08</t>
  </si>
  <si>
    <t>LV-09</t>
  </si>
  <si>
    <t>LV09</t>
  </si>
  <si>
    <t>LV-10</t>
  </si>
  <si>
    <t>LV10</t>
  </si>
  <si>
    <t>LV-11</t>
  </si>
  <si>
    <t>LV11</t>
  </si>
  <si>
    <t>LS-01</t>
  </si>
  <si>
    <t>LS01</t>
  </si>
  <si>
    <t>LS-02</t>
  </si>
  <si>
    <t>LS02</t>
  </si>
  <si>
    <t>LS-03</t>
  </si>
  <si>
    <t>LS03</t>
  </si>
  <si>
    <t>LD-02</t>
  </si>
  <si>
    <t>LD02</t>
  </si>
  <si>
    <t>LD-03</t>
  </si>
  <si>
    <t>LD03</t>
  </si>
  <si>
    <t>LD-04</t>
  </si>
  <si>
    <t>LD04</t>
  </si>
  <si>
    <t>LMR-01</t>
  </si>
  <si>
    <t>LMR01</t>
  </si>
  <si>
    <t>LMR-02</t>
  </si>
  <si>
    <t>LMR02</t>
  </si>
  <si>
    <t>LMR-03</t>
  </si>
  <si>
    <t>LMR03</t>
  </si>
  <si>
    <t>LMR-04</t>
  </si>
  <si>
    <t>LMR04</t>
  </si>
  <si>
    <t>LMR-05</t>
  </si>
  <si>
    <t>LMR05</t>
  </si>
  <si>
    <t>LMR-06</t>
  </si>
  <si>
    <t>LMR06</t>
  </si>
  <si>
    <t>LMR-07</t>
  </si>
  <si>
    <t>LMR07</t>
  </si>
  <si>
    <t>LMR-08</t>
  </si>
  <si>
    <t>LMR08</t>
  </si>
  <si>
    <t>LMR-09</t>
  </si>
  <si>
    <t>LMR09</t>
  </si>
  <si>
    <t>LMR-10</t>
  </si>
  <si>
    <t>LMR10</t>
  </si>
  <si>
    <t>LMR-11</t>
  </si>
  <si>
    <t>LMR11</t>
  </si>
  <si>
    <t>LMR-12</t>
  </si>
  <si>
    <t>LMR12</t>
  </si>
  <si>
    <t>LMR-13</t>
  </si>
  <si>
    <t>LMR13</t>
  </si>
  <si>
    <t>LMR-14</t>
  </si>
  <si>
    <t>LMR14</t>
  </si>
  <si>
    <t>LMR-15</t>
  </si>
  <si>
    <t>LMR15</t>
  </si>
  <si>
    <t>LMR-16</t>
  </si>
  <si>
    <t>LMR16</t>
  </si>
  <si>
    <t>LMR-17</t>
  </si>
  <si>
    <t>LMR17</t>
  </si>
  <si>
    <t>V-01</t>
  </si>
  <si>
    <t>V01</t>
  </si>
  <si>
    <t>V-02</t>
  </si>
  <si>
    <t>V02</t>
  </si>
  <si>
    <t>V-03</t>
  </si>
  <si>
    <t>V03</t>
  </si>
  <si>
    <t>V-04</t>
  </si>
  <si>
    <t>V04</t>
  </si>
  <si>
    <t>V-05</t>
  </si>
  <si>
    <t>V05</t>
  </si>
  <si>
    <t>V-06</t>
  </si>
  <si>
    <t>V06</t>
  </si>
  <si>
    <t>V-07</t>
  </si>
  <si>
    <t>V07</t>
  </si>
  <si>
    <t>V-08</t>
  </si>
  <si>
    <t>V08</t>
  </si>
  <si>
    <t>V-09</t>
  </si>
  <si>
    <t>V09</t>
  </si>
  <si>
    <t>V-10</t>
  </si>
  <si>
    <t>V10</t>
  </si>
  <si>
    <t>V-11</t>
  </si>
  <si>
    <t>V11</t>
  </si>
  <si>
    <t>V-12</t>
  </si>
  <si>
    <t>V12</t>
  </si>
  <si>
    <t>V-13</t>
  </si>
  <si>
    <t>V13</t>
  </si>
  <si>
    <t>V-14</t>
  </si>
  <si>
    <t>V14</t>
  </si>
  <si>
    <t>V-15</t>
  </si>
  <si>
    <t>V15</t>
  </si>
  <si>
    <t>V-16</t>
  </si>
  <si>
    <t>V16</t>
  </si>
  <si>
    <t>V-17</t>
  </si>
  <si>
    <t>V17</t>
  </si>
  <si>
    <t>V-18</t>
  </si>
  <si>
    <t>V18</t>
  </si>
  <si>
    <t>V-19</t>
  </si>
  <si>
    <t>V19</t>
  </si>
  <si>
    <t>V-20</t>
  </si>
  <si>
    <t>V20</t>
  </si>
  <si>
    <t>V-21</t>
  </si>
  <si>
    <t>V21</t>
  </si>
  <si>
    <t>V-22</t>
  </si>
  <si>
    <t>V22</t>
  </si>
  <si>
    <t>V-23</t>
  </si>
  <si>
    <t>V23</t>
  </si>
  <si>
    <t>V-24</t>
  </si>
  <si>
    <t>V24</t>
  </si>
  <si>
    <t>V-25</t>
  </si>
  <si>
    <t>V25</t>
  </si>
  <si>
    <t>V-26</t>
  </si>
  <si>
    <t>V26</t>
  </si>
  <si>
    <t>V-27</t>
  </si>
  <si>
    <t>V27</t>
  </si>
  <si>
    <t>V-28</t>
  </si>
  <si>
    <t>V28</t>
  </si>
  <si>
    <t>V-29</t>
  </si>
  <si>
    <t>V29</t>
  </si>
  <si>
    <t>V-30</t>
  </si>
  <si>
    <t>V30</t>
  </si>
  <si>
    <t>V-31</t>
  </si>
  <si>
    <t>V31</t>
  </si>
  <si>
    <t>V-32</t>
  </si>
  <si>
    <t>V32</t>
  </si>
  <si>
    <t>V-33</t>
  </si>
  <si>
    <t>V33</t>
  </si>
  <si>
    <t>V-34</t>
  </si>
  <si>
    <t>V34</t>
  </si>
  <si>
    <t>V-35</t>
  </si>
  <si>
    <t>V35</t>
  </si>
  <si>
    <t>VMR-01</t>
  </si>
  <si>
    <t>VMR01</t>
  </si>
  <si>
    <t>VMR-02</t>
  </si>
  <si>
    <t>VMR02</t>
  </si>
  <si>
    <t>VMR03</t>
  </si>
  <si>
    <t>VMR-04</t>
  </si>
  <si>
    <t>VMR04</t>
  </si>
  <si>
    <t>VMR-03</t>
  </si>
  <si>
    <t>VMR-05</t>
  </si>
  <si>
    <t>VMR05</t>
  </si>
  <si>
    <t>O-01</t>
  </si>
  <si>
    <t>O01</t>
  </si>
  <si>
    <t>O-02</t>
  </si>
  <si>
    <t>O02</t>
  </si>
  <si>
    <t>O-03</t>
  </si>
  <si>
    <t>O03</t>
  </si>
  <si>
    <t>O-04</t>
  </si>
  <si>
    <t>O04</t>
  </si>
  <si>
    <t>O-05</t>
  </si>
  <si>
    <t>O05</t>
  </si>
  <si>
    <t>O-06</t>
  </si>
  <si>
    <t>O06</t>
  </si>
  <si>
    <t>O-07</t>
  </si>
  <si>
    <t>O07</t>
  </si>
  <si>
    <t>O-08</t>
  </si>
  <si>
    <t>O08</t>
  </si>
  <si>
    <t>O-09</t>
  </si>
  <si>
    <t>O09</t>
  </si>
  <si>
    <t>O-10</t>
  </si>
  <si>
    <t>O10</t>
  </si>
  <si>
    <t>O-11</t>
  </si>
  <si>
    <t>O11</t>
  </si>
  <si>
    <t>O-12</t>
  </si>
  <si>
    <t>O12</t>
  </si>
  <si>
    <t>O-13</t>
  </si>
  <si>
    <t>O13</t>
  </si>
  <si>
    <t>PC-01</t>
  </si>
  <si>
    <t>PC01</t>
  </si>
  <si>
    <t>PC-02</t>
  </si>
  <si>
    <t>PC02</t>
  </si>
  <si>
    <t>PC-03</t>
  </si>
  <si>
    <t>PC03</t>
  </si>
  <si>
    <t>PC-04</t>
  </si>
  <si>
    <t>PC04</t>
  </si>
  <si>
    <t>PC-05</t>
  </si>
  <si>
    <t>PC05</t>
  </si>
  <si>
    <t>PC-06</t>
  </si>
  <si>
    <t>PC06</t>
  </si>
  <si>
    <t>PC-07</t>
  </si>
  <si>
    <t>PC07</t>
  </si>
  <si>
    <t>PC-08</t>
  </si>
  <si>
    <t>PC08</t>
  </si>
  <si>
    <t>PC-09</t>
  </si>
  <si>
    <t>PC09</t>
  </si>
  <si>
    <t>PC-10</t>
  </si>
  <si>
    <t>PC10</t>
  </si>
  <si>
    <t>PC-11</t>
  </si>
  <si>
    <t>PC11</t>
  </si>
  <si>
    <t>PC-12</t>
  </si>
  <si>
    <t>PC12</t>
  </si>
  <si>
    <t>Saisie des menus.</t>
  </si>
  <si>
    <t>Numéro du menu</t>
  </si>
  <si>
    <t>Date du menu</t>
  </si>
  <si>
    <t>Code dessert</t>
  </si>
  <si>
    <t>Dessert</t>
  </si>
  <si>
    <t>Jour dessert</t>
  </si>
  <si>
    <t>Conditionnement dessert</t>
  </si>
  <si>
    <t>Quantité dessert</t>
  </si>
  <si>
    <t>Code légume</t>
  </si>
  <si>
    <t>Légume</t>
  </si>
  <si>
    <t>Jour légume</t>
  </si>
  <si>
    <t>Conditionnement légume</t>
  </si>
  <si>
    <t>Quantité légume</t>
  </si>
  <si>
    <t>Quantité légume deux</t>
  </si>
  <si>
    <t>Code viande</t>
  </si>
  <si>
    <t>Viande</t>
  </si>
  <si>
    <t>Jour viande</t>
  </si>
  <si>
    <t>Conditionnement viande</t>
  </si>
  <si>
    <t>Quantité viande</t>
  </si>
  <si>
    <t>Code observation</t>
  </si>
  <si>
    <t>Observation</t>
  </si>
  <si>
    <t>Destination dessert</t>
  </si>
  <si>
    <t>Destination légume</t>
  </si>
  <si>
    <t>Destination viande</t>
  </si>
  <si>
    <t>Nature du menu</t>
  </si>
  <si>
    <t>29/02/2017</t>
  </si>
  <si>
    <t>Menus journaliers du mois de septembre 201..</t>
  </si>
  <si>
    <t>Menus journaliers du mois d'octobre 201..</t>
  </si>
  <si>
    <t>Menus journaliers du mois de novembre 201..</t>
  </si>
  <si>
    <t>Menus journaliers du mois de décembre 201..</t>
  </si>
  <si>
    <t>Menus viandes week-end premier semestre</t>
  </si>
  <si>
    <t>Menus viandes week-end deuxième semestre</t>
  </si>
  <si>
    <t>Menus midi retraite janvier</t>
  </si>
  <si>
    <t>Menus midi retraite février</t>
  </si>
  <si>
    <t>Menus midi retraite mars</t>
  </si>
  <si>
    <t>Menus midi retraite avril</t>
  </si>
  <si>
    <t>Menus midi retraite mai</t>
  </si>
  <si>
    <t>Menus midi retraite juin</t>
  </si>
  <si>
    <t>Menus midi retraite juillet</t>
  </si>
  <si>
    <t>Menus midi retraite août</t>
  </si>
  <si>
    <t>Menus midi retraite septembre</t>
  </si>
  <si>
    <t>Menus midi retraite octobre</t>
  </si>
  <si>
    <t>Menus midi retraite novembre</t>
  </si>
  <si>
    <t>Menus midi retraite décembre</t>
  </si>
  <si>
    <t>Menus journaliers janvier</t>
  </si>
  <si>
    <t>Menus journaliers février</t>
  </si>
  <si>
    <t>Menus journaliers mars</t>
  </si>
  <si>
    <t>Menus journaliers avril</t>
  </si>
  <si>
    <t>Menus journaliers mai</t>
  </si>
  <si>
    <t>Menus journaliers juin</t>
  </si>
  <si>
    <t>Menus journaliers juillet</t>
  </si>
  <si>
    <t>Menus journaliers août</t>
  </si>
  <si>
    <t>Menus journaliers septembre</t>
  </si>
  <si>
    <t>Menus journaliers octobre</t>
  </si>
  <si>
    <t>Menus journaliers novembre</t>
  </si>
  <si>
    <t>Menus journaliers décembre</t>
  </si>
  <si>
    <t>Menus viandes weekend premier semestre</t>
  </si>
  <si>
    <t>Menus viandes weekend deuxième semestre</t>
  </si>
  <si>
    <t>Menus du mois de mai  201..</t>
  </si>
  <si>
    <t>Menus du mois de juin  201..</t>
  </si>
  <si>
    <t>Menus du mois de septembre  201..</t>
  </si>
  <si>
    <t>Menus du mois d'octobre  201..</t>
  </si>
  <si>
    <t>Menus du mois de novembre  201..</t>
  </si>
  <si>
    <t>Totaux</t>
  </si>
  <si>
    <t>MMR01</t>
  </si>
  <si>
    <t>LD01+LV01</t>
  </si>
  <si>
    <t>Proposition menus midi retraite.</t>
  </si>
  <si>
    <t>1</t>
  </si>
  <si>
    <t>2</t>
  </si>
  <si>
    <t>3</t>
  </si>
  <si>
    <t>4</t>
  </si>
  <si>
    <t>5</t>
  </si>
  <si>
    <t>6</t>
  </si>
  <si>
    <t>7</t>
  </si>
  <si>
    <t>Référence légume</t>
  </si>
  <si>
    <t>Référence viande</t>
  </si>
  <si>
    <t>Référence dessert</t>
  </si>
  <si>
    <t>Référence observation</t>
  </si>
  <si>
    <t>Proposition menus journaliers.</t>
  </si>
  <si>
    <t>Proposition menus viande weekend.</t>
  </si>
  <si>
    <t>☺</t>
  </si>
  <si>
    <t>Menus du mois  de janvier 2018.</t>
  </si>
  <si>
    <t>Menus viande weekend du premier semestre de l'année 2018.</t>
  </si>
  <si>
    <t>Menus journaliers du mois de janvier 2018.</t>
  </si>
  <si>
    <t>Menus midi retraite du mois de janvier 2018.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</si>
  <si>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</si>
  <si>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</si>
  <si>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</si>
  <si>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</si>
  <si>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</si>
  <si>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</si>
  <si>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</si>
  <si>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</si>
  <si>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</si>
  <si>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</si>
  <si>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</si>
  <si>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</si>
  <si>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</si>
  <si>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</si>
  <si>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</si>
  <si>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</si>
  <si>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Menus midi retraite du mois de février 2018.</t>
  </si>
  <si>
    <t>Menus midi retraite du mois de mars 2018.</t>
  </si>
  <si>
    <t>Menus midi retraite du mois d'avril 2018.</t>
  </si>
  <si>
    <t>Menus midi retraite du mois de mai 2018.</t>
  </si>
  <si>
    <t>Menus midi retraite du mois de juin 2018.</t>
  </si>
  <si>
    <t>Menus midi retraite du mois de juillet 2018.</t>
  </si>
  <si>
    <t>Menus midi retraite du mois d'août 2018.</t>
  </si>
  <si>
    <t>Menus midi retraite du mois de septembre 2018.</t>
  </si>
  <si>
    <t>Menus midi retraite du mois d'octobre 2018.</t>
  </si>
  <si>
    <t>Menus midi retraite du mois de novembre 2018.</t>
  </si>
  <si>
    <t>Menus midi retraite du mois de décembre 2018.</t>
  </si>
  <si>
    <t>MMR26</t>
  </si>
  <si>
    <t>MMR18</t>
  </si>
  <si>
    <t>MMR19</t>
  </si>
  <si>
    <t>MMR20</t>
  </si>
  <si>
    <t>MMR21</t>
  </si>
  <si>
    <t>MMR22</t>
  </si>
  <si>
    <t>MMR23</t>
  </si>
  <si>
    <t>Fait à Limeil-Brévannes, le dimanche 19 novembre  2017.</t>
  </si>
  <si>
    <t>Menus du mois de février  2018.</t>
  </si>
  <si>
    <t>MMR24</t>
  </si>
  <si>
    <t>MMR25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</si>
  <si>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</si>
  <si>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</si>
  <si>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</si>
  <si>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</si>
  <si>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</si>
  <si>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</si>
  <si>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</si>
  <si>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</si>
  <si>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</si>
  <si>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</si>
  <si>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</si>
  <si>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</si>
  <si>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</si>
  <si>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</si>
  <si>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</si>
  <si>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</si>
  <si>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</si>
  <si>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Fait à Limeil-Brévannes, le dimanche 19 novembre 2017.</t>
  </si>
  <si>
    <t>Menus du mois de mars  2018.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</si>
  <si>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</si>
  <si>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</si>
  <si>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</si>
  <si>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</si>
  <si>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</si>
  <si>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</si>
  <si>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</si>
  <si>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</si>
  <si>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</si>
  <si>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</si>
  <si>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</si>
  <si>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</si>
  <si>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</si>
  <si>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</si>
  <si>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</si>
  <si>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</si>
  <si>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</si>
  <si>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MMR62</t>
  </si>
  <si>
    <t>MMR61</t>
  </si>
  <si>
    <t>MMR63</t>
  </si>
  <si>
    <t>MMR64</t>
  </si>
  <si>
    <t>MMR65</t>
  </si>
  <si>
    <t>Fait à Limeil-Brévannes, le lundi 20 novembre 2017.</t>
  </si>
  <si>
    <t>MMR66</t>
  </si>
  <si>
    <t>MMR67</t>
  </si>
  <si>
    <t>Menus du mois d'avril  2018.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</si>
  <si>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</si>
  <si>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</si>
  <si>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</si>
  <si>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</si>
  <si>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</si>
  <si>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</si>
  <si>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</si>
  <si>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</si>
  <si>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</si>
  <si>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</si>
  <si>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</si>
  <si>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</si>
  <si>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</si>
  <si>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</si>
  <si>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</si>
  <si>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</si>
  <si>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</si>
  <si>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</si>
  <si>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</si>
  <si>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</si>
  <si>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</si>
  <si>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</si>
  <si>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</si>
  <si>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</si>
  <si>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</si>
  <si>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</si>
  <si>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</si>
  <si>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</si>
  <si>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</si>
  <si>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</si>
  <si>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</si>
  <si>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</si>
  <si>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</si>
  <si>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</si>
  <si>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</si>
  <si>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</si>
  <si>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</si>
  <si>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</si>
  <si>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</si>
  <si>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</si>
  <si>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</si>
  <si>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</si>
  <si>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</si>
  <si>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</si>
  <si>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</si>
  <si>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</si>
  <si>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</si>
  <si>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</si>
  <si>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</si>
  <si>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</si>
  <si>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</si>
  <si>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</si>
  <si>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</si>
  <si>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</si>
  <si>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</si>
  <si>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</si>
  <si>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</si>
  <si>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</si>
  <si>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</si>
  <si>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</si>
  <si>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</si>
  <si>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</si>
  <si>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</si>
  <si>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</si>
  <si>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</si>
  <si>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Menus du mois de juillet  2018.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</si>
  <si>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</si>
  <si>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</si>
  <si>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</si>
  <si>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</si>
  <si>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</si>
  <si>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</si>
  <si>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</si>
  <si>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</si>
  <si>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</si>
  <si>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</si>
  <si>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</si>
  <si>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</si>
  <si>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</si>
  <si>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</si>
  <si>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</si>
  <si>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</si>
  <si>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</si>
  <si>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</si>
  <si>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</si>
  <si>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</si>
  <si>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Fait à Limeil-Brévannes, le mardi 21 novembre 2017.</t>
  </si>
  <si>
    <t>MMR153</t>
  </si>
  <si>
    <t>MMR154</t>
  </si>
  <si>
    <t>MMR155</t>
  </si>
  <si>
    <t>Menus du mois d'août  2018.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</si>
  <si>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</si>
  <si>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</si>
  <si>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</si>
  <si>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</si>
  <si>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</si>
  <si>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</si>
  <si>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</si>
  <si>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</si>
  <si>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</si>
  <si>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</si>
  <si>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</si>
  <si>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</si>
  <si>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</si>
  <si>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</si>
  <si>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</si>
  <si>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</si>
  <si>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</si>
  <si>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</si>
  <si>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</si>
  <si>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</si>
  <si>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</si>
  <si>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</si>
  <si>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</si>
  <si>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</si>
  <si>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</si>
  <si>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</si>
  <si>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</si>
  <si>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</si>
  <si>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</si>
  <si>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</si>
  <si>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</si>
  <si>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</si>
  <si>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</si>
  <si>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</si>
  <si>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</si>
  <si>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</si>
  <si>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</si>
  <si>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</si>
  <si>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</si>
  <si>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</si>
  <si>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</si>
  <si>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</si>
  <si>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</si>
  <si>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</si>
  <si>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</si>
  <si>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</si>
  <si>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</si>
  <si>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</si>
  <si>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</si>
  <si>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</si>
  <si>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</si>
  <si>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</si>
  <si>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</si>
  <si>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</si>
  <si>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</si>
  <si>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</si>
  <si>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</si>
  <si>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</si>
  <si>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</si>
  <si>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</si>
  <si>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</si>
  <si>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</si>
  <si>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</si>
  <si>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</si>
  <si>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</si>
  <si>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</si>
  <si>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</si>
  <si>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</si>
  <si>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</si>
  <si>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</si>
  <si>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</si>
  <si>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</si>
  <si>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</si>
  <si>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</si>
  <si>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</si>
  <si>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</si>
  <si>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</si>
  <si>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</si>
  <si>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</si>
  <si>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</si>
  <si>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</si>
  <si>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</si>
  <si>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</si>
  <si>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</si>
  <si>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</si>
  <si>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</si>
  <si>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Menus du mois de décembre  2018.</t>
  </si>
  <si>
    <t>MMR244</t>
  </si>
  <si>
    <t>MMR242</t>
  </si>
  <si>
    <t>MMR243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</si>
  <si>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</si>
  <si>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</si>
  <si>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</si>
  <si>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</si>
  <si>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</si>
  <si>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</si>
  <si>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</si>
  <si>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</si>
  <si>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</si>
  <si>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</si>
  <si>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</si>
  <si>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</si>
  <si>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</si>
  <si>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</si>
  <si>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</si>
  <si>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</si>
  <si>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</si>
  <si>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Fait à Limeil-Brévannes, le mercredi 22 novembre 2017.</t>
  </si>
  <si>
    <t>MJ01</t>
  </si>
  <si>
    <t>MJ02</t>
  </si>
  <si>
    <t>MJ03</t>
  </si>
  <si>
    <t>MJ04</t>
  </si>
  <si>
    <t>MJ05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</si>
  <si>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</si>
  <si>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</si>
  <si>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</si>
  <si>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</si>
  <si>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</si>
  <si>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</si>
  <si>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</si>
  <si>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</si>
  <si>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</si>
  <si>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</si>
  <si>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</si>
  <si>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</si>
  <si>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</si>
  <si>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</si>
  <si>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</si>
  <si>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</si>
  <si>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</si>
  <si>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</si>
  <si>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</si>
  <si>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</si>
  <si>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</si>
  <si>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</si>
  <si>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</si>
  <si>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</si>
  <si>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</si>
  <si>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</si>
  <si>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Menus journaliers du mois de février 2018.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</si>
  <si>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</si>
  <si>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</si>
  <si>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</si>
  <si>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</si>
  <si>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</si>
  <si>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</si>
  <si>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</si>
  <si>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</si>
  <si>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</si>
  <si>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</si>
  <si>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</si>
  <si>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</si>
  <si>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</si>
  <si>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</si>
  <si>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</si>
  <si>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</si>
  <si>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</si>
  <si>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</si>
  <si>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</si>
  <si>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</si>
  <si>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</si>
  <si>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</si>
  <si>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</si>
  <si>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</si>
  <si>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</si>
  <si>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</si>
  <si>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</si>
  <si>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</si>
  <si>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</si>
  <si>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Menus journaliers du mois de mars 2018.</t>
  </si>
  <si>
    <t>MJ61</t>
  </si>
  <si>
    <t>MJ62</t>
  </si>
  <si>
    <t>MJ63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</si>
  <si>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</si>
  <si>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</si>
  <si>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</si>
  <si>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</si>
  <si>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</si>
  <si>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</si>
  <si>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</si>
  <si>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</si>
  <si>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</si>
  <si>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</si>
  <si>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</si>
  <si>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</si>
  <si>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</si>
  <si>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</si>
  <si>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</si>
  <si>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</si>
  <si>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</si>
  <si>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</si>
  <si>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</si>
  <si>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</si>
  <si>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</si>
  <si>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MJ64</t>
  </si>
  <si>
    <t>,</t>
  </si>
  <si>
    <t>MJ86</t>
  </si>
  <si>
    <t>MJ87</t>
  </si>
  <si>
    <t>MJ88</t>
  </si>
  <si>
    <t>MJ89</t>
  </si>
  <si>
    <t>MJ90</t>
  </si>
  <si>
    <t>Menus journaliers du mois d'avril 2018.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</si>
  <si>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</si>
  <si>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</si>
  <si>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</si>
  <si>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</si>
  <si>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</si>
  <si>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</si>
  <si>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</si>
  <si>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</si>
  <si>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</si>
  <si>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</si>
  <si>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</si>
  <si>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</si>
  <si>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</si>
  <si>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</si>
  <si>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</si>
  <si>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</si>
  <si>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</si>
  <si>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</si>
  <si>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</si>
  <si>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</si>
  <si>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</si>
  <si>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</si>
  <si>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</si>
  <si>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</si>
  <si>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</si>
  <si>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</si>
  <si>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</si>
  <si>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</si>
  <si>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</si>
  <si>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</si>
  <si>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Menus journaliers du mois de mai 2018.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</si>
  <si>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</si>
  <si>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</si>
  <si>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</si>
  <si>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</si>
  <si>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</si>
  <si>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</si>
  <si>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</si>
  <si>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</si>
  <si>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</si>
  <si>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</si>
  <si>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</si>
  <si>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</si>
  <si>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</si>
  <si>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</si>
  <si>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</si>
  <si>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</si>
  <si>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</si>
  <si>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</si>
  <si>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</si>
  <si>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</si>
  <si>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</si>
  <si>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</si>
  <si>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</si>
  <si>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</si>
  <si>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</si>
  <si>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</si>
  <si>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</si>
  <si>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</si>
  <si>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</si>
  <si>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</si>
  <si>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</si>
  <si>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Menus journaliers du mois de juin 2018.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</si>
  <si>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</si>
  <si>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</si>
  <si>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</si>
  <si>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</si>
  <si>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</si>
  <si>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</si>
  <si>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</si>
  <si>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</si>
  <si>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</si>
  <si>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</si>
  <si>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</si>
  <si>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</si>
  <si>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</si>
  <si>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</si>
  <si>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</si>
  <si>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</si>
  <si>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</si>
  <si>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</si>
  <si>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</si>
  <si>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</si>
  <si>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</si>
  <si>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</si>
  <si>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</si>
  <si>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</si>
  <si>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</si>
  <si>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</si>
  <si>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</si>
  <si>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</si>
  <si>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</si>
  <si>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</si>
  <si>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Menus journaliers du mois de juillet 2018.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</si>
  <si>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</si>
  <si>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</si>
  <si>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</si>
  <si>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</si>
  <si>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</si>
  <si>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</si>
  <si>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</si>
  <si>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</si>
  <si>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</si>
  <si>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</si>
  <si>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</si>
  <si>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</si>
  <si>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</si>
  <si>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</si>
  <si>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</si>
  <si>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</si>
  <si>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</si>
  <si>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</si>
  <si>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</si>
  <si>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</si>
  <si>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</si>
  <si>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</si>
  <si>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</si>
  <si>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</si>
  <si>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</si>
  <si>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</si>
  <si>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</si>
  <si>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</si>
  <si>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</si>
  <si>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</si>
  <si>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</si>
  <si>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Fait à Limeil-Brévannes, le jeudi 23 novembre 2017.</t>
  </si>
  <si>
    <t>Menus journaliers du mois d'août 2018.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</si>
  <si>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</si>
  <si>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</si>
  <si>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</si>
  <si>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</si>
  <si>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</si>
  <si>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</si>
  <si>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</si>
  <si>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</si>
  <si>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</si>
  <si>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</si>
  <si>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</si>
  <si>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</si>
  <si>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</si>
  <si>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</si>
  <si>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</si>
  <si>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</si>
  <si>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</si>
  <si>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</si>
  <si>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</si>
  <si>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</si>
  <si>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</si>
  <si>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</si>
  <si>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</si>
  <si>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</si>
  <si>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</si>
  <si>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</si>
  <si>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</si>
  <si>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</si>
  <si>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</si>
  <si>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</si>
  <si>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</si>
  <si>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</si>
  <si>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</si>
  <si>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</si>
  <si>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</si>
  <si>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</si>
  <si>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</si>
  <si>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</si>
  <si>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</si>
  <si>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</si>
  <si>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</si>
  <si>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</si>
  <si>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</si>
  <si>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</si>
  <si>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</si>
  <si>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</si>
  <si>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</si>
  <si>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</si>
  <si>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</si>
  <si>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</si>
  <si>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</si>
  <si>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</si>
  <si>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</si>
  <si>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</si>
  <si>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</si>
  <si>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</si>
  <si>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</si>
  <si>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</si>
  <si>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</si>
  <si>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</si>
  <si>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</si>
  <si>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</si>
  <si>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</si>
  <si>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</si>
  <si>
    <t>MJ277</t>
  </si>
  <si>
    <t>MJ278</t>
  </si>
  <si>
    <t>MJ279</t>
  </si>
  <si>
    <t>MJ280</t>
  </si>
  <si>
    <t>MJ281</t>
  </si>
  <si>
    <t>MJ282</t>
  </si>
  <si>
    <t>MJ283</t>
  </si>
  <si>
    <t>MJ284</t>
  </si>
  <si>
    <t>MJ285</t>
  </si>
  <si>
    <t>MJ286</t>
  </si>
  <si>
    <t>MJ287</t>
  </si>
  <si>
    <t>MJ288</t>
  </si>
  <si>
    <t>MJ289</t>
  </si>
  <si>
    <t>MJ290</t>
  </si>
  <si>
    <t>MJ291</t>
  </si>
  <si>
    <t>MJ292</t>
  </si>
  <si>
    <t>MJ293</t>
  </si>
  <si>
    <t>MJ294</t>
  </si>
  <si>
    <t>MJ295</t>
  </si>
  <si>
    <t>MJ296</t>
  </si>
  <si>
    <t>MJ297</t>
  </si>
  <si>
    <t>MJ298</t>
  </si>
  <si>
    <t>MJ299</t>
  </si>
  <si>
    <t>MJ300</t>
  </si>
  <si>
    <t>MJ301</t>
  </si>
  <si>
    <t>MJ302</t>
  </si>
  <si>
    <t>MJ303</t>
  </si>
  <si>
    <t>MJ304</t>
  </si>
  <si>
    <t>Fait à Limeil-Brévannes, le vendredi 24 novembre 2017.</t>
  </si>
  <si>
    <t>MJ305</t>
  </si>
  <si>
    <t>MJ306</t>
  </si>
  <si>
    <t>MJ307</t>
  </si>
  <si>
    <t>MJ308</t>
  </si>
  <si>
    <t>MJ309</t>
  </si>
  <si>
    <t>MJ310</t>
  </si>
  <si>
    <t>MJ311</t>
  </si>
  <si>
    <t>MJ312</t>
  </si>
  <si>
    <t>MJ313</t>
  </si>
  <si>
    <t>MJ314</t>
  </si>
  <si>
    <t>MJ315</t>
  </si>
  <si>
    <t>MJ316</t>
  </si>
  <si>
    <t>MJ317</t>
  </si>
  <si>
    <t>MJ318</t>
  </si>
  <si>
    <t>MJ319</t>
  </si>
  <si>
    <t>MJ320</t>
  </si>
  <si>
    <t>MJ321</t>
  </si>
  <si>
    <t>MJ322</t>
  </si>
  <si>
    <t>MJ323</t>
  </si>
  <si>
    <t>MJ324</t>
  </si>
  <si>
    <t>MJ325</t>
  </si>
  <si>
    <t>MJ326</t>
  </si>
  <si>
    <t>MJ327</t>
  </si>
  <si>
    <t>MJ328</t>
  </si>
  <si>
    <t>MJ329</t>
  </si>
  <si>
    <t>MJ330</t>
  </si>
  <si>
    <t>MJ331</t>
  </si>
  <si>
    <t>MJ332</t>
  </si>
  <si>
    <t>MJ333</t>
  </si>
  <si>
    <t>MJ334</t>
  </si>
  <si>
    <t>MJ335</t>
  </si>
  <si>
    <t>MJ336</t>
  </si>
  <si>
    <t>MJ337</t>
  </si>
  <si>
    <t>MJ338</t>
  </si>
  <si>
    <t>MJ339</t>
  </si>
  <si>
    <t>MJ340</t>
  </si>
  <si>
    <t>MJ341</t>
  </si>
  <si>
    <t>MJ342</t>
  </si>
  <si>
    <t>MJ343</t>
  </si>
  <si>
    <t>MJ344</t>
  </si>
  <si>
    <t>MJ345</t>
  </si>
  <si>
    <t>MJ346</t>
  </si>
  <si>
    <t>LJ347</t>
  </si>
  <si>
    <t>MJ348</t>
  </si>
  <si>
    <t>MJ349</t>
  </si>
  <si>
    <t>MJ350</t>
  </si>
  <si>
    <t>MJ351</t>
  </si>
  <si>
    <t>MJ352</t>
  </si>
  <si>
    <t>MJ353</t>
  </si>
  <si>
    <t>MJ354</t>
  </si>
  <si>
    <t>MJ355</t>
  </si>
  <si>
    <t>MJ356</t>
  </si>
  <si>
    <t>MJ357</t>
  </si>
  <si>
    <t>MJ358</t>
  </si>
  <si>
    <t>MJ359</t>
  </si>
  <si>
    <t>MJ360</t>
  </si>
  <si>
    <t>MJ361</t>
  </si>
  <si>
    <t>MJ362</t>
  </si>
  <si>
    <t>MJ363</t>
  </si>
  <si>
    <t>MJ364</t>
  </si>
  <si>
    <t>MJ365</t>
  </si>
  <si>
    <t>MVWE01</t>
  </si>
  <si>
    <t>MVWE02</t>
  </si>
  <si>
    <t>MVWE03</t>
  </si>
  <si>
    <t>MVWE04</t>
  </si>
  <si>
    <t>MVWE05</t>
  </si>
  <si>
    <t>MVWE06</t>
  </si>
  <si>
    <t>MVWE08</t>
  </si>
  <si>
    <t>MVWE07</t>
  </si>
  <si>
    <t>MVWE09</t>
  </si>
  <si>
    <t>MVWE10</t>
  </si>
  <si>
    <t>MVWE11</t>
  </si>
  <si>
    <t>MVWE12</t>
  </si>
  <si>
    <t>MVWE13</t>
  </si>
  <si>
    <t>MVWE14</t>
  </si>
  <si>
    <t>MVWE15</t>
  </si>
  <si>
    <t>MVWE16</t>
  </si>
  <si>
    <t>MVWE17</t>
  </si>
  <si>
    <t>MVWE18</t>
  </si>
  <si>
    <t>MVWE19</t>
  </si>
  <si>
    <t>MVWE20</t>
  </si>
  <si>
    <t>MVWE21</t>
  </si>
  <si>
    <t>MVWE22</t>
  </si>
  <si>
    <t>MVWE23</t>
  </si>
  <si>
    <t>MVWE24</t>
  </si>
  <si>
    <t>MVWE25</t>
  </si>
  <si>
    <t>MVWE26</t>
  </si>
  <si>
    <t>MVWE27</t>
  </si>
  <si>
    <t>MVWE28</t>
  </si>
  <si>
    <t>MVWE29</t>
  </si>
  <si>
    <t>MVWE30</t>
  </si>
  <si>
    <t>MVWE31</t>
  </si>
  <si>
    <t>MVWE32</t>
  </si>
  <si>
    <t>MVWE33</t>
  </si>
  <si>
    <t>MVWE34</t>
  </si>
  <si>
    <t>MVWE35</t>
  </si>
  <si>
    <t>MVWE36</t>
  </si>
  <si>
    <t>MVWE37</t>
  </si>
  <si>
    <t>MVWE38</t>
  </si>
  <si>
    <t>MVWE39</t>
  </si>
  <si>
    <t>MVWE40</t>
  </si>
  <si>
    <t>MVWE41</t>
  </si>
  <si>
    <t>MVWE42</t>
  </si>
  <si>
    <t>MVWE43</t>
  </si>
  <si>
    <t>MVWE44</t>
  </si>
  <si>
    <t>MVWE45</t>
  </si>
  <si>
    <t>MVWE46</t>
  </si>
  <si>
    <t>MVWE47</t>
  </si>
  <si>
    <t>MVWE48</t>
  </si>
  <si>
    <t>MVWE49</t>
  </si>
  <si>
    <t>MVWE50</t>
  </si>
  <si>
    <t>MVWE51</t>
  </si>
  <si>
    <t>MVWE52</t>
  </si>
  <si>
    <t>MVWE53</t>
  </si>
  <si>
    <t>MVWE54</t>
  </si>
  <si>
    <t>MVWE55</t>
  </si>
  <si>
    <t>MVWE56</t>
  </si>
  <si>
    <t>MVWE57</t>
  </si>
  <si>
    <t>MVWE58</t>
  </si>
  <si>
    <t>MVWE59</t>
  </si>
  <si>
    <t>MVWE60</t>
  </si>
  <si>
    <t>MVWE61</t>
  </si>
  <si>
    <t>MVWE62</t>
  </si>
  <si>
    <t>MVWE63</t>
  </si>
  <si>
    <t>Menus viande weekend du deuxième semestre de l'année 2018.</t>
  </si>
  <si>
    <t>MVWE64</t>
  </si>
  <si>
    <t>MVWE65</t>
  </si>
  <si>
    <t>MVWE66</t>
  </si>
  <si>
    <t>MVWE67</t>
  </si>
  <si>
    <t>MVWE68</t>
  </si>
  <si>
    <t>MVWE70</t>
  </si>
  <si>
    <t>MVWE71</t>
  </si>
  <si>
    <t>MVWE72</t>
  </si>
  <si>
    <t>MVWE73</t>
  </si>
  <si>
    <t>MVWE74</t>
  </si>
  <si>
    <t>MVWE75</t>
  </si>
  <si>
    <t>MVWE76</t>
  </si>
  <si>
    <t>MVWE77</t>
  </si>
  <si>
    <t>MVWE78</t>
  </si>
  <si>
    <t>MVWE79</t>
  </si>
  <si>
    <t>MVWE80</t>
  </si>
  <si>
    <t>MVWE81</t>
  </si>
  <si>
    <t>MVWE82</t>
  </si>
  <si>
    <t>MVWE83</t>
  </si>
  <si>
    <t>MVWE84</t>
  </si>
  <si>
    <t>MVWE85</t>
  </si>
  <si>
    <t>MVWE86</t>
  </si>
  <si>
    <t>MVWE87</t>
  </si>
  <si>
    <t>MVWE88</t>
  </si>
  <si>
    <t>MVWE89</t>
  </si>
  <si>
    <t>MVWE90</t>
  </si>
  <si>
    <t>MVWE91</t>
  </si>
  <si>
    <t>MVWE92</t>
  </si>
  <si>
    <t>MVWE93</t>
  </si>
  <si>
    <t>MVWE94</t>
  </si>
  <si>
    <t>MVWE95</t>
  </si>
  <si>
    <t>MVWE96</t>
  </si>
  <si>
    <t>MVWE97</t>
  </si>
  <si>
    <t>MVWE98</t>
  </si>
  <si>
    <t>MVWE99</t>
  </si>
  <si>
    <t>MVWE100</t>
  </si>
  <si>
    <t>MVWE101</t>
  </si>
  <si>
    <t>MVWE102</t>
  </si>
  <si>
    <t>MVWE103</t>
  </si>
  <si>
    <t>MVWE104</t>
  </si>
  <si>
    <t>Fini à Limeil-Brévannes, le vendredi 24 novembre 2017.</t>
  </si>
  <si>
    <t>Quantité des légumes par articles et par mois pour l'année 2018.</t>
  </si>
  <si>
    <t>Quantité des viandes par articles et par mois pour l'année 2018.</t>
  </si>
  <si>
    <t>Quantité des desserts par articles et par mois pour l'année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</si>
</sst>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4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rgb="FF000000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b/>
      <sz val="6"/>
      <color theme="1"/>
      <name val="Arial"/>
      <family val="2"/>
    </font>
    <font>
      <b/>
      <sz val="7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/>
    <xf numFmtId="0" fontId="3" fillId="0" borderId="0" xfId="1" applyFont="1"/>
    <xf numFmtId="1" fontId="1" fillId="0" borderId="0" xfId="0" applyNumberFormat="1" applyFont="1"/>
    <xf numFmtId="164" fontId="1" fillId="0" borderId="0" xfId="0" applyNumberFormat="1" applyFont="1"/>
    <xf numFmtId="17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7" fillId="0" borderId="0" xfId="0" applyFont="1"/>
    <xf numFmtId="14" fontId="4" fillId="0" borderId="0" xfId="0" applyNumberFormat="1" applyFont="1"/>
    <xf numFmtId="0" fontId="1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1" xfId="0" applyFont="1" applyBorder="1"/>
    <xf numFmtId="164" fontId="10" fillId="0" borderId="1" xfId="0" applyNumberFormat="1" applyFont="1" applyBorder="1"/>
    <xf numFmtId="0" fontId="10" fillId="0" borderId="1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164" fontId="10" fillId="0" borderId="0" xfId="0" applyNumberFormat="1" applyFont="1" applyBorder="1"/>
    <xf numFmtId="0" fontId="10" fillId="0" borderId="0" xfId="0" applyFont="1" applyBorder="1"/>
    <xf numFmtId="0" fontId="10" fillId="0" borderId="0" xfId="0" applyFont="1" applyBorder="1" applyAlignment="1">
      <alignment horizontal="left"/>
    </xf>
    <xf numFmtId="14" fontId="10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4" fillId="0" borderId="0" xfId="0" applyNumberFormat="1" applyFont="1"/>
    <xf numFmtId="0" fontId="1" fillId="0" borderId="0" xfId="0" applyFont="1" applyAlignment="1">
      <alignment horizontal="center"/>
    </xf>
    <xf numFmtId="164" fontId="4" fillId="0" borderId="0" xfId="0" applyNumberFormat="1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164" fontId="11" fillId="0" borderId="1" xfId="0" applyNumberFormat="1" applyFont="1" applyBorder="1"/>
    <xf numFmtId="0" fontId="11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164" fontId="7" fillId="0" borderId="1" xfId="0" applyNumberFormat="1" applyFont="1" applyBorder="1"/>
    <xf numFmtId="14" fontId="7" fillId="0" borderId="1" xfId="0" applyNumberFormat="1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4" fontId="8" fillId="0" borderId="1" xfId="0" applyNumberFormat="1" applyFont="1" applyBorder="1"/>
    <xf numFmtId="0" fontId="8" fillId="0" borderId="1" xfId="0" applyFont="1" applyBorder="1"/>
    <xf numFmtId="4" fontId="9" fillId="0" borderId="1" xfId="0" applyNumberFormat="1" applyFont="1" applyBorder="1"/>
    <xf numFmtId="164" fontId="9" fillId="0" borderId="1" xfId="0" applyNumberFormat="1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9</xdr:row>
          <xdr:rowOff>160020</xdr:rowOff>
        </xdr:from>
        <xdr:to>
          <xdr:col>4</xdr:col>
          <xdr:colOff>68580</xdr:colOff>
          <xdr:row>11</xdr:row>
          <xdr:rowOff>22860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0" anchor="t" upright="1"/>
            <a:lstStyle/>
            <a:p>
              <a:pPr algn="l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 saisie des référentiels</a:t>
              </a:r>
            </a:p>
            <a:p>
              <a:pPr algn="l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3</xdr:row>
          <xdr:rowOff>99060</xdr:rowOff>
        </xdr:from>
        <xdr:to>
          <xdr:col>3</xdr:col>
          <xdr:colOff>906780</xdr:colOff>
          <xdr:row>5</xdr:row>
          <xdr:rowOff>22860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 saisie des menus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ListeChoixMenus"/>
  <dimension ref="A1:G98"/>
  <sheetViews>
    <sheetView workbookViewId="0"/>
  </sheetViews>
  <sheetFormatPr baseColWidth="10" defaultColWidth="10.921875" defaultRowHeight="13.2" x14ac:dyDescent="0.25"/>
  <cols>
    <col min="1" max="1" width="12.69140625" style="1" bestFit="1" customWidth="1"/>
    <col min="2" max="2" width="28" style="1" bestFit="1" customWidth="1"/>
    <col min="3" max="3" width="19.61328125" style="1" bestFit="1" customWidth="1"/>
    <col min="4" max="4" width="21.3828125" style="1" bestFit="1" customWidth="1"/>
    <col min="5" max="5" width="33.61328125" style="1" bestFit="1" customWidth="1"/>
    <col min="6" max="6" width="18.07421875" style="1" bestFit="1" customWidth="1"/>
    <col min="7" max="7" width="12" style="1" bestFit="1" customWidth="1"/>
    <col min="8" max="16384" width="10.921875" style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192</v>
      </c>
      <c r="G1" s="1" t="s">
        <v>9</v>
      </c>
    </row>
    <row r="2" spans="1:7" ht="12.75" customHeight="1" x14ac:dyDescent="0.25">
      <c r="A2" s="1" t="s">
        <v>5</v>
      </c>
      <c r="B2" s="1" t="s">
        <v>18</v>
      </c>
      <c r="C2" s="1" t="s">
        <v>11</v>
      </c>
      <c r="D2" s="1" t="s">
        <v>12</v>
      </c>
      <c r="E2" s="1" t="s">
        <v>13</v>
      </c>
      <c r="F2" s="4" t="s">
        <v>14</v>
      </c>
      <c r="G2" s="5" t="s">
        <v>173</v>
      </c>
    </row>
    <row r="3" spans="1:7" ht="12.75" customHeight="1" x14ac:dyDescent="0.25">
      <c r="A3" s="1" t="s">
        <v>6</v>
      </c>
      <c r="B3" s="1" t="s">
        <v>10</v>
      </c>
      <c r="C3" s="1" t="s">
        <v>19</v>
      </c>
      <c r="D3" s="1" t="s">
        <v>20</v>
      </c>
      <c r="E3" s="1" t="s">
        <v>21</v>
      </c>
      <c r="F3" s="4" t="s">
        <v>22</v>
      </c>
      <c r="G3" s="5" t="s">
        <v>174</v>
      </c>
    </row>
    <row r="4" spans="1:7" ht="12.75" customHeight="1" x14ac:dyDescent="0.25">
      <c r="A4" s="1" t="s">
        <v>7</v>
      </c>
      <c r="B4" s="1" t="s">
        <v>544</v>
      </c>
      <c r="C4" s="1" t="s">
        <v>26</v>
      </c>
      <c r="D4" s="1" t="s">
        <v>27</v>
      </c>
      <c r="E4" s="1" t="s">
        <v>28</v>
      </c>
      <c r="F4" s="4" t="s">
        <v>29</v>
      </c>
      <c r="G4" s="5" t="s">
        <v>175</v>
      </c>
    </row>
    <row r="5" spans="1:7" ht="12.75" customHeight="1" x14ac:dyDescent="0.25">
      <c r="A5" s="1" t="s">
        <v>2</v>
      </c>
      <c r="B5" s="1" t="s">
        <v>543</v>
      </c>
      <c r="C5" s="1" t="s">
        <v>32</v>
      </c>
      <c r="D5" s="1" t="s">
        <v>33</v>
      </c>
      <c r="E5" s="1" t="s">
        <v>34</v>
      </c>
      <c r="F5" s="4" t="s">
        <v>35</v>
      </c>
      <c r="G5" s="5" t="s">
        <v>176</v>
      </c>
    </row>
    <row r="6" spans="1:7" ht="12.75" customHeight="1" x14ac:dyDescent="0.25">
      <c r="A6" s="1" t="s">
        <v>9</v>
      </c>
      <c r="B6" s="1" t="s">
        <v>8</v>
      </c>
      <c r="C6" s="1" t="s">
        <v>38</v>
      </c>
      <c r="D6" s="1" t="s">
        <v>39</v>
      </c>
      <c r="E6" s="1" t="s">
        <v>40</v>
      </c>
      <c r="F6" s="4" t="s">
        <v>41</v>
      </c>
      <c r="G6" s="5" t="s">
        <v>177</v>
      </c>
    </row>
    <row r="7" spans="1:7" ht="12.75" customHeight="1" x14ac:dyDescent="0.25">
      <c r="A7" s="1" t="s">
        <v>8</v>
      </c>
      <c r="B7" s="1" t="s">
        <v>545</v>
      </c>
      <c r="C7" s="1" t="s">
        <v>44</v>
      </c>
      <c r="D7" s="1" t="s">
        <v>45</v>
      </c>
      <c r="E7" s="1" t="s">
        <v>46</v>
      </c>
      <c r="F7" s="4" t="s">
        <v>47</v>
      </c>
      <c r="G7" s="5" t="s">
        <v>178</v>
      </c>
    </row>
    <row r="8" spans="1:7" ht="12.75" customHeight="1" x14ac:dyDescent="0.25">
      <c r="B8" s="1" t="s">
        <v>546</v>
      </c>
      <c r="C8" s="1" t="s">
        <v>50</v>
      </c>
      <c r="D8" s="1" t="s">
        <v>51</v>
      </c>
      <c r="E8" s="1" t="s">
        <v>224</v>
      </c>
      <c r="F8" s="4" t="s">
        <v>52</v>
      </c>
      <c r="G8" s="5" t="s">
        <v>179</v>
      </c>
    </row>
    <row r="9" spans="1:7" ht="12.75" customHeight="1" x14ac:dyDescent="0.25">
      <c r="B9" s="5" t="s">
        <v>547</v>
      </c>
      <c r="C9" s="1" t="s">
        <v>55</v>
      </c>
      <c r="D9" s="1" t="s">
        <v>56</v>
      </c>
      <c r="E9" s="1" t="s">
        <v>57</v>
      </c>
      <c r="F9" s="4" t="s">
        <v>58</v>
      </c>
      <c r="G9" s="5" t="s">
        <v>180</v>
      </c>
    </row>
    <row r="10" spans="1:7" ht="12.75" customHeight="1" x14ac:dyDescent="0.25">
      <c r="B10" s="1" t="s">
        <v>548</v>
      </c>
      <c r="C10" s="1" t="s">
        <v>61</v>
      </c>
      <c r="D10" s="1" t="s">
        <v>62</v>
      </c>
      <c r="E10" s="1" t="s">
        <v>63</v>
      </c>
      <c r="F10" s="4" t="s">
        <v>64</v>
      </c>
      <c r="G10" s="5" t="s">
        <v>181</v>
      </c>
    </row>
    <row r="11" spans="1:7" ht="12.75" customHeight="1" x14ac:dyDescent="0.25">
      <c r="B11" s="1" t="s">
        <v>549</v>
      </c>
      <c r="C11" s="1" t="s">
        <v>67</v>
      </c>
      <c r="D11" s="1" t="s">
        <v>68</v>
      </c>
      <c r="E11" s="1" t="s">
        <v>69</v>
      </c>
      <c r="F11" s="4" t="s">
        <v>70</v>
      </c>
      <c r="G11" s="5" t="s">
        <v>182</v>
      </c>
    </row>
    <row r="12" spans="1:7" ht="12.75" customHeight="1" x14ac:dyDescent="0.25">
      <c r="A12" s="5"/>
      <c r="B12" s="5" t="s">
        <v>550</v>
      </c>
      <c r="C12" s="5" t="s">
        <v>73</v>
      </c>
      <c r="D12" s="1" t="s">
        <v>74</v>
      </c>
      <c r="E12" s="1" t="s">
        <v>75</v>
      </c>
      <c r="F12" s="4" t="s">
        <v>76</v>
      </c>
      <c r="G12" s="5" t="s">
        <v>168</v>
      </c>
    </row>
    <row r="13" spans="1:7" x14ac:dyDescent="0.25">
      <c r="B13" s="1" t="s">
        <v>551</v>
      </c>
      <c r="C13" s="1" t="s">
        <v>79</v>
      </c>
      <c r="D13" s="1" t="s">
        <v>80</v>
      </c>
      <c r="E13" s="1" t="s">
        <v>81</v>
      </c>
      <c r="F13" s="4" t="s">
        <v>82</v>
      </c>
      <c r="G13" s="5" t="s">
        <v>169</v>
      </c>
    </row>
    <row r="14" spans="1:7" x14ac:dyDescent="0.25">
      <c r="B14" s="1" t="s">
        <v>552</v>
      </c>
      <c r="C14" s="1" t="s">
        <v>86</v>
      </c>
      <c r="E14" s="1" t="s">
        <v>87</v>
      </c>
      <c r="F14" s="4" t="s">
        <v>88</v>
      </c>
    </row>
    <row r="15" spans="1:7" ht="12.75" x14ac:dyDescent="0.2">
      <c r="B15" s="1" t="s">
        <v>553</v>
      </c>
      <c r="E15" s="1" t="s">
        <v>91</v>
      </c>
      <c r="F15" s="4" t="s">
        <v>92</v>
      </c>
    </row>
    <row r="16" spans="1:7" ht="12.75" x14ac:dyDescent="0.2">
      <c r="B16" s="1" t="s">
        <v>554</v>
      </c>
      <c r="E16" s="1" t="s">
        <v>95</v>
      </c>
      <c r="F16" s="4" t="s">
        <v>96</v>
      </c>
    </row>
    <row r="17" spans="1:6" ht="12.75" x14ac:dyDescent="0.2">
      <c r="B17" s="1" t="s">
        <v>555</v>
      </c>
      <c r="E17" s="1" t="s">
        <v>99</v>
      </c>
      <c r="F17" s="4" t="s">
        <v>100</v>
      </c>
    </row>
    <row r="18" spans="1:6" x14ac:dyDescent="0.25">
      <c r="A18" s="5"/>
      <c r="B18" s="5" t="s">
        <v>556</v>
      </c>
      <c r="C18" s="5"/>
      <c r="E18" s="1" t="s">
        <v>103</v>
      </c>
      <c r="F18" s="4" t="s">
        <v>104</v>
      </c>
    </row>
    <row r="19" spans="1:6" ht="12.75" x14ac:dyDescent="0.2">
      <c r="A19" s="5"/>
      <c r="B19" s="1" t="s">
        <v>557</v>
      </c>
      <c r="C19" s="5"/>
      <c r="E19" s="1" t="s">
        <v>107</v>
      </c>
      <c r="F19" s="4" t="s">
        <v>108</v>
      </c>
    </row>
    <row r="20" spans="1:6" x14ac:dyDescent="0.25">
      <c r="B20" s="1" t="s">
        <v>558</v>
      </c>
      <c r="E20" s="1" t="s">
        <v>111</v>
      </c>
      <c r="F20" s="4" t="s">
        <v>93</v>
      </c>
    </row>
    <row r="21" spans="1:6" x14ac:dyDescent="0.25">
      <c r="B21" s="5" t="s">
        <v>559</v>
      </c>
      <c r="E21" s="1" t="s">
        <v>114</v>
      </c>
      <c r="F21" s="4" t="s">
        <v>115</v>
      </c>
    </row>
    <row r="22" spans="1:6" ht="12.75" x14ac:dyDescent="0.2">
      <c r="B22" s="1" t="s">
        <v>560</v>
      </c>
      <c r="E22" s="1" t="s">
        <v>118</v>
      </c>
      <c r="F22" s="4" t="s">
        <v>119</v>
      </c>
    </row>
    <row r="23" spans="1:6" ht="12.75" x14ac:dyDescent="0.2">
      <c r="B23" s="1" t="s">
        <v>561</v>
      </c>
      <c r="E23" s="1" t="s">
        <v>121</v>
      </c>
      <c r="F23" s="4" t="s">
        <v>122</v>
      </c>
    </row>
    <row r="24" spans="1:6" ht="12.75" x14ac:dyDescent="0.2">
      <c r="B24" s="5" t="s">
        <v>562</v>
      </c>
      <c r="E24" s="1" t="s">
        <v>125</v>
      </c>
      <c r="F24" s="4" t="s">
        <v>16</v>
      </c>
    </row>
    <row r="25" spans="1:6" ht="12.75" customHeight="1" x14ac:dyDescent="0.2">
      <c r="B25" s="1" t="s">
        <v>563</v>
      </c>
      <c r="E25" s="1" t="s">
        <v>128</v>
      </c>
      <c r="F25" s="4" t="s">
        <v>23</v>
      </c>
    </row>
    <row r="26" spans="1:6" ht="12.75" customHeight="1" x14ac:dyDescent="0.25">
      <c r="B26" s="1" t="s">
        <v>564</v>
      </c>
      <c r="E26" s="1" t="s">
        <v>131</v>
      </c>
      <c r="F26" s="4" t="s">
        <v>30</v>
      </c>
    </row>
    <row r="27" spans="1:6" ht="12.75" customHeight="1" x14ac:dyDescent="0.25">
      <c r="B27" s="1" t="s">
        <v>565</v>
      </c>
      <c r="E27" s="1" t="s">
        <v>134</v>
      </c>
      <c r="F27" s="4" t="s">
        <v>36</v>
      </c>
    </row>
    <row r="28" spans="1:6" ht="12.75" customHeight="1" x14ac:dyDescent="0.25">
      <c r="B28" s="1" t="s">
        <v>566</v>
      </c>
      <c r="E28" s="1" t="s">
        <v>137</v>
      </c>
      <c r="F28" s="4" t="s">
        <v>42</v>
      </c>
    </row>
    <row r="29" spans="1:6" ht="12.75" customHeight="1" x14ac:dyDescent="0.25">
      <c r="B29" s="1" t="s">
        <v>567</v>
      </c>
      <c r="E29" s="1" t="s">
        <v>140</v>
      </c>
      <c r="F29" s="4" t="s">
        <v>48</v>
      </c>
    </row>
    <row r="30" spans="1:6" ht="12.75" customHeight="1" x14ac:dyDescent="0.25">
      <c r="B30" s="5" t="s">
        <v>568</v>
      </c>
      <c r="E30" s="1" t="s">
        <v>143</v>
      </c>
      <c r="F30" s="4" t="s">
        <v>53</v>
      </c>
    </row>
    <row r="31" spans="1:6" ht="12.75" customHeight="1" x14ac:dyDescent="0.25">
      <c r="B31" s="1" t="s">
        <v>569</v>
      </c>
      <c r="E31" s="1" t="s">
        <v>146</v>
      </c>
      <c r="F31" s="4" t="s">
        <v>59</v>
      </c>
    </row>
    <row r="32" spans="1:6" ht="12.75" customHeight="1" x14ac:dyDescent="0.25">
      <c r="B32" s="1" t="s">
        <v>570</v>
      </c>
      <c r="E32" s="1" t="s">
        <v>149</v>
      </c>
      <c r="F32" s="4" t="s">
        <v>65</v>
      </c>
    </row>
    <row r="33" spans="2:6" ht="12.75" customHeight="1" x14ac:dyDescent="0.25">
      <c r="B33" s="5"/>
      <c r="E33" s="1" t="s">
        <v>152</v>
      </c>
      <c r="F33" s="4" t="s">
        <v>71</v>
      </c>
    </row>
    <row r="34" spans="2:6" ht="12.75" customHeight="1" x14ac:dyDescent="0.25">
      <c r="E34" s="1" t="s">
        <v>155</v>
      </c>
      <c r="F34" s="4" t="s">
        <v>77</v>
      </c>
    </row>
    <row r="35" spans="2:6" ht="12.75" customHeight="1" x14ac:dyDescent="0.25">
      <c r="F35" s="4" t="s">
        <v>83</v>
      </c>
    </row>
    <row r="36" spans="2:6" ht="12.75" customHeight="1" x14ac:dyDescent="0.25">
      <c r="B36" s="5"/>
      <c r="F36" s="4" t="s">
        <v>89</v>
      </c>
    </row>
    <row r="37" spans="2:6" ht="12.75" customHeight="1" x14ac:dyDescent="0.25">
      <c r="F37" s="4" t="s">
        <v>93</v>
      </c>
    </row>
    <row r="38" spans="2:6" ht="12.75" customHeight="1" x14ac:dyDescent="0.25">
      <c r="F38" s="4" t="s">
        <v>97</v>
      </c>
    </row>
    <row r="39" spans="2:6" ht="12.75" customHeight="1" x14ac:dyDescent="0.25">
      <c r="F39" s="4" t="s">
        <v>101</v>
      </c>
    </row>
    <row r="40" spans="2:6" ht="12.75" customHeight="1" x14ac:dyDescent="0.25">
      <c r="F40" s="4" t="s">
        <v>105</v>
      </c>
    </row>
    <row r="41" spans="2:6" x14ac:dyDescent="0.25">
      <c r="F41" s="4" t="s">
        <v>109</v>
      </c>
    </row>
    <row r="42" spans="2:6" x14ac:dyDescent="0.25">
      <c r="B42" s="5"/>
      <c r="F42" s="4" t="s">
        <v>112</v>
      </c>
    </row>
    <row r="43" spans="2:6" x14ac:dyDescent="0.25">
      <c r="F43" s="4" t="s">
        <v>116</v>
      </c>
    </row>
    <row r="44" spans="2:6" x14ac:dyDescent="0.25">
      <c r="F44" s="4" t="s">
        <v>15</v>
      </c>
    </row>
    <row r="45" spans="2:6" x14ac:dyDescent="0.25">
      <c r="F45" s="4" t="s">
        <v>123</v>
      </c>
    </row>
    <row r="46" spans="2:6" x14ac:dyDescent="0.25">
      <c r="F46" s="4" t="s">
        <v>126</v>
      </c>
    </row>
    <row r="47" spans="2:6" x14ac:dyDescent="0.25">
      <c r="F47" s="4" t="s">
        <v>129</v>
      </c>
    </row>
    <row r="48" spans="2:6" x14ac:dyDescent="0.25">
      <c r="F48" s="4" t="s">
        <v>132</v>
      </c>
    </row>
    <row r="49" spans="6:6" x14ac:dyDescent="0.25">
      <c r="F49" s="4" t="s">
        <v>135</v>
      </c>
    </row>
    <row r="50" spans="6:6" x14ac:dyDescent="0.25">
      <c r="F50" s="4" t="s">
        <v>138</v>
      </c>
    </row>
    <row r="51" spans="6:6" x14ac:dyDescent="0.25">
      <c r="F51" s="4" t="s">
        <v>141</v>
      </c>
    </row>
    <row r="52" spans="6:6" x14ac:dyDescent="0.25">
      <c r="F52" s="4" t="s">
        <v>144</v>
      </c>
    </row>
    <row r="53" spans="6:6" x14ac:dyDescent="0.25">
      <c r="F53" s="4" t="s">
        <v>147</v>
      </c>
    </row>
    <row r="54" spans="6:6" x14ac:dyDescent="0.25">
      <c r="F54" s="4" t="s">
        <v>150</v>
      </c>
    </row>
    <row r="55" spans="6:6" x14ac:dyDescent="0.25">
      <c r="F55" s="4" t="s">
        <v>153</v>
      </c>
    </row>
    <row r="56" spans="6:6" x14ac:dyDescent="0.25">
      <c r="F56" s="4" t="s">
        <v>156</v>
      </c>
    </row>
    <row r="57" spans="6:6" x14ac:dyDescent="0.25">
      <c r="F57" s="4" t="s">
        <v>158</v>
      </c>
    </row>
    <row r="58" spans="6:6" x14ac:dyDescent="0.25">
      <c r="F58" s="4" t="s">
        <v>160</v>
      </c>
    </row>
    <row r="59" spans="6:6" x14ac:dyDescent="0.25">
      <c r="F59" s="4" t="s">
        <v>162</v>
      </c>
    </row>
    <row r="60" spans="6:6" x14ac:dyDescent="0.25">
      <c r="F60" s="4" t="s">
        <v>17</v>
      </c>
    </row>
    <row r="61" spans="6:6" x14ac:dyDescent="0.25">
      <c r="F61" s="4" t="s">
        <v>24</v>
      </c>
    </row>
    <row r="62" spans="6:6" x14ac:dyDescent="0.25">
      <c r="F62" s="4" t="s">
        <v>31</v>
      </c>
    </row>
    <row r="63" spans="6:6" x14ac:dyDescent="0.25">
      <c r="F63" s="4" t="s">
        <v>37</v>
      </c>
    </row>
    <row r="64" spans="6:6" x14ac:dyDescent="0.25">
      <c r="F64" s="4" t="s">
        <v>43</v>
      </c>
    </row>
    <row r="65" spans="6:6" x14ac:dyDescent="0.25">
      <c r="F65" s="4" t="s">
        <v>49</v>
      </c>
    </row>
    <row r="66" spans="6:6" x14ac:dyDescent="0.25">
      <c r="F66" s="4" t="s">
        <v>54</v>
      </c>
    </row>
    <row r="67" spans="6:6" x14ac:dyDescent="0.25">
      <c r="F67" s="4" t="s">
        <v>60</v>
      </c>
    </row>
    <row r="68" spans="6:6" x14ac:dyDescent="0.25">
      <c r="F68" s="4" t="s">
        <v>66</v>
      </c>
    </row>
    <row r="69" spans="6:6" x14ac:dyDescent="0.25">
      <c r="F69" s="4" t="s">
        <v>72</v>
      </c>
    </row>
    <row r="70" spans="6:6" x14ac:dyDescent="0.25">
      <c r="F70" s="4" t="s">
        <v>78</v>
      </c>
    </row>
    <row r="71" spans="6:6" x14ac:dyDescent="0.25">
      <c r="F71" s="4" t="s">
        <v>84</v>
      </c>
    </row>
    <row r="72" spans="6:6" x14ac:dyDescent="0.25">
      <c r="F72" s="4" t="s">
        <v>90</v>
      </c>
    </row>
    <row r="73" spans="6:6" x14ac:dyDescent="0.25">
      <c r="F73" s="4" t="s">
        <v>94</v>
      </c>
    </row>
    <row r="74" spans="6:6" x14ac:dyDescent="0.25">
      <c r="F74" s="4" t="s">
        <v>98</v>
      </c>
    </row>
    <row r="75" spans="6:6" x14ac:dyDescent="0.25">
      <c r="F75" s="4" t="s">
        <v>102</v>
      </c>
    </row>
    <row r="76" spans="6:6" x14ac:dyDescent="0.25">
      <c r="F76" s="4" t="s">
        <v>106</v>
      </c>
    </row>
    <row r="77" spans="6:6" x14ac:dyDescent="0.25">
      <c r="F77" s="4" t="s">
        <v>110</v>
      </c>
    </row>
    <row r="78" spans="6:6" x14ac:dyDescent="0.25">
      <c r="F78" s="4" t="s">
        <v>113</v>
      </c>
    </row>
    <row r="79" spans="6:6" x14ac:dyDescent="0.25">
      <c r="F79" s="4" t="s">
        <v>117</v>
      </c>
    </row>
    <row r="80" spans="6:6" x14ac:dyDescent="0.25">
      <c r="F80" s="4" t="s">
        <v>120</v>
      </c>
    </row>
    <row r="81" spans="6:6" x14ac:dyDescent="0.25">
      <c r="F81" s="4" t="s">
        <v>124</v>
      </c>
    </row>
    <row r="82" spans="6:6" x14ac:dyDescent="0.25">
      <c r="F82" s="4" t="s">
        <v>127</v>
      </c>
    </row>
    <row r="83" spans="6:6" x14ac:dyDescent="0.25">
      <c r="F83" s="4" t="s">
        <v>130</v>
      </c>
    </row>
    <row r="84" spans="6:6" x14ac:dyDescent="0.25">
      <c r="F84" s="4" t="s">
        <v>133</v>
      </c>
    </row>
    <row r="85" spans="6:6" x14ac:dyDescent="0.25">
      <c r="F85" s="4" t="s">
        <v>136</v>
      </c>
    </row>
    <row r="86" spans="6:6" x14ac:dyDescent="0.25">
      <c r="F86" s="4" t="s">
        <v>139</v>
      </c>
    </row>
    <row r="87" spans="6:6" x14ac:dyDescent="0.25">
      <c r="F87" s="4" t="s">
        <v>142</v>
      </c>
    </row>
    <row r="88" spans="6:6" x14ac:dyDescent="0.25">
      <c r="F88" s="4" t="s">
        <v>145</v>
      </c>
    </row>
    <row r="89" spans="6:6" x14ac:dyDescent="0.25">
      <c r="F89" s="4" t="s">
        <v>148</v>
      </c>
    </row>
    <row r="90" spans="6:6" x14ac:dyDescent="0.25">
      <c r="F90" s="4" t="s">
        <v>151</v>
      </c>
    </row>
    <row r="91" spans="6:6" x14ac:dyDescent="0.25">
      <c r="F91" s="4" t="s">
        <v>154</v>
      </c>
    </row>
    <row r="92" spans="6:6" x14ac:dyDescent="0.25">
      <c r="F92" s="4" t="s">
        <v>157</v>
      </c>
    </row>
    <row r="93" spans="6:6" x14ac:dyDescent="0.25">
      <c r="F93" s="4" t="s">
        <v>159</v>
      </c>
    </row>
    <row r="94" spans="6:6" x14ac:dyDescent="0.25">
      <c r="F94" s="4" t="s">
        <v>161</v>
      </c>
    </row>
    <row r="95" spans="6:6" x14ac:dyDescent="0.25">
      <c r="F95" s="4" t="s">
        <v>163</v>
      </c>
    </row>
    <row r="96" spans="6:6" x14ac:dyDescent="0.25">
      <c r="F96" s="4" t="s">
        <v>164</v>
      </c>
    </row>
    <row r="97" spans="6:6" x14ac:dyDescent="0.25">
      <c r="F97" s="4" t="s">
        <v>165</v>
      </c>
    </row>
    <row r="98" spans="6:6" x14ac:dyDescent="0.25">
      <c r="F98" s="4" t="s">
        <v>166</v>
      </c>
    </row>
  </sheetData>
  <sortState ref="B2:B6">
    <sortCondition ref="B2"/>
  </sortState>
  <printOptions headings="1" gridLines="1"/>
  <pageMargins left="0" right="0" top="0" bottom="0" header="0" footer="0"/>
  <pageSetup paperSize="9" orientation="landscape" horizontalDpi="0" verticalDpi="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Accueil"/>
  <dimension ref="A1:A23"/>
  <sheetViews>
    <sheetView workbookViewId="0">
      <selection activeCell="A5" sqref="A5"/>
    </sheetView>
  </sheetViews>
  <sheetFormatPr baseColWidth="10" defaultColWidth="10.921875" defaultRowHeight="13.2" x14ac:dyDescent="0.25"/>
  <cols>
    <col min="1" max="1" width="15.84375" style="1" bestFit="1" customWidth="1"/>
    <col min="2" max="16384" width="10.921875" style="1"/>
  </cols>
  <sheetData>
    <row r="1" spans="1:1" ht="12.75" x14ac:dyDescent="0.2">
      <c r="A1" s="11" t="s">
        <v>167</v>
      </c>
    </row>
    <row r="3" spans="1:1" ht="12.75" x14ac:dyDescent="0.2">
      <c r="A3" s="1" t="s">
        <v>184</v>
      </c>
    </row>
    <row r="4" spans="1:1" x14ac:dyDescent="0.25">
      <c r="A4" s="1" t="s">
        <v>183</v>
      </c>
    </row>
    <row r="5" spans="1:1" x14ac:dyDescent="0.25">
      <c r="A5" s="1" t="s">
        <v>226</v>
      </c>
    </row>
    <row r="6" spans="1:1" ht="12.75" x14ac:dyDescent="0.2">
      <c r="A6" s="1" t="s">
        <v>10</v>
      </c>
    </row>
    <row r="7" spans="1:1" ht="12.75" x14ac:dyDescent="0.2">
      <c r="A7" s="1" t="s">
        <v>18</v>
      </c>
    </row>
    <row r="8" spans="1:1" ht="12.75" x14ac:dyDescent="0.2">
      <c r="A8" s="1" t="s">
        <v>25</v>
      </c>
    </row>
    <row r="9" spans="1:1" x14ac:dyDescent="0.25">
      <c r="A9" s="1" t="s">
        <v>170</v>
      </c>
    </row>
    <row r="10" spans="1:1" x14ac:dyDescent="0.25">
      <c r="A10" s="1" t="s">
        <v>171</v>
      </c>
    </row>
    <row r="11" spans="1:1" x14ac:dyDescent="0.25">
      <c r="A11" s="1" t="s">
        <v>172</v>
      </c>
    </row>
    <row r="12" spans="1:1" ht="12.75" x14ac:dyDescent="0.2">
      <c r="A12" s="1" t="s">
        <v>173</v>
      </c>
    </row>
    <row r="13" spans="1:1" x14ac:dyDescent="0.25">
      <c r="A13" s="1" t="s">
        <v>174</v>
      </c>
    </row>
    <row r="14" spans="1:1" ht="12.75" x14ac:dyDescent="0.2">
      <c r="A14" s="1" t="s">
        <v>175</v>
      </c>
    </row>
    <row r="15" spans="1:1" ht="12.75" x14ac:dyDescent="0.2">
      <c r="A15" s="1" t="s">
        <v>176</v>
      </c>
    </row>
    <row r="16" spans="1:1" ht="12.75" x14ac:dyDescent="0.2">
      <c r="A16" s="1" t="s">
        <v>177</v>
      </c>
    </row>
    <row r="17" spans="1:1" ht="12.75" x14ac:dyDescent="0.2">
      <c r="A17" s="1" t="s">
        <v>178</v>
      </c>
    </row>
    <row r="18" spans="1:1" ht="12.75" x14ac:dyDescent="0.2">
      <c r="A18" s="1" t="s">
        <v>179</v>
      </c>
    </row>
    <row r="19" spans="1:1" x14ac:dyDescent="0.25">
      <c r="A19" s="1" t="s">
        <v>180</v>
      </c>
    </row>
    <row r="20" spans="1:1" ht="12.75" x14ac:dyDescent="0.2">
      <c r="A20" s="1" t="s">
        <v>181</v>
      </c>
    </row>
    <row r="21" spans="1:1" ht="12.75" x14ac:dyDescent="0.2">
      <c r="A21" s="1" t="s">
        <v>182</v>
      </c>
    </row>
    <row r="22" spans="1:1" ht="12.75" x14ac:dyDescent="0.2">
      <c r="A22" s="1" t="s">
        <v>168</v>
      </c>
    </row>
    <row r="23" spans="1:1" x14ac:dyDescent="0.25">
      <c r="A23" s="1" t="s">
        <v>169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SaisieDesRéférentiels"/>
  <dimension ref="A1:C11"/>
  <sheetViews>
    <sheetView workbookViewId="0">
      <selection sqref="A1:B1"/>
    </sheetView>
  </sheetViews>
  <sheetFormatPr baseColWidth="10" defaultColWidth="10.921875" defaultRowHeight="13.2" x14ac:dyDescent="0.25"/>
  <cols>
    <col min="1" max="1" width="19.69140625" style="1" bestFit="1" customWidth="1"/>
    <col min="2" max="2" width="43.69140625" style="1" bestFit="1" customWidth="1"/>
    <col min="3" max="3" width="7" style="1" bestFit="1" customWidth="1"/>
    <col min="4" max="16384" width="10.921875" style="1"/>
  </cols>
  <sheetData>
    <row r="1" spans="1:3" x14ac:dyDescent="0.25">
      <c r="A1" s="64" t="s">
        <v>183</v>
      </c>
      <c r="B1" s="64"/>
      <c r="C1" s="6" t="s">
        <v>167</v>
      </c>
    </row>
    <row r="3" spans="1:3" x14ac:dyDescent="0.25">
      <c r="A3" s="1" t="s">
        <v>198</v>
      </c>
      <c r="B3" s="7" t="s">
        <v>511</v>
      </c>
    </row>
    <row r="4" spans="1:3" x14ac:dyDescent="0.25">
      <c r="A4" s="1" t="s">
        <v>185</v>
      </c>
      <c r="B4" s="1" t="s">
        <v>9</v>
      </c>
    </row>
    <row r="5" spans="1:3" ht="12.75" x14ac:dyDescent="0.2">
      <c r="A5" s="1" t="str">
        <f>IF($B$4="Desserts","Desserts",IF($B$4="Légume deux","légumes deux",IF($B$4="Légumes","Légumes",IF($B$4="Observations","Observations",IF($B$4="Viandes","Viandes",IF($B$4="période concernée","Période concernée",""))))))</f>
        <v>Période concernée</v>
      </c>
    </row>
    <row r="6" spans="1:3" x14ac:dyDescent="0.25">
      <c r="A6" s="1" t="s">
        <v>186</v>
      </c>
      <c r="B6" s="8">
        <v>43036</v>
      </c>
      <c r="C6" s="9"/>
    </row>
    <row r="7" spans="1:3" x14ac:dyDescent="0.25">
      <c r="A7" s="1" t="s">
        <v>187</v>
      </c>
      <c r="B7" s="1" t="s">
        <v>512</v>
      </c>
    </row>
    <row r="8" spans="1:3" x14ac:dyDescent="0.25">
      <c r="A8" s="1" t="s">
        <v>188</v>
      </c>
      <c r="B8" s="1" t="s">
        <v>85</v>
      </c>
    </row>
    <row r="9" spans="1:3" ht="12.75" x14ac:dyDescent="0.2">
      <c r="A9" s="1" t="s">
        <v>189</v>
      </c>
    </row>
    <row r="10" spans="1:3" ht="12.75" x14ac:dyDescent="0.2">
      <c r="A10" s="1" t="s">
        <v>190</v>
      </c>
    </row>
    <row r="11" spans="1:3" ht="12.75" x14ac:dyDescent="0.2">
      <c r="A11" s="1" t="s">
        <v>191</v>
      </c>
    </row>
  </sheetData>
  <mergeCells count="1">
    <mergeCell ref="A1:B1"/>
  </mergeCells>
  <dataValidations disablePrompts="1" count="5">
    <dataValidation type="list" allowBlank="1" showInputMessage="1" showErrorMessage="1" sqref="B4">
      <formula1>Nature_des_produits</formula1>
    </dataValidation>
    <dataValidation type="list" allowBlank="1" showInputMessage="1" showErrorMessage="1" sqref="B9">
      <formula1>Jours</formula1>
    </dataValidation>
    <dataValidation type="list" allowBlank="1" showInputMessage="1" showErrorMessage="1" sqref="B10">
      <formula1>Conditionnement</formula1>
    </dataValidation>
    <dataValidation type="list" allowBlank="1" showInputMessage="1" showErrorMessage="1" sqref="B11">
      <formula1>Destination_du_produit</formula1>
    </dataValidation>
    <dataValidation type="list" allowBlank="1" showInputMessage="1" showErrorMessage="1" sqref="B8">
      <formula1>Aliments</formula1>
    </dataValidation>
  </dataValidations>
  <hyperlinks>
    <hyperlink ref="C1" location="Accueil!A1" display="Accueil"/>
  </hyperlinks>
  <printOptions headings="1" gridLines="1"/>
  <pageMargins left="0" right="0" top="0" bottom="0" header="0" footer="0"/>
  <pageSetup paperSize="9" orientation="landscape" r:id="rId1"/>
  <headerFooter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Valider_saisie_des_référentiels.Valider_saisie_des_référentiels">
                <anchor moveWithCells="1" sizeWithCells="1">
                  <from>
                    <xdr:col>2</xdr:col>
                    <xdr:colOff>7620</xdr:colOff>
                    <xdr:row>9</xdr:row>
                    <xdr:rowOff>160020</xdr:rowOff>
                  </from>
                  <to>
                    <xdr:col>4</xdr:col>
                    <xdr:colOff>68580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ListeRéférentiels"/>
  <dimension ref="A1:AK65"/>
  <sheetViews>
    <sheetView workbookViewId="0">
      <selection sqref="A1:AJ1"/>
    </sheetView>
  </sheetViews>
  <sheetFormatPr baseColWidth="10" defaultColWidth="11.07421875" defaultRowHeight="13.2" x14ac:dyDescent="0.25"/>
  <cols>
    <col min="1" max="1" width="9.4609375" style="1" bestFit="1" customWidth="1"/>
    <col min="2" max="2" width="18.07421875" style="1" bestFit="1" customWidth="1"/>
    <col min="3" max="3" width="21.3828125" style="1" customWidth="1"/>
    <col min="4" max="4" width="33.61328125" style="1" bestFit="1" customWidth="1"/>
    <col min="5" max="5" width="13.15234375" style="1" bestFit="1" customWidth="1"/>
    <col min="6" max="6" width="15.69140625" style="1" bestFit="1" customWidth="1"/>
    <col min="7" max="7" width="16" style="1" bestFit="1" customWidth="1"/>
    <col min="8" max="8" width="11.84375" style="1" bestFit="1" customWidth="1"/>
    <col min="9" max="9" width="8.69140625" style="1" customWidth="1"/>
    <col min="10" max="10" width="11.4609375" style="1" customWidth="1"/>
    <col min="11" max="11" width="19.53515625" style="1" bestFit="1" customWidth="1"/>
    <col min="12" max="12" width="15.53515625" style="1" bestFit="1" customWidth="1"/>
    <col min="13" max="13" width="18.84375" style="1" bestFit="1" customWidth="1"/>
    <col min="14" max="14" width="16.84375" style="1" bestFit="1" customWidth="1"/>
    <col min="15" max="15" width="9.23046875" style="1" customWidth="1"/>
    <col min="16" max="16" width="18.3828125" style="1" customWidth="1"/>
    <col min="17" max="17" width="14.07421875" style="1" customWidth="1"/>
    <col min="18" max="18" width="20.4609375" style="1" bestFit="1" customWidth="1"/>
    <col min="19" max="19" width="12.921875" style="1" bestFit="1" customWidth="1"/>
    <col min="20" max="20" width="16.23046875" style="1" bestFit="1" customWidth="1"/>
    <col min="21" max="21" width="16" style="1" bestFit="1" customWidth="1"/>
    <col min="22" max="22" width="8.84375" style="1" customWidth="1"/>
    <col min="23" max="23" width="14.921875" style="1" customWidth="1"/>
    <col min="24" max="24" width="16.3828125" style="1" customWidth="1"/>
    <col min="25" max="25" width="33.15234375" style="1" bestFit="1" customWidth="1"/>
    <col min="26" max="26" width="15.84375" style="1" bestFit="1" customWidth="1"/>
    <col min="27" max="27" width="15.69140625" style="1" bestFit="1" customWidth="1"/>
    <col min="28" max="28" width="16" style="1" bestFit="1" customWidth="1"/>
    <col min="29" max="29" width="12.07421875" style="1" bestFit="1" customWidth="1"/>
    <col min="30" max="30" width="19.61328125" style="1" customWidth="1"/>
    <col min="31" max="31" width="18.3828125" style="1" bestFit="1" customWidth="1"/>
    <col min="32" max="32" width="17.07421875" style="1" bestFit="1" customWidth="1"/>
    <col min="33" max="33" width="15.4609375" style="1" bestFit="1" customWidth="1"/>
    <col min="34" max="34" width="12" style="1" bestFit="1" customWidth="1"/>
    <col min="35" max="35" width="22.53515625" style="1" bestFit="1" customWidth="1"/>
    <col min="36" max="36" width="20.4609375" style="1" bestFit="1" customWidth="1"/>
    <col min="37" max="37" width="5" style="1" customWidth="1"/>
    <col min="38" max="16384" width="11.07421875" style="1"/>
  </cols>
  <sheetData>
    <row r="1" spans="1:37" x14ac:dyDescent="0.25">
      <c r="A1" s="64" t="s">
        <v>193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" t="s">
        <v>167</v>
      </c>
    </row>
    <row r="3" spans="1:37" x14ac:dyDescent="0.25">
      <c r="A3" s="1" t="s">
        <v>194</v>
      </c>
      <c r="B3" s="10" t="s">
        <v>5</v>
      </c>
      <c r="C3" s="10" t="s">
        <v>195</v>
      </c>
      <c r="D3" s="10" t="s">
        <v>196</v>
      </c>
      <c r="E3" s="1" t="s">
        <v>197</v>
      </c>
      <c r="F3" s="1" t="s">
        <v>199</v>
      </c>
      <c r="G3" s="12" t="s">
        <v>200</v>
      </c>
      <c r="H3" s="1" t="s">
        <v>201</v>
      </c>
      <c r="I3" s="1" t="s">
        <v>6</v>
      </c>
      <c r="J3" s="1" t="s">
        <v>225</v>
      </c>
      <c r="K3" s="10" t="s">
        <v>202</v>
      </c>
      <c r="L3" s="1" t="s">
        <v>203</v>
      </c>
      <c r="M3" s="1" t="s">
        <v>213</v>
      </c>
      <c r="N3" s="1" t="s">
        <v>214</v>
      </c>
      <c r="O3" s="1" t="s">
        <v>204</v>
      </c>
      <c r="P3" s="10" t="s">
        <v>7</v>
      </c>
      <c r="Q3" s="10" t="s">
        <v>205</v>
      </c>
      <c r="R3" s="10" t="s">
        <v>206</v>
      </c>
      <c r="S3" s="1" t="s">
        <v>207</v>
      </c>
      <c r="T3" s="1" t="s">
        <v>215</v>
      </c>
      <c r="U3" s="13" t="s">
        <v>216</v>
      </c>
      <c r="V3" s="1" t="s">
        <v>208</v>
      </c>
      <c r="W3" s="10" t="s">
        <v>8</v>
      </c>
      <c r="X3" s="10" t="s">
        <v>209</v>
      </c>
      <c r="Y3" s="10" t="s">
        <v>210</v>
      </c>
      <c r="Z3" s="10" t="s">
        <v>211</v>
      </c>
      <c r="AA3" s="1" t="s">
        <v>217</v>
      </c>
      <c r="AB3" s="1" t="s">
        <v>218</v>
      </c>
      <c r="AC3" s="1" t="s">
        <v>212</v>
      </c>
      <c r="AD3" s="10" t="s">
        <v>2</v>
      </c>
      <c r="AE3" s="1" t="s">
        <v>219</v>
      </c>
      <c r="AF3" s="1" t="s">
        <v>220</v>
      </c>
      <c r="AG3" s="1" t="s">
        <v>221</v>
      </c>
      <c r="AH3" s="1" t="s">
        <v>9</v>
      </c>
      <c r="AI3" s="1" t="s">
        <v>222</v>
      </c>
      <c r="AJ3" s="1" t="s">
        <v>223</v>
      </c>
    </row>
    <row r="4" spans="1:37" x14ac:dyDescent="0.25">
      <c r="A4" s="1" t="s">
        <v>227</v>
      </c>
      <c r="B4" s="1" t="s">
        <v>14</v>
      </c>
      <c r="C4" s="1" t="s">
        <v>68</v>
      </c>
      <c r="D4" s="1" t="s">
        <v>146</v>
      </c>
      <c r="E4" s="1" t="s">
        <v>18</v>
      </c>
      <c r="F4" s="1" t="s">
        <v>232</v>
      </c>
      <c r="G4" s="8">
        <v>43034</v>
      </c>
      <c r="H4" s="1" t="s">
        <v>274</v>
      </c>
      <c r="I4" s="1" t="s">
        <v>15</v>
      </c>
      <c r="J4" s="1" t="s">
        <v>27</v>
      </c>
      <c r="K4" s="1" t="s">
        <v>13</v>
      </c>
      <c r="L4" s="1" t="s">
        <v>18</v>
      </c>
      <c r="M4" s="1" t="s">
        <v>273</v>
      </c>
      <c r="N4" s="8">
        <v>43035</v>
      </c>
      <c r="O4" s="1" t="s">
        <v>275</v>
      </c>
      <c r="P4" s="1" t="s">
        <v>16</v>
      </c>
      <c r="Q4" s="1" t="s">
        <v>51</v>
      </c>
      <c r="R4" s="1" t="s">
        <v>40</v>
      </c>
      <c r="S4" s="1" t="s">
        <v>18</v>
      </c>
      <c r="T4" s="1" t="s">
        <v>276</v>
      </c>
      <c r="U4" s="8">
        <v>43035</v>
      </c>
      <c r="V4" s="1" t="s">
        <v>384</v>
      </c>
      <c r="W4" s="1" t="s">
        <v>17</v>
      </c>
      <c r="X4" s="1" t="s">
        <v>33</v>
      </c>
      <c r="Y4" s="1" t="s">
        <v>87</v>
      </c>
      <c r="Z4" s="1" t="s">
        <v>18</v>
      </c>
      <c r="AA4" s="1" t="s">
        <v>383</v>
      </c>
      <c r="AB4" s="8">
        <v>43035</v>
      </c>
      <c r="AC4" s="1" t="s">
        <v>464</v>
      </c>
      <c r="AD4" s="1" t="s">
        <v>11</v>
      </c>
      <c r="AE4" s="1" t="s">
        <v>463</v>
      </c>
      <c r="AF4" s="8">
        <v>43036</v>
      </c>
      <c r="AG4" s="1" t="s">
        <v>490</v>
      </c>
      <c r="AH4" s="5" t="s">
        <v>173</v>
      </c>
      <c r="AI4" s="14" t="s">
        <v>489</v>
      </c>
      <c r="AJ4" s="8">
        <v>43036</v>
      </c>
    </row>
    <row r="5" spans="1:37" x14ac:dyDescent="0.25">
      <c r="A5" s="1" t="s">
        <v>228</v>
      </c>
      <c r="B5" s="1" t="s">
        <v>22</v>
      </c>
      <c r="C5" s="1" t="s">
        <v>68</v>
      </c>
      <c r="D5" s="1" t="s">
        <v>152</v>
      </c>
      <c r="E5" s="1" t="s">
        <v>18</v>
      </c>
      <c r="F5" s="1" t="s">
        <v>233</v>
      </c>
      <c r="G5" s="8">
        <v>43034</v>
      </c>
      <c r="O5" s="1" t="s">
        <v>278</v>
      </c>
      <c r="P5" s="1" t="s">
        <v>23</v>
      </c>
      <c r="Q5" s="1" t="s">
        <v>51</v>
      </c>
      <c r="R5" s="1" t="s">
        <v>40</v>
      </c>
      <c r="S5" s="1" t="s">
        <v>18</v>
      </c>
      <c r="T5" s="1" t="s">
        <v>277</v>
      </c>
      <c r="U5" s="8">
        <v>43035</v>
      </c>
      <c r="V5" s="1" t="s">
        <v>386</v>
      </c>
      <c r="W5" s="1" t="s">
        <v>24</v>
      </c>
      <c r="X5" s="1" t="s">
        <v>33</v>
      </c>
      <c r="Y5" s="1" t="s">
        <v>118</v>
      </c>
      <c r="Z5" s="1" t="s">
        <v>18</v>
      </c>
      <c r="AA5" s="1" t="s">
        <v>385</v>
      </c>
      <c r="AB5" s="8">
        <v>43035</v>
      </c>
      <c r="AC5" s="1" t="s">
        <v>466</v>
      </c>
      <c r="AD5" s="1" t="s">
        <v>19</v>
      </c>
      <c r="AE5" s="1" t="s">
        <v>465</v>
      </c>
      <c r="AF5" s="8">
        <v>43036</v>
      </c>
      <c r="AG5" s="1" t="s">
        <v>492</v>
      </c>
      <c r="AH5" s="1" t="s">
        <v>174</v>
      </c>
      <c r="AI5" s="1" t="s">
        <v>491</v>
      </c>
      <c r="AJ5" s="8">
        <v>43036</v>
      </c>
    </row>
    <row r="6" spans="1:37" x14ac:dyDescent="0.25">
      <c r="A6" s="8" t="s">
        <v>229</v>
      </c>
      <c r="B6" s="1" t="s">
        <v>29</v>
      </c>
      <c r="C6" s="1" t="s">
        <v>68</v>
      </c>
      <c r="D6" s="1" t="s">
        <v>140</v>
      </c>
      <c r="E6" s="1" t="s">
        <v>18</v>
      </c>
      <c r="F6" s="1" t="s">
        <v>234</v>
      </c>
      <c r="G6" s="8">
        <v>43035</v>
      </c>
      <c r="O6" s="1" t="s">
        <v>279</v>
      </c>
      <c r="P6" s="1" t="s">
        <v>30</v>
      </c>
      <c r="Q6" s="1" t="s">
        <v>51</v>
      </c>
      <c r="R6" s="1" t="s">
        <v>143</v>
      </c>
      <c r="S6" s="1" t="s">
        <v>18</v>
      </c>
      <c r="T6" s="1" t="s">
        <v>280</v>
      </c>
      <c r="U6" s="8">
        <v>43035</v>
      </c>
      <c r="V6" s="1" t="s">
        <v>388</v>
      </c>
      <c r="W6" s="1" t="s">
        <v>31</v>
      </c>
      <c r="X6" s="1" t="s">
        <v>33</v>
      </c>
      <c r="Y6" s="1" t="s">
        <v>87</v>
      </c>
      <c r="Z6" s="1" t="s">
        <v>18</v>
      </c>
      <c r="AA6" s="1" t="s">
        <v>387</v>
      </c>
      <c r="AB6" s="8">
        <v>43035</v>
      </c>
      <c r="AC6" s="1" t="s">
        <v>468</v>
      </c>
      <c r="AD6" s="1" t="s">
        <v>26</v>
      </c>
      <c r="AE6" s="1" t="s">
        <v>467</v>
      </c>
      <c r="AF6" s="8">
        <v>43036</v>
      </c>
      <c r="AG6" s="1" t="s">
        <v>494</v>
      </c>
      <c r="AH6" s="1" t="s">
        <v>175</v>
      </c>
      <c r="AI6" s="1" t="s">
        <v>493</v>
      </c>
      <c r="AJ6" s="8">
        <v>43036</v>
      </c>
    </row>
    <row r="7" spans="1:37" x14ac:dyDescent="0.25">
      <c r="A7" s="1" t="s">
        <v>230</v>
      </c>
      <c r="B7" s="1" t="s">
        <v>35</v>
      </c>
      <c r="C7" s="1" t="s">
        <v>68</v>
      </c>
      <c r="D7" s="1" t="s">
        <v>140</v>
      </c>
      <c r="E7" s="1" t="s">
        <v>18</v>
      </c>
      <c r="F7" s="1" t="s">
        <v>235</v>
      </c>
      <c r="G7" s="8">
        <v>43035</v>
      </c>
      <c r="O7" s="1" t="s">
        <v>282</v>
      </c>
      <c r="P7" s="1" t="s">
        <v>36</v>
      </c>
      <c r="Q7" s="1" t="s">
        <v>51</v>
      </c>
      <c r="R7" s="1" t="s">
        <v>40</v>
      </c>
      <c r="S7" s="1" t="s">
        <v>18</v>
      </c>
      <c r="T7" s="1" t="s">
        <v>281</v>
      </c>
      <c r="U7" s="8">
        <v>43035</v>
      </c>
      <c r="V7" s="1" t="s">
        <v>390</v>
      </c>
      <c r="W7" s="1" t="s">
        <v>37</v>
      </c>
      <c r="X7" s="1" t="s">
        <v>33</v>
      </c>
      <c r="Y7" s="1" t="s">
        <v>40</v>
      </c>
      <c r="Z7" s="1" t="s">
        <v>18</v>
      </c>
      <c r="AA7" s="1" t="s">
        <v>389</v>
      </c>
      <c r="AB7" s="8">
        <v>43035</v>
      </c>
      <c r="AC7" s="1" t="s">
        <v>470</v>
      </c>
      <c r="AD7" s="1" t="s">
        <v>32</v>
      </c>
      <c r="AE7" s="1" t="s">
        <v>469</v>
      </c>
      <c r="AF7" s="8">
        <v>43036</v>
      </c>
      <c r="AG7" s="1" t="s">
        <v>496</v>
      </c>
      <c r="AH7" s="1" t="s">
        <v>176</v>
      </c>
      <c r="AI7" s="1" t="s">
        <v>495</v>
      </c>
      <c r="AJ7" s="8">
        <v>43036</v>
      </c>
    </row>
    <row r="8" spans="1:37" x14ac:dyDescent="0.25">
      <c r="A8" s="1" t="s">
        <v>231</v>
      </c>
      <c r="B8" s="1" t="s">
        <v>41</v>
      </c>
      <c r="C8" s="1" t="s">
        <v>68</v>
      </c>
      <c r="D8" s="1" t="s">
        <v>152</v>
      </c>
      <c r="E8" s="1" t="s">
        <v>18</v>
      </c>
      <c r="F8" s="1" t="s">
        <v>236</v>
      </c>
      <c r="G8" s="8">
        <v>43035</v>
      </c>
      <c r="O8" s="1" t="s">
        <v>284</v>
      </c>
      <c r="P8" s="1" t="s">
        <v>42</v>
      </c>
      <c r="Q8" s="1" t="s">
        <v>51</v>
      </c>
      <c r="R8" s="1" t="s">
        <v>125</v>
      </c>
      <c r="S8" s="1" t="s">
        <v>18</v>
      </c>
      <c r="T8" s="1" t="s">
        <v>283</v>
      </c>
      <c r="U8" s="8">
        <v>43035</v>
      </c>
      <c r="V8" s="1" t="s">
        <v>392</v>
      </c>
      <c r="W8" s="1" t="s">
        <v>43</v>
      </c>
      <c r="X8" s="1" t="s">
        <v>33</v>
      </c>
      <c r="Y8" s="1" t="s">
        <v>87</v>
      </c>
      <c r="Z8" s="1" t="s">
        <v>18</v>
      </c>
      <c r="AA8" s="1" t="s">
        <v>391</v>
      </c>
      <c r="AB8" s="8">
        <v>43035</v>
      </c>
      <c r="AC8" s="1" t="s">
        <v>472</v>
      </c>
      <c r="AD8" s="1" t="s">
        <v>38</v>
      </c>
      <c r="AE8" s="1" t="s">
        <v>471</v>
      </c>
      <c r="AF8" s="8">
        <v>43036</v>
      </c>
      <c r="AG8" s="1" t="s">
        <v>498</v>
      </c>
      <c r="AH8" s="1" t="s">
        <v>177</v>
      </c>
      <c r="AI8" s="1" t="s">
        <v>497</v>
      </c>
      <c r="AJ8" s="8">
        <v>43036</v>
      </c>
    </row>
    <row r="9" spans="1:37" x14ac:dyDescent="0.25">
      <c r="A9" s="1" t="s">
        <v>238</v>
      </c>
      <c r="B9" s="1" t="s">
        <v>47</v>
      </c>
      <c r="C9" s="1" t="s">
        <v>68</v>
      </c>
      <c r="D9" s="1" t="s">
        <v>107</v>
      </c>
      <c r="E9" s="1" t="s">
        <v>18</v>
      </c>
      <c r="F9" s="1" t="s">
        <v>237</v>
      </c>
      <c r="G9" s="8">
        <v>43035</v>
      </c>
      <c r="O9" s="1" t="s">
        <v>286</v>
      </c>
      <c r="P9" s="1" t="s">
        <v>48</v>
      </c>
      <c r="Q9" s="1" t="s">
        <v>51</v>
      </c>
      <c r="R9" s="1" t="s">
        <v>40</v>
      </c>
      <c r="S9" s="1" t="s">
        <v>18</v>
      </c>
      <c r="T9" s="1" t="s">
        <v>285</v>
      </c>
      <c r="U9" s="8">
        <v>43035</v>
      </c>
      <c r="V9" s="1" t="s">
        <v>394</v>
      </c>
      <c r="W9" s="1" t="s">
        <v>49</v>
      </c>
      <c r="X9" s="1" t="s">
        <v>33</v>
      </c>
      <c r="Y9" s="1" t="s">
        <v>87</v>
      </c>
      <c r="Z9" s="1" t="s">
        <v>18</v>
      </c>
      <c r="AA9" s="1" t="s">
        <v>393</v>
      </c>
      <c r="AB9" s="8">
        <v>43035</v>
      </c>
      <c r="AC9" s="1" t="s">
        <v>474</v>
      </c>
      <c r="AD9" s="1" t="s">
        <v>44</v>
      </c>
      <c r="AE9" s="1" t="s">
        <v>473</v>
      </c>
      <c r="AF9" s="8">
        <v>43036</v>
      </c>
      <c r="AG9" s="1" t="s">
        <v>500</v>
      </c>
      <c r="AH9" s="1" t="s">
        <v>178</v>
      </c>
      <c r="AI9" s="1" t="s">
        <v>499</v>
      </c>
      <c r="AJ9" s="8">
        <v>43036</v>
      </c>
    </row>
    <row r="10" spans="1:37" x14ac:dyDescent="0.25">
      <c r="A10" s="1" t="s">
        <v>240</v>
      </c>
      <c r="B10" s="1" t="s">
        <v>52</v>
      </c>
      <c r="C10" s="1" t="s">
        <v>68</v>
      </c>
      <c r="D10" s="1" t="s">
        <v>95</v>
      </c>
      <c r="E10" s="1" t="s">
        <v>18</v>
      </c>
      <c r="F10" s="1" t="s">
        <v>239</v>
      </c>
      <c r="G10" s="8">
        <v>43035</v>
      </c>
      <c r="O10" s="1" t="s">
        <v>288</v>
      </c>
      <c r="P10" s="1" t="s">
        <v>53</v>
      </c>
      <c r="Q10" s="1" t="s">
        <v>51</v>
      </c>
      <c r="R10" s="1" t="s">
        <v>40</v>
      </c>
      <c r="S10" s="1" t="s">
        <v>18</v>
      </c>
      <c r="T10" s="1" t="s">
        <v>287</v>
      </c>
      <c r="U10" s="8">
        <v>43035</v>
      </c>
      <c r="V10" s="1" t="s">
        <v>396</v>
      </c>
      <c r="W10" s="1" t="s">
        <v>54</v>
      </c>
      <c r="X10" s="1" t="s">
        <v>33</v>
      </c>
      <c r="Y10" s="1" t="s">
        <v>87</v>
      </c>
      <c r="Z10" s="1" t="s">
        <v>18</v>
      </c>
      <c r="AA10" s="1" t="s">
        <v>395</v>
      </c>
      <c r="AB10" s="8">
        <v>43035</v>
      </c>
      <c r="AC10" s="1" t="s">
        <v>476</v>
      </c>
      <c r="AD10" s="1" t="s">
        <v>50</v>
      </c>
      <c r="AE10" s="1" t="s">
        <v>475</v>
      </c>
      <c r="AF10" s="8">
        <v>43036</v>
      </c>
      <c r="AG10" s="1" t="s">
        <v>502</v>
      </c>
      <c r="AH10" s="1" t="s">
        <v>179</v>
      </c>
      <c r="AI10" s="1" t="s">
        <v>501</v>
      </c>
      <c r="AJ10" s="8">
        <v>43036</v>
      </c>
    </row>
    <row r="11" spans="1:37" x14ac:dyDescent="0.25">
      <c r="A11" s="1" t="s">
        <v>242</v>
      </c>
      <c r="B11" s="1" t="s">
        <v>58</v>
      </c>
      <c r="C11" s="1" t="s">
        <v>68</v>
      </c>
      <c r="D11" s="1" t="s">
        <v>95</v>
      </c>
      <c r="E11" s="1" t="s">
        <v>18</v>
      </c>
      <c r="F11" s="1" t="s">
        <v>241</v>
      </c>
      <c r="G11" s="8">
        <v>43035</v>
      </c>
      <c r="O11" s="1" t="s">
        <v>290</v>
      </c>
      <c r="P11" s="1" t="s">
        <v>59</v>
      </c>
      <c r="Q11" s="1" t="s">
        <v>51</v>
      </c>
      <c r="R11" s="1" t="s">
        <v>40</v>
      </c>
      <c r="S11" s="1" t="s">
        <v>18</v>
      </c>
      <c r="T11" s="1" t="s">
        <v>289</v>
      </c>
      <c r="U11" s="8">
        <v>43035</v>
      </c>
      <c r="V11" s="1" t="s">
        <v>398</v>
      </c>
      <c r="W11" s="1" t="s">
        <v>60</v>
      </c>
      <c r="X11" s="1" t="s">
        <v>33</v>
      </c>
      <c r="Y11" s="1" t="s">
        <v>87</v>
      </c>
      <c r="Z11" s="1" t="s">
        <v>18</v>
      </c>
      <c r="AA11" s="1" t="s">
        <v>397</v>
      </c>
      <c r="AB11" s="8">
        <v>43035</v>
      </c>
      <c r="AC11" s="1" t="s">
        <v>478</v>
      </c>
      <c r="AD11" s="1" t="s">
        <v>55</v>
      </c>
      <c r="AE11" s="1" t="s">
        <v>477</v>
      </c>
      <c r="AF11" s="8">
        <v>43036</v>
      </c>
      <c r="AG11" s="1" t="s">
        <v>504</v>
      </c>
      <c r="AH11" s="1" t="s">
        <v>180</v>
      </c>
      <c r="AI11" s="1" t="s">
        <v>503</v>
      </c>
      <c r="AJ11" s="8">
        <v>43036</v>
      </c>
    </row>
    <row r="12" spans="1:37" x14ac:dyDescent="0.25">
      <c r="A12" s="1" t="s">
        <v>244</v>
      </c>
      <c r="B12" s="1" t="s">
        <v>64</v>
      </c>
      <c r="C12" s="1" t="s">
        <v>68</v>
      </c>
      <c r="D12" s="1" t="s">
        <v>69</v>
      </c>
      <c r="E12" s="1" t="s">
        <v>18</v>
      </c>
      <c r="F12" s="1" t="s">
        <v>243</v>
      </c>
      <c r="G12" s="8">
        <v>43035</v>
      </c>
      <c r="O12" s="1" t="s">
        <v>291</v>
      </c>
      <c r="P12" s="1" t="s">
        <v>65</v>
      </c>
      <c r="Q12" s="1" t="s">
        <v>51</v>
      </c>
      <c r="R12" s="1" t="s">
        <v>40</v>
      </c>
      <c r="S12" s="1" t="s">
        <v>18</v>
      </c>
      <c r="T12" s="1" t="s">
        <v>292</v>
      </c>
      <c r="U12" s="8">
        <v>43035</v>
      </c>
      <c r="V12" s="1" t="s">
        <v>400</v>
      </c>
      <c r="W12" s="1" t="s">
        <v>66</v>
      </c>
      <c r="X12" s="1" t="s">
        <v>33</v>
      </c>
      <c r="Y12" s="1" t="s">
        <v>87</v>
      </c>
      <c r="Z12" s="1" t="s">
        <v>18</v>
      </c>
      <c r="AA12" s="1" t="s">
        <v>399</v>
      </c>
      <c r="AB12" s="8">
        <v>43035</v>
      </c>
      <c r="AC12" s="1" t="s">
        <v>480</v>
      </c>
      <c r="AD12" s="1" t="s">
        <v>61</v>
      </c>
      <c r="AE12" s="1" t="s">
        <v>479</v>
      </c>
      <c r="AF12" s="8">
        <v>43036</v>
      </c>
      <c r="AG12" s="1" t="s">
        <v>506</v>
      </c>
      <c r="AH12" s="1" t="s">
        <v>181</v>
      </c>
      <c r="AI12" s="1" t="s">
        <v>505</v>
      </c>
      <c r="AJ12" s="8">
        <v>43036</v>
      </c>
    </row>
    <row r="13" spans="1:37" x14ac:dyDescent="0.25">
      <c r="A13" s="1" t="s">
        <v>246</v>
      </c>
      <c r="B13" s="1" t="s">
        <v>70</v>
      </c>
      <c r="C13" s="1" t="s">
        <v>68</v>
      </c>
      <c r="D13" s="1" t="s">
        <v>40</v>
      </c>
      <c r="E13" s="1" t="s">
        <v>18</v>
      </c>
      <c r="F13" s="1" t="s">
        <v>245</v>
      </c>
      <c r="G13" s="8">
        <v>43035</v>
      </c>
      <c r="O13" s="1" t="s">
        <v>294</v>
      </c>
      <c r="P13" s="1" t="s">
        <v>71</v>
      </c>
      <c r="Q13" s="1" t="s">
        <v>51</v>
      </c>
      <c r="R13" s="1" t="s">
        <v>140</v>
      </c>
      <c r="S13" s="1" t="s">
        <v>18</v>
      </c>
      <c r="T13" s="1" t="s">
        <v>293</v>
      </c>
      <c r="U13" s="8">
        <v>43035</v>
      </c>
      <c r="V13" s="1" t="s">
        <v>402</v>
      </c>
      <c r="W13" s="1" t="s">
        <v>72</v>
      </c>
      <c r="X13" s="1" t="s">
        <v>33</v>
      </c>
      <c r="Y13" s="1" t="s">
        <v>114</v>
      </c>
      <c r="Z13" s="1" t="s">
        <v>18</v>
      </c>
      <c r="AA13" s="1" t="s">
        <v>401</v>
      </c>
      <c r="AB13" s="8">
        <v>43035</v>
      </c>
      <c r="AC13" s="1" t="s">
        <v>482</v>
      </c>
      <c r="AD13" s="1" t="s">
        <v>67</v>
      </c>
      <c r="AE13" s="1" t="s">
        <v>481</v>
      </c>
      <c r="AF13" s="8">
        <v>43036</v>
      </c>
      <c r="AG13" s="1" t="s">
        <v>508</v>
      </c>
      <c r="AH13" s="1" t="s">
        <v>182</v>
      </c>
      <c r="AI13" s="1" t="s">
        <v>507</v>
      </c>
      <c r="AJ13" s="8">
        <v>43036</v>
      </c>
    </row>
    <row r="14" spans="1:37" x14ac:dyDescent="0.25">
      <c r="A14" s="1" t="s">
        <v>248</v>
      </c>
      <c r="B14" s="1" t="s">
        <v>76</v>
      </c>
      <c r="C14" s="1" t="s">
        <v>68</v>
      </c>
      <c r="D14" s="1" t="s">
        <v>152</v>
      </c>
      <c r="E14" s="1" t="s">
        <v>18</v>
      </c>
      <c r="F14" s="1" t="s">
        <v>247</v>
      </c>
      <c r="G14" s="8">
        <v>43035</v>
      </c>
      <c r="O14" s="1" t="s">
        <v>296</v>
      </c>
      <c r="P14" s="1" t="s">
        <v>77</v>
      </c>
      <c r="Q14" s="1" t="s">
        <v>51</v>
      </c>
      <c r="R14" s="1" t="s">
        <v>140</v>
      </c>
      <c r="S14" s="1" t="s">
        <v>18</v>
      </c>
      <c r="T14" s="1" t="s">
        <v>295</v>
      </c>
      <c r="U14" s="8">
        <v>43035</v>
      </c>
      <c r="V14" s="1" t="s">
        <v>404</v>
      </c>
      <c r="W14" s="1" t="s">
        <v>78</v>
      </c>
      <c r="X14" s="1" t="s">
        <v>33</v>
      </c>
      <c r="Y14" s="1" t="s">
        <v>87</v>
      </c>
      <c r="Z14" s="1" t="s">
        <v>18</v>
      </c>
      <c r="AA14" s="1" t="s">
        <v>403</v>
      </c>
      <c r="AB14" s="8">
        <v>43035</v>
      </c>
      <c r="AC14" s="1" t="s">
        <v>484</v>
      </c>
      <c r="AD14" s="1" t="s">
        <v>73</v>
      </c>
      <c r="AE14" s="1" t="s">
        <v>483</v>
      </c>
      <c r="AF14" s="8">
        <v>43036</v>
      </c>
      <c r="AG14" s="1" t="s">
        <v>510</v>
      </c>
      <c r="AH14" s="1" t="s">
        <v>168</v>
      </c>
      <c r="AI14" s="1" t="s">
        <v>509</v>
      </c>
      <c r="AJ14" s="8">
        <v>43036</v>
      </c>
    </row>
    <row r="15" spans="1:37" x14ac:dyDescent="0.25">
      <c r="A15" s="1" t="s">
        <v>250</v>
      </c>
      <c r="B15" s="1" t="s">
        <v>82</v>
      </c>
      <c r="C15" s="1" t="s">
        <v>68</v>
      </c>
      <c r="D15" s="1" t="s">
        <v>69</v>
      </c>
      <c r="E15" s="1" t="s">
        <v>18</v>
      </c>
      <c r="F15" s="1" t="s">
        <v>249</v>
      </c>
      <c r="G15" s="8">
        <v>43035</v>
      </c>
      <c r="O15" s="1" t="s">
        <v>298</v>
      </c>
      <c r="P15" s="1" t="s">
        <v>83</v>
      </c>
      <c r="Q15" s="1" t="s">
        <v>51</v>
      </c>
      <c r="R15" s="1" t="s">
        <v>125</v>
      </c>
      <c r="S15" s="1" t="s">
        <v>18</v>
      </c>
      <c r="T15" s="1" t="s">
        <v>297</v>
      </c>
      <c r="U15" s="8">
        <v>43035</v>
      </c>
      <c r="V15" s="1" t="s">
        <v>406</v>
      </c>
      <c r="W15" s="1" t="s">
        <v>84</v>
      </c>
      <c r="X15" s="1" t="s">
        <v>33</v>
      </c>
      <c r="Y15" s="1" t="s">
        <v>87</v>
      </c>
      <c r="Z15" s="1" t="s">
        <v>18</v>
      </c>
      <c r="AA15" s="1" t="s">
        <v>405</v>
      </c>
      <c r="AB15" s="8">
        <v>43035</v>
      </c>
      <c r="AC15" s="1" t="s">
        <v>486</v>
      </c>
      <c r="AD15" s="1" t="s">
        <v>79</v>
      </c>
      <c r="AE15" s="1" t="s">
        <v>485</v>
      </c>
      <c r="AF15" s="8">
        <v>43036</v>
      </c>
      <c r="AG15" s="1" t="s">
        <v>512</v>
      </c>
      <c r="AH15" s="1" t="s">
        <v>169</v>
      </c>
      <c r="AI15" s="1" t="s">
        <v>511</v>
      </c>
      <c r="AJ15" s="8">
        <v>43036</v>
      </c>
    </row>
    <row r="16" spans="1:37" x14ac:dyDescent="0.25">
      <c r="A16" s="1" t="s">
        <v>252</v>
      </c>
      <c r="B16" s="1" t="s">
        <v>88</v>
      </c>
      <c r="C16" s="1" t="s">
        <v>68</v>
      </c>
      <c r="D16" s="1" t="s">
        <v>40</v>
      </c>
      <c r="E16" s="1" t="s">
        <v>18</v>
      </c>
      <c r="F16" s="1" t="s">
        <v>251</v>
      </c>
      <c r="G16" s="8">
        <v>43035</v>
      </c>
      <c r="O16" s="1" t="s">
        <v>300</v>
      </c>
      <c r="P16" s="1" t="s">
        <v>89</v>
      </c>
      <c r="Q16" s="1" t="s">
        <v>51</v>
      </c>
      <c r="R16" s="1" t="s">
        <v>40</v>
      </c>
      <c r="S16" s="1" t="s">
        <v>18</v>
      </c>
      <c r="T16" s="1" t="s">
        <v>299</v>
      </c>
      <c r="U16" s="8">
        <v>43035</v>
      </c>
      <c r="V16" s="1" t="s">
        <v>408</v>
      </c>
      <c r="W16" s="1" t="s">
        <v>90</v>
      </c>
      <c r="X16" s="1" t="s">
        <v>33</v>
      </c>
      <c r="Y16" s="1" t="s">
        <v>87</v>
      </c>
      <c r="Z16" s="1" t="s">
        <v>18</v>
      </c>
      <c r="AA16" s="1" t="s">
        <v>407</v>
      </c>
      <c r="AB16" s="8">
        <v>43035</v>
      </c>
      <c r="AC16" s="1" t="s">
        <v>488</v>
      </c>
      <c r="AD16" s="1" t="s">
        <v>86</v>
      </c>
      <c r="AE16" s="1" t="s">
        <v>487</v>
      </c>
      <c r="AF16" s="8">
        <v>43036</v>
      </c>
      <c r="AJ16" s="14"/>
    </row>
    <row r="17" spans="1:32" x14ac:dyDescent="0.25">
      <c r="A17" s="1" t="s">
        <v>254</v>
      </c>
      <c r="B17" s="1" t="s">
        <v>92</v>
      </c>
      <c r="C17" s="1" t="s">
        <v>68</v>
      </c>
      <c r="D17" s="1" t="s">
        <v>69</v>
      </c>
      <c r="E17" s="1" t="s">
        <v>18</v>
      </c>
      <c r="F17" s="1" t="s">
        <v>253</v>
      </c>
      <c r="G17" s="8">
        <v>43035</v>
      </c>
      <c r="O17" s="1" t="s">
        <v>302</v>
      </c>
      <c r="P17" s="1" t="s">
        <v>93</v>
      </c>
      <c r="Q17" s="1" t="s">
        <v>51</v>
      </c>
      <c r="R17" s="1" t="s">
        <v>125</v>
      </c>
      <c r="S17" s="1" t="s">
        <v>18</v>
      </c>
      <c r="T17" s="1" t="s">
        <v>301</v>
      </c>
      <c r="U17" s="8">
        <v>43035</v>
      </c>
      <c r="V17" s="1" t="s">
        <v>410</v>
      </c>
      <c r="W17" s="1" t="s">
        <v>94</v>
      </c>
      <c r="X17" s="1" t="s">
        <v>33</v>
      </c>
      <c r="Y17" s="1" t="s">
        <v>21</v>
      </c>
      <c r="Z17" s="1" t="s">
        <v>18</v>
      </c>
      <c r="AA17" s="1" t="s">
        <v>409</v>
      </c>
      <c r="AB17" s="8">
        <v>43035</v>
      </c>
      <c r="AF17" s="14"/>
    </row>
    <row r="18" spans="1:32" x14ac:dyDescent="0.25">
      <c r="A18" s="1" t="s">
        <v>256</v>
      </c>
      <c r="B18" s="1" t="s">
        <v>96</v>
      </c>
      <c r="C18" s="1" t="s">
        <v>68</v>
      </c>
      <c r="D18" s="1" t="s">
        <v>140</v>
      </c>
      <c r="E18" s="1" t="s">
        <v>18</v>
      </c>
      <c r="F18" s="1" t="s">
        <v>255</v>
      </c>
      <c r="G18" s="8">
        <v>43035</v>
      </c>
      <c r="O18" s="1" t="s">
        <v>306</v>
      </c>
      <c r="P18" s="1" t="s">
        <v>97</v>
      </c>
      <c r="Q18" s="1" t="s">
        <v>56</v>
      </c>
      <c r="R18" s="1" t="s">
        <v>40</v>
      </c>
      <c r="S18" s="1" t="s">
        <v>18</v>
      </c>
      <c r="T18" s="1" t="s">
        <v>305</v>
      </c>
      <c r="U18" s="8">
        <v>43035</v>
      </c>
      <c r="V18" s="1" t="s">
        <v>412</v>
      </c>
      <c r="W18" s="1" t="s">
        <v>98</v>
      </c>
      <c r="X18" s="1" t="s">
        <v>33</v>
      </c>
      <c r="Y18" s="1" t="s">
        <v>87</v>
      </c>
      <c r="Z18" s="1" t="s">
        <v>18</v>
      </c>
      <c r="AA18" s="1" t="s">
        <v>411</v>
      </c>
      <c r="AB18" s="8">
        <v>43035</v>
      </c>
    </row>
    <row r="19" spans="1:32" x14ac:dyDescent="0.25">
      <c r="A19" s="1" t="s">
        <v>258</v>
      </c>
      <c r="B19" s="1" t="s">
        <v>100</v>
      </c>
      <c r="C19" s="1" t="s">
        <v>68</v>
      </c>
      <c r="D19" s="1" t="s">
        <v>75</v>
      </c>
      <c r="E19" s="1" t="s">
        <v>18</v>
      </c>
      <c r="F19" s="1" t="s">
        <v>257</v>
      </c>
      <c r="G19" s="8">
        <v>43035</v>
      </c>
      <c r="O19" s="1" t="s">
        <v>308</v>
      </c>
      <c r="P19" s="1" t="s">
        <v>101</v>
      </c>
      <c r="Q19" s="1" t="s">
        <v>56</v>
      </c>
      <c r="R19" s="1" t="s">
        <v>40</v>
      </c>
      <c r="S19" s="1" t="s">
        <v>18</v>
      </c>
      <c r="T19" s="1" t="s">
        <v>307</v>
      </c>
      <c r="U19" s="8">
        <v>43035</v>
      </c>
      <c r="V19" s="1" t="s">
        <v>414</v>
      </c>
      <c r="W19" s="1" t="s">
        <v>102</v>
      </c>
      <c r="X19" s="1" t="s">
        <v>33</v>
      </c>
      <c r="Y19" s="1" t="s">
        <v>140</v>
      </c>
      <c r="Z19" s="1" t="s">
        <v>18</v>
      </c>
      <c r="AA19" s="1" t="s">
        <v>413</v>
      </c>
      <c r="AB19" s="8">
        <v>43035</v>
      </c>
    </row>
    <row r="20" spans="1:32" x14ac:dyDescent="0.25">
      <c r="A20" s="1" t="s">
        <v>260</v>
      </c>
      <c r="B20" s="1" t="s">
        <v>104</v>
      </c>
      <c r="C20" s="1" t="s">
        <v>45</v>
      </c>
      <c r="D20" s="1" t="s">
        <v>99</v>
      </c>
      <c r="E20" s="1" t="s">
        <v>18</v>
      </c>
      <c r="F20" s="1" t="s">
        <v>259</v>
      </c>
      <c r="G20" s="8">
        <v>43035</v>
      </c>
      <c r="O20" s="1" t="s">
        <v>310</v>
      </c>
      <c r="P20" s="1" t="s">
        <v>105</v>
      </c>
      <c r="Q20" s="1" t="s">
        <v>56</v>
      </c>
      <c r="R20" s="1" t="s">
        <v>40</v>
      </c>
      <c r="S20" s="1" t="s">
        <v>18</v>
      </c>
      <c r="T20" s="1" t="s">
        <v>309</v>
      </c>
      <c r="U20" s="8">
        <v>43035</v>
      </c>
      <c r="V20" s="1" t="s">
        <v>416</v>
      </c>
      <c r="W20" s="1" t="s">
        <v>106</v>
      </c>
      <c r="X20" s="1" t="s">
        <v>33</v>
      </c>
      <c r="Y20" s="1" t="s">
        <v>40</v>
      </c>
      <c r="Z20" s="1" t="s">
        <v>18</v>
      </c>
      <c r="AA20" s="1" t="s">
        <v>415</v>
      </c>
      <c r="AB20" s="8">
        <v>43035</v>
      </c>
    </row>
    <row r="21" spans="1:32" x14ac:dyDescent="0.25">
      <c r="A21" s="1" t="s">
        <v>262</v>
      </c>
      <c r="B21" s="1" t="s">
        <v>108</v>
      </c>
      <c r="C21" s="1" t="s">
        <v>68</v>
      </c>
      <c r="D21" s="1" t="s">
        <v>95</v>
      </c>
      <c r="E21" s="1" t="s">
        <v>18</v>
      </c>
      <c r="F21" s="1" t="s">
        <v>261</v>
      </c>
      <c r="G21" s="8">
        <v>43035</v>
      </c>
      <c r="O21" s="1" t="s">
        <v>312</v>
      </c>
      <c r="P21" s="1" t="s">
        <v>109</v>
      </c>
      <c r="Q21" s="1" t="s">
        <v>56</v>
      </c>
      <c r="R21" s="1" t="s">
        <v>40</v>
      </c>
      <c r="S21" s="1" t="s">
        <v>18</v>
      </c>
      <c r="T21" s="1" t="s">
        <v>311</v>
      </c>
      <c r="U21" s="8">
        <v>43035</v>
      </c>
      <c r="V21" s="1" t="s">
        <v>418</v>
      </c>
      <c r="W21" s="1" t="s">
        <v>110</v>
      </c>
      <c r="X21" s="1" t="s">
        <v>33</v>
      </c>
      <c r="Y21" s="1" t="s">
        <v>128</v>
      </c>
      <c r="Z21" s="1" t="s">
        <v>18</v>
      </c>
      <c r="AA21" s="1" t="s">
        <v>417</v>
      </c>
      <c r="AB21" s="8">
        <v>43035</v>
      </c>
    </row>
    <row r="22" spans="1:32" x14ac:dyDescent="0.25">
      <c r="A22" s="1" t="s">
        <v>264</v>
      </c>
      <c r="B22" s="1" t="s">
        <v>93</v>
      </c>
      <c r="C22" s="1" t="s">
        <v>68</v>
      </c>
      <c r="D22" s="1" t="s">
        <v>69</v>
      </c>
      <c r="E22" s="1" t="s">
        <v>18</v>
      </c>
      <c r="F22" s="1" t="s">
        <v>263</v>
      </c>
      <c r="G22" s="8">
        <v>43035</v>
      </c>
      <c r="O22" s="1" t="s">
        <v>314</v>
      </c>
      <c r="P22" s="1" t="s">
        <v>112</v>
      </c>
      <c r="Q22" s="1" t="s">
        <v>56</v>
      </c>
      <c r="R22" s="1" t="s">
        <v>40</v>
      </c>
      <c r="S22" s="1" t="s">
        <v>18</v>
      </c>
      <c r="T22" s="1" t="s">
        <v>313</v>
      </c>
      <c r="U22" s="8">
        <v>43035</v>
      </c>
      <c r="V22" s="1" t="s">
        <v>420</v>
      </c>
      <c r="W22" s="1" t="s">
        <v>113</v>
      </c>
      <c r="X22" s="1" t="s">
        <v>33</v>
      </c>
      <c r="Y22" s="1" t="s">
        <v>40</v>
      </c>
      <c r="Z22" s="1" t="s">
        <v>18</v>
      </c>
      <c r="AA22" s="1" t="s">
        <v>419</v>
      </c>
      <c r="AB22" s="8">
        <v>43035</v>
      </c>
    </row>
    <row r="23" spans="1:32" x14ac:dyDescent="0.25">
      <c r="A23" s="1" t="s">
        <v>266</v>
      </c>
      <c r="B23" s="1" t="s">
        <v>115</v>
      </c>
      <c r="C23" s="1" t="s">
        <v>68</v>
      </c>
      <c r="D23" s="1" t="s">
        <v>69</v>
      </c>
      <c r="E23" s="1" t="s">
        <v>18</v>
      </c>
      <c r="F23" s="1" t="s">
        <v>265</v>
      </c>
      <c r="G23" s="8">
        <v>43035</v>
      </c>
      <c r="O23" s="1" t="s">
        <v>316</v>
      </c>
      <c r="P23" s="1" t="s">
        <v>116</v>
      </c>
      <c r="Q23" s="1" t="s">
        <v>56</v>
      </c>
      <c r="R23" s="1" t="s">
        <v>40</v>
      </c>
      <c r="S23" s="1" t="s">
        <v>18</v>
      </c>
      <c r="T23" s="1" t="s">
        <v>315</v>
      </c>
      <c r="U23" s="8">
        <v>43035</v>
      </c>
      <c r="V23" s="1" t="s">
        <v>422</v>
      </c>
      <c r="W23" s="1" t="s">
        <v>117</v>
      </c>
      <c r="X23" s="1" t="s">
        <v>33</v>
      </c>
      <c r="Y23" s="1" t="s">
        <v>87</v>
      </c>
      <c r="Z23" s="1" t="s">
        <v>18</v>
      </c>
      <c r="AA23" s="1" t="s">
        <v>421</v>
      </c>
      <c r="AB23" s="8">
        <v>43035</v>
      </c>
    </row>
    <row r="24" spans="1:32" x14ac:dyDescent="0.25">
      <c r="A24" s="1" t="s">
        <v>268</v>
      </c>
      <c r="B24" s="1" t="s">
        <v>119</v>
      </c>
      <c r="C24" s="1" t="s">
        <v>68</v>
      </c>
      <c r="D24" s="1" t="s">
        <v>125</v>
      </c>
      <c r="E24" s="1" t="s">
        <v>18</v>
      </c>
      <c r="F24" s="1" t="s">
        <v>267</v>
      </c>
      <c r="G24" s="8">
        <v>43035</v>
      </c>
      <c r="O24" s="1" t="s">
        <v>304</v>
      </c>
      <c r="P24" s="1" t="s">
        <v>15</v>
      </c>
      <c r="Q24" s="1" t="s">
        <v>80</v>
      </c>
      <c r="R24" s="1" t="s">
        <v>13</v>
      </c>
      <c r="S24" s="1" t="s">
        <v>18</v>
      </c>
      <c r="T24" s="1" t="s">
        <v>303</v>
      </c>
      <c r="U24" s="8">
        <v>43035</v>
      </c>
      <c r="V24" s="1" t="s">
        <v>424</v>
      </c>
      <c r="W24" s="1" t="s">
        <v>120</v>
      </c>
      <c r="X24" s="1" t="s">
        <v>33</v>
      </c>
      <c r="Y24" s="1" t="s">
        <v>91</v>
      </c>
      <c r="Z24" s="1" t="s">
        <v>18</v>
      </c>
      <c r="AA24" s="1" t="s">
        <v>423</v>
      </c>
      <c r="AB24" s="8">
        <v>43035</v>
      </c>
    </row>
    <row r="25" spans="1:32" x14ac:dyDescent="0.25">
      <c r="A25" s="1" t="s">
        <v>270</v>
      </c>
      <c r="B25" s="1" t="s">
        <v>122</v>
      </c>
      <c r="C25" s="1" t="s">
        <v>68</v>
      </c>
      <c r="D25" s="1" t="s">
        <v>69</v>
      </c>
      <c r="E25" s="1" t="s">
        <v>18</v>
      </c>
      <c r="F25" s="1" t="s">
        <v>269</v>
      </c>
      <c r="G25" s="8">
        <v>43035</v>
      </c>
      <c r="O25" s="1" t="s">
        <v>318</v>
      </c>
      <c r="P25" s="1" t="s">
        <v>123</v>
      </c>
      <c r="Q25" s="1" t="s">
        <v>80</v>
      </c>
      <c r="R25" s="1" t="s">
        <v>140</v>
      </c>
      <c r="S25" s="1" t="s">
        <v>18</v>
      </c>
      <c r="T25" s="1" t="s">
        <v>317</v>
      </c>
      <c r="U25" s="8">
        <v>43035</v>
      </c>
      <c r="V25" s="1" t="s">
        <v>426</v>
      </c>
      <c r="W25" s="1" t="s">
        <v>124</v>
      </c>
      <c r="X25" s="1" t="s">
        <v>33</v>
      </c>
      <c r="Y25" s="1" t="s">
        <v>57</v>
      </c>
      <c r="Z25" s="1" t="s">
        <v>18</v>
      </c>
      <c r="AA25" s="1" t="s">
        <v>425</v>
      </c>
      <c r="AB25" s="8">
        <v>43035</v>
      </c>
    </row>
    <row r="26" spans="1:32" x14ac:dyDescent="0.25">
      <c r="A26" s="1" t="s">
        <v>272</v>
      </c>
      <c r="B26" s="1" t="s">
        <v>104</v>
      </c>
      <c r="C26" s="1" t="s">
        <v>39</v>
      </c>
      <c r="D26" s="1" t="s">
        <v>99</v>
      </c>
      <c r="E26" s="1" t="s">
        <v>10</v>
      </c>
      <c r="F26" s="1" t="s">
        <v>271</v>
      </c>
      <c r="G26" s="8">
        <v>43035</v>
      </c>
      <c r="O26" s="1" t="s">
        <v>320</v>
      </c>
      <c r="P26" s="1" t="s">
        <v>126</v>
      </c>
      <c r="Q26" s="1" t="s">
        <v>80</v>
      </c>
      <c r="R26" s="1" t="s">
        <v>140</v>
      </c>
      <c r="S26" s="1" t="s">
        <v>18</v>
      </c>
      <c r="T26" s="1" t="s">
        <v>319</v>
      </c>
      <c r="U26" s="8">
        <v>43035</v>
      </c>
      <c r="V26" s="1" t="s">
        <v>428</v>
      </c>
      <c r="W26" s="1" t="s">
        <v>127</v>
      </c>
      <c r="X26" s="1" t="s">
        <v>33</v>
      </c>
      <c r="Y26" s="1" t="s">
        <v>114</v>
      </c>
      <c r="Z26" s="1" t="s">
        <v>18</v>
      </c>
      <c r="AA26" s="1" t="s">
        <v>427</v>
      </c>
      <c r="AB26" s="8">
        <v>43035</v>
      </c>
    </row>
    <row r="27" spans="1:32" x14ac:dyDescent="0.25">
      <c r="G27" s="8"/>
      <c r="O27" s="1" t="s">
        <v>322</v>
      </c>
      <c r="P27" s="1" t="s">
        <v>129</v>
      </c>
      <c r="Q27" s="1" t="s">
        <v>80</v>
      </c>
      <c r="R27" s="1" t="s">
        <v>155</v>
      </c>
      <c r="S27" s="1" t="s">
        <v>18</v>
      </c>
      <c r="T27" s="1" t="s">
        <v>321</v>
      </c>
      <c r="U27" s="8">
        <v>43035</v>
      </c>
      <c r="V27" s="1" t="s">
        <v>430</v>
      </c>
      <c r="W27" s="1" t="s">
        <v>130</v>
      </c>
      <c r="X27" s="1" t="s">
        <v>33</v>
      </c>
      <c r="Y27" s="1" t="s">
        <v>114</v>
      </c>
      <c r="Z27" s="1" t="s">
        <v>18</v>
      </c>
      <c r="AA27" s="1" t="s">
        <v>429</v>
      </c>
      <c r="AB27" s="8">
        <v>43035</v>
      </c>
    </row>
    <row r="28" spans="1:32" x14ac:dyDescent="0.25">
      <c r="G28" s="8"/>
      <c r="O28" s="1" t="s">
        <v>324</v>
      </c>
      <c r="P28" s="1" t="s">
        <v>132</v>
      </c>
      <c r="Q28" s="1" t="s">
        <v>80</v>
      </c>
      <c r="R28" s="1" t="s">
        <v>134</v>
      </c>
      <c r="S28" s="1" t="s">
        <v>18</v>
      </c>
      <c r="T28" s="1" t="s">
        <v>323</v>
      </c>
      <c r="U28" s="8">
        <v>43035</v>
      </c>
      <c r="V28" s="1" t="s">
        <v>432</v>
      </c>
      <c r="W28" s="1" t="s">
        <v>133</v>
      </c>
      <c r="X28" s="1" t="s">
        <v>33</v>
      </c>
      <c r="Y28" s="1" t="s">
        <v>34</v>
      </c>
      <c r="Z28" s="1" t="s">
        <v>18</v>
      </c>
      <c r="AA28" s="1" t="s">
        <v>431</v>
      </c>
      <c r="AB28" s="8">
        <v>43035</v>
      </c>
    </row>
    <row r="29" spans="1:32" x14ac:dyDescent="0.25">
      <c r="G29" s="8"/>
      <c r="O29" s="1" t="s">
        <v>326</v>
      </c>
      <c r="P29" s="1" t="s">
        <v>135</v>
      </c>
      <c r="Q29" s="1" t="s">
        <v>80</v>
      </c>
      <c r="R29" s="1" t="s">
        <v>34</v>
      </c>
      <c r="S29" s="1" t="s">
        <v>18</v>
      </c>
      <c r="T29" s="1" t="s">
        <v>325</v>
      </c>
      <c r="U29" s="8">
        <v>43035</v>
      </c>
      <c r="V29" s="1" t="s">
        <v>434</v>
      </c>
      <c r="W29" s="1" t="s">
        <v>136</v>
      </c>
      <c r="X29" s="1" t="s">
        <v>51</v>
      </c>
      <c r="Y29" s="1" t="s">
        <v>40</v>
      </c>
      <c r="Z29" s="1" t="s">
        <v>18</v>
      </c>
      <c r="AA29" s="1" t="s">
        <v>433</v>
      </c>
      <c r="AB29" s="8">
        <v>43035</v>
      </c>
    </row>
    <row r="30" spans="1:32" x14ac:dyDescent="0.25">
      <c r="G30" s="8"/>
      <c r="O30" s="1" t="s">
        <v>328</v>
      </c>
      <c r="P30" s="1" t="s">
        <v>138</v>
      </c>
      <c r="Q30" s="1" t="s">
        <v>80</v>
      </c>
      <c r="R30" s="1" t="s">
        <v>140</v>
      </c>
      <c r="S30" s="1" t="s">
        <v>18</v>
      </c>
      <c r="T30" s="1" t="s">
        <v>327</v>
      </c>
      <c r="U30" s="8">
        <v>43035</v>
      </c>
      <c r="V30" s="1" t="s">
        <v>436</v>
      </c>
      <c r="W30" s="1" t="s">
        <v>139</v>
      </c>
      <c r="X30" s="1" t="s">
        <v>51</v>
      </c>
      <c r="Y30" s="1" t="s">
        <v>40</v>
      </c>
      <c r="Z30" s="1" t="s">
        <v>18</v>
      </c>
      <c r="AA30" s="1" t="s">
        <v>435</v>
      </c>
      <c r="AB30" s="8">
        <v>43035</v>
      </c>
    </row>
    <row r="31" spans="1:32" x14ac:dyDescent="0.25">
      <c r="G31" s="8"/>
      <c r="O31" s="1" t="s">
        <v>330</v>
      </c>
      <c r="P31" s="1" t="s">
        <v>141</v>
      </c>
      <c r="Q31" s="1" t="s">
        <v>80</v>
      </c>
      <c r="R31" s="1" t="s">
        <v>46</v>
      </c>
      <c r="S31" s="1" t="s">
        <v>18</v>
      </c>
      <c r="T31" s="1" t="s">
        <v>329</v>
      </c>
      <c r="U31" s="8">
        <v>43035</v>
      </c>
      <c r="V31" s="1" t="s">
        <v>438</v>
      </c>
      <c r="W31" s="1" t="s">
        <v>142</v>
      </c>
      <c r="X31" s="1" t="s">
        <v>51</v>
      </c>
      <c r="Y31" s="1" t="s">
        <v>40</v>
      </c>
      <c r="Z31" s="1" t="s">
        <v>18</v>
      </c>
      <c r="AA31" s="1" t="s">
        <v>437</v>
      </c>
      <c r="AB31" s="8">
        <v>43035</v>
      </c>
    </row>
    <row r="32" spans="1:32" x14ac:dyDescent="0.25">
      <c r="G32" s="8"/>
      <c r="O32" s="1" t="s">
        <v>332</v>
      </c>
      <c r="P32" s="1" t="s">
        <v>144</v>
      </c>
      <c r="Q32" s="1" t="s">
        <v>80</v>
      </c>
      <c r="R32" s="1" t="s">
        <v>149</v>
      </c>
      <c r="S32" s="1" t="s">
        <v>18</v>
      </c>
      <c r="T32" s="1" t="s">
        <v>331</v>
      </c>
      <c r="U32" s="8">
        <v>43035</v>
      </c>
      <c r="V32" s="1" t="s">
        <v>440</v>
      </c>
      <c r="W32" s="1" t="s">
        <v>145</v>
      </c>
      <c r="X32" s="1" t="s">
        <v>62</v>
      </c>
      <c r="Y32" s="1" t="s">
        <v>111</v>
      </c>
      <c r="Z32" s="1" t="s">
        <v>25</v>
      </c>
      <c r="AA32" s="1" t="s">
        <v>439</v>
      </c>
      <c r="AB32" s="8">
        <v>43035</v>
      </c>
    </row>
    <row r="33" spans="7:28" x14ac:dyDescent="0.25">
      <c r="G33" s="8"/>
      <c r="O33" s="1" t="s">
        <v>334</v>
      </c>
      <c r="P33" s="1" t="s">
        <v>147</v>
      </c>
      <c r="Q33" s="1" t="s">
        <v>80</v>
      </c>
      <c r="R33" s="1" t="s">
        <v>34</v>
      </c>
      <c r="S33" s="1" t="s">
        <v>18</v>
      </c>
      <c r="T33" s="1" t="s">
        <v>333</v>
      </c>
      <c r="U33" s="8">
        <v>43035</v>
      </c>
      <c r="V33" s="1" t="s">
        <v>442</v>
      </c>
      <c r="W33" s="1" t="s">
        <v>148</v>
      </c>
      <c r="X33" s="1" t="s">
        <v>62</v>
      </c>
      <c r="Y33" s="1" t="s">
        <v>111</v>
      </c>
      <c r="Z33" s="1" t="s">
        <v>25</v>
      </c>
      <c r="AA33" s="1" t="s">
        <v>441</v>
      </c>
      <c r="AB33" s="8">
        <v>43035</v>
      </c>
    </row>
    <row r="34" spans="7:28" x14ac:dyDescent="0.25">
      <c r="G34" s="8"/>
      <c r="O34" s="1" t="s">
        <v>336</v>
      </c>
      <c r="P34" s="1" t="s">
        <v>150</v>
      </c>
      <c r="Q34" s="1" t="s">
        <v>80</v>
      </c>
      <c r="R34" s="1" t="s">
        <v>155</v>
      </c>
      <c r="S34" s="1" t="s">
        <v>18</v>
      </c>
      <c r="T34" s="1" t="s">
        <v>335</v>
      </c>
      <c r="U34" s="8">
        <v>43035</v>
      </c>
      <c r="V34" s="1" t="s">
        <v>444</v>
      </c>
      <c r="W34" s="1" t="s">
        <v>151</v>
      </c>
      <c r="X34" s="1" t="s">
        <v>62</v>
      </c>
      <c r="Y34" s="1" t="s">
        <v>111</v>
      </c>
      <c r="Z34" s="1" t="s">
        <v>25</v>
      </c>
      <c r="AA34" s="1" t="s">
        <v>443</v>
      </c>
      <c r="AB34" s="8">
        <v>43035</v>
      </c>
    </row>
    <row r="35" spans="7:28" x14ac:dyDescent="0.25">
      <c r="O35" s="1" t="s">
        <v>338</v>
      </c>
      <c r="P35" s="1" t="s">
        <v>153</v>
      </c>
      <c r="Q35" s="1" t="s">
        <v>74</v>
      </c>
      <c r="R35" s="1" t="s">
        <v>131</v>
      </c>
      <c r="S35" s="1" t="s">
        <v>18</v>
      </c>
      <c r="T35" s="1" t="s">
        <v>337</v>
      </c>
      <c r="U35" s="8">
        <v>43035</v>
      </c>
      <c r="V35" s="1" t="s">
        <v>446</v>
      </c>
      <c r="W35" s="1" t="s">
        <v>154</v>
      </c>
      <c r="X35" s="1" t="s">
        <v>62</v>
      </c>
      <c r="Y35" s="1" t="s">
        <v>111</v>
      </c>
      <c r="Z35" s="1" t="s">
        <v>25</v>
      </c>
      <c r="AA35" s="1" t="s">
        <v>445</v>
      </c>
      <c r="AB35" s="8">
        <v>43035</v>
      </c>
    </row>
    <row r="36" spans="7:28" x14ac:dyDescent="0.25">
      <c r="O36" s="1" t="s">
        <v>340</v>
      </c>
      <c r="P36" s="1" t="s">
        <v>156</v>
      </c>
      <c r="Q36" s="1" t="s">
        <v>74</v>
      </c>
      <c r="R36" s="1" t="s">
        <v>131</v>
      </c>
      <c r="S36" s="1" t="s">
        <v>18</v>
      </c>
      <c r="T36" s="1" t="s">
        <v>339</v>
      </c>
      <c r="U36" s="8">
        <v>43035</v>
      </c>
      <c r="V36" s="1" t="s">
        <v>448</v>
      </c>
      <c r="W36" s="1" t="s">
        <v>102</v>
      </c>
      <c r="X36" s="1" t="s">
        <v>62</v>
      </c>
      <c r="Y36" s="1" t="s">
        <v>140</v>
      </c>
      <c r="Z36" s="1" t="s">
        <v>25</v>
      </c>
      <c r="AA36" s="1" t="s">
        <v>447</v>
      </c>
      <c r="AB36" s="8">
        <v>43035</v>
      </c>
    </row>
    <row r="37" spans="7:28" x14ac:dyDescent="0.25">
      <c r="O37" s="1" t="s">
        <v>342</v>
      </c>
      <c r="P37" s="1" t="s">
        <v>158</v>
      </c>
      <c r="Q37" s="1" t="s">
        <v>74</v>
      </c>
      <c r="R37" s="1" t="s">
        <v>131</v>
      </c>
      <c r="S37" s="1" t="s">
        <v>18</v>
      </c>
      <c r="T37" s="1" t="s">
        <v>341</v>
      </c>
      <c r="U37" s="8">
        <v>43035</v>
      </c>
      <c r="V37" s="1" t="s">
        <v>450</v>
      </c>
      <c r="W37" s="1" t="s">
        <v>157</v>
      </c>
      <c r="X37" s="1" t="s">
        <v>62</v>
      </c>
      <c r="Y37" s="1" t="s">
        <v>111</v>
      </c>
      <c r="Z37" s="1" t="s">
        <v>25</v>
      </c>
      <c r="AA37" s="1" t="s">
        <v>449</v>
      </c>
      <c r="AB37" s="8">
        <v>43035</v>
      </c>
    </row>
    <row r="38" spans="7:28" x14ac:dyDescent="0.25">
      <c r="O38" s="1" t="s">
        <v>344</v>
      </c>
      <c r="P38" s="1" t="s">
        <v>160</v>
      </c>
      <c r="Q38" s="1" t="s">
        <v>20</v>
      </c>
      <c r="R38" s="1" t="s">
        <v>103</v>
      </c>
      <c r="S38" s="1" t="s">
        <v>18</v>
      </c>
      <c r="T38" s="1" t="s">
        <v>343</v>
      </c>
      <c r="U38" s="8">
        <v>43035</v>
      </c>
      <c r="V38" s="1" t="s">
        <v>452</v>
      </c>
      <c r="W38" s="1" t="s">
        <v>159</v>
      </c>
      <c r="X38" s="1" t="s">
        <v>62</v>
      </c>
      <c r="Y38" s="1" t="s">
        <v>111</v>
      </c>
      <c r="Z38" s="1" t="s">
        <v>25</v>
      </c>
      <c r="AA38" s="1" t="s">
        <v>451</v>
      </c>
      <c r="AB38" s="8">
        <v>43035</v>
      </c>
    </row>
    <row r="39" spans="7:28" x14ac:dyDescent="0.25">
      <c r="O39" s="1" t="s">
        <v>346</v>
      </c>
      <c r="P39" s="1" t="s">
        <v>162</v>
      </c>
      <c r="Q39" s="1" t="s">
        <v>12</v>
      </c>
      <c r="R39" s="1" t="s">
        <v>121</v>
      </c>
      <c r="S39" s="1" t="s">
        <v>18</v>
      </c>
      <c r="T39" s="1" t="s">
        <v>345</v>
      </c>
      <c r="U39" s="8">
        <v>43035</v>
      </c>
      <c r="V39" s="1" t="s">
        <v>454</v>
      </c>
      <c r="W39" s="1" t="s">
        <v>161</v>
      </c>
      <c r="X39" s="1" t="s">
        <v>39</v>
      </c>
      <c r="Y39" s="1" t="s">
        <v>63</v>
      </c>
      <c r="Z39" s="1" t="s">
        <v>10</v>
      </c>
      <c r="AA39" s="1" t="s">
        <v>453</v>
      </c>
      <c r="AB39" s="8">
        <v>43035</v>
      </c>
    </row>
    <row r="40" spans="7:28" x14ac:dyDescent="0.25">
      <c r="O40" s="1" t="s">
        <v>348</v>
      </c>
      <c r="P40" s="1" t="s">
        <v>53</v>
      </c>
      <c r="Q40" s="1" t="s">
        <v>20</v>
      </c>
      <c r="R40" s="1" t="s">
        <v>40</v>
      </c>
      <c r="S40" s="1" t="s">
        <v>18</v>
      </c>
      <c r="T40" s="1" t="s">
        <v>347</v>
      </c>
      <c r="U40" s="8">
        <v>43035</v>
      </c>
      <c r="V40" s="1" t="s">
        <v>456</v>
      </c>
      <c r="W40" s="1" t="s">
        <v>163</v>
      </c>
      <c r="X40" s="1" t="s">
        <v>39</v>
      </c>
      <c r="Y40" s="1" t="s">
        <v>63</v>
      </c>
      <c r="Z40" s="1" t="s">
        <v>10</v>
      </c>
      <c r="AA40" s="1" t="s">
        <v>455</v>
      </c>
      <c r="AB40" s="8">
        <v>43035</v>
      </c>
    </row>
    <row r="41" spans="7:28" x14ac:dyDescent="0.25">
      <c r="O41" s="1" t="s">
        <v>350</v>
      </c>
      <c r="P41" s="1" t="s">
        <v>15</v>
      </c>
      <c r="Q41" s="1" t="s">
        <v>39</v>
      </c>
      <c r="R41" s="1" t="s">
        <v>34</v>
      </c>
      <c r="S41" s="1" t="s">
        <v>10</v>
      </c>
      <c r="T41" s="1" t="s">
        <v>349</v>
      </c>
      <c r="U41" s="8">
        <v>43035</v>
      </c>
      <c r="V41" s="1" t="s">
        <v>457</v>
      </c>
      <c r="W41" s="1" t="s">
        <v>164</v>
      </c>
      <c r="X41" s="1" t="s">
        <v>39</v>
      </c>
      <c r="Y41" s="1" t="s">
        <v>63</v>
      </c>
      <c r="Z41" s="1" t="s">
        <v>10</v>
      </c>
      <c r="AA41" s="1" t="s">
        <v>460</v>
      </c>
      <c r="AB41" s="8">
        <v>43035</v>
      </c>
    </row>
    <row r="42" spans="7:28" x14ac:dyDescent="0.25">
      <c r="O42" s="1" t="s">
        <v>352</v>
      </c>
      <c r="P42" s="1" t="s">
        <v>123</v>
      </c>
      <c r="Q42" s="1" t="s">
        <v>39</v>
      </c>
      <c r="R42" s="1" t="s">
        <v>140</v>
      </c>
      <c r="S42" s="1" t="s">
        <v>10</v>
      </c>
      <c r="T42" s="1" t="s">
        <v>351</v>
      </c>
      <c r="U42" s="8">
        <v>43035</v>
      </c>
      <c r="V42" s="1" t="s">
        <v>459</v>
      </c>
      <c r="W42" s="1" t="s">
        <v>165</v>
      </c>
      <c r="X42" s="1" t="s">
        <v>39</v>
      </c>
      <c r="Y42" s="1" t="s">
        <v>63</v>
      </c>
      <c r="Z42" s="1" t="s">
        <v>10</v>
      </c>
      <c r="AA42" s="1" t="s">
        <v>458</v>
      </c>
      <c r="AB42" s="8">
        <v>43035</v>
      </c>
    </row>
    <row r="43" spans="7:28" x14ac:dyDescent="0.25">
      <c r="O43" s="1" t="s">
        <v>354</v>
      </c>
      <c r="P43" s="1" t="s">
        <v>129</v>
      </c>
      <c r="Q43" s="1" t="s">
        <v>39</v>
      </c>
      <c r="R43" s="1" t="s">
        <v>155</v>
      </c>
      <c r="S43" s="1" t="s">
        <v>10</v>
      </c>
      <c r="T43" s="1" t="s">
        <v>353</v>
      </c>
      <c r="U43" s="8">
        <v>43035</v>
      </c>
      <c r="V43" s="1" t="s">
        <v>462</v>
      </c>
      <c r="W43" s="1" t="s">
        <v>166</v>
      </c>
      <c r="X43" s="1" t="s">
        <v>39</v>
      </c>
      <c r="Y43" s="1" t="s">
        <v>63</v>
      </c>
      <c r="Z43" s="1" t="s">
        <v>10</v>
      </c>
      <c r="AA43" s="1" t="s">
        <v>461</v>
      </c>
      <c r="AB43" s="8">
        <v>43035</v>
      </c>
    </row>
    <row r="44" spans="7:28" x14ac:dyDescent="0.25">
      <c r="O44" s="1" t="s">
        <v>356</v>
      </c>
      <c r="P44" s="1" t="s">
        <v>132</v>
      </c>
      <c r="Q44" s="1" t="s">
        <v>39</v>
      </c>
      <c r="R44" s="1" t="s">
        <v>134</v>
      </c>
      <c r="S44" s="1" t="s">
        <v>10</v>
      </c>
      <c r="T44" s="1" t="s">
        <v>355</v>
      </c>
      <c r="U44" s="8">
        <v>43035</v>
      </c>
    </row>
    <row r="45" spans="7:28" x14ac:dyDescent="0.25">
      <c r="O45" s="1" t="s">
        <v>358</v>
      </c>
      <c r="P45" s="1" t="s">
        <v>135</v>
      </c>
      <c r="Q45" s="1" t="s">
        <v>39</v>
      </c>
      <c r="R45" s="1" t="s">
        <v>34</v>
      </c>
      <c r="S45" s="1" t="s">
        <v>10</v>
      </c>
      <c r="T45" s="1" t="s">
        <v>357</v>
      </c>
      <c r="U45" s="8">
        <v>43035</v>
      </c>
    </row>
    <row r="46" spans="7:28" x14ac:dyDescent="0.25">
      <c r="O46" s="1" t="s">
        <v>360</v>
      </c>
      <c r="P46" s="1" t="s">
        <v>138</v>
      </c>
      <c r="Q46" s="1" t="s">
        <v>39</v>
      </c>
      <c r="R46" s="1" t="s">
        <v>140</v>
      </c>
      <c r="S46" s="1" t="s">
        <v>10</v>
      </c>
      <c r="T46" s="1" t="s">
        <v>359</v>
      </c>
      <c r="U46" s="8">
        <v>43035</v>
      </c>
    </row>
    <row r="47" spans="7:28" x14ac:dyDescent="0.25">
      <c r="O47" s="1" t="s">
        <v>362</v>
      </c>
      <c r="P47" s="1" t="s">
        <v>42</v>
      </c>
      <c r="Q47" s="1" t="s">
        <v>39</v>
      </c>
      <c r="R47" s="1" t="s">
        <v>125</v>
      </c>
      <c r="S47" s="1" t="s">
        <v>10</v>
      </c>
      <c r="T47" s="1" t="s">
        <v>361</v>
      </c>
      <c r="U47" s="8">
        <v>43035</v>
      </c>
    </row>
    <row r="48" spans="7:28" x14ac:dyDescent="0.25">
      <c r="O48" s="1" t="s">
        <v>364</v>
      </c>
      <c r="P48" s="1" t="s">
        <v>59</v>
      </c>
      <c r="Q48" s="1" t="s">
        <v>39</v>
      </c>
      <c r="R48" s="1" t="s">
        <v>40</v>
      </c>
      <c r="S48" s="1" t="s">
        <v>10</v>
      </c>
      <c r="T48" s="1" t="s">
        <v>363</v>
      </c>
      <c r="U48" s="8">
        <v>43035</v>
      </c>
    </row>
    <row r="49" spans="15:21" x14ac:dyDescent="0.25">
      <c r="O49" s="1" t="s">
        <v>366</v>
      </c>
      <c r="P49" s="1" t="s">
        <v>153</v>
      </c>
      <c r="Q49" s="1" t="s">
        <v>39</v>
      </c>
      <c r="R49" s="1" t="s">
        <v>131</v>
      </c>
      <c r="S49" s="1" t="s">
        <v>10</v>
      </c>
      <c r="T49" s="1" t="s">
        <v>365</v>
      </c>
      <c r="U49" s="8">
        <v>43035</v>
      </c>
    </row>
    <row r="50" spans="15:21" x14ac:dyDescent="0.25">
      <c r="O50" s="1" t="s">
        <v>368</v>
      </c>
      <c r="P50" s="1" t="s">
        <v>156</v>
      </c>
      <c r="Q50" s="1" t="s">
        <v>39</v>
      </c>
      <c r="R50" s="1" t="s">
        <v>131</v>
      </c>
      <c r="S50" s="1" t="s">
        <v>10</v>
      </c>
      <c r="T50" s="1" t="s">
        <v>367</v>
      </c>
      <c r="U50" s="8">
        <v>43035</v>
      </c>
    </row>
    <row r="51" spans="15:21" x14ac:dyDescent="0.25">
      <c r="O51" s="1" t="s">
        <v>370</v>
      </c>
      <c r="P51" s="1" t="s">
        <v>71</v>
      </c>
      <c r="Q51" s="1" t="s">
        <v>39</v>
      </c>
      <c r="R51" s="1" t="s">
        <v>140</v>
      </c>
      <c r="S51" s="1" t="s">
        <v>10</v>
      </c>
      <c r="T51" s="1" t="s">
        <v>369</v>
      </c>
      <c r="U51" s="8">
        <v>43035</v>
      </c>
    </row>
    <row r="52" spans="15:21" x14ac:dyDescent="0.25">
      <c r="O52" s="1" t="s">
        <v>372</v>
      </c>
      <c r="P52" s="1" t="s">
        <v>77</v>
      </c>
      <c r="Q52" s="1" t="s">
        <v>39</v>
      </c>
      <c r="R52" s="1" t="s">
        <v>140</v>
      </c>
      <c r="S52" s="1" t="s">
        <v>10</v>
      </c>
      <c r="T52" s="1" t="s">
        <v>371</v>
      </c>
      <c r="U52" s="8">
        <v>43035</v>
      </c>
    </row>
    <row r="53" spans="15:21" x14ac:dyDescent="0.25">
      <c r="O53" s="1" t="s">
        <v>374</v>
      </c>
      <c r="P53" s="1" t="s">
        <v>83</v>
      </c>
      <c r="Q53" s="1" t="s">
        <v>39</v>
      </c>
      <c r="R53" s="1" t="s">
        <v>125</v>
      </c>
      <c r="S53" s="1" t="s">
        <v>10</v>
      </c>
      <c r="T53" s="1" t="s">
        <v>373</v>
      </c>
      <c r="U53" s="8">
        <v>43035</v>
      </c>
    </row>
    <row r="54" spans="15:21" x14ac:dyDescent="0.25">
      <c r="O54" s="1" t="s">
        <v>376</v>
      </c>
      <c r="P54" s="1" t="s">
        <v>141</v>
      </c>
      <c r="Q54" s="1" t="s">
        <v>39</v>
      </c>
      <c r="R54" s="1" t="s">
        <v>224</v>
      </c>
      <c r="S54" s="1" t="s">
        <v>10</v>
      </c>
      <c r="T54" s="1" t="s">
        <v>375</v>
      </c>
      <c r="U54" s="8">
        <v>43035</v>
      </c>
    </row>
    <row r="55" spans="15:21" x14ac:dyDescent="0.25">
      <c r="O55" s="1" t="s">
        <v>378</v>
      </c>
      <c r="P55" s="1" t="s">
        <v>93</v>
      </c>
      <c r="Q55" s="1" t="s">
        <v>39</v>
      </c>
      <c r="R55" s="1" t="s">
        <v>125</v>
      </c>
      <c r="S55" s="1" t="s">
        <v>10</v>
      </c>
      <c r="T55" s="1" t="s">
        <v>377</v>
      </c>
      <c r="U55" s="8">
        <v>43035</v>
      </c>
    </row>
    <row r="56" spans="15:21" x14ac:dyDescent="0.25">
      <c r="O56" s="1" t="s">
        <v>380</v>
      </c>
      <c r="P56" s="1" t="s">
        <v>144</v>
      </c>
      <c r="Q56" s="1" t="s">
        <v>39</v>
      </c>
      <c r="R56" s="1" t="s">
        <v>149</v>
      </c>
      <c r="S56" s="1" t="s">
        <v>10</v>
      </c>
      <c r="T56" s="1" t="s">
        <v>379</v>
      </c>
      <c r="U56" s="8">
        <v>43035</v>
      </c>
    </row>
    <row r="57" spans="15:21" x14ac:dyDescent="0.25">
      <c r="O57" s="1" t="s">
        <v>382</v>
      </c>
      <c r="P57" s="1" t="s">
        <v>150</v>
      </c>
      <c r="Q57" s="1" t="s">
        <v>39</v>
      </c>
      <c r="R57" s="1" t="s">
        <v>155</v>
      </c>
      <c r="S57" s="1" t="s">
        <v>10</v>
      </c>
      <c r="T57" s="1" t="s">
        <v>381</v>
      </c>
      <c r="U57" s="8">
        <v>43035</v>
      </c>
    </row>
    <row r="58" spans="15:21" x14ac:dyDescent="0.25">
      <c r="U58" s="8"/>
    </row>
    <row r="59" spans="15:21" x14ac:dyDescent="0.25">
      <c r="U59" s="8"/>
    </row>
    <row r="60" spans="15:21" x14ac:dyDescent="0.25">
      <c r="U60" s="8"/>
    </row>
    <row r="61" spans="15:21" x14ac:dyDescent="0.25">
      <c r="U61" s="8"/>
    </row>
    <row r="62" spans="15:21" x14ac:dyDescent="0.25">
      <c r="U62" s="8"/>
    </row>
    <row r="63" spans="15:21" x14ac:dyDescent="0.25">
      <c r="U63" s="8"/>
    </row>
    <row r="64" spans="15:21" x14ac:dyDescent="0.25">
      <c r="U64" s="8"/>
    </row>
    <row r="65" spans="21:21" x14ac:dyDescent="0.25">
      <c r="U65" s="8"/>
    </row>
  </sheetData>
  <mergeCells count="1">
    <mergeCell ref="A1:AJ1"/>
  </mergeCells>
  <hyperlinks>
    <hyperlink ref="AK1" location="Accueil!A1" display="Accueil"/>
  </hyperlink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SaisieDesMenus"/>
  <dimension ref="A1:C33"/>
  <sheetViews>
    <sheetView zoomScale="115" zoomScaleNormal="115" workbookViewId="0">
      <selection sqref="A1:C1"/>
    </sheetView>
  </sheetViews>
  <sheetFormatPr baseColWidth="10" defaultColWidth="11.07421875" defaultRowHeight="13.2" x14ac:dyDescent="0.25"/>
  <cols>
    <col min="1" max="1" width="19.07421875" style="1" bestFit="1" customWidth="1"/>
    <col min="2" max="2" width="31.23046875" style="1" bestFit="1" customWidth="1"/>
    <col min="3" max="16384" width="11.07421875" style="1"/>
  </cols>
  <sheetData>
    <row r="1" spans="1:3" ht="12.75" x14ac:dyDescent="0.2">
      <c r="A1" s="64" t="s">
        <v>513</v>
      </c>
      <c r="B1" s="64"/>
      <c r="C1" s="64"/>
    </row>
    <row r="3" spans="1:3" x14ac:dyDescent="0.25">
      <c r="A3" s="1" t="s">
        <v>514</v>
      </c>
      <c r="B3" s="7"/>
    </row>
    <row r="4" spans="1:3" ht="12.75" x14ac:dyDescent="0.2">
      <c r="A4" s="1" t="s">
        <v>515</v>
      </c>
      <c r="B4" s="8"/>
      <c r="C4" s="9"/>
    </row>
    <row r="5" spans="1:3" x14ac:dyDescent="0.25">
      <c r="A5" s="1" t="s">
        <v>221</v>
      </c>
    </row>
    <row r="6" spans="1:3" x14ac:dyDescent="0.25">
      <c r="A6" s="1" t="s">
        <v>9</v>
      </c>
      <c r="B6" s="1" t="str">
        <f>IF($B$5&lt;&gt;"",VLOOKUP($B$5,'Liste référentiels'!$AG$4:$AH$15,2,FALSE),"")</f>
        <v/>
      </c>
    </row>
    <row r="7" spans="1:3" ht="12.75" x14ac:dyDescent="0.2">
      <c r="A7" s="1" t="s">
        <v>516</v>
      </c>
    </row>
    <row r="8" spans="1:3" ht="12.75" x14ac:dyDescent="0.2">
      <c r="A8" s="1" t="s">
        <v>517</v>
      </c>
      <c r="B8" s="1" t="str">
        <f>IF($B$7&lt;&gt;"",VLOOKUP($B$7,'Liste référentiels'!$A$4:$E$26,2,FALSE),"")</f>
        <v/>
      </c>
    </row>
    <row r="9" spans="1:3" ht="12.75" x14ac:dyDescent="0.2">
      <c r="A9" s="1" t="s">
        <v>518</v>
      </c>
      <c r="B9" s="1" t="str">
        <f>IF($B$7&lt;&gt;"",VLOOKUP($B$7,'Liste référentiels'!$A$4:$E$26,3,FALSE),"")</f>
        <v/>
      </c>
    </row>
    <row r="10" spans="1:3" ht="12.75" x14ac:dyDescent="0.2">
      <c r="A10" s="1" t="s">
        <v>519</v>
      </c>
      <c r="B10" s="1" t="str">
        <f>IF($B$7&lt;&gt;"",VLOOKUP($B$7,'Liste référentiels'!$A$4:$E$26,4,FALSE),"")</f>
        <v/>
      </c>
      <c r="C10" s="1" t="s">
        <v>967</v>
      </c>
    </row>
    <row r="11" spans="1:3" ht="12.75" x14ac:dyDescent="0.2">
      <c r="A11" s="1" t="s">
        <v>534</v>
      </c>
      <c r="B11" s="1" t="str">
        <f>IF($B$7&lt;&gt;"",VLOOKUP($B$7,'Liste référentiels'!$A$4:$E$26,5,FALSE),"")</f>
        <v/>
      </c>
    </row>
    <row r="12" spans="1:3" x14ac:dyDescent="0.25">
      <c r="A12" s="1" t="s">
        <v>520</v>
      </c>
      <c r="B12" s="17"/>
    </row>
    <row r="13" spans="1:3" x14ac:dyDescent="0.25">
      <c r="A13" s="1" t="s">
        <v>521</v>
      </c>
    </row>
    <row r="14" spans="1:3" x14ac:dyDescent="0.25">
      <c r="A14" s="1" t="s">
        <v>522</v>
      </c>
      <c r="B14" s="1" t="str">
        <f>IF($B$13&lt;&gt;"",VLOOKUP($B$13,'Liste référentiels'!$O$4:$S$57,2,FALSE),"")</f>
        <v/>
      </c>
    </row>
    <row r="15" spans="1:3" x14ac:dyDescent="0.25">
      <c r="A15" s="1" t="s">
        <v>523</v>
      </c>
      <c r="B15" s="1" t="str">
        <f>IF($B$13&lt;&gt;"",VLOOKUP($B$13,'Liste référentiels'!$O$4:$S$57,3,FALSE),"")</f>
        <v/>
      </c>
    </row>
    <row r="16" spans="1:3" ht="12.6" customHeight="1" x14ac:dyDescent="0.25">
      <c r="A16" s="1" t="s">
        <v>524</v>
      </c>
      <c r="B16" s="1" t="str">
        <f>IF($B$13&lt;&gt;"",VLOOKUP($B$13,'Liste référentiels'!$O$4:$S$57,4,FALSE),"")</f>
        <v/>
      </c>
    </row>
    <row r="17" spans="1:2" ht="12.6" customHeight="1" x14ac:dyDescent="0.25">
      <c r="A17" s="1" t="s">
        <v>535</v>
      </c>
      <c r="B17" s="1" t="str">
        <f>IF($B$13&lt;&gt;"",VLOOKUP($B$13,'Liste référentiels'!$O$4:$S$57,5,FALSE),"")</f>
        <v/>
      </c>
    </row>
    <row r="18" spans="1:2" x14ac:dyDescent="0.25">
      <c r="A18" s="1" t="s">
        <v>525</v>
      </c>
      <c r="B18" s="17"/>
    </row>
    <row r="19" spans="1:2" x14ac:dyDescent="0.25">
      <c r="A19" s="1" t="s">
        <v>201</v>
      </c>
      <c r="B19" s="1" t="str">
        <f>IF($B$13="LD03","LD01","")</f>
        <v/>
      </c>
    </row>
    <row r="20" spans="1:2" x14ac:dyDescent="0.25">
      <c r="A20" s="1" t="s">
        <v>6</v>
      </c>
      <c r="B20" s="1" t="str">
        <f>IF($B$19&lt;&gt;"",VLOOKUP($B$19,'Liste référentiels'!$H$4:$M$4,2,FALSE),"")</f>
        <v/>
      </c>
    </row>
    <row r="21" spans="1:2" x14ac:dyDescent="0.25">
      <c r="A21" s="1" t="s">
        <v>225</v>
      </c>
      <c r="B21" s="1" t="str">
        <f>IF($B$19&lt;&gt;"",VLOOKUP($B$19,'Liste référentiels'!$H$4:$M$4,3,FALSE),"")</f>
        <v/>
      </c>
    </row>
    <row r="22" spans="1:2" x14ac:dyDescent="0.25">
      <c r="A22" s="1" t="s">
        <v>202</v>
      </c>
      <c r="B22" s="1" t="str">
        <f>IF($B$19&lt;&gt;"",VLOOKUP($B$19,'Liste référentiels'!$H$4:$M$4,4,FALSE),"")</f>
        <v/>
      </c>
    </row>
    <row r="23" spans="1:2" x14ac:dyDescent="0.25">
      <c r="A23" s="1" t="s">
        <v>203</v>
      </c>
      <c r="B23" s="1" t="str">
        <f>IF($B$19&lt;&gt;"",VLOOKUP($B$19,'Liste référentiels'!$H$4:$M$4,5,FALSE),"")</f>
        <v/>
      </c>
    </row>
    <row r="24" spans="1:2" x14ac:dyDescent="0.25">
      <c r="A24" s="1" t="s">
        <v>526</v>
      </c>
      <c r="B24" s="17"/>
    </row>
    <row r="25" spans="1:2" ht="12.75" x14ac:dyDescent="0.2">
      <c r="A25" s="1" t="s">
        <v>527</v>
      </c>
    </row>
    <row r="26" spans="1:2" ht="12.75" x14ac:dyDescent="0.2">
      <c r="A26" s="1" t="s">
        <v>528</v>
      </c>
    </row>
    <row r="27" spans="1:2" ht="12.75" x14ac:dyDescent="0.2">
      <c r="A27" s="1" t="s">
        <v>529</v>
      </c>
      <c r="B27" s="1" t="str">
        <f>IF($B$25&lt;&gt;"",VLOOKUP($B$25,'Liste référentiels'!$V$4:$Z$43,3,FALSE),"")</f>
        <v/>
      </c>
    </row>
    <row r="28" spans="1:2" ht="12.75" x14ac:dyDescent="0.2">
      <c r="A28" s="1" t="s">
        <v>530</v>
      </c>
      <c r="B28" s="1" t="str">
        <f>IF($B$25&lt;&gt;"",VLOOKUP($B$25,'Liste référentiels'!$V$4:$Z$43,4,FALSE),"")</f>
        <v/>
      </c>
    </row>
    <row r="29" spans="1:2" x14ac:dyDescent="0.25">
      <c r="A29" s="1" t="s">
        <v>536</v>
      </c>
      <c r="B29" s="1" t="str">
        <f>IF($B$25&lt;&gt;"",VLOOKUP($B$25,'Liste référentiels'!$V$4:$Z$43,5,FALSE),"")</f>
        <v/>
      </c>
    </row>
    <row r="30" spans="1:2" x14ac:dyDescent="0.25">
      <c r="A30" s="1" t="s">
        <v>531</v>
      </c>
      <c r="B30" s="17"/>
    </row>
    <row r="31" spans="1:2" x14ac:dyDescent="0.25">
      <c r="A31" s="1" t="s">
        <v>532</v>
      </c>
    </row>
    <row r="32" spans="1:2" x14ac:dyDescent="0.25">
      <c r="A32" s="1" t="s">
        <v>533</v>
      </c>
      <c r="B32" s="1" t="str">
        <f>IF($B$31&lt;&gt;"",VLOOKUP($B$31,'Liste référentiels'!$AC$4:$AD$16,2,FALSE),"")</f>
        <v/>
      </c>
    </row>
    <row r="33" spans="1:1" x14ac:dyDescent="0.25">
      <c r="A33" s="1" t="s">
        <v>185</v>
      </c>
    </row>
  </sheetData>
  <mergeCells count="1">
    <mergeCell ref="A1:C1"/>
  </mergeCells>
  <dataValidations count="6">
    <dataValidation type="list" allowBlank="1" showInputMessage="1" showErrorMessage="1" sqref="B5">
      <formula1>Code_période_concernée</formula1>
    </dataValidation>
    <dataValidation type="list" allowBlank="1" showInputMessage="1" showErrorMessage="1" sqref="B7">
      <formula1>Code_desserts</formula1>
    </dataValidation>
    <dataValidation type="list" allowBlank="1" showInputMessage="1" showErrorMessage="1" sqref="B13">
      <formula1>Code_légumes</formula1>
    </dataValidation>
    <dataValidation type="list" allowBlank="1" showInputMessage="1" showErrorMessage="1" sqref="B25">
      <formula1>Code_viandes</formula1>
    </dataValidation>
    <dataValidation type="list" allowBlank="1" showInputMessage="1" showErrorMessage="1" sqref="B31">
      <formula1>Code_observations</formula1>
    </dataValidation>
    <dataValidation type="list" allowBlank="1" showInputMessage="1" showErrorMessage="1" sqref="B33">
      <formula1>Destination_du_produit</formula1>
    </dataValidation>
  </dataValidations>
  <printOptions headings="1" gridLines="1"/>
  <pageMargins left="0" right="0" top="0" bottom="0" header="0" footer="0"/>
  <pageSetup paperSize="9" orientation="landscape" r:id="rId1"/>
  <headerFooter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Valider_Saisie_Menus.Valider_Saisie_Menus">
                <anchor moveWithCells="1" sizeWithCells="1">
                  <from>
                    <xdr:col>2</xdr:col>
                    <xdr:colOff>7620</xdr:colOff>
                    <xdr:row>3</xdr:row>
                    <xdr:rowOff>99060</xdr:rowOff>
                  </from>
                  <to>
                    <xdr:col>3</xdr:col>
                    <xdr:colOff>906780</xdr:colOff>
                    <xdr:row>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enusMidiRetraite"/>
  <dimension ref="A1:G300"/>
  <sheetViews>
    <sheetView workbookViewId="0">
      <selection sqref="A1:G1"/>
    </sheetView>
  </sheetViews>
  <sheetFormatPr baseColWidth="10" defaultColWidth="11.07421875" defaultRowHeight="13.2" x14ac:dyDescent="0.25"/>
  <cols>
    <col min="1" max="1" width="18.69140625" style="15" customWidth="1"/>
    <col min="2" max="2" width="16.61328125" style="15" customWidth="1"/>
    <col min="3" max="3" width="10.53515625" style="15" customWidth="1"/>
    <col min="4" max="4" width="5.07421875" style="15" bestFit="1" customWidth="1"/>
    <col min="5" max="5" width="14" style="15" bestFit="1" customWidth="1"/>
    <col min="6" max="6" width="18.3828125" style="15" bestFit="1" customWidth="1"/>
    <col min="7" max="7" width="10.61328125" style="15" bestFit="1" customWidth="1"/>
    <col min="8" max="16384" width="11.07421875" style="15"/>
  </cols>
  <sheetData>
    <row r="1" spans="1:7" ht="14.25" thickTop="1" thickBot="1" x14ac:dyDescent="0.25">
      <c r="A1" s="65" t="s">
        <v>597</v>
      </c>
      <c r="B1" s="65"/>
      <c r="C1" s="65"/>
      <c r="D1" s="65"/>
      <c r="E1" s="65"/>
      <c r="F1" s="65"/>
      <c r="G1" s="65"/>
    </row>
    <row r="2" spans="1:7" ht="14.4" thickTop="1" thickBot="1" x14ac:dyDescent="0.3">
      <c r="A2" s="43" t="s">
        <v>515</v>
      </c>
      <c r="B2" s="43" t="s">
        <v>522</v>
      </c>
      <c r="C2" s="43" t="s">
        <v>528</v>
      </c>
      <c r="D2" s="44" t="s">
        <v>517</v>
      </c>
      <c r="E2" s="43" t="s">
        <v>533</v>
      </c>
      <c r="F2" s="43" t="s">
        <v>537</v>
      </c>
      <c r="G2" s="44" t="s">
        <v>514</v>
      </c>
    </row>
    <row r="3" spans="1:7" ht="14.4" thickTop="1" thickBot="1" x14ac:dyDescent="0.3">
      <c r="A3" s="45">
        <v>43101</v>
      </c>
      <c r="B3" s="44" t="s">
        <v>132</v>
      </c>
      <c r="C3" s="44" t="s">
        <v>161</v>
      </c>
      <c r="D3" s="44" t="s">
        <v>104</v>
      </c>
      <c r="E3" s="44" t="s">
        <v>44</v>
      </c>
      <c r="F3" s="44" t="s">
        <v>545</v>
      </c>
      <c r="G3" s="44" t="s">
        <v>577</v>
      </c>
    </row>
    <row r="4" spans="1:7" ht="14.4" thickTop="1" thickBot="1" x14ac:dyDescent="0.3">
      <c r="A4" s="45">
        <v>43102</v>
      </c>
      <c r="B4" s="44" t="s">
        <v>135</v>
      </c>
      <c r="C4" s="44" t="s">
        <v>161</v>
      </c>
      <c r="D4" s="44" t="s">
        <v>104</v>
      </c>
      <c r="E4" s="44"/>
      <c r="F4" s="44" t="s">
        <v>545</v>
      </c>
      <c r="G4" s="44" t="s">
        <v>598</v>
      </c>
    </row>
    <row r="5" spans="1:7" ht="14.4" thickTop="1" thickBot="1" x14ac:dyDescent="0.3">
      <c r="A5" s="45">
        <v>43103</v>
      </c>
      <c r="B5" s="44" t="s">
        <v>138</v>
      </c>
      <c r="C5" s="44" t="s">
        <v>161</v>
      </c>
      <c r="D5" s="44" t="s">
        <v>104</v>
      </c>
      <c r="E5" s="44"/>
      <c r="F5" s="44" t="s">
        <v>545</v>
      </c>
      <c r="G5" s="44" t="s">
        <v>599</v>
      </c>
    </row>
    <row r="6" spans="1:7" ht="14.4" thickTop="1" thickBot="1" x14ac:dyDescent="0.3">
      <c r="A6" s="45">
        <v>43104</v>
      </c>
      <c r="B6" s="44" t="s">
        <v>42</v>
      </c>
      <c r="C6" s="44" t="s">
        <v>161</v>
      </c>
      <c r="D6" s="44" t="s">
        <v>104</v>
      </c>
      <c r="E6" s="44"/>
      <c r="F6" s="44" t="s">
        <v>545</v>
      </c>
      <c r="G6" s="44" t="s">
        <v>600</v>
      </c>
    </row>
    <row r="7" spans="1:7" ht="14.4" thickTop="1" thickBot="1" x14ac:dyDescent="0.3">
      <c r="A7" s="45">
        <v>43105</v>
      </c>
      <c r="B7" s="44" t="s">
        <v>59</v>
      </c>
      <c r="C7" s="44" t="s">
        <v>161</v>
      </c>
      <c r="D7" s="44" t="s">
        <v>104</v>
      </c>
      <c r="E7" s="44"/>
      <c r="F7" s="44" t="s">
        <v>545</v>
      </c>
      <c r="G7" s="44" t="s">
        <v>601</v>
      </c>
    </row>
    <row r="8" spans="1:7" ht="14.4" thickTop="1" thickBot="1" x14ac:dyDescent="0.3">
      <c r="A8" s="45">
        <v>43108</v>
      </c>
      <c r="B8" s="44" t="s">
        <v>59</v>
      </c>
      <c r="C8" s="44" t="s">
        <v>163</v>
      </c>
      <c r="D8" s="44" t="s">
        <v>104</v>
      </c>
      <c r="E8" s="44"/>
      <c r="F8" s="44" t="s">
        <v>545</v>
      </c>
      <c r="G8" s="44" t="s">
        <v>602</v>
      </c>
    </row>
    <row r="9" spans="1:7" ht="14.4" thickTop="1" thickBot="1" x14ac:dyDescent="0.3">
      <c r="A9" s="45">
        <v>43109</v>
      </c>
      <c r="B9" s="44" t="s">
        <v>153</v>
      </c>
      <c r="C9" s="44" t="s">
        <v>163</v>
      </c>
      <c r="D9" s="44" t="s">
        <v>104</v>
      </c>
      <c r="E9" s="44"/>
      <c r="F9" s="44" t="s">
        <v>545</v>
      </c>
      <c r="G9" s="44" t="s">
        <v>603</v>
      </c>
    </row>
    <row r="10" spans="1:7" ht="14.4" thickTop="1" thickBot="1" x14ac:dyDescent="0.3">
      <c r="A10" s="45">
        <v>43110</v>
      </c>
      <c r="B10" s="44" t="s">
        <v>156</v>
      </c>
      <c r="C10" s="44" t="s">
        <v>163</v>
      </c>
      <c r="D10" s="44" t="s">
        <v>104</v>
      </c>
      <c r="E10" s="44"/>
      <c r="F10" s="44" t="s">
        <v>545</v>
      </c>
      <c r="G10" s="44" t="s">
        <v>604</v>
      </c>
    </row>
    <row r="11" spans="1:7" ht="14.4" thickTop="1" thickBot="1" x14ac:dyDescent="0.3">
      <c r="A11" s="45">
        <v>43111</v>
      </c>
      <c r="B11" s="44" t="s">
        <v>71</v>
      </c>
      <c r="C11" s="44" t="s">
        <v>163</v>
      </c>
      <c r="D11" s="44" t="s">
        <v>104</v>
      </c>
      <c r="E11" s="44"/>
      <c r="F11" s="44" t="s">
        <v>545</v>
      </c>
      <c r="G11" s="44" t="s">
        <v>605</v>
      </c>
    </row>
    <row r="12" spans="1:7" ht="14.4" thickTop="1" thickBot="1" x14ac:dyDescent="0.3">
      <c r="A12" s="45">
        <v>43112</v>
      </c>
      <c r="B12" s="44" t="s">
        <v>77</v>
      </c>
      <c r="C12" s="44" t="s">
        <v>163</v>
      </c>
      <c r="D12" s="44" t="s">
        <v>104</v>
      </c>
      <c r="E12" s="44"/>
      <c r="F12" s="44" t="s">
        <v>545</v>
      </c>
      <c r="G12" s="44" t="s">
        <v>606</v>
      </c>
    </row>
    <row r="13" spans="1:7" ht="14.4" thickTop="1" thickBot="1" x14ac:dyDescent="0.3">
      <c r="A13" s="45">
        <v>43115</v>
      </c>
      <c r="B13" s="44" t="s">
        <v>83</v>
      </c>
      <c r="C13" s="44" t="s">
        <v>164</v>
      </c>
      <c r="D13" s="44" t="s">
        <v>104</v>
      </c>
      <c r="E13" s="44"/>
      <c r="F13" s="44" t="s">
        <v>545</v>
      </c>
      <c r="G13" s="44" t="s">
        <v>607</v>
      </c>
    </row>
    <row r="14" spans="1:7" ht="14.4" thickTop="1" thickBot="1" x14ac:dyDescent="0.3">
      <c r="A14" s="45">
        <v>43116</v>
      </c>
      <c r="B14" s="44" t="s">
        <v>141</v>
      </c>
      <c r="C14" s="44" t="s">
        <v>164</v>
      </c>
      <c r="D14" s="44" t="s">
        <v>104</v>
      </c>
      <c r="E14" s="44"/>
      <c r="F14" s="44" t="s">
        <v>545</v>
      </c>
      <c r="G14" s="44" t="s">
        <v>608</v>
      </c>
    </row>
    <row r="15" spans="1:7" ht="14.4" thickTop="1" thickBot="1" x14ac:dyDescent="0.3">
      <c r="A15" s="45">
        <v>43117</v>
      </c>
      <c r="B15" s="44" t="s">
        <v>141</v>
      </c>
      <c r="C15" s="44" t="s">
        <v>164</v>
      </c>
      <c r="D15" s="44" t="s">
        <v>104</v>
      </c>
      <c r="E15" s="44"/>
      <c r="F15" s="44" t="s">
        <v>545</v>
      </c>
      <c r="G15" s="44" t="s">
        <v>609</v>
      </c>
    </row>
    <row r="16" spans="1:7" ht="14.4" thickTop="1" thickBot="1" x14ac:dyDescent="0.3">
      <c r="A16" s="45">
        <v>43118</v>
      </c>
      <c r="B16" s="44" t="s">
        <v>93</v>
      </c>
      <c r="C16" s="44" t="s">
        <v>164</v>
      </c>
      <c r="D16" s="44" t="s">
        <v>104</v>
      </c>
      <c r="E16" s="44"/>
      <c r="F16" s="44" t="s">
        <v>545</v>
      </c>
      <c r="G16" s="44" t="s">
        <v>610</v>
      </c>
    </row>
    <row r="17" spans="1:7" ht="14.4" thickTop="1" thickBot="1" x14ac:dyDescent="0.3">
      <c r="A17" s="45">
        <v>43119</v>
      </c>
      <c r="B17" s="44" t="s">
        <v>144</v>
      </c>
      <c r="C17" s="44" t="s">
        <v>164</v>
      </c>
      <c r="D17" s="44" t="s">
        <v>104</v>
      </c>
      <c r="E17" s="44"/>
      <c r="F17" s="44" t="s">
        <v>545</v>
      </c>
      <c r="G17" s="44" t="s">
        <v>611</v>
      </c>
    </row>
    <row r="18" spans="1:7" ht="14.4" thickTop="1" thickBot="1" x14ac:dyDescent="0.3">
      <c r="A18" s="45">
        <v>43122</v>
      </c>
      <c r="B18" s="44" t="s">
        <v>150</v>
      </c>
      <c r="C18" s="44" t="s">
        <v>165</v>
      </c>
      <c r="D18" s="44" t="s">
        <v>104</v>
      </c>
      <c r="E18" s="44"/>
      <c r="F18" s="44" t="s">
        <v>545</v>
      </c>
      <c r="G18" s="44" t="s">
        <v>612</v>
      </c>
    </row>
    <row r="19" spans="1:7" ht="14.4" thickTop="1" thickBot="1" x14ac:dyDescent="0.3">
      <c r="A19" s="45">
        <v>43123</v>
      </c>
      <c r="B19" s="44" t="s">
        <v>15</v>
      </c>
      <c r="C19" s="44" t="s">
        <v>165</v>
      </c>
      <c r="D19" s="44" t="s">
        <v>104</v>
      </c>
      <c r="E19" s="44"/>
      <c r="F19" s="44" t="s">
        <v>545</v>
      </c>
      <c r="G19" s="44" t="s">
        <v>613</v>
      </c>
    </row>
    <row r="20" spans="1:7" ht="14.4" thickTop="1" thickBot="1" x14ac:dyDescent="0.3">
      <c r="A20" s="45">
        <v>43124</v>
      </c>
      <c r="B20" s="44" t="s">
        <v>123</v>
      </c>
      <c r="C20" s="44" t="s">
        <v>165</v>
      </c>
      <c r="D20" s="44" t="s">
        <v>104</v>
      </c>
      <c r="E20" s="44"/>
      <c r="F20" s="44" t="s">
        <v>545</v>
      </c>
      <c r="G20" s="44" t="s">
        <v>626</v>
      </c>
    </row>
    <row r="21" spans="1:7" ht="14.4" thickTop="1" thickBot="1" x14ac:dyDescent="0.3">
      <c r="A21" s="45">
        <v>43125</v>
      </c>
      <c r="B21" s="44" t="s">
        <v>129</v>
      </c>
      <c r="C21" s="44" t="s">
        <v>165</v>
      </c>
      <c r="D21" s="44" t="s">
        <v>104</v>
      </c>
      <c r="E21" s="44"/>
      <c r="F21" s="44" t="s">
        <v>545</v>
      </c>
      <c r="G21" s="44" t="s">
        <v>627</v>
      </c>
    </row>
    <row r="22" spans="1:7" ht="14.4" thickTop="1" thickBot="1" x14ac:dyDescent="0.3">
      <c r="A22" s="45">
        <v>43126</v>
      </c>
      <c r="B22" s="44" t="s">
        <v>132</v>
      </c>
      <c r="C22" s="44" t="s">
        <v>165</v>
      </c>
      <c r="D22" s="44" t="s">
        <v>104</v>
      </c>
      <c r="E22" s="44"/>
      <c r="F22" s="44" t="s">
        <v>545</v>
      </c>
      <c r="G22" s="44" t="s">
        <v>628</v>
      </c>
    </row>
    <row r="23" spans="1:7" ht="14.4" thickTop="1" thickBot="1" x14ac:dyDescent="0.3">
      <c r="A23" s="45">
        <v>43129</v>
      </c>
      <c r="B23" s="44" t="s">
        <v>135</v>
      </c>
      <c r="C23" s="44" t="s">
        <v>166</v>
      </c>
      <c r="D23" s="44" t="s">
        <v>104</v>
      </c>
      <c r="E23" s="44"/>
      <c r="F23" s="44" t="s">
        <v>545</v>
      </c>
      <c r="G23" s="44" t="s">
        <v>629</v>
      </c>
    </row>
    <row r="24" spans="1:7" ht="14.4" thickTop="1" thickBot="1" x14ac:dyDescent="0.3">
      <c r="A24" s="45">
        <v>43130</v>
      </c>
      <c r="B24" s="44" t="s">
        <v>138</v>
      </c>
      <c r="C24" s="44" t="s">
        <v>166</v>
      </c>
      <c r="D24" s="44" t="s">
        <v>104</v>
      </c>
      <c r="E24" s="44"/>
      <c r="F24" s="44" t="s">
        <v>545</v>
      </c>
      <c r="G24" s="44" t="s">
        <v>630</v>
      </c>
    </row>
    <row r="25" spans="1:7" ht="14.4" thickTop="1" thickBot="1" x14ac:dyDescent="0.3">
      <c r="A25" s="45">
        <v>43131</v>
      </c>
      <c r="B25" s="44" t="s">
        <v>42</v>
      </c>
      <c r="C25" s="44" t="s">
        <v>166</v>
      </c>
      <c r="D25" s="44" t="s">
        <v>104</v>
      </c>
      <c r="E25" s="44"/>
      <c r="F25" s="44" t="s">
        <v>545</v>
      </c>
      <c r="G25" s="44" t="s">
        <v>631</v>
      </c>
    </row>
    <row r="26" spans="1:7" ht="14.4" thickTop="1" thickBot="1" x14ac:dyDescent="0.3">
      <c r="A26" s="65" t="s">
        <v>632</v>
      </c>
      <c r="B26" s="65"/>
      <c r="C26" s="65"/>
      <c r="D26" s="65"/>
      <c r="E26" s="65"/>
      <c r="F26" s="65"/>
      <c r="G26" s="65"/>
    </row>
    <row r="27" spans="1:7" ht="14.4" thickTop="1" thickBot="1" x14ac:dyDescent="0.3">
      <c r="A27" s="65" t="s">
        <v>614</v>
      </c>
      <c r="B27" s="65"/>
      <c r="C27" s="65"/>
      <c r="D27" s="65"/>
      <c r="E27" s="65"/>
      <c r="F27" s="65"/>
      <c r="G27" s="65"/>
    </row>
    <row r="28" spans="1:7" ht="14.4" thickTop="1" thickBot="1" x14ac:dyDescent="0.3">
      <c r="A28" s="43" t="s">
        <v>515</v>
      </c>
      <c r="B28" s="43" t="s">
        <v>522</v>
      </c>
      <c r="C28" s="43" t="s">
        <v>528</v>
      </c>
      <c r="D28" s="44" t="s">
        <v>517</v>
      </c>
      <c r="E28" s="43" t="s">
        <v>533</v>
      </c>
      <c r="F28" s="43" t="s">
        <v>537</v>
      </c>
      <c r="G28" s="44" t="s">
        <v>514</v>
      </c>
    </row>
    <row r="29" spans="1:7" ht="14.4" thickTop="1" thickBot="1" x14ac:dyDescent="0.3">
      <c r="A29" s="45">
        <v>43132</v>
      </c>
      <c r="B29" s="44" t="s">
        <v>59</v>
      </c>
      <c r="C29" s="44" t="s">
        <v>166</v>
      </c>
      <c r="D29" s="44" t="s">
        <v>104</v>
      </c>
      <c r="E29" s="44"/>
      <c r="F29" s="44" t="s">
        <v>545</v>
      </c>
      <c r="G29" s="44" t="s">
        <v>634</v>
      </c>
    </row>
    <row r="30" spans="1:7" ht="14.4" thickTop="1" thickBot="1" x14ac:dyDescent="0.3">
      <c r="A30" s="45">
        <v>43133</v>
      </c>
      <c r="B30" s="44" t="s">
        <v>59</v>
      </c>
      <c r="C30" s="44" t="s">
        <v>166</v>
      </c>
      <c r="D30" s="44" t="s">
        <v>104</v>
      </c>
      <c r="E30" s="44"/>
      <c r="F30" s="44" t="s">
        <v>545</v>
      </c>
      <c r="G30" s="44" t="s">
        <v>635</v>
      </c>
    </row>
    <row r="31" spans="1:7" ht="14.4" thickTop="1" thickBot="1" x14ac:dyDescent="0.3">
      <c r="A31" s="45">
        <v>43136</v>
      </c>
      <c r="B31" s="44" t="s">
        <v>153</v>
      </c>
      <c r="C31" s="44" t="s">
        <v>161</v>
      </c>
      <c r="D31" s="44" t="s">
        <v>104</v>
      </c>
      <c r="E31" s="44"/>
      <c r="F31" s="44" t="s">
        <v>545</v>
      </c>
      <c r="G31" s="44" t="s">
        <v>625</v>
      </c>
    </row>
    <row r="32" spans="1:7" ht="14.4" thickTop="1" thickBot="1" x14ac:dyDescent="0.3">
      <c r="A32" s="45">
        <v>43137</v>
      </c>
      <c r="B32" s="44" t="s">
        <v>156</v>
      </c>
      <c r="C32" s="44" t="s">
        <v>161</v>
      </c>
      <c r="D32" s="44" t="s">
        <v>104</v>
      </c>
      <c r="E32" s="44"/>
      <c r="F32" s="44" t="s">
        <v>545</v>
      </c>
      <c r="G32" s="44" t="s">
        <v>636</v>
      </c>
    </row>
    <row r="33" spans="1:7" ht="14.4" thickTop="1" thickBot="1" x14ac:dyDescent="0.3">
      <c r="A33" s="45">
        <v>43138</v>
      </c>
      <c r="B33" s="44" t="s">
        <v>71</v>
      </c>
      <c r="C33" s="44" t="s">
        <v>161</v>
      </c>
      <c r="D33" s="44" t="s">
        <v>104</v>
      </c>
      <c r="E33" s="44"/>
      <c r="F33" s="44" t="s">
        <v>545</v>
      </c>
      <c r="G33" s="44" t="s">
        <v>637</v>
      </c>
    </row>
    <row r="34" spans="1:7" ht="14.4" thickTop="1" thickBot="1" x14ac:dyDescent="0.3">
      <c r="A34" s="45">
        <v>43139</v>
      </c>
      <c r="B34" s="44" t="s">
        <v>77</v>
      </c>
      <c r="C34" s="44" t="s">
        <v>161</v>
      </c>
      <c r="D34" s="44" t="s">
        <v>104</v>
      </c>
      <c r="E34" s="44"/>
      <c r="F34" s="44" t="s">
        <v>545</v>
      </c>
      <c r="G34" s="44" t="s">
        <v>638</v>
      </c>
    </row>
    <row r="35" spans="1:7" ht="14.4" thickTop="1" thickBot="1" x14ac:dyDescent="0.3">
      <c r="A35" s="45">
        <v>43140</v>
      </c>
      <c r="B35" s="44" t="s">
        <v>83</v>
      </c>
      <c r="C35" s="44" t="s">
        <v>161</v>
      </c>
      <c r="D35" s="44" t="s">
        <v>104</v>
      </c>
      <c r="E35" s="44"/>
      <c r="F35" s="44" t="s">
        <v>545</v>
      </c>
      <c r="G35" s="44" t="s">
        <v>639</v>
      </c>
    </row>
    <row r="36" spans="1:7" ht="14.4" thickTop="1" thickBot="1" x14ac:dyDescent="0.3">
      <c r="A36" s="45">
        <v>43143</v>
      </c>
      <c r="B36" s="44" t="s">
        <v>141</v>
      </c>
      <c r="C36" s="44" t="s">
        <v>163</v>
      </c>
      <c r="D36" s="44" t="s">
        <v>104</v>
      </c>
      <c r="E36" s="44"/>
      <c r="F36" s="44" t="s">
        <v>545</v>
      </c>
      <c r="G36" s="44" t="s">
        <v>640</v>
      </c>
    </row>
    <row r="37" spans="1:7" ht="14.4" thickTop="1" thickBot="1" x14ac:dyDescent="0.3">
      <c r="A37" s="45">
        <v>43144</v>
      </c>
      <c r="B37" s="44" t="s">
        <v>141</v>
      </c>
      <c r="C37" s="44" t="s">
        <v>163</v>
      </c>
      <c r="D37" s="44" t="s">
        <v>104</v>
      </c>
      <c r="E37" s="44"/>
      <c r="F37" s="44" t="s">
        <v>545</v>
      </c>
      <c r="G37" s="44" t="s">
        <v>641</v>
      </c>
    </row>
    <row r="38" spans="1:7" ht="14.4" thickTop="1" thickBot="1" x14ac:dyDescent="0.3">
      <c r="A38" s="45">
        <v>43145</v>
      </c>
      <c r="B38" s="44" t="s">
        <v>93</v>
      </c>
      <c r="C38" s="44" t="s">
        <v>163</v>
      </c>
      <c r="D38" s="44" t="s">
        <v>104</v>
      </c>
      <c r="E38" s="44"/>
      <c r="F38" s="44" t="s">
        <v>545</v>
      </c>
      <c r="G38" s="44" t="s">
        <v>642</v>
      </c>
    </row>
    <row r="39" spans="1:7" ht="14.4" thickTop="1" thickBot="1" x14ac:dyDescent="0.3">
      <c r="A39" s="45">
        <v>43146</v>
      </c>
      <c r="B39" s="44" t="s">
        <v>144</v>
      </c>
      <c r="C39" s="44" t="s">
        <v>163</v>
      </c>
      <c r="D39" s="44" t="s">
        <v>104</v>
      </c>
      <c r="E39" s="44"/>
      <c r="F39" s="44" t="s">
        <v>545</v>
      </c>
      <c r="G39" s="44" t="s">
        <v>643</v>
      </c>
    </row>
    <row r="40" spans="1:7" ht="14.4" thickTop="1" thickBot="1" x14ac:dyDescent="0.3">
      <c r="A40" s="45">
        <v>43147</v>
      </c>
      <c r="B40" s="44" t="s">
        <v>150</v>
      </c>
      <c r="C40" s="44" t="s">
        <v>163</v>
      </c>
      <c r="D40" s="44" t="s">
        <v>104</v>
      </c>
      <c r="E40" s="44"/>
      <c r="F40" s="44" t="s">
        <v>545</v>
      </c>
      <c r="G40" s="44" t="s">
        <v>644</v>
      </c>
    </row>
    <row r="41" spans="1:7" ht="14.4" thickTop="1" thickBot="1" x14ac:dyDescent="0.3">
      <c r="A41" s="45">
        <v>43150</v>
      </c>
      <c r="B41" s="44" t="s">
        <v>15</v>
      </c>
      <c r="C41" s="44" t="s">
        <v>164</v>
      </c>
      <c r="D41" s="44" t="s">
        <v>104</v>
      </c>
      <c r="E41" s="44"/>
      <c r="F41" s="44" t="s">
        <v>545</v>
      </c>
      <c r="G41" s="44" t="s">
        <v>645</v>
      </c>
    </row>
    <row r="42" spans="1:7" ht="14.4" thickTop="1" thickBot="1" x14ac:dyDescent="0.3">
      <c r="A42" s="45">
        <v>43151</v>
      </c>
      <c r="B42" s="44" t="s">
        <v>123</v>
      </c>
      <c r="C42" s="44" t="s">
        <v>164</v>
      </c>
      <c r="D42" s="44" t="s">
        <v>104</v>
      </c>
      <c r="E42" s="44"/>
      <c r="F42" s="44" t="s">
        <v>545</v>
      </c>
      <c r="G42" s="44" t="s">
        <v>646</v>
      </c>
    </row>
    <row r="43" spans="1:7" ht="14.4" thickTop="1" thickBot="1" x14ac:dyDescent="0.3">
      <c r="A43" s="45">
        <v>43152</v>
      </c>
      <c r="B43" s="44" t="s">
        <v>129</v>
      </c>
      <c r="C43" s="44" t="s">
        <v>164</v>
      </c>
      <c r="D43" s="44" t="s">
        <v>104</v>
      </c>
      <c r="E43" s="44"/>
      <c r="F43" s="44" t="s">
        <v>545</v>
      </c>
      <c r="G43" s="44" t="s">
        <v>647</v>
      </c>
    </row>
    <row r="44" spans="1:7" ht="14.4" thickTop="1" thickBot="1" x14ac:dyDescent="0.3">
      <c r="A44" s="45">
        <v>43153</v>
      </c>
      <c r="B44" s="44" t="s">
        <v>132</v>
      </c>
      <c r="C44" s="44" t="s">
        <v>164</v>
      </c>
      <c r="D44" s="44" t="s">
        <v>104</v>
      </c>
      <c r="E44" s="44"/>
      <c r="F44" s="44" t="s">
        <v>545</v>
      </c>
      <c r="G44" s="44" t="s">
        <v>648</v>
      </c>
    </row>
    <row r="45" spans="1:7" ht="14.4" thickTop="1" thickBot="1" x14ac:dyDescent="0.3">
      <c r="A45" s="45">
        <v>43154</v>
      </c>
      <c r="B45" s="44" t="s">
        <v>135</v>
      </c>
      <c r="C45" s="44" t="s">
        <v>164</v>
      </c>
      <c r="D45" s="44" t="s">
        <v>104</v>
      </c>
      <c r="E45" s="44"/>
      <c r="F45" s="44" t="s">
        <v>545</v>
      </c>
      <c r="G45" s="44" t="s">
        <v>649</v>
      </c>
    </row>
    <row r="46" spans="1:7" ht="14.4" thickTop="1" thickBot="1" x14ac:dyDescent="0.3">
      <c r="A46" s="45">
        <v>43157</v>
      </c>
      <c r="B46" s="44" t="s">
        <v>138</v>
      </c>
      <c r="C46" s="44" t="s">
        <v>165</v>
      </c>
      <c r="D46" s="44" t="s">
        <v>104</v>
      </c>
      <c r="E46" s="44"/>
      <c r="F46" s="44" t="s">
        <v>545</v>
      </c>
      <c r="G46" s="44" t="s">
        <v>650</v>
      </c>
    </row>
    <row r="47" spans="1:7" ht="14.4" thickTop="1" thickBot="1" x14ac:dyDescent="0.3">
      <c r="A47" s="45">
        <v>43158</v>
      </c>
      <c r="B47" s="44" t="s">
        <v>42</v>
      </c>
      <c r="C47" s="44" t="s">
        <v>165</v>
      </c>
      <c r="D47" s="44" t="s">
        <v>104</v>
      </c>
      <c r="E47" s="44"/>
      <c r="F47" s="44" t="s">
        <v>545</v>
      </c>
      <c r="G47" s="44" t="s">
        <v>651</v>
      </c>
    </row>
    <row r="48" spans="1:7" ht="14.4" thickTop="1" thickBot="1" x14ac:dyDescent="0.3">
      <c r="A48" s="45">
        <v>43159</v>
      </c>
      <c r="B48" s="44" t="s">
        <v>59</v>
      </c>
      <c r="C48" s="44" t="s">
        <v>165</v>
      </c>
      <c r="D48" s="44" t="s">
        <v>104</v>
      </c>
      <c r="E48" s="44"/>
      <c r="F48" s="44" t="s">
        <v>545</v>
      </c>
      <c r="G48" s="44" t="s">
        <v>652</v>
      </c>
    </row>
    <row r="49" spans="1:7" ht="13.95" customHeight="1" thickTop="1" thickBot="1" x14ac:dyDescent="0.3">
      <c r="A49" s="45" t="s">
        <v>538</v>
      </c>
      <c r="B49" s="44"/>
      <c r="C49" s="44"/>
      <c r="D49" s="44"/>
      <c r="E49" s="44"/>
      <c r="F49" s="44"/>
      <c r="G49" s="44"/>
    </row>
    <row r="50" spans="1:7" ht="14.4" thickTop="1" thickBot="1" x14ac:dyDescent="0.3">
      <c r="A50" s="65" t="s">
        <v>653</v>
      </c>
      <c r="B50" s="65"/>
      <c r="C50" s="65"/>
      <c r="D50" s="65"/>
      <c r="E50" s="65"/>
      <c r="F50" s="65"/>
      <c r="G50" s="65"/>
    </row>
    <row r="51" spans="1:7" ht="14.4" thickTop="1" thickBot="1" x14ac:dyDescent="0.3">
      <c r="A51" s="65" t="s">
        <v>615</v>
      </c>
      <c r="B51" s="65"/>
      <c r="C51" s="65"/>
      <c r="D51" s="65"/>
      <c r="E51" s="65"/>
      <c r="F51" s="65"/>
      <c r="G51" s="65"/>
    </row>
    <row r="52" spans="1:7" ht="14.4" thickTop="1" thickBot="1" x14ac:dyDescent="0.3">
      <c r="A52" s="43" t="s">
        <v>515</v>
      </c>
      <c r="B52" s="43" t="s">
        <v>522</v>
      </c>
      <c r="C52" s="43" t="s">
        <v>528</v>
      </c>
      <c r="D52" s="44" t="s">
        <v>517</v>
      </c>
      <c r="E52" s="43" t="s">
        <v>533</v>
      </c>
      <c r="F52" s="43" t="s">
        <v>537</v>
      </c>
      <c r="G52" s="44" t="s">
        <v>514</v>
      </c>
    </row>
    <row r="53" spans="1:7" ht="14.4" thickTop="1" thickBot="1" x14ac:dyDescent="0.3">
      <c r="A53" s="45">
        <v>43160</v>
      </c>
      <c r="B53" s="44" t="s">
        <v>59</v>
      </c>
      <c r="C53" s="44" t="s">
        <v>165</v>
      </c>
      <c r="D53" s="44" t="s">
        <v>104</v>
      </c>
      <c r="E53" s="44"/>
      <c r="F53" s="44" t="s">
        <v>547</v>
      </c>
      <c r="G53" s="44" t="s">
        <v>655</v>
      </c>
    </row>
    <row r="54" spans="1:7" ht="14.4" thickTop="1" thickBot="1" x14ac:dyDescent="0.3">
      <c r="A54" s="45">
        <v>43161</v>
      </c>
      <c r="B54" s="44" t="s">
        <v>153</v>
      </c>
      <c r="C54" s="44" t="s">
        <v>165</v>
      </c>
      <c r="D54" s="44" t="s">
        <v>104</v>
      </c>
      <c r="E54" s="44"/>
      <c r="F54" s="44" t="s">
        <v>547</v>
      </c>
      <c r="G54" s="44" t="s">
        <v>656</v>
      </c>
    </row>
    <row r="55" spans="1:7" ht="14.4" thickTop="1" thickBot="1" x14ac:dyDescent="0.3">
      <c r="A55" s="45">
        <v>43164</v>
      </c>
      <c r="B55" s="44" t="s">
        <v>156</v>
      </c>
      <c r="C55" s="44" t="s">
        <v>166</v>
      </c>
      <c r="D55" s="44" t="s">
        <v>104</v>
      </c>
      <c r="E55" s="44"/>
      <c r="F55" s="44" t="s">
        <v>547</v>
      </c>
      <c r="G55" s="44" t="s">
        <v>657</v>
      </c>
    </row>
    <row r="56" spans="1:7" ht="14.4" thickTop="1" thickBot="1" x14ac:dyDescent="0.3">
      <c r="A56" s="45">
        <v>43165</v>
      </c>
      <c r="B56" s="44" t="s">
        <v>71</v>
      </c>
      <c r="C56" s="44" t="s">
        <v>166</v>
      </c>
      <c r="D56" s="44" t="s">
        <v>104</v>
      </c>
      <c r="E56" s="44"/>
      <c r="F56" s="44" t="s">
        <v>547</v>
      </c>
      <c r="G56" s="44" t="s">
        <v>658</v>
      </c>
    </row>
    <row r="57" spans="1:7" ht="14.4" thickTop="1" thickBot="1" x14ac:dyDescent="0.3">
      <c r="A57" s="45">
        <v>43166</v>
      </c>
      <c r="B57" s="44" t="s">
        <v>77</v>
      </c>
      <c r="C57" s="44" t="s">
        <v>166</v>
      </c>
      <c r="D57" s="44" t="s">
        <v>104</v>
      </c>
      <c r="E57" s="44"/>
      <c r="F57" s="44" t="s">
        <v>547</v>
      </c>
      <c r="G57" s="44" t="s">
        <v>659</v>
      </c>
    </row>
    <row r="58" spans="1:7" ht="14.4" thickTop="1" thickBot="1" x14ac:dyDescent="0.3">
      <c r="A58" s="45">
        <v>43167</v>
      </c>
      <c r="B58" s="44" t="s">
        <v>83</v>
      </c>
      <c r="C58" s="44" t="s">
        <v>166</v>
      </c>
      <c r="D58" s="44" t="s">
        <v>104</v>
      </c>
      <c r="E58" s="44"/>
      <c r="F58" s="44" t="s">
        <v>547</v>
      </c>
      <c r="G58" s="44" t="s">
        <v>660</v>
      </c>
    </row>
    <row r="59" spans="1:7" ht="14.4" thickTop="1" thickBot="1" x14ac:dyDescent="0.3">
      <c r="A59" s="45">
        <v>43168</v>
      </c>
      <c r="B59" s="44" t="s">
        <v>141</v>
      </c>
      <c r="C59" s="44" t="s">
        <v>166</v>
      </c>
      <c r="D59" s="44" t="s">
        <v>104</v>
      </c>
      <c r="E59" s="44"/>
      <c r="F59" s="44" t="s">
        <v>547</v>
      </c>
      <c r="G59" s="44" t="s">
        <v>661</v>
      </c>
    </row>
    <row r="60" spans="1:7" ht="14.4" thickTop="1" thickBot="1" x14ac:dyDescent="0.3">
      <c r="A60" s="45">
        <v>43171</v>
      </c>
      <c r="B60" s="44" t="s">
        <v>141</v>
      </c>
      <c r="C60" s="44" t="s">
        <v>161</v>
      </c>
      <c r="D60" s="44" t="s">
        <v>104</v>
      </c>
      <c r="E60" s="44"/>
      <c r="F60" s="44" t="s">
        <v>547</v>
      </c>
      <c r="G60" s="44" t="s">
        <v>662</v>
      </c>
    </row>
    <row r="61" spans="1:7" ht="14.4" thickTop="1" thickBot="1" x14ac:dyDescent="0.3">
      <c r="A61" s="45">
        <v>43172</v>
      </c>
      <c r="B61" s="44" t="s">
        <v>93</v>
      </c>
      <c r="C61" s="44" t="s">
        <v>161</v>
      </c>
      <c r="D61" s="44" t="s">
        <v>104</v>
      </c>
      <c r="E61" s="44"/>
      <c r="F61" s="44" t="s">
        <v>547</v>
      </c>
      <c r="G61" s="44" t="s">
        <v>663</v>
      </c>
    </row>
    <row r="62" spans="1:7" ht="14.4" thickTop="1" thickBot="1" x14ac:dyDescent="0.3">
      <c r="A62" s="45">
        <v>43173</v>
      </c>
      <c r="B62" s="44" t="s">
        <v>144</v>
      </c>
      <c r="C62" s="44" t="s">
        <v>161</v>
      </c>
      <c r="D62" s="44" t="s">
        <v>104</v>
      </c>
      <c r="E62" s="44"/>
      <c r="F62" s="44" t="s">
        <v>547</v>
      </c>
      <c r="G62" s="44" t="s">
        <v>664</v>
      </c>
    </row>
    <row r="63" spans="1:7" ht="14.4" thickTop="1" thickBot="1" x14ac:dyDescent="0.3">
      <c r="A63" s="45">
        <v>43174</v>
      </c>
      <c r="B63" s="44" t="s">
        <v>150</v>
      </c>
      <c r="C63" s="44" t="s">
        <v>161</v>
      </c>
      <c r="D63" s="44" t="s">
        <v>104</v>
      </c>
      <c r="E63" s="44"/>
      <c r="F63" s="44" t="s">
        <v>547</v>
      </c>
      <c r="G63" s="44" t="s">
        <v>665</v>
      </c>
    </row>
    <row r="64" spans="1:7" ht="14.4" thickTop="1" thickBot="1" x14ac:dyDescent="0.3">
      <c r="A64" s="45">
        <v>43175</v>
      </c>
      <c r="B64" s="44" t="s">
        <v>15</v>
      </c>
      <c r="C64" s="44" t="s">
        <v>161</v>
      </c>
      <c r="D64" s="44" t="s">
        <v>104</v>
      </c>
      <c r="E64" s="44"/>
      <c r="F64" s="44" t="s">
        <v>547</v>
      </c>
      <c r="G64" s="44" t="s">
        <v>666</v>
      </c>
    </row>
    <row r="65" spans="1:7" ht="14.4" thickTop="1" thickBot="1" x14ac:dyDescent="0.3">
      <c r="A65" s="45">
        <v>43178</v>
      </c>
      <c r="B65" s="44" t="s">
        <v>123</v>
      </c>
      <c r="C65" s="44" t="s">
        <v>163</v>
      </c>
      <c r="D65" s="44" t="s">
        <v>104</v>
      </c>
      <c r="E65" s="44"/>
      <c r="F65" s="44" t="s">
        <v>547</v>
      </c>
      <c r="G65" s="44" t="s">
        <v>667</v>
      </c>
    </row>
    <row r="66" spans="1:7" ht="14.4" thickTop="1" thickBot="1" x14ac:dyDescent="0.3">
      <c r="A66" s="45">
        <v>43179</v>
      </c>
      <c r="B66" s="44" t="s">
        <v>129</v>
      </c>
      <c r="C66" s="44" t="s">
        <v>163</v>
      </c>
      <c r="D66" s="44" t="s">
        <v>104</v>
      </c>
      <c r="E66" s="44"/>
      <c r="F66" s="44" t="s">
        <v>547</v>
      </c>
      <c r="G66" s="44" t="s">
        <v>668</v>
      </c>
    </row>
    <row r="67" spans="1:7" ht="14.4" thickTop="1" thickBot="1" x14ac:dyDescent="0.3">
      <c r="A67" s="45">
        <v>43180</v>
      </c>
      <c r="B67" s="44" t="s">
        <v>132</v>
      </c>
      <c r="C67" s="44" t="s">
        <v>163</v>
      </c>
      <c r="D67" s="44" t="s">
        <v>104</v>
      </c>
      <c r="E67" s="44"/>
      <c r="F67" s="44" t="s">
        <v>547</v>
      </c>
      <c r="G67" s="44" t="s">
        <v>669</v>
      </c>
    </row>
    <row r="68" spans="1:7" ht="14.4" thickTop="1" thickBot="1" x14ac:dyDescent="0.3">
      <c r="A68" s="45">
        <v>43181</v>
      </c>
      <c r="B68" s="44" t="s">
        <v>135</v>
      </c>
      <c r="C68" s="44" t="s">
        <v>163</v>
      </c>
      <c r="D68" s="44" t="s">
        <v>104</v>
      </c>
      <c r="E68" s="44"/>
      <c r="F68" s="44" t="s">
        <v>547</v>
      </c>
      <c r="G68" s="44" t="s">
        <v>670</v>
      </c>
    </row>
    <row r="69" spans="1:7" ht="14.4" thickTop="1" thickBot="1" x14ac:dyDescent="0.3">
      <c r="A69" s="45">
        <v>43182</v>
      </c>
      <c r="B69" s="44" t="s">
        <v>138</v>
      </c>
      <c r="C69" s="44" t="s">
        <v>163</v>
      </c>
      <c r="D69" s="44" t="s">
        <v>104</v>
      </c>
      <c r="E69" s="44"/>
      <c r="F69" s="44" t="s">
        <v>547</v>
      </c>
      <c r="G69" s="44" t="s">
        <v>671</v>
      </c>
    </row>
    <row r="70" spans="1:7" ht="14.4" thickTop="1" thickBot="1" x14ac:dyDescent="0.3">
      <c r="A70" s="45">
        <v>43185</v>
      </c>
      <c r="B70" s="44" t="s">
        <v>42</v>
      </c>
      <c r="C70" s="44" t="s">
        <v>164</v>
      </c>
      <c r="D70" s="44" t="s">
        <v>104</v>
      </c>
      <c r="E70" s="44"/>
      <c r="F70" s="44" t="s">
        <v>547</v>
      </c>
      <c r="G70" s="44" t="s">
        <v>673</v>
      </c>
    </row>
    <row r="71" spans="1:7" ht="14.4" thickTop="1" thickBot="1" x14ac:dyDescent="0.3">
      <c r="A71" s="45">
        <v>43186</v>
      </c>
      <c r="B71" s="44" t="s">
        <v>59</v>
      </c>
      <c r="C71" s="44" t="s">
        <v>164</v>
      </c>
      <c r="D71" s="44" t="s">
        <v>104</v>
      </c>
      <c r="E71" s="44"/>
      <c r="F71" s="44" t="s">
        <v>547</v>
      </c>
      <c r="G71" s="44" t="s">
        <v>672</v>
      </c>
    </row>
    <row r="72" spans="1:7" ht="14.4" thickTop="1" thickBot="1" x14ac:dyDescent="0.3">
      <c r="A72" s="45">
        <v>43187</v>
      </c>
      <c r="B72" s="44" t="s">
        <v>59</v>
      </c>
      <c r="C72" s="44" t="s">
        <v>164</v>
      </c>
      <c r="D72" s="44" t="s">
        <v>104</v>
      </c>
      <c r="E72" s="44"/>
      <c r="F72" s="44" t="s">
        <v>547</v>
      </c>
      <c r="G72" s="44" t="s">
        <v>674</v>
      </c>
    </row>
    <row r="73" spans="1:7" ht="14.4" thickTop="1" thickBot="1" x14ac:dyDescent="0.3">
      <c r="A73" s="45">
        <v>43188</v>
      </c>
      <c r="B73" s="44" t="s">
        <v>153</v>
      </c>
      <c r="C73" s="44" t="s">
        <v>164</v>
      </c>
      <c r="D73" s="44" t="s">
        <v>104</v>
      </c>
      <c r="E73" s="44"/>
      <c r="F73" s="44" t="s">
        <v>547</v>
      </c>
      <c r="G73" s="44" t="s">
        <v>675</v>
      </c>
    </row>
    <row r="74" spans="1:7" ht="14.4" thickTop="1" thickBot="1" x14ac:dyDescent="0.3">
      <c r="A74" s="45">
        <v>43189</v>
      </c>
      <c r="B74" s="44" t="s">
        <v>156</v>
      </c>
      <c r="C74" s="44" t="s">
        <v>164</v>
      </c>
      <c r="D74" s="44" t="s">
        <v>104</v>
      </c>
      <c r="E74" s="44"/>
      <c r="F74" s="44" t="s">
        <v>547</v>
      </c>
      <c r="G74" s="44" t="s">
        <v>676</v>
      </c>
    </row>
    <row r="75" spans="1:7" ht="14.4" thickTop="1" thickBot="1" x14ac:dyDescent="0.3">
      <c r="A75" s="65" t="s">
        <v>677</v>
      </c>
      <c r="B75" s="65"/>
      <c r="C75" s="65"/>
      <c r="D75" s="65"/>
      <c r="E75" s="65"/>
      <c r="F75" s="65"/>
      <c r="G75" s="65"/>
    </row>
    <row r="76" spans="1:7" ht="14.4" thickTop="1" thickBot="1" x14ac:dyDescent="0.3">
      <c r="A76" s="65" t="s">
        <v>616</v>
      </c>
      <c r="B76" s="65"/>
      <c r="C76" s="65"/>
      <c r="D76" s="65"/>
      <c r="E76" s="65"/>
      <c r="F76" s="65"/>
      <c r="G76" s="65"/>
    </row>
    <row r="77" spans="1:7" ht="14.4" thickTop="1" thickBot="1" x14ac:dyDescent="0.3">
      <c r="A77" s="43" t="s">
        <v>515</v>
      </c>
      <c r="B77" s="43" t="s">
        <v>522</v>
      </c>
      <c r="C77" s="43" t="s">
        <v>528</v>
      </c>
      <c r="D77" s="44" t="s">
        <v>517</v>
      </c>
      <c r="E77" s="43" t="s">
        <v>533</v>
      </c>
      <c r="F77" s="43" t="s">
        <v>537</v>
      </c>
      <c r="G77" s="44" t="s">
        <v>514</v>
      </c>
    </row>
    <row r="78" spans="1:7" ht="14.4" thickTop="1" thickBot="1" x14ac:dyDescent="0.3">
      <c r="A78" s="45">
        <v>43192</v>
      </c>
      <c r="B78" s="44" t="s">
        <v>71</v>
      </c>
      <c r="C78" s="44" t="s">
        <v>165</v>
      </c>
      <c r="D78" s="44" t="s">
        <v>104</v>
      </c>
      <c r="E78" s="44" t="s">
        <v>50</v>
      </c>
      <c r="F78" s="44" t="s">
        <v>548</v>
      </c>
      <c r="G78" s="44" t="s">
        <v>678</v>
      </c>
    </row>
    <row r="79" spans="1:7" ht="14.4" thickTop="1" thickBot="1" x14ac:dyDescent="0.3">
      <c r="A79" s="45">
        <v>43193</v>
      </c>
      <c r="B79" s="44" t="s">
        <v>77</v>
      </c>
      <c r="C79" s="44" t="s">
        <v>165</v>
      </c>
      <c r="D79" s="44" t="s">
        <v>104</v>
      </c>
      <c r="E79" s="44"/>
      <c r="F79" s="44" t="s">
        <v>548</v>
      </c>
      <c r="G79" s="44" t="s">
        <v>679</v>
      </c>
    </row>
    <row r="80" spans="1:7" ht="14.4" thickTop="1" thickBot="1" x14ac:dyDescent="0.3">
      <c r="A80" s="45">
        <v>43194</v>
      </c>
      <c r="B80" s="44" t="s">
        <v>83</v>
      </c>
      <c r="C80" s="44" t="s">
        <v>165</v>
      </c>
      <c r="D80" s="44" t="s">
        <v>104</v>
      </c>
      <c r="E80" s="44"/>
      <c r="F80" s="44" t="s">
        <v>548</v>
      </c>
      <c r="G80" s="44" t="s">
        <v>681</v>
      </c>
    </row>
    <row r="81" spans="1:7" ht="14.4" thickTop="1" thickBot="1" x14ac:dyDescent="0.3">
      <c r="A81" s="45">
        <v>43196</v>
      </c>
      <c r="B81" s="44" t="s">
        <v>141</v>
      </c>
      <c r="C81" s="44" t="s">
        <v>165</v>
      </c>
      <c r="D81" s="44" t="s">
        <v>104</v>
      </c>
      <c r="E81" s="44"/>
      <c r="F81" s="44" t="s">
        <v>548</v>
      </c>
      <c r="G81" s="44" t="s">
        <v>683</v>
      </c>
    </row>
    <row r="82" spans="1:7" ht="14.4" thickTop="1" thickBot="1" x14ac:dyDescent="0.3">
      <c r="A82" s="45">
        <v>43194</v>
      </c>
      <c r="B82" s="44" t="s">
        <v>83</v>
      </c>
      <c r="C82" s="44" t="s">
        <v>165</v>
      </c>
      <c r="D82" s="44" t="s">
        <v>104</v>
      </c>
      <c r="E82" s="44"/>
      <c r="F82" s="44" t="s">
        <v>548</v>
      </c>
      <c r="G82" s="44" t="s">
        <v>681</v>
      </c>
    </row>
    <row r="83" spans="1:7" ht="14.4" thickTop="1" thickBot="1" x14ac:dyDescent="0.3">
      <c r="A83" s="45">
        <v>43196</v>
      </c>
      <c r="B83" s="44" t="s">
        <v>141</v>
      </c>
      <c r="C83" s="44" t="s">
        <v>165</v>
      </c>
      <c r="D83" s="44" t="s">
        <v>104</v>
      </c>
      <c r="E83" s="44"/>
      <c r="F83" s="44" t="s">
        <v>548</v>
      </c>
      <c r="G83" s="44" t="s">
        <v>683</v>
      </c>
    </row>
    <row r="84" spans="1:7" ht="14.4" thickTop="1" thickBot="1" x14ac:dyDescent="0.3">
      <c r="A84" s="45">
        <v>43199</v>
      </c>
      <c r="B84" s="44" t="s">
        <v>93</v>
      </c>
      <c r="C84" s="44" t="s">
        <v>166</v>
      </c>
      <c r="D84" s="44" t="s">
        <v>104</v>
      </c>
      <c r="E84" s="44"/>
      <c r="F84" s="44" t="s">
        <v>548</v>
      </c>
      <c r="G84" s="44" t="s">
        <v>684</v>
      </c>
    </row>
    <row r="85" spans="1:7" ht="14.4" thickTop="1" thickBot="1" x14ac:dyDescent="0.3">
      <c r="A85" s="45">
        <v>43200</v>
      </c>
      <c r="B85" s="44" t="s">
        <v>144</v>
      </c>
      <c r="C85" s="44" t="s">
        <v>166</v>
      </c>
      <c r="D85" s="44" t="s">
        <v>104</v>
      </c>
      <c r="E85" s="44"/>
      <c r="F85" s="44" t="s">
        <v>548</v>
      </c>
      <c r="G85" s="44" t="s">
        <v>685</v>
      </c>
    </row>
    <row r="86" spans="1:7" ht="14.4" thickTop="1" thickBot="1" x14ac:dyDescent="0.3">
      <c r="A86" s="45">
        <v>43201</v>
      </c>
      <c r="B86" s="44" t="s">
        <v>150</v>
      </c>
      <c r="C86" s="44" t="s">
        <v>166</v>
      </c>
      <c r="D86" s="44" t="s">
        <v>104</v>
      </c>
      <c r="E86" s="44"/>
      <c r="F86" s="44" t="s">
        <v>548</v>
      </c>
      <c r="G86" s="44" t="s">
        <v>686</v>
      </c>
    </row>
    <row r="87" spans="1:7" ht="14.4" thickTop="1" thickBot="1" x14ac:dyDescent="0.3">
      <c r="A87" s="45">
        <v>43202</v>
      </c>
      <c r="B87" s="44" t="s">
        <v>15</v>
      </c>
      <c r="C87" s="44" t="s">
        <v>166</v>
      </c>
      <c r="D87" s="44" t="s">
        <v>104</v>
      </c>
      <c r="E87" s="44"/>
      <c r="F87" s="44" t="s">
        <v>548</v>
      </c>
      <c r="G87" s="44" t="s">
        <v>687</v>
      </c>
    </row>
    <row r="88" spans="1:7" ht="14.4" thickTop="1" thickBot="1" x14ac:dyDescent="0.3">
      <c r="A88" s="45">
        <v>43203</v>
      </c>
      <c r="B88" s="44" t="s">
        <v>123</v>
      </c>
      <c r="C88" s="44" t="s">
        <v>166</v>
      </c>
      <c r="D88" s="44" t="s">
        <v>104</v>
      </c>
      <c r="E88" s="44"/>
      <c r="F88" s="44" t="s">
        <v>548</v>
      </c>
      <c r="G88" s="44" t="s">
        <v>688</v>
      </c>
    </row>
    <row r="89" spans="1:7" ht="14.4" thickTop="1" thickBot="1" x14ac:dyDescent="0.3">
      <c r="A89" s="45">
        <v>43206</v>
      </c>
      <c r="B89" s="44" t="s">
        <v>129</v>
      </c>
      <c r="C89" s="44" t="s">
        <v>161</v>
      </c>
      <c r="D89" s="44" t="s">
        <v>104</v>
      </c>
      <c r="E89" s="44"/>
      <c r="F89" s="44" t="s">
        <v>548</v>
      </c>
      <c r="G89" s="44" t="s">
        <v>689</v>
      </c>
    </row>
    <row r="90" spans="1:7" ht="14.4" thickTop="1" thickBot="1" x14ac:dyDescent="0.3">
      <c r="A90" s="45">
        <v>43207</v>
      </c>
      <c r="B90" s="44" t="s">
        <v>132</v>
      </c>
      <c r="C90" s="44" t="s">
        <v>161</v>
      </c>
      <c r="D90" s="44" t="s">
        <v>104</v>
      </c>
      <c r="E90" s="44"/>
      <c r="F90" s="44" t="s">
        <v>548</v>
      </c>
      <c r="G90" s="44" t="s">
        <v>690</v>
      </c>
    </row>
    <row r="91" spans="1:7" ht="14.4" thickTop="1" thickBot="1" x14ac:dyDescent="0.3">
      <c r="A91" s="45">
        <v>43208</v>
      </c>
      <c r="B91" s="44" t="s">
        <v>135</v>
      </c>
      <c r="C91" s="44" t="s">
        <v>161</v>
      </c>
      <c r="D91" s="44" t="s">
        <v>104</v>
      </c>
      <c r="E91" s="44"/>
      <c r="F91" s="44" t="s">
        <v>548</v>
      </c>
      <c r="G91" s="44" t="s">
        <v>691</v>
      </c>
    </row>
    <row r="92" spans="1:7" ht="14.4" thickTop="1" thickBot="1" x14ac:dyDescent="0.3">
      <c r="A92" s="45">
        <v>43209</v>
      </c>
      <c r="B92" s="44" t="s">
        <v>138</v>
      </c>
      <c r="C92" s="44" t="s">
        <v>161</v>
      </c>
      <c r="D92" s="44" t="s">
        <v>104</v>
      </c>
      <c r="E92" s="44"/>
      <c r="F92" s="44" t="s">
        <v>548</v>
      </c>
      <c r="G92" s="44" t="s">
        <v>692</v>
      </c>
    </row>
    <row r="93" spans="1:7" ht="14.4" thickTop="1" thickBot="1" x14ac:dyDescent="0.3">
      <c r="A93" s="45">
        <v>43210</v>
      </c>
      <c r="B93" s="44" t="s">
        <v>42</v>
      </c>
      <c r="C93" s="44" t="s">
        <v>161</v>
      </c>
      <c r="D93" s="44" t="s">
        <v>104</v>
      </c>
      <c r="E93" s="44"/>
      <c r="F93" s="44" t="s">
        <v>548</v>
      </c>
      <c r="G93" s="44" t="s">
        <v>693</v>
      </c>
    </row>
    <row r="94" spans="1:7" ht="14.4" thickTop="1" thickBot="1" x14ac:dyDescent="0.3">
      <c r="A94" s="45">
        <v>43213</v>
      </c>
      <c r="B94" s="44" t="s">
        <v>59</v>
      </c>
      <c r="C94" s="44" t="s">
        <v>163</v>
      </c>
      <c r="D94" s="44" t="s">
        <v>104</v>
      </c>
      <c r="E94" s="44"/>
      <c r="F94" s="44" t="s">
        <v>548</v>
      </c>
      <c r="G94" s="44" t="s">
        <v>694</v>
      </c>
    </row>
    <row r="95" spans="1:7" ht="14.4" thickTop="1" thickBot="1" x14ac:dyDescent="0.3">
      <c r="A95" s="45">
        <v>43214</v>
      </c>
      <c r="B95" s="44" t="s">
        <v>59</v>
      </c>
      <c r="C95" s="44" t="s">
        <v>163</v>
      </c>
      <c r="D95" s="44" t="s">
        <v>104</v>
      </c>
      <c r="E95" s="44"/>
      <c r="F95" s="44" t="s">
        <v>548</v>
      </c>
      <c r="G95" s="44" t="s">
        <v>695</v>
      </c>
    </row>
    <row r="96" spans="1:7" ht="14.4" thickTop="1" thickBot="1" x14ac:dyDescent="0.3">
      <c r="A96" s="45">
        <v>43215</v>
      </c>
      <c r="B96" s="44" t="s">
        <v>153</v>
      </c>
      <c r="C96" s="44" t="s">
        <v>163</v>
      </c>
      <c r="D96" s="44" t="s">
        <v>104</v>
      </c>
      <c r="E96" s="44"/>
      <c r="F96" s="44" t="s">
        <v>548</v>
      </c>
      <c r="G96" s="44" t="s">
        <v>696</v>
      </c>
    </row>
    <row r="97" spans="1:7" ht="14.4" thickTop="1" thickBot="1" x14ac:dyDescent="0.3">
      <c r="A97" s="45">
        <v>43216</v>
      </c>
      <c r="B97" s="44" t="s">
        <v>156</v>
      </c>
      <c r="C97" s="44" t="s">
        <v>163</v>
      </c>
      <c r="D97" s="44" t="s">
        <v>104</v>
      </c>
      <c r="E97" s="44"/>
      <c r="F97" s="44" t="s">
        <v>548</v>
      </c>
      <c r="G97" s="44" t="s">
        <v>697</v>
      </c>
    </row>
    <row r="98" spans="1:7" ht="14.4" thickTop="1" thickBot="1" x14ac:dyDescent="0.3">
      <c r="A98" s="45">
        <v>43217</v>
      </c>
      <c r="B98" s="44" t="s">
        <v>71</v>
      </c>
      <c r="C98" s="44" t="s">
        <v>163</v>
      </c>
      <c r="D98" s="44" t="s">
        <v>104</v>
      </c>
      <c r="E98" s="44"/>
      <c r="F98" s="44" t="s">
        <v>548</v>
      </c>
      <c r="G98" s="44" t="s">
        <v>698</v>
      </c>
    </row>
    <row r="99" spans="1:7" ht="14.4" thickTop="1" thickBot="1" x14ac:dyDescent="0.3">
      <c r="A99" s="45">
        <v>43220</v>
      </c>
      <c r="B99" s="44" t="s">
        <v>77</v>
      </c>
      <c r="C99" s="44" t="s">
        <v>164</v>
      </c>
      <c r="D99" s="44" t="s">
        <v>104</v>
      </c>
      <c r="E99" s="44"/>
      <c r="F99" s="44" t="s">
        <v>548</v>
      </c>
      <c r="G99" s="44" t="s">
        <v>699</v>
      </c>
    </row>
    <row r="100" spans="1:7" ht="14.4" thickTop="1" thickBot="1" x14ac:dyDescent="0.3">
      <c r="A100" s="65" t="s">
        <v>677</v>
      </c>
      <c r="B100" s="65"/>
      <c r="C100" s="65"/>
      <c r="D100" s="65"/>
      <c r="E100" s="65"/>
      <c r="F100" s="65"/>
      <c r="G100" s="65"/>
    </row>
    <row r="101" spans="1:7" ht="14.4" thickTop="1" thickBot="1" x14ac:dyDescent="0.3">
      <c r="A101" s="65" t="s">
        <v>617</v>
      </c>
      <c r="B101" s="65"/>
      <c r="C101" s="65"/>
      <c r="D101" s="65"/>
      <c r="E101" s="65"/>
      <c r="F101" s="65"/>
      <c r="G101" s="65"/>
    </row>
    <row r="102" spans="1:7" ht="14.4" thickTop="1" thickBot="1" x14ac:dyDescent="0.3">
      <c r="A102" s="43" t="s">
        <v>515</v>
      </c>
      <c r="B102" s="43" t="s">
        <v>522</v>
      </c>
      <c r="C102" s="43" t="s">
        <v>528</v>
      </c>
      <c r="D102" s="44" t="s">
        <v>517</v>
      </c>
      <c r="E102" s="43" t="s">
        <v>533</v>
      </c>
      <c r="F102" s="43" t="s">
        <v>537</v>
      </c>
      <c r="G102" s="44" t="s">
        <v>514</v>
      </c>
    </row>
    <row r="103" spans="1:7" ht="14.4" thickTop="1" thickBot="1" x14ac:dyDescent="0.3">
      <c r="A103" s="45">
        <v>43221</v>
      </c>
      <c r="B103" s="44" t="s">
        <v>83</v>
      </c>
      <c r="C103" s="44" t="s">
        <v>164</v>
      </c>
      <c r="D103" s="44" t="s">
        <v>104</v>
      </c>
      <c r="E103" s="44" t="s">
        <v>32</v>
      </c>
      <c r="F103" s="44" t="s">
        <v>549</v>
      </c>
      <c r="G103" s="44" t="s">
        <v>700</v>
      </c>
    </row>
    <row r="104" spans="1:7" ht="14.4" thickTop="1" thickBot="1" x14ac:dyDescent="0.3">
      <c r="A104" s="45">
        <v>43222</v>
      </c>
      <c r="B104" s="44" t="s">
        <v>141</v>
      </c>
      <c r="C104" s="44" t="s">
        <v>164</v>
      </c>
      <c r="D104" s="44" t="s">
        <v>104</v>
      </c>
      <c r="E104" s="44"/>
      <c r="F104" s="44" t="s">
        <v>549</v>
      </c>
      <c r="G104" s="44" t="s">
        <v>701</v>
      </c>
    </row>
    <row r="105" spans="1:7" ht="14.4" thickTop="1" thickBot="1" x14ac:dyDescent="0.3">
      <c r="A105" s="45">
        <v>43223</v>
      </c>
      <c r="B105" s="44" t="s">
        <v>141</v>
      </c>
      <c r="C105" s="44" t="s">
        <v>164</v>
      </c>
      <c r="D105" s="44" t="s">
        <v>104</v>
      </c>
      <c r="E105" s="44"/>
      <c r="F105" s="44" t="s">
        <v>549</v>
      </c>
      <c r="G105" s="44" t="s">
        <v>702</v>
      </c>
    </row>
    <row r="106" spans="1:7" ht="14.4" thickTop="1" thickBot="1" x14ac:dyDescent="0.3">
      <c r="A106" s="45">
        <v>43224</v>
      </c>
      <c r="B106" s="44" t="s">
        <v>93</v>
      </c>
      <c r="C106" s="44" t="s">
        <v>164</v>
      </c>
      <c r="D106" s="44" t="s">
        <v>104</v>
      </c>
      <c r="E106" s="44"/>
      <c r="F106" s="44" t="s">
        <v>549</v>
      </c>
      <c r="G106" s="44" t="s">
        <v>703</v>
      </c>
    </row>
    <row r="107" spans="1:7" ht="14.4" thickTop="1" thickBot="1" x14ac:dyDescent="0.3">
      <c r="A107" s="45">
        <v>43227</v>
      </c>
      <c r="B107" s="44" t="s">
        <v>144</v>
      </c>
      <c r="C107" s="44" t="s">
        <v>165</v>
      </c>
      <c r="D107" s="44" t="s">
        <v>104</v>
      </c>
      <c r="E107" s="44"/>
      <c r="F107" s="44" t="s">
        <v>549</v>
      </c>
      <c r="G107" s="44" t="s">
        <v>704</v>
      </c>
    </row>
    <row r="108" spans="1:7" ht="14.4" thickTop="1" thickBot="1" x14ac:dyDescent="0.3">
      <c r="A108" s="45">
        <v>43228</v>
      </c>
      <c r="B108" s="44" t="s">
        <v>150</v>
      </c>
      <c r="C108" s="44" t="s">
        <v>165</v>
      </c>
      <c r="D108" s="44" t="s">
        <v>104</v>
      </c>
      <c r="E108" s="44" t="s">
        <v>86</v>
      </c>
      <c r="F108" s="44" t="s">
        <v>549</v>
      </c>
      <c r="G108" s="44" t="s">
        <v>705</v>
      </c>
    </row>
    <row r="109" spans="1:7" ht="14.4" thickTop="1" thickBot="1" x14ac:dyDescent="0.3">
      <c r="A109" s="45">
        <v>43229</v>
      </c>
      <c r="B109" s="44" t="s">
        <v>15</v>
      </c>
      <c r="C109" s="44" t="s">
        <v>165</v>
      </c>
      <c r="D109" s="44" t="s">
        <v>104</v>
      </c>
      <c r="E109" s="44"/>
      <c r="F109" s="44" t="s">
        <v>549</v>
      </c>
      <c r="G109" s="44" t="s">
        <v>706</v>
      </c>
    </row>
    <row r="110" spans="1:7" ht="14.4" thickTop="1" thickBot="1" x14ac:dyDescent="0.3">
      <c r="A110" s="45">
        <v>43230</v>
      </c>
      <c r="B110" s="44" t="s">
        <v>123</v>
      </c>
      <c r="C110" s="44" t="s">
        <v>165</v>
      </c>
      <c r="D110" s="44" t="s">
        <v>104</v>
      </c>
      <c r="E110" s="44" t="s">
        <v>19</v>
      </c>
      <c r="F110" s="44" t="s">
        <v>549</v>
      </c>
      <c r="G110" s="44" t="s">
        <v>707</v>
      </c>
    </row>
    <row r="111" spans="1:7" ht="14.4" thickTop="1" thickBot="1" x14ac:dyDescent="0.3">
      <c r="A111" s="45">
        <v>43231</v>
      </c>
      <c r="B111" s="44" t="s">
        <v>129</v>
      </c>
      <c r="C111" s="44" t="s">
        <v>165</v>
      </c>
      <c r="D111" s="44" t="s">
        <v>104</v>
      </c>
      <c r="E111" s="44"/>
      <c r="F111" s="44" t="s">
        <v>549</v>
      </c>
      <c r="G111" s="44" t="s">
        <v>708</v>
      </c>
    </row>
    <row r="112" spans="1:7" ht="14.4" thickTop="1" thickBot="1" x14ac:dyDescent="0.3">
      <c r="A112" s="45">
        <v>43234</v>
      </c>
      <c r="B112" s="44" t="s">
        <v>132</v>
      </c>
      <c r="C112" s="44" t="s">
        <v>166</v>
      </c>
      <c r="D112" s="44" t="s">
        <v>104</v>
      </c>
      <c r="E112" s="44"/>
      <c r="F112" s="44" t="s">
        <v>549</v>
      </c>
      <c r="G112" s="44" t="s">
        <v>709</v>
      </c>
    </row>
    <row r="113" spans="1:7" ht="14.4" thickTop="1" thickBot="1" x14ac:dyDescent="0.3">
      <c r="A113" s="45">
        <v>43235</v>
      </c>
      <c r="B113" s="44" t="s">
        <v>135</v>
      </c>
      <c r="C113" s="44" t="s">
        <v>166</v>
      </c>
      <c r="D113" s="44" t="s">
        <v>104</v>
      </c>
      <c r="E113" s="44"/>
      <c r="F113" s="44" t="s">
        <v>549</v>
      </c>
      <c r="G113" s="44" t="s">
        <v>710</v>
      </c>
    </row>
    <row r="114" spans="1:7" ht="14.4" thickTop="1" thickBot="1" x14ac:dyDescent="0.3">
      <c r="A114" s="45">
        <v>43236</v>
      </c>
      <c r="B114" s="44" t="s">
        <v>138</v>
      </c>
      <c r="C114" s="44" t="s">
        <v>166</v>
      </c>
      <c r="D114" s="44" t="s">
        <v>104</v>
      </c>
      <c r="E114" s="44"/>
      <c r="F114" s="44" t="s">
        <v>549</v>
      </c>
      <c r="G114" s="44" t="s">
        <v>711</v>
      </c>
    </row>
    <row r="115" spans="1:7" ht="14.4" thickTop="1" thickBot="1" x14ac:dyDescent="0.3">
      <c r="A115" s="45">
        <v>43237</v>
      </c>
      <c r="B115" s="44" t="s">
        <v>42</v>
      </c>
      <c r="C115" s="44" t="s">
        <v>166</v>
      </c>
      <c r="D115" s="44" t="s">
        <v>104</v>
      </c>
      <c r="E115" s="44"/>
      <c r="F115" s="44" t="s">
        <v>549</v>
      </c>
      <c r="G115" s="44" t="s">
        <v>712</v>
      </c>
    </row>
    <row r="116" spans="1:7" ht="14.4" thickTop="1" thickBot="1" x14ac:dyDescent="0.3">
      <c r="A116" s="45">
        <v>43238</v>
      </c>
      <c r="B116" s="44" t="s">
        <v>59</v>
      </c>
      <c r="C116" s="44" t="s">
        <v>166</v>
      </c>
      <c r="D116" s="44" t="s">
        <v>104</v>
      </c>
      <c r="E116" s="44"/>
      <c r="F116" s="44" t="s">
        <v>549</v>
      </c>
      <c r="G116" s="44" t="s">
        <v>713</v>
      </c>
    </row>
    <row r="117" spans="1:7" ht="14.4" thickTop="1" thickBot="1" x14ac:dyDescent="0.3">
      <c r="A117" s="45">
        <v>43241</v>
      </c>
      <c r="B117" s="44" t="s">
        <v>59</v>
      </c>
      <c r="C117" s="44" t="s">
        <v>161</v>
      </c>
      <c r="D117" s="44" t="s">
        <v>104</v>
      </c>
      <c r="E117" s="44" t="s">
        <v>55</v>
      </c>
      <c r="F117" s="44" t="s">
        <v>549</v>
      </c>
      <c r="G117" s="44" t="s">
        <v>714</v>
      </c>
    </row>
    <row r="118" spans="1:7" ht="14.4" thickTop="1" thickBot="1" x14ac:dyDescent="0.3">
      <c r="A118" s="45">
        <v>43242</v>
      </c>
      <c r="B118" s="44" t="s">
        <v>153</v>
      </c>
      <c r="C118" s="44" t="s">
        <v>161</v>
      </c>
      <c r="D118" s="44" t="s">
        <v>104</v>
      </c>
      <c r="E118" s="44"/>
      <c r="F118" s="44" t="s">
        <v>549</v>
      </c>
      <c r="G118" s="44" t="s">
        <v>715</v>
      </c>
    </row>
    <row r="119" spans="1:7" ht="14.4" thickTop="1" thickBot="1" x14ac:dyDescent="0.3">
      <c r="A119" s="45">
        <v>43243</v>
      </c>
      <c r="B119" s="44" t="s">
        <v>156</v>
      </c>
      <c r="C119" s="44" t="s">
        <v>161</v>
      </c>
      <c r="D119" s="44" t="s">
        <v>104</v>
      </c>
      <c r="E119" s="44"/>
      <c r="F119" s="44" t="s">
        <v>549</v>
      </c>
      <c r="G119" s="44" t="s">
        <v>716</v>
      </c>
    </row>
    <row r="120" spans="1:7" ht="14.4" thickTop="1" thickBot="1" x14ac:dyDescent="0.3">
      <c r="A120" s="45">
        <v>43244</v>
      </c>
      <c r="B120" s="44" t="s">
        <v>71</v>
      </c>
      <c r="C120" s="44" t="s">
        <v>161</v>
      </c>
      <c r="D120" s="44" t="s">
        <v>104</v>
      </c>
      <c r="E120" s="44"/>
      <c r="F120" s="44" t="s">
        <v>549</v>
      </c>
      <c r="G120" s="44" t="s">
        <v>717</v>
      </c>
    </row>
    <row r="121" spans="1:7" ht="14.4" thickTop="1" thickBot="1" x14ac:dyDescent="0.3">
      <c r="A121" s="45">
        <v>43245</v>
      </c>
      <c r="B121" s="44" t="s">
        <v>77</v>
      </c>
      <c r="C121" s="44" t="s">
        <v>161</v>
      </c>
      <c r="D121" s="44" t="s">
        <v>104</v>
      </c>
      <c r="E121" s="44"/>
      <c r="F121" s="44" t="s">
        <v>549</v>
      </c>
      <c r="G121" s="44" t="s">
        <v>718</v>
      </c>
    </row>
    <row r="122" spans="1:7" ht="14.4" thickTop="1" thickBot="1" x14ac:dyDescent="0.3">
      <c r="A122" s="45">
        <v>43248</v>
      </c>
      <c r="B122" s="44" t="s">
        <v>83</v>
      </c>
      <c r="C122" s="44" t="s">
        <v>163</v>
      </c>
      <c r="D122" s="44" t="s">
        <v>104</v>
      </c>
      <c r="E122" s="44"/>
      <c r="F122" s="44" t="s">
        <v>549</v>
      </c>
      <c r="G122" s="44" t="s">
        <v>719</v>
      </c>
    </row>
    <row r="123" spans="1:7" ht="14.4" thickTop="1" thickBot="1" x14ac:dyDescent="0.3">
      <c r="A123" s="45">
        <v>43249</v>
      </c>
      <c r="B123" s="44" t="s">
        <v>141</v>
      </c>
      <c r="C123" s="44" t="s">
        <v>163</v>
      </c>
      <c r="D123" s="44" t="s">
        <v>104</v>
      </c>
      <c r="E123" s="44"/>
      <c r="F123" s="44" t="s">
        <v>549</v>
      </c>
      <c r="G123" s="44" t="s">
        <v>720</v>
      </c>
    </row>
    <row r="124" spans="1:7" ht="14.4" thickTop="1" thickBot="1" x14ac:dyDescent="0.3">
      <c r="A124" s="45">
        <v>43250</v>
      </c>
      <c r="B124" s="44" t="s">
        <v>141</v>
      </c>
      <c r="C124" s="44" t="s">
        <v>163</v>
      </c>
      <c r="D124" s="44" t="s">
        <v>104</v>
      </c>
      <c r="E124" s="44"/>
      <c r="F124" s="44" t="s">
        <v>549</v>
      </c>
      <c r="G124" s="44" t="s">
        <v>721</v>
      </c>
    </row>
    <row r="125" spans="1:7" ht="14.4" thickTop="1" thickBot="1" x14ac:dyDescent="0.3">
      <c r="A125" s="45">
        <v>43251</v>
      </c>
      <c r="B125" s="44" t="s">
        <v>93</v>
      </c>
      <c r="C125" s="44" t="s">
        <v>163</v>
      </c>
      <c r="D125" s="44" t="s">
        <v>104</v>
      </c>
      <c r="E125" s="44"/>
      <c r="F125" s="44" t="s">
        <v>549</v>
      </c>
      <c r="G125" s="44" t="s">
        <v>722</v>
      </c>
    </row>
    <row r="126" spans="1:7" ht="14.4" thickTop="1" thickBot="1" x14ac:dyDescent="0.3">
      <c r="A126" s="65" t="s">
        <v>677</v>
      </c>
      <c r="B126" s="65"/>
      <c r="C126" s="65"/>
      <c r="D126" s="65"/>
      <c r="E126" s="65"/>
      <c r="F126" s="65"/>
      <c r="G126" s="65"/>
    </row>
    <row r="127" spans="1:7" ht="14.4" thickTop="1" thickBot="1" x14ac:dyDescent="0.3">
      <c r="A127" s="65" t="s">
        <v>618</v>
      </c>
      <c r="B127" s="65"/>
      <c r="C127" s="65"/>
      <c r="D127" s="65"/>
      <c r="E127" s="65"/>
      <c r="F127" s="65"/>
      <c r="G127" s="65"/>
    </row>
    <row r="128" spans="1:7" ht="14.4" thickTop="1" thickBot="1" x14ac:dyDescent="0.3">
      <c r="A128" s="43" t="s">
        <v>515</v>
      </c>
      <c r="B128" s="43" t="s">
        <v>522</v>
      </c>
      <c r="C128" s="43" t="s">
        <v>528</v>
      </c>
      <c r="D128" s="44" t="s">
        <v>517</v>
      </c>
      <c r="E128" s="43" t="s">
        <v>533</v>
      </c>
      <c r="F128" s="43" t="s">
        <v>537</v>
      </c>
      <c r="G128" s="44" t="s">
        <v>514</v>
      </c>
    </row>
    <row r="129" spans="1:7" ht="14.4" thickTop="1" thickBot="1" x14ac:dyDescent="0.3">
      <c r="A129" s="45">
        <v>43252</v>
      </c>
      <c r="B129" s="44" t="s">
        <v>144</v>
      </c>
      <c r="C129" s="44" t="s">
        <v>163</v>
      </c>
      <c r="D129" s="44" t="s">
        <v>104</v>
      </c>
      <c r="E129" s="44"/>
      <c r="F129" s="44" t="s">
        <v>549</v>
      </c>
      <c r="G129" s="44" t="s">
        <v>723</v>
      </c>
    </row>
    <row r="130" spans="1:7" ht="14.4" thickTop="1" thickBot="1" x14ac:dyDescent="0.3">
      <c r="A130" s="45">
        <v>43255</v>
      </c>
      <c r="B130" s="44" t="s">
        <v>150</v>
      </c>
      <c r="C130" s="44" t="s">
        <v>164</v>
      </c>
      <c r="D130" s="44" t="s">
        <v>104</v>
      </c>
      <c r="E130" s="44"/>
      <c r="F130" s="44" t="s">
        <v>549</v>
      </c>
      <c r="G130" s="44" t="s">
        <v>724</v>
      </c>
    </row>
    <row r="131" spans="1:7" ht="14.4" thickTop="1" thickBot="1" x14ac:dyDescent="0.3">
      <c r="A131" s="45">
        <v>43256</v>
      </c>
      <c r="B131" s="44" t="s">
        <v>15</v>
      </c>
      <c r="C131" s="44" t="s">
        <v>164</v>
      </c>
      <c r="D131" s="44" t="s">
        <v>104</v>
      </c>
      <c r="E131" s="44"/>
      <c r="F131" s="44" t="s">
        <v>549</v>
      </c>
      <c r="G131" s="44" t="s">
        <v>725</v>
      </c>
    </row>
    <row r="132" spans="1:7" ht="14.4" thickTop="1" thickBot="1" x14ac:dyDescent="0.3">
      <c r="A132" s="45">
        <v>43257</v>
      </c>
      <c r="B132" s="44" t="s">
        <v>123</v>
      </c>
      <c r="C132" s="44" t="s">
        <v>164</v>
      </c>
      <c r="D132" s="44" t="s">
        <v>104</v>
      </c>
      <c r="E132" s="44"/>
      <c r="F132" s="44" t="s">
        <v>549</v>
      </c>
      <c r="G132" s="44" t="s">
        <v>726</v>
      </c>
    </row>
    <row r="133" spans="1:7" ht="14.4" thickTop="1" thickBot="1" x14ac:dyDescent="0.3">
      <c r="A133" s="45">
        <v>43258</v>
      </c>
      <c r="B133" s="44" t="s">
        <v>129</v>
      </c>
      <c r="C133" s="44" t="s">
        <v>164</v>
      </c>
      <c r="D133" s="44" t="s">
        <v>104</v>
      </c>
      <c r="E133" s="44"/>
      <c r="F133" s="44" t="s">
        <v>549</v>
      </c>
      <c r="G133" s="44" t="s">
        <v>727</v>
      </c>
    </row>
    <row r="134" spans="1:7" ht="14.4" thickTop="1" thickBot="1" x14ac:dyDescent="0.3">
      <c r="A134" s="45">
        <v>43259</v>
      </c>
      <c r="B134" s="44" t="s">
        <v>132</v>
      </c>
      <c r="C134" s="44" t="s">
        <v>164</v>
      </c>
      <c r="D134" s="44" t="s">
        <v>104</v>
      </c>
      <c r="E134" s="44"/>
      <c r="F134" s="44" t="s">
        <v>549</v>
      </c>
      <c r="G134" s="44" t="s">
        <v>728</v>
      </c>
    </row>
    <row r="135" spans="1:7" ht="14.4" thickTop="1" thickBot="1" x14ac:dyDescent="0.3">
      <c r="A135" s="45">
        <v>43262</v>
      </c>
      <c r="B135" s="44" t="s">
        <v>135</v>
      </c>
      <c r="C135" s="44" t="s">
        <v>165</v>
      </c>
      <c r="D135" s="44" t="s">
        <v>104</v>
      </c>
      <c r="E135" s="44"/>
      <c r="F135" s="44" t="s">
        <v>550</v>
      </c>
      <c r="G135" s="44" t="s">
        <v>729</v>
      </c>
    </row>
    <row r="136" spans="1:7" ht="14.4" thickTop="1" thickBot="1" x14ac:dyDescent="0.3">
      <c r="A136" s="45">
        <v>43263</v>
      </c>
      <c r="B136" s="44" t="s">
        <v>138</v>
      </c>
      <c r="C136" s="44" t="s">
        <v>165</v>
      </c>
      <c r="D136" s="44" t="s">
        <v>104</v>
      </c>
      <c r="E136" s="44"/>
      <c r="F136" s="44" t="s">
        <v>550</v>
      </c>
      <c r="G136" s="44" t="s">
        <v>730</v>
      </c>
    </row>
    <row r="137" spans="1:7" ht="14.4" thickTop="1" thickBot="1" x14ac:dyDescent="0.3">
      <c r="A137" s="45">
        <v>43264</v>
      </c>
      <c r="B137" s="44" t="s">
        <v>42</v>
      </c>
      <c r="C137" s="44" t="s">
        <v>165</v>
      </c>
      <c r="D137" s="44" t="s">
        <v>104</v>
      </c>
      <c r="E137" s="44"/>
      <c r="F137" s="44" t="s">
        <v>550</v>
      </c>
      <c r="G137" s="44" t="s">
        <v>731</v>
      </c>
    </row>
    <row r="138" spans="1:7" ht="14.4" thickTop="1" thickBot="1" x14ac:dyDescent="0.3">
      <c r="A138" s="45">
        <v>43265</v>
      </c>
      <c r="B138" s="44" t="s">
        <v>59</v>
      </c>
      <c r="C138" s="44" t="s">
        <v>165</v>
      </c>
      <c r="D138" s="44" t="s">
        <v>104</v>
      </c>
      <c r="E138" s="44"/>
      <c r="F138" s="44" t="s">
        <v>550</v>
      </c>
      <c r="G138" s="44" t="s">
        <v>732</v>
      </c>
    </row>
    <row r="139" spans="1:7" ht="14.4" thickTop="1" thickBot="1" x14ac:dyDescent="0.3">
      <c r="A139" s="45">
        <v>43266</v>
      </c>
      <c r="B139" s="44" t="s">
        <v>59</v>
      </c>
      <c r="C139" s="44" t="s">
        <v>165</v>
      </c>
      <c r="D139" s="44" t="s">
        <v>104</v>
      </c>
      <c r="E139" s="44"/>
      <c r="F139" s="44" t="s">
        <v>550</v>
      </c>
      <c r="G139" s="44" t="s">
        <v>733</v>
      </c>
    </row>
    <row r="140" spans="1:7" ht="14.4" thickTop="1" thickBot="1" x14ac:dyDescent="0.3">
      <c r="A140" s="45">
        <v>43269</v>
      </c>
      <c r="B140" s="44" t="s">
        <v>153</v>
      </c>
      <c r="C140" s="44" t="s">
        <v>166</v>
      </c>
      <c r="D140" s="44" t="s">
        <v>104</v>
      </c>
      <c r="E140" s="44"/>
      <c r="F140" s="44" t="s">
        <v>550</v>
      </c>
      <c r="G140" s="44" t="s">
        <v>734</v>
      </c>
    </row>
    <row r="141" spans="1:7" ht="14.4" thickTop="1" thickBot="1" x14ac:dyDescent="0.3">
      <c r="A141" s="45">
        <v>43270</v>
      </c>
      <c r="B141" s="44" t="s">
        <v>156</v>
      </c>
      <c r="C141" s="44" t="s">
        <v>166</v>
      </c>
      <c r="D141" s="44" t="s">
        <v>104</v>
      </c>
      <c r="E141" s="44"/>
      <c r="F141" s="44" t="s">
        <v>550</v>
      </c>
      <c r="G141" s="44" t="s">
        <v>735</v>
      </c>
    </row>
    <row r="142" spans="1:7" ht="14.4" thickTop="1" thickBot="1" x14ac:dyDescent="0.3">
      <c r="A142" s="45">
        <v>43271</v>
      </c>
      <c r="B142" s="44" t="s">
        <v>71</v>
      </c>
      <c r="C142" s="44" t="s">
        <v>166</v>
      </c>
      <c r="D142" s="44" t="s">
        <v>104</v>
      </c>
      <c r="E142" s="44"/>
      <c r="F142" s="44" t="s">
        <v>550</v>
      </c>
      <c r="G142" s="44" t="s">
        <v>736</v>
      </c>
    </row>
    <row r="143" spans="1:7" ht="14.4" thickTop="1" thickBot="1" x14ac:dyDescent="0.3">
      <c r="A143" s="45">
        <v>43272</v>
      </c>
      <c r="B143" s="44" t="s">
        <v>77</v>
      </c>
      <c r="C143" s="44" t="s">
        <v>166</v>
      </c>
      <c r="D143" s="44" t="s">
        <v>104</v>
      </c>
      <c r="E143" s="44"/>
      <c r="F143" s="44" t="s">
        <v>550</v>
      </c>
      <c r="G143" s="44" t="s">
        <v>737</v>
      </c>
    </row>
    <row r="144" spans="1:7" ht="14.4" thickTop="1" thickBot="1" x14ac:dyDescent="0.3">
      <c r="A144" s="45">
        <v>43273</v>
      </c>
      <c r="B144" s="44" t="s">
        <v>83</v>
      </c>
      <c r="C144" s="44" t="s">
        <v>166</v>
      </c>
      <c r="D144" s="44" t="s">
        <v>104</v>
      </c>
      <c r="E144" s="44"/>
      <c r="F144" s="44" t="s">
        <v>550</v>
      </c>
      <c r="G144" s="44" t="s">
        <v>738</v>
      </c>
    </row>
    <row r="145" spans="1:7" ht="14.4" thickTop="1" thickBot="1" x14ac:dyDescent="0.3">
      <c r="A145" s="45">
        <v>43276</v>
      </c>
      <c r="B145" s="44" t="s">
        <v>141</v>
      </c>
      <c r="C145" s="44" t="s">
        <v>161</v>
      </c>
      <c r="D145" s="44" t="s">
        <v>104</v>
      </c>
      <c r="E145" s="44"/>
      <c r="F145" s="44" t="s">
        <v>550</v>
      </c>
      <c r="G145" s="44" t="s">
        <v>739</v>
      </c>
    </row>
    <row r="146" spans="1:7" ht="14.4" thickTop="1" thickBot="1" x14ac:dyDescent="0.3">
      <c r="A146" s="45">
        <v>43277</v>
      </c>
      <c r="B146" s="44" t="s">
        <v>141</v>
      </c>
      <c r="C146" s="44" t="s">
        <v>161</v>
      </c>
      <c r="D146" s="44" t="s">
        <v>104</v>
      </c>
      <c r="E146" s="44"/>
      <c r="F146" s="44" t="s">
        <v>550</v>
      </c>
      <c r="G146" s="44" t="s">
        <v>740</v>
      </c>
    </row>
    <row r="147" spans="1:7" ht="14.4" thickTop="1" thickBot="1" x14ac:dyDescent="0.3">
      <c r="A147" s="45">
        <v>43278</v>
      </c>
      <c r="B147" s="44" t="s">
        <v>93</v>
      </c>
      <c r="C147" s="44" t="s">
        <v>161</v>
      </c>
      <c r="D147" s="44" t="s">
        <v>104</v>
      </c>
      <c r="E147" s="44"/>
      <c r="F147" s="44" t="s">
        <v>550</v>
      </c>
      <c r="G147" s="44" t="s">
        <v>741</v>
      </c>
    </row>
    <row r="148" spans="1:7" ht="14.4" thickTop="1" thickBot="1" x14ac:dyDescent="0.3">
      <c r="A148" s="45">
        <v>43279</v>
      </c>
      <c r="B148" s="44" t="s">
        <v>144</v>
      </c>
      <c r="C148" s="44" t="s">
        <v>161</v>
      </c>
      <c r="D148" s="44" t="s">
        <v>104</v>
      </c>
      <c r="E148" s="44"/>
      <c r="F148" s="44" t="s">
        <v>550</v>
      </c>
      <c r="G148" s="44" t="s">
        <v>742</v>
      </c>
    </row>
    <row r="149" spans="1:7" ht="14.4" thickTop="1" thickBot="1" x14ac:dyDescent="0.3">
      <c r="A149" s="45">
        <v>43280</v>
      </c>
      <c r="B149" s="44" t="s">
        <v>150</v>
      </c>
      <c r="C149" s="44" t="s">
        <v>161</v>
      </c>
      <c r="D149" s="44" t="s">
        <v>104</v>
      </c>
      <c r="E149" s="44"/>
      <c r="F149" s="44" t="s">
        <v>550</v>
      </c>
      <c r="G149" s="44" t="s">
        <v>743</v>
      </c>
    </row>
    <row r="150" spans="1:7" ht="14.4" thickTop="1" thickBot="1" x14ac:dyDescent="0.3">
      <c r="A150" s="65" t="s">
        <v>677</v>
      </c>
      <c r="B150" s="65"/>
      <c r="C150" s="65"/>
      <c r="D150" s="65"/>
      <c r="E150" s="65"/>
      <c r="F150" s="65"/>
      <c r="G150" s="65"/>
    </row>
    <row r="151" spans="1:7" ht="14.4" thickTop="1" thickBot="1" x14ac:dyDescent="0.3">
      <c r="A151" s="65" t="s">
        <v>619</v>
      </c>
      <c r="B151" s="65"/>
      <c r="C151" s="65"/>
      <c r="D151" s="65"/>
      <c r="E151" s="65"/>
      <c r="F151" s="65"/>
      <c r="G151" s="65"/>
    </row>
    <row r="152" spans="1:7" ht="14.4" thickTop="1" thickBot="1" x14ac:dyDescent="0.3">
      <c r="A152" s="43" t="s">
        <v>515</v>
      </c>
      <c r="B152" s="43" t="s">
        <v>522</v>
      </c>
      <c r="C152" s="43" t="s">
        <v>528</v>
      </c>
      <c r="D152" s="44" t="s">
        <v>517</v>
      </c>
      <c r="E152" s="43" t="s">
        <v>533</v>
      </c>
      <c r="F152" s="43" t="s">
        <v>537</v>
      </c>
      <c r="G152" s="44" t="s">
        <v>514</v>
      </c>
    </row>
    <row r="153" spans="1:7" ht="14.4" thickTop="1" thickBot="1" x14ac:dyDescent="0.3">
      <c r="A153" s="45">
        <v>43283</v>
      </c>
      <c r="B153" s="44" t="s">
        <v>15</v>
      </c>
      <c r="C153" s="44" t="s">
        <v>163</v>
      </c>
      <c r="D153" s="44" t="s">
        <v>104</v>
      </c>
      <c r="E153" s="44"/>
      <c r="F153" s="44" t="s">
        <v>551</v>
      </c>
      <c r="G153" s="44" t="s">
        <v>744</v>
      </c>
    </row>
    <row r="154" spans="1:7" ht="14.4" thickTop="1" thickBot="1" x14ac:dyDescent="0.3">
      <c r="A154" s="45">
        <v>43284</v>
      </c>
      <c r="B154" s="44" t="s">
        <v>123</v>
      </c>
      <c r="C154" s="44" t="s">
        <v>163</v>
      </c>
      <c r="D154" s="44" t="s">
        <v>104</v>
      </c>
      <c r="E154" s="44"/>
      <c r="F154" s="44" t="s">
        <v>551</v>
      </c>
      <c r="G154" s="44" t="s">
        <v>745</v>
      </c>
    </row>
    <row r="155" spans="1:7" ht="14.4" thickTop="1" thickBot="1" x14ac:dyDescent="0.3">
      <c r="A155" s="45">
        <v>43285</v>
      </c>
      <c r="B155" s="44" t="s">
        <v>129</v>
      </c>
      <c r="C155" s="44" t="s">
        <v>163</v>
      </c>
      <c r="D155" s="44" t="s">
        <v>104</v>
      </c>
      <c r="E155" s="44"/>
      <c r="F155" s="44" t="s">
        <v>551</v>
      </c>
      <c r="G155" s="44" t="s">
        <v>747</v>
      </c>
    </row>
    <row r="156" spans="1:7" ht="14.4" thickTop="1" thickBot="1" x14ac:dyDescent="0.3">
      <c r="A156" s="45">
        <v>43286</v>
      </c>
      <c r="B156" s="44" t="s">
        <v>132</v>
      </c>
      <c r="C156" s="44" t="s">
        <v>163</v>
      </c>
      <c r="D156" s="44" t="s">
        <v>104</v>
      </c>
      <c r="E156" s="44"/>
      <c r="F156" s="44" t="s">
        <v>551</v>
      </c>
      <c r="G156" s="44" t="s">
        <v>748</v>
      </c>
    </row>
    <row r="157" spans="1:7" ht="14.4" thickTop="1" thickBot="1" x14ac:dyDescent="0.3">
      <c r="A157" s="45">
        <v>43287</v>
      </c>
      <c r="B157" s="44" t="s">
        <v>135</v>
      </c>
      <c r="C157" s="44" t="s">
        <v>163</v>
      </c>
      <c r="D157" s="44" t="s">
        <v>104</v>
      </c>
      <c r="E157" s="44"/>
      <c r="F157" s="44" t="s">
        <v>551</v>
      </c>
      <c r="G157" s="44" t="s">
        <v>749</v>
      </c>
    </row>
    <row r="158" spans="1:7" ht="14.4" thickTop="1" thickBot="1" x14ac:dyDescent="0.3">
      <c r="A158" s="45">
        <v>43290</v>
      </c>
      <c r="B158" s="44" t="s">
        <v>138</v>
      </c>
      <c r="C158" s="44" t="s">
        <v>164</v>
      </c>
      <c r="D158" s="44" t="s">
        <v>104</v>
      </c>
      <c r="E158" s="44"/>
      <c r="F158" s="44" t="s">
        <v>551</v>
      </c>
      <c r="G158" s="44" t="s">
        <v>750</v>
      </c>
    </row>
    <row r="159" spans="1:7" ht="14.4" thickTop="1" thickBot="1" x14ac:dyDescent="0.3">
      <c r="A159" s="45">
        <v>43291</v>
      </c>
      <c r="B159" s="44" t="s">
        <v>42</v>
      </c>
      <c r="C159" s="44" t="s">
        <v>164</v>
      </c>
      <c r="D159" s="44" t="s">
        <v>104</v>
      </c>
      <c r="E159" s="44"/>
      <c r="F159" s="44" t="s">
        <v>551</v>
      </c>
      <c r="G159" s="44" t="s">
        <v>751</v>
      </c>
    </row>
    <row r="160" spans="1:7" ht="14.4" thickTop="1" thickBot="1" x14ac:dyDescent="0.3">
      <c r="A160" s="45">
        <v>43292</v>
      </c>
      <c r="B160" s="44" t="s">
        <v>59</v>
      </c>
      <c r="C160" s="44" t="s">
        <v>164</v>
      </c>
      <c r="D160" s="44" t="s">
        <v>104</v>
      </c>
      <c r="E160" s="44"/>
      <c r="F160" s="44" t="s">
        <v>551</v>
      </c>
      <c r="G160" s="44" t="s">
        <v>752</v>
      </c>
    </row>
    <row r="161" spans="1:7" ht="14.4" thickTop="1" thickBot="1" x14ac:dyDescent="0.3">
      <c r="A161" s="45">
        <v>43293</v>
      </c>
      <c r="B161" s="44" t="s">
        <v>59</v>
      </c>
      <c r="C161" s="44" t="s">
        <v>164</v>
      </c>
      <c r="D161" s="44" t="s">
        <v>104</v>
      </c>
      <c r="E161" s="44"/>
      <c r="F161" s="44" t="s">
        <v>551</v>
      </c>
      <c r="G161" s="44" t="s">
        <v>753</v>
      </c>
    </row>
    <row r="162" spans="1:7" ht="14.4" thickTop="1" thickBot="1" x14ac:dyDescent="0.3">
      <c r="A162" s="45">
        <v>43294</v>
      </c>
      <c r="B162" s="44" t="s">
        <v>153</v>
      </c>
      <c r="C162" s="44" t="s">
        <v>164</v>
      </c>
      <c r="D162" s="44" t="s">
        <v>104</v>
      </c>
      <c r="E162" s="44"/>
      <c r="F162" s="44" t="s">
        <v>551</v>
      </c>
      <c r="G162" s="44" t="s">
        <v>754</v>
      </c>
    </row>
    <row r="163" spans="1:7" ht="14.4" thickTop="1" thickBot="1" x14ac:dyDescent="0.3">
      <c r="A163" s="45">
        <v>43297</v>
      </c>
      <c r="B163" s="44" t="s">
        <v>156</v>
      </c>
      <c r="C163" s="44" t="s">
        <v>165</v>
      </c>
      <c r="D163" s="44" t="s">
        <v>104</v>
      </c>
      <c r="E163" s="44"/>
      <c r="F163" s="44" t="s">
        <v>551</v>
      </c>
      <c r="G163" s="44" t="s">
        <v>755</v>
      </c>
    </row>
    <row r="164" spans="1:7" ht="14.4" thickTop="1" thickBot="1" x14ac:dyDescent="0.3">
      <c r="A164" s="45">
        <v>43298</v>
      </c>
      <c r="B164" s="44" t="s">
        <v>71</v>
      </c>
      <c r="C164" s="44" t="s">
        <v>165</v>
      </c>
      <c r="D164" s="44" t="s">
        <v>104</v>
      </c>
      <c r="E164" s="44"/>
      <c r="F164" s="44" t="s">
        <v>551</v>
      </c>
      <c r="G164" s="44" t="s">
        <v>756</v>
      </c>
    </row>
    <row r="165" spans="1:7" ht="14.4" thickTop="1" thickBot="1" x14ac:dyDescent="0.3">
      <c r="A165" s="45">
        <v>43299</v>
      </c>
      <c r="B165" s="44" t="s">
        <v>77</v>
      </c>
      <c r="C165" s="44" t="s">
        <v>165</v>
      </c>
      <c r="D165" s="44" t="s">
        <v>104</v>
      </c>
      <c r="E165" s="44"/>
      <c r="F165" s="44" t="s">
        <v>551</v>
      </c>
      <c r="G165" s="44" t="s">
        <v>757</v>
      </c>
    </row>
    <row r="166" spans="1:7" ht="14.4" thickTop="1" thickBot="1" x14ac:dyDescent="0.3">
      <c r="A166" s="45">
        <v>43300</v>
      </c>
      <c r="B166" s="44" t="s">
        <v>83</v>
      </c>
      <c r="C166" s="44" t="s">
        <v>165</v>
      </c>
      <c r="D166" s="44" t="s">
        <v>104</v>
      </c>
      <c r="E166" s="44"/>
      <c r="F166" s="44" t="s">
        <v>551</v>
      </c>
      <c r="G166" s="44" t="s">
        <v>758</v>
      </c>
    </row>
    <row r="167" spans="1:7" ht="14.4" thickTop="1" thickBot="1" x14ac:dyDescent="0.3">
      <c r="A167" s="45">
        <v>43301</v>
      </c>
      <c r="B167" s="44" t="s">
        <v>141</v>
      </c>
      <c r="C167" s="44" t="s">
        <v>165</v>
      </c>
      <c r="D167" s="44" t="s">
        <v>104</v>
      </c>
      <c r="E167" s="44"/>
      <c r="F167" s="44" t="s">
        <v>551</v>
      </c>
      <c r="G167" s="44" t="s">
        <v>759</v>
      </c>
    </row>
    <row r="168" spans="1:7" ht="14.4" thickTop="1" thickBot="1" x14ac:dyDescent="0.3">
      <c r="A168" s="45">
        <v>43304</v>
      </c>
      <c r="B168" s="44" t="s">
        <v>141</v>
      </c>
      <c r="C168" s="44" t="s">
        <v>166</v>
      </c>
      <c r="D168" s="44" t="s">
        <v>104</v>
      </c>
      <c r="E168" s="44"/>
      <c r="F168" s="44" t="s">
        <v>551</v>
      </c>
      <c r="G168" s="44" t="s">
        <v>760</v>
      </c>
    </row>
    <row r="169" spans="1:7" ht="14.4" thickTop="1" thickBot="1" x14ac:dyDescent="0.3">
      <c r="A169" s="45">
        <v>43305</v>
      </c>
      <c r="B169" s="44" t="s">
        <v>93</v>
      </c>
      <c r="C169" s="44" t="s">
        <v>166</v>
      </c>
      <c r="D169" s="44" t="s">
        <v>104</v>
      </c>
      <c r="E169" s="44"/>
      <c r="F169" s="44" t="s">
        <v>551</v>
      </c>
      <c r="G169" s="44" t="s">
        <v>761</v>
      </c>
    </row>
    <row r="170" spans="1:7" ht="14.4" thickTop="1" thickBot="1" x14ac:dyDescent="0.3">
      <c r="A170" s="45">
        <v>43306</v>
      </c>
      <c r="B170" s="44" t="s">
        <v>144</v>
      </c>
      <c r="C170" s="44" t="s">
        <v>166</v>
      </c>
      <c r="D170" s="44" t="s">
        <v>104</v>
      </c>
      <c r="E170" s="44"/>
      <c r="F170" s="44" t="s">
        <v>551</v>
      </c>
      <c r="G170" s="44" t="s">
        <v>762</v>
      </c>
    </row>
    <row r="171" spans="1:7" ht="14.4" thickTop="1" thickBot="1" x14ac:dyDescent="0.3">
      <c r="A171" s="45">
        <v>43307</v>
      </c>
      <c r="B171" s="44" t="s">
        <v>150</v>
      </c>
      <c r="C171" s="44" t="s">
        <v>166</v>
      </c>
      <c r="D171" s="44" t="s">
        <v>104</v>
      </c>
      <c r="E171" s="44"/>
      <c r="F171" s="44" t="s">
        <v>551</v>
      </c>
      <c r="G171" s="44" t="s">
        <v>763</v>
      </c>
    </row>
    <row r="172" spans="1:7" ht="14.4" thickTop="1" thickBot="1" x14ac:dyDescent="0.3">
      <c r="A172" s="45">
        <v>43308</v>
      </c>
      <c r="B172" s="44" t="s">
        <v>15</v>
      </c>
      <c r="C172" s="44" t="s">
        <v>166</v>
      </c>
      <c r="D172" s="44" t="s">
        <v>104</v>
      </c>
      <c r="E172" s="44"/>
      <c r="F172" s="44" t="s">
        <v>551</v>
      </c>
      <c r="G172" s="44" t="s">
        <v>764</v>
      </c>
    </row>
    <row r="173" spans="1:7" ht="14.4" thickTop="1" thickBot="1" x14ac:dyDescent="0.3">
      <c r="A173" s="45">
        <v>43311</v>
      </c>
      <c r="B173" s="44" t="s">
        <v>123</v>
      </c>
      <c r="C173" s="44" t="s">
        <v>161</v>
      </c>
      <c r="D173" s="44" t="s">
        <v>104</v>
      </c>
      <c r="E173" s="44"/>
      <c r="F173" s="44" t="s">
        <v>551</v>
      </c>
      <c r="G173" s="44" t="s">
        <v>765</v>
      </c>
    </row>
    <row r="174" spans="1:7" ht="14.4" thickTop="1" thickBot="1" x14ac:dyDescent="0.3">
      <c r="A174" s="45">
        <v>43312</v>
      </c>
      <c r="B174" s="44" t="s">
        <v>129</v>
      </c>
      <c r="C174" s="44" t="s">
        <v>161</v>
      </c>
      <c r="D174" s="44" t="s">
        <v>104</v>
      </c>
      <c r="E174" s="44"/>
      <c r="F174" s="44" t="s">
        <v>551</v>
      </c>
      <c r="G174" s="44" t="s">
        <v>766</v>
      </c>
    </row>
    <row r="175" spans="1:7" ht="14.4" thickTop="1" thickBot="1" x14ac:dyDescent="0.3">
      <c r="A175" s="65" t="s">
        <v>767</v>
      </c>
      <c r="B175" s="65"/>
      <c r="C175" s="65"/>
      <c r="D175" s="65"/>
      <c r="E175" s="65"/>
      <c r="F175" s="65"/>
      <c r="G175" s="65"/>
    </row>
    <row r="176" spans="1:7" ht="14.4" thickTop="1" thickBot="1" x14ac:dyDescent="0.3">
      <c r="A176" s="65" t="s">
        <v>620</v>
      </c>
      <c r="B176" s="65"/>
      <c r="C176" s="65"/>
      <c r="D176" s="65"/>
      <c r="E176" s="65"/>
      <c r="F176" s="65"/>
      <c r="G176" s="65"/>
    </row>
    <row r="177" spans="1:7" ht="14.4" thickTop="1" thickBot="1" x14ac:dyDescent="0.3">
      <c r="A177" s="43" t="s">
        <v>515</v>
      </c>
      <c r="B177" s="43" t="s">
        <v>522</v>
      </c>
      <c r="C177" s="43" t="s">
        <v>528</v>
      </c>
      <c r="D177" s="44" t="s">
        <v>517</v>
      </c>
      <c r="E177" s="43" t="s">
        <v>533</v>
      </c>
      <c r="F177" s="43" t="s">
        <v>537</v>
      </c>
      <c r="G177" s="44" t="s">
        <v>514</v>
      </c>
    </row>
    <row r="178" spans="1:7" ht="14.4" thickTop="1" thickBot="1" x14ac:dyDescent="0.3">
      <c r="A178" s="45">
        <v>43313</v>
      </c>
      <c r="B178" s="44" t="s">
        <v>132</v>
      </c>
      <c r="C178" s="44" t="s">
        <v>161</v>
      </c>
      <c r="D178" s="44" t="s">
        <v>104</v>
      </c>
      <c r="E178" s="44"/>
      <c r="F178" s="44" t="s">
        <v>552</v>
      </c>
      <c r="G178" s="44" t="s">
        <v>768</v>
      </c>
    </row>
    <row r="179" spans="1:7" ht="14.4" thickTop="1" thickBot="1" x14ac:dyDescent="0.3">
      <c r="A179" s="45">
        <v>43314</v>
      </c>
      <c r="B179" s="44" t="s">
        <v>135</v>
      </c>
      <c r="C179" s="44" t="s">
        <v>161</v>
      </c>
      <c r="D179" s="44" t="s">
        <v>104</v>
      </c>
      <c r="E179" s="44"/>
      <c r="F179" s="44" t="s">
        <v>552</v>
      </c>
      <c r="G179" s="44" t="s">
        <v>769</v>
      </c>
    </row>
    <row r="180" spans="1:7" ht="14.4" thickTop="1" thickBot="1" x14ac:dyDescent="0.3">
      <c r="A180" s="45">
        <v>43315</v>
      </c>
      <c r="B180" s="44" t="s">
        <v>138</v>
      </c>
      <c r="C180" s="44" t="s">
        <v>161</v>
      </c>
      <c r="D180" s="44" t="s">
        <v>104</v>
      </c>
      <c r="E180" s="44"/>
      <c r="F180" s="44" t="s">
        <v>552</v>
      </c>
      <c r="G180" s="44" t="s">
        <v>770</v>
      </c>
    </row>
    <row r="181" spans="1:7" ht="14.4" thickTop="1" thickBot="1" x14ac:dyDescent="0.3">
      <c r="A181" s="45">
        <v>43318</v>
      </c>
      <c r="B181" s="44" t="s">
        <v>42</v>
      </c>
      <c r="C181" s="44" t="s">
        <v>163</v>
      </c>
      <c r="D181" s="44" t="s">
        <v>104</v>
      </c>
      <c r="E181" s="44"/>
      <c r="F181" s="44" t="s">
        <v>552</v>
      </c>
      <c r="G181" s="44" t="s">
        <v>772</v>
      </c>
    </row>
    <row r="182" spans="1:7" ht="14.4" thickTop="1" thickBot="1" x14ac:dyDescent="0.3">
      <c r="A182" s="45">
        <v>43319</v>
      </c>
      <c r="B182" s="44" t="s">
        <v>59</v>
      </c>
      <c r="C182" s="44" t="s">
        <v>163</v>
      </c>
      <c r="D182" s="44" t="s">
        <v>104</v>
      </c>
      <c r="E182" s="44"/>
      <c r="F182" s="44" t="s">
        <v>552</v>
      </c>
      <c r="G182" s="44" t="s">
        <v>773</v>
      </c>
    </row>
    <row r="183" spans="1:7" ht="14.4" thickTop="1" thickBot="1" x14ac:dyDescent="0.3">
      <c r="A183" s="45">
        <v>43320</v>
      </c>
      <c r="B183" s="44" t="s">
        <v>59</v>
      </c>
      <c r="C183" s="44" t="s">
        <v>163</v>
      </c>
      <c r="D183" s="44" t="s">
        <v>104</v>
      </c>
      <c r="E183" s="44"/>
      <c r="F183" s="44" t="s">
        <v>552</v>
      </c>
      <c r="G183" s="44" t="s">
        <v>774</v>
      </c>
    </row>
    <row r="184" spans="1:7" ht="14.4" thickTop="1" thickBot="1" x14ac:dyDescent="0.3">
      <c r="A184" s="45">
        <v>43321</v>
      </c>
      <c r="B184" s="44" t="s">
        <v>153</v>
      </c>
      <c r="C184" s="44" t="s">
        <v>163</v>
      </c>
      <c r="D184" s="44" t="s">
        <v>104</v>
      </c>
      <c r="E184" s="44"/>
      <c r="F184" s="44" t="s">
        <v>552</v>
      </c>
      <c r="G184" s="44" t="s">
        <v>775</v>
      </c>
    </row>
    <row r="185" spans="1:7" ht="14.4" thickTop="1" thickBot="1" x14ac:dyDescent="0.3">
      <c r="A185" s="45">
        <v>43322</v>
      </c>
      <c r="B185" s="44" t="s">
        <v>156</v>
      </c>
      <c r="C185" s="44" t="s">
        <v>163</v>
      </c>
      <c r="D185" s="44" t="s">
        <v>104</v>
      </c>
      <c r="E185" s="44"/>
      <c r="F185" s="44" t="s">
        <v>552</v>
      </c>
      <c r="G185" s="44" t="s">
        <v>776</v>
      </c>
    </row>
    <row r="186" spans="1:7" ht="14.4" thickTop="1" thickBot="1" x14ac:dyDescent="0.3">
      <c r="A186" s="45">
        <v>43325</v>
      </c>
      <c r="B186" s="44" t="s">
        <v>71</v>
      </c>
      <c r="C186" s="44" t="s">
        <v>164</v>
      </c>
      <c r="D186" s="44" t="s">
        <v>104</v>
      </c>
      <c r="E186" s="44"/>
      <c r="F186" s="44" t="s">
        <v>552</v>
      </c>
      <c r="G186" s="44" t="s">
        <v>777</v>
      </c>
    </row>
    <row r="187" spans="1:7" ht="14.4" thickTop="1" thickBot="1" x14ac:dyDescent="0.3">
      <c r="A187" s="45">
        <v>43326</v>
      </c>
      <c r="B187" s="44" t="s">
        <v>77</v>
      </c>
      <c r="C187" s="44" t="s">
        <v>164</v>
      </c>
      <c r="D187" s="44" t="s">
        <v>104</v>
      </c>
      <c r="E187" s="44"/>
      <c r="F187" s="44" t="s">
        <v>552</v>
      </c>
      <c r="G187" s="44" t="s">
        <v>778</v>
      </c>
    </row>
    <row r="188" spans="1:7" ht="14.4" thickTop="1" thickBot="1" x14ac:dyDescent="0.3">
      <c r="A188" s="45">
        <v>43327</v>
      </c>
      <c r="B188" s="44" t="s">
        <v>83</v>
      </c>
      <c r="C188" s="44" t="s">
        <v>164</v>
      </c>
      <c r="D188" s="44" t="s">
        <v>104</v>
      </c>
      <c r="E188" s="44" t="s">
        <v>19</v>
      </c>
      <c r="F188" s="44" t="s">
        <v>552</v>
      </c>
      <c r="G188" s="44" t="s">
        <v>779</v>
      </c>
    </row>
    <row r="189" spans="1:7" ht="14.4" thickTop="1" thickBot="1" x14ac:dyDescent="0.3">
      <c r="A189" s="45">
        <v>43328</v>
      </c>
      <c r="B189" s="44" t="s">
        <v>141</v>
      </c>
      <c r="C189" s="44" t="s">
        <v>164</v>
      </c>
      <c r="D189" s="44" t="s">
        <v>104</v>
      </c>
      <c r="E189" s="44"/>
      <c r="F189" s="44" t="s">
        <v>552</v>
      </c>
      <c r="G189" s="44" t="s">
        <v>780</v>
      </c>
    </row>
    <row r="190" spans="1:7" ht="14.4" thickTop="1" thickBot="1" x14ac:dyDescent="0.3">
      <c r="A190" s="45">
        <v>43329</v>
      </c>
      <c r="B190" s="44" t="s">
        <v>141</v>
      </c>
      <c r="C190" s="44" t="s">
        <v>164</v>
      </c>
      <c r="D190" s="44" t="s">
        <v>104</v>
      </c>
      <c r="E190" s="44"/>
      <c r="F190" s="44" t="s">
        <v>552</v>
      </c>
      <c r="G190" s="44" t="s">
        <v>781</v>
      </c>
    </row>
    <row r="191" spans="1:7" ht="14.4" thickTop="1" thickBot="1" x14ac:dyDescent="0.3">
      <c r="A191" s="45">
        <v>43332</v>
      </c>
      <c r="B191" s="44" t="s">
        <v>93</v>
      </c>
      <c r="C191" s="44" t="s">
        <v>165</v>
      </c>
      <c r="D191" s="44" t="s">
        <v>104</v>
      </c>
      <c r="E191" s="44"/>
      <c r="F191" s="44" t="s">
        <v>552</v>
      </c>
      <c r="G191" s="44" t="s">
        <v>782</v>
      </c>
    </row>
    <row r="192" spans="1:7" ht="14.4" thickTop="1" thickBot="1" x14ac:dyDescent="0.3">
      <c r="A192" s="45">
        <v>43333</v>
      </c>
      <c r="B192" s="44" t="s">
        <v>144</v>
      </c>
      <c r="C192" s="44" t="s">
        <v>165</v>
      </c>
      <c r="D192" s="44" t="s">
        <v>104</v>
      </c>
      <c r="E192" s="44"/>
      <c r="F192" s="44" t="s">
        <v>552</v>
      </c>
      <c r="G192" s="44" t="s">
        <v>783</v>
      </c>
    </row>
    <row r="193" spans="1:7" ht="14.4" thickTop="1" thickBot="1" x14ac:dyDescent="0.3">
      <c r="A193" s="45">
        <v>43334</v>
      </c>
      <c r="B193" s="44" t="s">
        <v>150</v>
      </c>
      <c r="C193" s="44" t="s">
        <v>165</v>
      </c>
      <c r="D193" s="44" t="s">
        <v>104</v>
      </c>
      <c r="E193" s="44"/>
      <c r="F193" s="44" t="s">
        <v>552</v>
      </c>
      <c r="G193" s="44" t="s">
        <v>784</v>
      </c>
    </row>
    <row r="194" spans="1:7" ht="14.4" thickTop="1" thickBot="1" x14ac:dyDescent="0.3">
      <c r="A194" s="45">
        <v>43335</v>
      </c>
      <c r="B194" s="44" t="s">
        <v>15</v>
      </c>
      <c r="C194" s="44" t="s">
        <v>165</v>
      </c>
      <c r="D194" s="44" t="s">
        <v>104</v>
      </c>
      <c r="E194" s="44"/>
      <c r="F194" s="44" t="s">
        <v>552</v>
      </c>
      <c r="G194" s="44" t="s">
        <v>785</v>
      </c>
    </row>
    <row r="195" spans="1:7" ht="14.4" thickTop="1" thickBot="1" x14ac:dyDescent="0.3">
      <c r="A195" s="45">
        <v>43336</v>
      </c>
      <c r="B195" s="44" t="s">
        <v>123</v>
      </c>
      <c r="C195" s="44" t="s">
        <v>165</v>
      </c>
      <c r="D195" s="44" t="s">
        <v>104</v>
      </c>
      <c r="E195" s="44"/>
      <c r="F195" s="44" t="s">
        <v>552</v>
      </c>
      <c r="G195" s="44" t="s">
        <v>786</v>
      </c>
    </row>
    <row r="196" spans="1:7" ht="14.4" thickTop="1" thickBot="1" x14ac:dyDescent="0.3">
      <c r="A196" s="45">
        <v>43339</v>
      </c>
      <c r="B196" s="44" t="s">
        <v>129</v>
      </c>
      <c r="C196" s="44" t="s">
        <v>166</v>
      </c>
      <c r="D196" s="44" t="s">
        <v>104</v>
      </c>
      <c r="E196" s="44"/>
      <c r="F196" s="44" t="s">
        <v>552</v>
      </c>
      <c r="G196" s="44" t="s">
        <v>787</v>
      </c>
    </row>
    <row r="197" spans="1:7" ht="14.4" thickTop="1" thickBot="1" x14ac:dyDescent="0.3">
      <c r="A197" s="45">
        <v>43340</v>
      </c>
      <c r="B197" s="44" t="s">
        <v>132</v>
      </c>
      <c r="C197" s="44" t="s">
        <v>166</v>
      </c>
      <c r="D197" s="44" t="s">
        <v>104</v>
      </c>
      <c r="E197" s="44"/>
      <c r="F197" s="44" t="s">
        <v>552</v>
      </c>
      <c r="G197" s="44" t="s">
        <v>788</v>
      </c>
    </row>
    <row r="198" spans="1:7" ht="14.4" thickTop="1" thickBot="1" x14ac:dyDescent="0.3">
      <c r="A198" s="45">
        <v>43341</v>
      </c>
      <c r="B198" s="44" t="s">
        <v>135</v>
      </c>
      <c r="C198" s="44" t="s">
        <v>166</v>
      </c>
      <c r="D198" s="44" t="s">
        <v>104</v>
      </c>
      <c r="E198" s="44"/>
      <c r="F198" s="44" t="s">
        <v>552</v>
      </c>
      <c r="G198" s="44" t="s">
        <v>789</v>
      </c>
    </row>
    <row r="199" spans="1:7" ht="14.4" thickTop="1" thickBot="1" x14ac:dyDescent="0.3">
      <c r="A199" s="45">
        <v>43342</v>
      </c>
      <c r="B199" s="44" t="s">
        <v>138</v>
      </c>
      <c r="C199" s="44" t="s">
        <v>166</v>
      </c>
      <c r="D199" s="44" t="s">
        <v>104</v>
      </c>
      <c r="E199" s="44"/>
      <c r="F199" s="44" t="s">
        <v>552</v>
      </c>
      <c r="G199" s="44" t="s">
        <v>790</v>
      </c>
    </row>
    <row r="200" spans="1:7" ht="14.4" thickTop="1" thickBot="1" x14ac:dyDescent="0.3">
      <c r="A200" s="45">
        <v>43343</v>
      </c>
      <c r="B200" s="44" t="s">
        <v>42</v>
      </c>
      <c r="C200" s="44" t="s">
        <v>166</v>
      </c>
      <c r="D200" s="44" t="s">
        <v>104</v>
      </c>
      <c r="E200" s="44"/>
      <c r="F200" s="44" t="s">
        <v>552</v>
      </c>
      <c r="G200" s="44" t="s">
        <v>791</v>
      </c>
    </row>
    <row r="201" spans="1:7" ht="14.4" thickTop="1" thickBot="1" x14ac:dyDescent="0.3">
      <c r="A201" s="65" t="s">
        <v>767</v>
      </c>
      <c r="B201" s="65"/>
      <c r="C201" s="65"/>
      <c r="D201" s="65"/>
      <c r="E201" s="65"/>
      <c r="F201" s="65"/>
      <c r="G201" s="65"/>
    </row>
    <row r="202" spans="1:7" ht="14.4" thickTop="1" thickBot="1" x14ac:dyDescent="0.3">
      <c r="A202" s="65" t="s">
        <v>621</v>
      </c>
      <c r="B202" s="65"/>
      <c r="C202" s="65"/>
      <c r="D202" s="65"/>
      <c r="E202" s="65"/>
      <c r="F202" s="65"/>
      <c r="G202" s="65"/>
    </row>
    <row r="203" spans="1:7" ht="14.4" thickTop="1" thickBot="1" x14ac:dyDescent="0.3">
      <c r="A203" s="43" t="s">
        <v>515</v>
      </c>
      <c r="B203" s="43" t="s">
        <v>522</v>
      </c>
      <c r="C203" s="43" t="s">
        <v>528</v>
      </c>
      <c r="D203" s="44" t="s">
        <v>517</v>
      </c>
      <c r="E203" s="43" t="s">
        <v>533</v>
      </c>
      <c r="F203" s="43" t="s">
        <v>537</v>
      </c>
      <c r="G203" s="44" t="s">
        <v>514</v>
      </c>
    </row>
    <row r="204" spans="1:7" ht="14.4" thickTop="1" thickBot="1" x14ac:dyDescent="0.3">
      <c r="A204" s="45">
        <v>43346</v>
      </c>
      <c r="B204" s="44" t="s">
        <v>59</v>
      </c>
      <c r="C204" s="44" t="s">
        <v>161</v>
      </c>
      <c r="D204" s="44" t="s">
        <v>104</v>
      </c>
      <c r="E204" s="44"/>
      <c r="F204" s="44" t="s">
        <v>553</v>
      </c>
      <c r="G204" s="44" t="s">
        <v>792</v>
      </c>
    </row>
    <row r="205" spans="1:7" ht="14.4" thickTop="1" thickBot="1" x14ac:dyDescent="0.3">
      <c r="A205" s="45">
        <v>43347</v>
      </c>
      <c r="B205" s="44" t="s">
        <v>59</v>
      </c>
      <c r="C205" s="44" t="s">
        <v>161</v>
      </c>
      <c r="D205" s="44" t="s">
        <v>104</v>
      </c>
      <c r="E205" s="44"/>
      <c r="F205" s="44" t="s">
        <v>553</v>
      </c>
      <c r="G205" s="44" t="s">
        <v>793</v>
      </c>
    </row>
    <row r="206" spans="1:7" ht="14.4" thickTop="1" thickBot="1" x14ac:dyDescent="0.3">
      <c r="A206" s="45">
        <v>43348</v>
      </c>
      <c r="B206" s="44" t="s">
        <v>153</v>
      </c>
      <c r="C206" s="44" t="s">
        <v>161</v>
      </c>
      <c r="D206" s="44" t="s">
        <v>104</v>
      </c>
      <c r="E206" s="44"/>
      <c r="F206" s="44" t="s">
        <v>553</v>
      </c>
      <c r="G206" s="44" t="s">
        <v>794</v>
      </c>
    </row>
    <row r="207" spans="1:7" ht="14.4" thickTop="1" thickBot="1" x14ac:dyDescent="0.3">
      <c r="A207" s="45">
        <v>43349</v>
      </c>
      <c r="B207" s="44" t="s">
        <v>156</v>
      </c>
      <c r="C207" s="44" t="s">
        <v>161</v>
      </c>
      <c r="D207" s="44" t="s">
        <v>104</v>
      </c>
      <c r="E207" s="44"/>
      <c r="F207" s="44" t="s">
        <v>553</v>
      </c>
      <c r="G207" s="44" t="s">
        <v>795</v>
      </c>
    </row>
    <row r="208" spans="1:7" ht="14.4" thickTop="1" thickBot="1" x14ac:dyDescent="0.3">
      <c r="A208" s="45">
        <v>43350</v>
      </c>
      <c r="B208" s="44" t="s">
        <v>71</v>
      </c>
      <c r="C208" s="44" t="s">
        <v>161</v>
      </c>
      <c r="D208" s="44" t="s">
        <v>104</v>
      </c>
      <c r="E208" s="44"/>
      <c r="F208" s="44" t="s">
        <v>553</v>
      </c>
      <c r="G208" s="44" t="s">
        <v>796</v>
      </c>
    </row>
    <row r="209" spans="1:7" ht="14.4" thickTop="1" thickBot="1" x14ac:dyDescent="0.3">
      <c r="A209" s="45">
        <v>43353</v>
      </c>
      <c r="B209" s="44" t="s">
        <v>77</v>
      </c>
      <c r="C209" s="44" t="s">
        <v>163</v>
      </c>
      <c r="D209" s="44" t="s">
        <v>104</v>
      </c>
      <c r="E209" s="44"/>
      <c r="F209" s="44" t="s">
        <v>553</v>
      </c>
      <c r="G209" s="44" t="s">
        <v>797</v>
      </c>
    </row>
    <row r="210" spans="1:7" ht="14.4" thickTop="1" thickBot="1" x14ac:dyDescent="0.3">
      <c r="A210" s="45">
        <v>43354</v>
      </c>
      <c r="B210" s="44" t="s">
        <v>83</v>
      </c>
      <c r="C210" s="44" t="s">
        <v>163</v>
      </c>
      <c r="D210" s="44" t="s">
        <v>104</v>
      </c>
      <c r="E210" s="44"/>
      <c r="F210" s="44" t="s">
        <v>553</v>
      </c>
      <c r="G210" s="44" t="s">
        <v>798</v>
      </c>
    </row>
    <row r="211" spans="1:7" ht="14.4" thickTop="1" thickBot="1" x14ac:dyDescent="0.3">
      <c r="A211" s="45">
        <v>43355</v>
      </c>
      <c r="B211" s="44" t="s">
        <v>141</v>
      </c>
      <c r="C211" s="44" t="s">
        <v>163</v>
      </c>
      <c r="D211" s="44" t="s">
        <v>104</v>
      </c>
      <c r="E211" s="44"/>
      <c r="F211" s="44" t="s">
        <v>553</v>
      </c>
      <c r="G211" s="44" t="s">
        <v>799</v>
      </c>
    </row>
    <row r="212" spans="1:7" ht="14.4" thickTop="1" thickBot="1" x14ac:dyDescent="0.3">
      <c r="A212" s="45">
        <v>43356</v>
      </c>
      <c r="B212" s="44" t="s">
        <v>141</v>
      </c>
      <c r="C212" s="44" t="s">
        <v>163</v>
      </c>
      <c r="D212" s="44" t="s">
        <v>104</v>
      </c>
      <c r="E212" s="44"/>
      <c r="F212" s="44" t="s">
        <v>553</v>
      </c>
      <c r="G212" s="44" t="s">
        <v>800</v>
      </c>
    </row>
    <row r="213" spans="1:7" ht="14.4" thickTop="1" thickBot="1" x14ac:dyDescent="0.3">
      <c r="A213" s="45">
        <v>43357</v>
      </c>
      <c r="B213" s="44" t="s">
        <v>93</v>
      </c>
      <c r="C213" s="44" t="s">
        <v>163</v>
      </c>
      <c r="D213" s="44" t="s">
        <v>104</v>
      </c>
      <c r="E213" s="44"/>
      <c r="F213" s="44" t="s">
        <v>553</v>
      </c>
      <c r="G213" s="44" t="s">
        <v>801</v>
      </c>
    </row>
    <row r="214" spans="1:7" ht="14.4" thickTop="1" thickBot="1" x14ac:dyDescent="0.3">
      <c r="A214" s="45">
        <v>43360</v>
      </c>
      <c r="B214" s="44" t="s">
        <v>144</v>
      </c>
      <c r="C214" s="44" t="s">
        <v>164</v>
      </c>
      <c r="D214" s="44" t="s">
        <v>104</v>
      </c>
      <c r="E214" s="44"/>
      <c r="F214" s="44" t="s">
        <v>553</v>
      </c>
      <c r="G214" s="44" t="s">
        <v>802</v>
      </c>
    </row>
    <row r="215" spans="1:7" ht="14.4" thickTop="1" thickBot="1" x14ac:dyDescent="0.3">
      <c r="A215" s="45">
        <v>43361</v>
      </c>
      <c r="B215" s="44" t="s">
        <v>150</v>
      </c>
      <c r="C215" s="44" t="s">
        <v>164</v>
      </c>
      <c r="D215" s="44" t="s">
        <v>104</v>
      </c>
      <c r="E215" s="44"/>
      <c r="F215" s="44" t="s">
        <v>553</v>
      </c>
      <c r="G215" s="44" t="s">
        <v>803</v>
      </c>
    </row>
    <row r="216" spans="1:7" ht="14.4" thickTop="1" thickBot="1" x14ac:dyDescent="0.3">
      <c r="A216" s="45">
        <v>43362</v>
      </c>
      <c r="B216" s="44" t="s">
        <v>15</v>
      </c>
      <c r="C216" s="44" t="s">
        <v>164</v>
      </c>
      <c r="D216" s="44" t="s">
        <v>104</v>
      </c>
      <c r="E216" s="44"/>
      <c r="F216" s="44" t="s">
        <v>553</v>
      </c>
      <c r="G216" s="44" t="s">
        <v>804</v>
      </c>
    </row>
    <row r="217" spans="1:7" ht="14.4" thickTop="1" thickBot="1" x14ac:dyDescent="0.3">
      <c r="A217" s="45">
        <v>43363</v>
      </c>
      <c r="B217" s="44" t="s">
        <v>123</v>
      </c>
      <c r="C217" s="44" t="s">
        <v>164</v>
      </c>
      <c r="D217" s="44" t="s">
        <v>104</v>
      </c>
      <c r="E217" s="44"/>
      <c r="F217" s="44" t="s">
        <v>553</v>
      </c>
      <c r="G217" s="44" t="s">
        <v>805</v>
      </c>
    </row>
    <row r="218" spans="1:7" ht="14.4" thickTop="1" thickBot="1" x14ac:dyDescent="0.3">
      <c r="A218" s="45">
        <v>43364</v>
      </c>
      <c r="B218" s="44" t="s">
        <v>129</v>
      </c>
      <c r="C218" s="44" t="s">
        <v>164</v>
      </c>
      <c r="D218" s="44" t="s">
        <v>104</v>
      </c>
      <c r="E218" s="44"/>
      <c r="F218" s="44" t="s">
        <v>553</v>
      </c>
      <c r="G218" s="44" t="s">
        <v>806</v>
      </c>
    </row>
    <row r="219" spans="1:7" ht="14.4" thickTop="1" thickBot="1" x14ac:dyDescent="0.3">
      <c r="A219" s="45">
        <v>43367</v>
      </c>
      <c r="B219" s="44" t="s">
        <v>132</v>
      </c>
      <c r="C219" s="44" t="s">
        <v>165</v>
      </c>
      <c r="D219" s="44" t="s">
        <v>104</v>
      </c>
      <c r="E219" s="44"/>
      <c r="F219" s="44" t="s">
        <v>553</v>
      </c>
      <c r="G219" s="44" t="s">
        <v>807</v>
      </c>
    </row>
    <row r="220" spans="1:7" ht="14.4" thickTop="1" thickBot="1" x14ac:dyDescent="0.3">
      <c r="A220" s="45">
        <v>43368</v>
      </c>
      <c r="B220" s="44" t="s">
        <v>135</v>
      </c>
      <c r="C220" s="44" t="s">
        <v>165</v>
      </c>
      <c r="D220" s="44" t="s">
        <v>104</v>
      </c>
      <c r="E220" s="44"/>
      <c r="F220" s="44" t="s">
        <v>553</v>
      </c>
      <c r="G220" s="44" t="s">
        <v>808</v>
      </c>
    </row>
    <row r="221" spans="1:7" ht="14.4" thickTop="1" thickBot="1" x14ac:dyDescent="0.3">
      <c r="A221" s="45">
        <v>43369</v>
      </c>
      <c r="B221" s="44" t="s">
        <v>138</v>
      </c>
      <c r="C221" s="44" t="s">
        <v>165</v>
      </c>
      <c r="D221" s="44" t="s">
        <v>104</v>
      </c>
      <c r="E221" s="44"/>
      <c r="F221" s="44" t="s">
        <v>553</v>
      </c>
      <c r="G221" s="44" t="s">
        <v>809</v>
      </c>
    </row>
    <row r="222" spans="1:7" ht="14.4" thickTop="1" thickBot="1" x14ac:dyDescent="0.3">
      <c r="A222" s="45">
        <v>43370</v>
      </c>
      <c r="B222" s="44" t="s">
        <v>42</v>
      </c>
      <c r="C222" s="44" t="s">
        <v>165</v>
      </c>
      <c r="D222" s="44" t="s">
        <v>104</v>
      </c>
      <c r="E222" s="44"/>
      <c r="F222" s="44" t="s">
        <v>553</v>
      </c>
      <c r="G222" s="44" t="s">
        <v>810</v>
      </c>
    </row>
    <row r="223" spans="1:7" ht="14.4" thickTop="1" thickBot="1" x14ac:dyDescent="0.3">
      <c r="A223" s="45">
        <v>43371</v>
      </c>
      <c r="B223" s="44" t="s">
        <v>59</v>
      </c>
      <c r="C223" s="44" t="s">
        <v>165</v>
      </c>
      <c r="D223" s="44" t="s">
        <v>104</v>
      </c>
      <c r="E223" s="44"/>
      <c r="F223" s="44" t="s">
        <v>553</v>
      </c>
      <c r="G223" s="44" t="s">
        <v>811</v>
      </c>
    </row>
    <row r="224" spans="1:7" ht="14.4" thickTop="1" thickBot="1" x14ac:dyDescent="0.3">
      <c r="A224" s="65" t="s">
        <v>767</v>
      </c>
      <c r="B224" s="65"/>
      <c r="C224" s="65"/>
      <c r="D224" s="65"/>
      <c r="E224" s="65"/>
      <c r="F224" s="65"/>
      <c r="G224" s="65"/>
    </row>
    <row r="225" spans="1:7" ht="14.4" thickTop="1" thickBot="1" x14ac:dyDescent="0.3">
      <c r="A225" s="65" t="s">
        <v>622</v>
      </c>
      <c r="B225" s="65"/>
      <c r="C225" s="65"/>
      <c r="D225" s="65"/>
      <c r="E225" s="65"/>
      <c r="F225" s="65"/>
      <c r="G225" s="65"/>
    </row>
    <row r="226" spans="1:7" ht="14.4" thickTop="1" thickBot="1" x14ac:dyDescent="0.3">
      <c r="A226" s="43" t="s">
        <v>515</v>
      </c>
      <c r="B226" s="43" t="s">
        <v>522</v>
      </c>
      <c r="C226" s="43" t="s">
        <v>528</v>
      </c>
      <c r="D226" s="44" t="s">
        <v>517</v>
      </c>
      <c r="E226" s="43" t="s">
        <v>533</v>
      </c>
      <c r="F226" s="43" t="s">
        <v>537</v>
      </c>
      <c r="G226" s="44" t="s">
        <v>514</v>
      </c>
    </row>
    <row r="227" spans="1:7" ht="14.4" thickTop="1" thickBot="1" x14ac:dyDescent="0.3">
      <c r="A227" s="45">
        <v>43374</v>
      </c>
      <c r="B227" s="44" t="s">
        <v>59</v>
      </c>
      <c r="C227" s="44" t="s">
        <v>166</v>
      </c>
      <c r="D227" s="44" t="s">
        <v>104</v>
      </c>
      <c r="E227" s="44"/>
      <c r="F227" s="44" t="s">
        <v>554</v>
      </c>
      <c r="G227" s="44" t="s">
        <v>812</v>
      </c>
    </row>
    <row r="228" spans="1:7" ht="14.4" thickTop="1" thickBot="1" x14ac:dyDescent="0.3">
      <c r="A228" s="45">
        <v>43375</v>
      </c>
      <c r="B228" s="44" t="s">
        <v>153</v>
      </c>
      <c r="C228" s="44" t="s">
        <v>166</v>
      </c>
      <c r="D228" s="44" t="s">
        <v>104</v>
      </c>
      <c r="E228" s="44"/>
      <c r="F228" s="44" t="s">
        <v>554</v>
      </c>
      <c r="G228" s="44" t="s">
        <v>813</v>
      </c>
    </row>
    <row r="229" spans="1:7" ht="14.4" thickTop="1" thickBot="1" x14ac:dyDescent="0.3">
      <c r="A229" s="45">
        <v>43376</v>
      </c>
      <c r="B229" s="44" t="s">
        <v>156</v>
      </c>
      <c r="C229" s="44" t="s">
        <v>166</v>
      </c>
      <c r="D229" s="44" t="s">
        <v>104</v>
      </c>
      <c r="E229" s="44"/>
      <c r="F229" s="44" t="s">
        <v>554</v>
      </c>
      <c r="G229" s="44" t="s">
        <v>814</v>
      </c>
    </row>
    <row r="230" spans="1:7" ht="14.4" thickTop="1" thickBot="1" x14ac:dyDescent="0.3">
      <c r="A230" s="45">
        <v>43377</v>
      </c>
      <c r="B230" s="44" t="s">
        <v>71</v>
      </c>
      <c r="C230" s="44" t="s">
        <v>166</v>
      </c>
      <c r="D230" s="44" t="s">
        <v>104</v>
      </c>
      <c r="E230" s="44"/>
      <c r="F230" s="44" t="s">
        <v>554</v>
      </c>
      <c r="G230" s="44" t="s">
        <v>815</v>
      </c>
    </row>
    <row r="231" spans="1:7" ht="14.4" thickTop="1" thickBot="1" x14ac:dyDescent="0.3">
      <c r="A231" s="45">
        <v>43378</v>
      </c>
      <c r="B231" s="44" t="s">
        <v>77</v>
      </c>
      <c r="C231" s="44" t="s">
        <v>166</v>
      </c>
      <c r="D231" s="44" t="s">
        <v>104</v>
      </c>
      <c r="E231" s="44"/>
      <c r="F231" s="44" t="s">
        <v>554</v>
      </c>
      <c r="G231" s="44" t="s">
        <v>816</v>
      </c>
    </row>
    <row r="232" spans="1:7" ht="14.4" thickTop="1" thickBot="1" x14ac:dyDescent="0.3">
      <c r="A232" s="45">
        <v>43381</v>
      </c>
      <c r="B232" s="44" t="s">
        <v>83</v>
      </c>
      <c r="C232" s="44" t="s">
        <v>161</v>
      </c>
      <c r="D232" s="44" t="s">
        <v>104</v>
      </c>
      <c r="E232" s="44"/>
      <c r="F232" s="44" t="s">
        <v>554</v>
      </c>
      <c r="G232" s="44" t="s">
        <v>817</v>
      </c>
    </row>
    <row r="233" spans="1:7" ht="14.4" thickTop="1" thickBot="1" x14ac:dyDescent="0.3">
      <c r="A233" s="45">
        <v>43382</v>
      </c>
      <c r="B233" s="44" t="s">
        <v>141</v>
      </c>
      <c r="C233" s="44" t="s">
        <v>161</v>
      </c>
      <c r="D233" s="44" t="s">
        <v>104</v>
      </c>
      <c r="E233" s="44"/>
      <c r="F233" s="44" t="s">
        <v>554</v>
      </c>
      <c r="G233" s="44" t="s">
        <v>818</v>
      </c>
    </row>
    <row r="234" spans="1:7" ht="14.4" thickTop="1" thickBot="1" x14ac:dyDescent="0.3">
      <c r="A234" s="45">
        <v>43383</v>
      </c>
      <c r="B234" s="44" t="s">
        <v>141</v>
      </c>
      <c r="C234" s="44" t="s">
        <v>161</v>
      </c>
      <c r="D234" s="44" t="s">
        <v>104</v>
      </c>
      <c r="E234" s="44"/>
      <c r="F234" s="44" t="s">
        <v>554</v>
      </c>
      <c r="G234" s="44" t="s">
        <v>819</v>
      </c>
    </row>
    <row r="235" spans="1:7" ht="14.4" thickTop="1" thickBot="1" x14ac:dyDescent="0.3">
      <c r="A235" s="45">
        <v>43384</v>
      </c>
      <c r="B235" s="44" t="s">
        <v>93</v>
      </c>
      <c r="C235" s="44" t="s">
        <v>161</v>
      </c>
      <c r="D235" s="44" t="s">
        <v>104</v>
      </c>
      <c r="E235" s="44"/>
      <c r="F235" s="44" t="s">
        <v>554</v>
      </c>
      <c r="G235" s="44" t="s">
        <v>820</v>
      </c>
    </row>
    <row r="236" spans="1:7" ht="14.4" thickTop="1" thickBot="1" x14ac:dyDescent="0.3">
      <c r="A236" s="45">
        <v>43385</v>
      </c>
      <c r="B236" s="44" t="s">
        <v>144</v>
      </c>
      <c r="C236" s="44" t="s">
        <v>161</v>
      </c>
      <c r="D236" s="44" t="s">
        <v>104</v>
      </c>
      <c r="E236" s="44"/>
      <c r="F236" s="44" t="s">
        <v>554</v>
      </c>
      <c r="G236" s="44" t="s">
        <v>821</v>
      </c>
    </row>
    <row r="237" spans="1:7" ht="14.4" thickTop="1" thickBot="1" x14ac:dyDescent="0.3">
      <c r="A237" s="45">
        <v>43388</v>
      </c>
      <c r="B237" s="44" t="s">
        <v>150</v>
      </c>
      <c r="C237" s="44" t="s">
        <v>163</v>
      </c>
      <c r="D237" s="44" t="s">
        <v>104</v>
      </c>
      <c r="E237" s="44"/>
      <c r="F237" s="44" t="s">
        <v>554</v>
      </c>
      <c r="G237" s="44" t="s">
        <v>822</v>
      </c>
    </row>
    <row r="238" spans="1:7" ht="14.4" thickTop="1" thickBot="1" x14ac:dyDescent="0.3">
      <c r="A238" s="45">
        <v>43389</v>
      </c>
      <c r="B238" s="44" t="s">
        <v>15</v>
      </c>
      <c r="C238" s="44" t="s">
        <v>163</v>
      </c>
      <c r="D238" s="44" t="s">
        <v>104</v>
      </c>
      <c r="E238" s="44"/>
      <c r="F238" s="44" t="s">
        <v>554</v>
      </c>
      <c r="G238" s="44" t="s">
        <v>823</v>
      </c>
    </row>
    <row r="239" spans="1:7" ht="14.4" thickTop="1" thickBot="1" x14ac:dyDescent="0.3">
      <c r="A239" s="45">
        <v>43390</v>
      </c>
      <c r="B239" s="44" t="s">
        <v>123</v>
      </c>
      <c r="C239" s="44" t="s">
        <v>163</v>
      </c>
      <c r="D239" s="44" t="s">
        <v>104</v>
      </c>
      <c r="E239" s="44"/>
      <c r="F239" s="44" t="s">
        <v>554</v>
      </c>
      <c r="G239" s="44" t="s">
        <v>824</v>
      </c>
    </row>
    <row r="240" spans="1:7" ht="14.4" thickTop="1" thickBot="1" x14ac:dyDescent="0.3">
      <c r="A240" s="45">
        <v>43391</v>
      </c>
      <c r="B240" s="44" t="s">
        <v>129</v>
      </c>
      <c r="C240" s="44" t="s">
        <v>163</v>
      </c>
      <c r="D240" s="44" t="s">
        <v>104</v>
      </c>
      <c r="E240" s="44"/>
      <c r="F240" s="44" t="s">
        <v>554</v>
      </c>
      <c r="G240" s="44" t="s">
        <v>825</v>
      </c>
    </row>
    <row r="241" spans="1:7" ht="14.4" thickTop="1" thickBot="1" x14ac:dyDescent="0.3">
      <c r="A241" s="45">
        <v>43392</v>
      </c>
      <c r="B241" s="44" t="s">
        <v>132</v>
      </c>
      <c r="C241" s="44" t="s">
        <v>163</v>
      </c>
      <c r="D241" s="44" t="s">
        <v>104</v>
      </c>
      <c r="E241" s="44"/>
      <c r="F241" s="44" t="s">
        <v>554</v>
      </c>
      <c r="G241" s="44" t="s">
        <v>826</v>
      </c>
    </row>
    <row r="242" spans="1:7" ht="14.4" thickTop="1" thickBot="1" x14ac:dyDescent="0.3">
      <c r="A242" s="45">
        <v>43395</v>
      </c>
      <c r="B242" s="44" t="s">
        <v>135</v>
      </c>
      <c r="C242" s="44" t="s">
        <v>164</v>
      </c>
      <c r="D242" s="44" t="s">
        <v>104</v>
      </c>
      <c r="E242" s="44"/>
      <c r="F242" s="44" t="s">
        <v>554</v>
      </c>
      <c r="G242" s="44" t="s">
        <v>827</v>
      </c>
    </row>
    <row r="243" spans="1:7" ht="14.4" thickTop="1" thickBot="1" x14ac:dyDescent="0.3">
      <c r="A243" s="45">
        <v>43396</v>
      </c>
      <c r="B243" s="44" t="s">
        <v>138</v>
      </c>
      <c r="C243" s="44" t="s">
        <v>164</v>
      </c>
      <c r="D243" s="44" t="s">
        <v>104</v>
      </c>
      <c r="E243" s="44"/>
      <c r="F243" s="44" t="s">
        <v>554</v>
      </c>
      <c r="G243" s="44" t="s">
        <v>828</v>
      </c>
    </row>
    <row r="244" spans="1:7" ht="14.4" thickTop="1" thickBot="1" x14ac:dyDescent="0.3">
      <c r="A244" s="45">
        <v>43397</v>
      </c>
      <c r="B244" s="44" t="s">
        <v>42</v>
      </c>
      <c r="C244" s="44" t="s">
        <v>164</v>
      </c>
      <c r="D244" s="44" t="s">
        <v>104</v>
      </c>
      <c r="E244" s="44"/>
      <c r="F244" s="44" t="s">
        <v>554</v>
      </c>
      <c r="G244" s="44" t="s">
        <v>829</v>
      </c>
    </row>
    <row r="245" spans="1:7" ht="14.4" thickTop="1" thickBot="1" x14ac:dyDescent="0.3">
      <c r="A245" s="45">
        <v>43398</v>
      </c>
      <c r="B245" s="44" t="s">
        <v>59</v>
      </c>
      <c r="C245" s="44" t="s">
        <v>164</v>
      </c>
      <c r="D245" s="44" t="s">
        <v>104</v>
      </c>
      <c r="E245" s="44"/>
      <c r="F245" s="44" t="s">
        <v>554</v>
      </c>
      <c r="G245" s="44" t="s">
        <v>830</v>
      </c>
    </row>
    <row r="246" spans="1:7" ht="14.4" thickTop="1" thickBot="1" x14ac:dyDescent="0.3">
      <c r="A246" s="45">
        <v>43399</v>
      </c>
      <c r="B246" s="44" t="s">
        <v>59</v>
      </c>
      <c r="C246" s="44" t="s">
        <v>164</v>
      </c>
      <c r="D246" s="44" t="s">
        <v>104</v>
      </c>
      <c r="E246" s="44"/>
      <c r="F246" s="44" t="s">
        <v>554</v>
      </c>
      <c r="G246" s="44" t="s">
        <v>831</v>
      </c>
    </row>
    <row r="247" spans="1:7" ht="14.4" thickTop="1" thickBot="1" x14ac:dyDescent="0.3">
      <c r="A247" s="45">
        <v>43402</v>
      </c>
      <c r="B247" s="44" t="s">
        <v>153</v>
      </c>
      <c r="C247" s="44" t="s">
        <v>165</v>
      </c>
      <c r="D247" s="44" t="s">
        <v>104</v>
      </c>
      <c r="E247" s="44"/>
      <c r="F247" s="44" t="s">
        <v>554</v>
      </c>
      <c r="G247" s="44" t="s">
        <v>832</v>
      </c>
    </row>
    <row r="248" spans="1:7" ht="14.4" thickTop="1" thickBot="1" x14ac:dyDescent="0.3">
      <c r="A248" s="45">
        <v>43403</v>
      </c>
      <c r="B248" s="44" t="s">
        <v>156</v>
      </c>
      <c r="C248" s="44" t="s">
        <v>165</v>
      </c>
      <c r="D248" s="44" t="s">
        <v>104</v>
      </c>
      <c r="E248" s="44"/>
      <c r="F248" s="44" t="s">
        <v>554</v>
      </c>
      <c r="G248" s="44" t="s">
        <v>833</v>
      </c>
    </row>
    <row r="249" spans="1:7" ht="14.4" thickTop="1" thickBot="1" x14ac:dyDescent="0.3">
      <c r="A249" s="45">
        <v>43404</v>
      </c>
      <c r="B249" s="44" t="s">
        <v>71</v>
      </c>
      <c r="C249" s="44" t="s">
        <v>165</v>
      </c>
      <c r="D249" s="44" t="s">
        <v>104</v>
      </c>
      <c r="E249" s="44"/>
      <c r="F249" s="44" t="s">
        <v>554</v>
      </c>
      <c r="G249" s="44" t="s">
        <v>834</v>
      </c>
    </row>
    <row r="250" spans="1:7" ht="14.4" thickTop="1" thickBot="1" x14ac:dyDescent="0.3">
      <c r="A250" s="65" t="s">
        <v>767</v>
      </c>
      <c r="B250" s="65"/>
      <c r="C250" s="65"/>
      <c r="D250" s="65"/>
      <c r="E250" s="65"/>
      <c r="F250" s="65"/>
      <c r="G250" s="65"/>
    </row>
    <row r="251" spans="1:7" ht="14.4" thickTop="1" thickBot="1" x14ac:dyDescent="0.3">
      <c r="A251" s="65" t="s">
        <v>623</v>
      </c>
      <c r="B251" s="65"/>
      <c r="C251" s="65"/>
      <c r="D251" s="65"/>
      <c r="E251" s="65"/>
      <c r="F251" s="65"/>
      <c r="G251" s="65"/>
    </row>
    <row r="252" spans="1:7" ht="14.4" thickTop="1" thickBot="1" x14ac:dyDescent="0.3">
      <c r="A252" s="43" t="s">
        <v>515</v>
      </c>
      <c r="B252" s="43" t="s">
        <v>522</v>
      </c>
      <c r="C252" s="43" t="s">
        <v>528</v>
      </c>
      <c r="D252" s="44" t="s">
        <v>517</v>
      </c>
      <c r="E252" s="43" t="s">
        <v>533</v>
      </c>
      <c r="F252" s="43" t="s">
        <v>537</v>
      </c>
      <c r="G252" s="44" t="s">
        <v>514</v>
      </c>
    </row>
    <row r="253" spans="1:7" ht="14.4" thickTop="1" thickBot="1" x14ac:dyDescent="0.3">
      <c r="A253" s="45">
        <v>43405</v>
      </c>
      <c r="B253" s="44" t="s">
        <v>77</v>
      </c>
      <c r="C253" s="44" t="s">
        <v>165</v>
      </c>
      <c r="D253" s="44" t="s">
        <v>104</v>
      </c>
      <c r="E253" s="44" t="s">
        <v>79</v>
      </c>
      <c r="F253" s="44" t="s">
        <v>555</v>
      </c>
      <c r="G253" s="44" t="s">
        <v>835</v>
      </c>
    </row>
    <row r="254" spans="1:7" ht="14.4" thickTop="1" thickBot="1" x14ac:dyDescent="0.3">
      <c r="A254" s="45">
        <v>43406</v>
      </c>
      <c r="B254" s="44" t="s">
        <v>83</v>
      </c>
      <c r="C254" s="44" t="s">
        <v>165</v>
      </c>
      <c r="D254" s="44" t="s">
        <v>104</v>
      </c>
      <c r="E254" s="44"/>
      <c r="F254" s="44" t="s">
        <v>555</v>
      </c>
      <c r="G254" s="44" t="s">
        <v>836</v>
      </c>
    </row>
    <row r="255" spans="1:7" ht="14.4" thickTop="1" thickBot="1" x14ac:dyDescent="0.3">
      <c r="A255" s="45">
        <v>43409</v>
      </c>
      <c r="B255" s="44" t="s">
        <v>141</v>
      </c>
      <c r="C255" s="44" t="s">
        <v>166</v>
      </c>
      <c r="D255" s="44" t="s">
        <v>104</v>
      </c>
      <c r="E255" s="44"/>
      <c r="F255" s="44" t="s">
        <v>555</v>
      </c>
      <c r="G255" s="44" t="s">
        <v>837</v>
      </c>
    </row>
    <row r="256" spans="1:7" ht="14.4" thickTop="1" thickBot="1" x14ac:dyDescent="0.3">
      <c r="A256" s="45">
        <v>43410</v>
      </c>
      <c r="B256" s="44" t="s">
        <v>141</v>
      </c>
      <c r="C256" s="44" t="s">
        <v>166</v>
      </c>
      <c r="D256" s="44" t="s">
        <v>104</v>
      </c>
      <c r="E256" s="44"/>
      <c r="F256" s="44" t="s">
        <v>555</v>
      </c>
      <c r="G256" s="44" t="s">
        <v>838</v>
      </c>
    </row>
    <row r="257" spans="1:7" ht="14.4" thickTop="1" thickBot="1" x14ac:dyDescent="0.3">
      <c r="A257" s="45">
        <v>43411</v>
      </c>
      <c r="B257" s="44" t="s">
        <v>93</v>
      </c>
      <c r="C257" s="44" t="s">
        <v>166</v>
      </c>
      <c r="D257" s="44" t="s">
        <v>104</v>
      </c>
      <c r="E257" s="44"/>
      <c r="F257" s="44" t="s">
        <v>555</v>
      </c>
      <c r="G257" s="44" t="s">
        <v>839</v>
      </c>
    </row>
    <row r="258" spans="1:7" ht="14.4" thickTop="1" thickBot="1" x14ac:dyDescent="0.3">
      <c r="A258" s="45">
        <v>43412</v>
      </c>
      <c r="B258" s="44" t="s">
        <v>144</v>
      </c>
      <c r="C258" s="44" t="s">
        <v>166</v>
      </c>
      <c r="D258" s="44" t="s">
        <v>104</v>
      </c>
      <c r="E258" s="44"/>
      <c r="F258" s="44" t="s">
        <v>555</v>
      </c>
      <c r="G258" s="44" t="s">
        <v>840</v>
      </c>
    </row>
    <row r="259" spans="1:7" ht="14.4" thickTop="1" thickBot="1" x14ac:dyDescent="0.3">
      <c r="A259" s="45">
        <v>43413</v>
      </c>
      <c r="B259" s="44" t="s">
        <v>150</v>
      </c>
      <c r="C259" s="44" t="s">
        <v>166</v>
      </c>
      <c r="D259" s="44" t="s">
        <v>104</v>
      </c>
      <c r="E259" s="44"/>
      <c r="F259" s="44" t="s">
        <v>555</v>
      </c>
      <c r="G259" s="44" t="s">
        <v>841</v>
      </c>
    </row>
    <row r="260" spans="1:7" ht="14.4" thickTop="1" thickBot="1" x14ac:dyDescent="0.3">
      <c r="A260" s="45">
        <v>43416</v>
      </c>
      <c r="B260" s="44" t="s">
        <v>15</v>
      </c>
      <c r="C260" s="44" t="s">
        <v>161</v>
      </c>
      <c r="D260" s="44" t="s">
        <v>104</v>
      </c>
      <c r="E260" s="44"/>
      <c r="F260" s="44" t="s">
        <v>555</v>
      </c>
      <c r="G260" s="44" t="s">
        <v>842</v>
      </c>
    </row>
    <row r="261" spans="1:7" ht="14.4" thickTop="1" thickBot="1" x14ac:dyDescent="0.3">
      <c r="A261" s="45">
        <v>43417</v>
      </c>
      <c r="B261" s="44" t="s">
        <v>123</v>
      </c>
      <c r="C261" s="44" t="s">
        <v>161</v>
      </c>
      <c r="D261" s="44" t="s">
        <v>104</v>
      </c>
      <c r="E261" s="44"/>
      <c r="F261" s="44" t="s">
        <v>555</v>
      </c>
      <c r="G261" s="44" t="s">
        <v>843</v>
      </c>
    </row>
    <row r="262" spans="1:7" ht="14.4" thickTop="1" thickBot="1" x14ac:dyDescent="0.3">
      <c r="A262" s="45">
        <v>43418</v>
      </c>
      <c r="B262" s="44" t="s">
        <v>129</v>
      </c>
      <c r="C262" s="44" t="s">
        <v>161</v>
      </c>
      <c r="D262" s="44" t="s">
        <v>104</v>
      </c>
      <c r="E262" s="44"/>
      <c r="F262" s="44" t="s">
        <v>555</v>
      </c>
      <c r="G262" s="44" t="s">
        <v>844</v>
      </c>
    </row>
    <row r="263" spans="1:7" ht="14.4" thickTop="1" thickBot="1" x14ac:dyDescent="0.3">
      <c r="A263" s="45">
        <v>43419</v>
      </c>
      <c r="B263" s="44" t="s">
        <v>132</v>
      </c>
      <c r="C263" s="44" t="s">
        <v>161</v>
      </c>
      <c r="D263" s="44" t="s">
        <v>104</v>
      </c>
      <c r="E263" s="44"/>
      <c r="F263" s="44" t="s">
        <v>555</v>
      </c>
      <c r="G263" s="44" t="s">
        <v>845</v>
      </c>
    </row>
    <row r="264" spans="1:7" ht="14.4" thickTop="1" thickBot="1" x14ac:dyDescent="0.3">
      <c r="A264" s="45">
        <v>43420</v>
      </c>
      <c r="B264" s="44" t="s">
        <v>135</v>
      </c>
      <c r="C264" s="44" t="s">
        <v>161</v>
      </c>
      <c r="D264" s="44" t="s">
        <v>104</v>
      </c>
      <c r="E264" s="44"/>
      <c r="F264" s="44" t="s">
        <v>555</v>
      </c>
      <c r="G264" s="44" t="s">
        <v>846</v>
      </c>
    </row>
    <row r="265" spans="1:7" ht="14.4" thickTop="1" thickBot="1" x14ac:dyDescent="0.3">
      <c r="A265" s="45">
        <v>43423</v>
      </c>
      <c r="B265" s="44" t="s">
        <v>138</v>
      </c>
      <c r="C265" s="44" t="s">
        <v>163</v>
      </c>
      <c r="D265" s="44" t="s">
        <v>104</v>
      </c>
      <c r="E265" s="44"/>
      <c r="F265" s="44" t="s">
        <v>555</v>
      </c>
      <c r="G265" s="44" t="s">
        <v>847</v>
      </c>
    </row>
    <row r="266" spans="1:7" ht="14.4" thickTop="1" thickBot="1" x14ac:dyDescent="0.3">
      <c r="A266" s="45">
        <v>43424</v>
      </c>
      <c r="B266" s="44" t="s">
        <v>42</v>
      </c>
      <c r="C266" s="44" t="s">
        <v>163</v>
      </c>
      <c r="D266" s="44" t="s">
        <v>104</v>
      </c>
      <c r="E266" s="44"/>
      <c r="F266" s="44" t="s">
        <v>555</v>
      </c>
      <c r="G266" s="44" t="s">
        <v>848</v>
      </c>
    </row>
    <row r="267" spans="1:7" ht="14.4" thickTop="1" thickBot="1" x14ac:dyDescent="0.3">
      <c r="A267" s="45">
        <v>43425</v>
      </c>
      <c r="B267" s="44" t="s">
        <v>59</v>
      </c>
      <c r="C267" s="44" t="s">
        <v>163</v>
      </c>
      <c r="D267" s="44" t="s">
        <v>104</v>
      </c>
      <c r="E267" s="44"/>
      <c r="F267" s="44" t="s">
        <v>555</v>
      </c>
      <c r="G267" s="44" t="s">
        <v>849</v>
      </c>
    </row>
    <row r="268" spans="1:7" ht="14.4" thickTop="1" thickBot="1" x14ac:dyDescent="0.3">
      <c r="A268" s="45">
        <v>43426</v>
      </c>
      <c r="B268" s="44" t="s">
        <v>59</v>
      </c>
      <c r="C268" s="44" t="s">
        <v>163</v>
      </c>
      <c r="D268" s="44" t="s">
        <v>104</v>
      </c>
      <c r="E268" s="44"/>
      <c r="F268" s="44" t="s">
        <v>555</v>
      </c>
      <c r="G268" s="44" t="s">
        <v>850</v>
      </c>
    </row>
    <row r="269" spans="1:7" ht="14.4" thickTop="1" thickBot="1" x14ac:dyDescent="0.3">
      <c r="A269" s="45">
        <v>43427</v>
      </c>
      <c r="B269" s="44" t="s">
        <v>153</v>
      </c>
      <c r="C269" s="44" t="s">
        <v>163</v>
      </c>
      <c r="D269" s="44" t="s">
        <v>104</v>
      </c>
      <c r="E269" s="44"/>
      <c r="F269" s="44" t="s">
        <v>555</v>
      </c>
      <c r="G269" s="44" t="s">
        <v>851</v>
      </c>
    </row>
    <row r="270" spans="1:7" ht="14.4" thickTop="1" thickBot="1" x14ac:dyDescent="0.3">
      <c r="A270" s="45">
        <v>43430</v>
      </c>
      <c r="B270" s="44" t="s">
        <v>156</v>
      </c>
      <c r="C270" s="44" t="s">
        <v>164</v>
      </c>
      <c r="D270" s="44" t="s">
        <v>104</v>
      </c>
      <c r="E270" s="44"/>
      <c r="F270" s="44" t="s">
        <v>555</v>
      </c>
      <c r="G270" s="44" t="s">
        <v>852</v>
      </c>
    </row>
    <row r="271" spans="1:7" ht="14.4" thickTop="1" thickBot="1" x14ac:dyDescent="0.3">
      <c r="A271" s="45">
        <v>43431</v>
      </c>
      <c r="B271" s="44" t="s">
        <v>71</v>
      </c>
      <c r="C271" s="44" t="s">
        <v>164</v>
      </c>
      <c r="D271" s="44" t="s">
        <v>104</v>
      </c>
      <c r="E271" s="44"/>
      <c r="F271" s="44" t="s">
        <v>555</v>
      </c>
      <c r="G271" s="44" t="s">
        <v>853</v>
      </c>
    </row>
    <row r="272" spans="1:7" ht="14.4" thickTop="1" thickBot="1" x14ac:dyDescent="0.3">
      <c r="A272" s="45">
        <v>43432</v>
      </c>
      <c r="B272" s="44" t="s">
        <v>77</v>
      </c>
      <c r="C272" s="44" t="s">
        <v>164</v>
      </c>
      <c r="D272" s="44" t="s">
        <v>104</v>
      </c>
      <c r="E272" s="44"/>
      <c r="F272" s="44" t="s">
        <v>555</v>
      </c>
      <c r="G272" s="44" t="s">
        <v>854</v>
      </c>
    </row>
    <row r="273" spans="1:7" ht="14.4" thickTop="1" thickBot="1" x14ac:dyDescent="0.3">
      <c r="A273" s="45">
        <v>43433</v>
      </c>
      <c r="B273" s="44" t="s">
        <v>83</v>
      </c>
      <c r="C273" s="44" t="s">
        <v>164</v>
      </c>
      <c r="D273" s="44" t="s">
        <v>104</v>
      </c>
      <c r="E273" s="44"/>
      <c r="F273" s="44" t="s">
        <v>555</v>
      </c>
      <c r="G273" s="44" t="s">
        <v>855</v>
      </c>
    </row>
    <row r="274" spans="1:7" ht="14.4" thickTop="1" thickBot="1" x14ac:dyDescent="0.3">
      <c r="A274" s="45">
        <v>43434</v>
      </c>
      <c r="B274" s="44" t="s">
        <v>141</v>
      </c>
      <c r="C274" s="44" t="s">
        <v>164</v>
      </c>
      <c r="D274" s="44" t="s">
        <v>104</v>
      </c>
      <c r="E274" s="44"/>
      <c r="F274" s="44" t="s">
        <v>555</v>
      </c>
      <c r="G274" s="44" t="s">
        <v>856</v>
      </c>
    </row>
    <row r="275" spans="1:7" ht="14.4" thickTop="1" thickBot="1" x14ac:dyDescent="0.3">
      <c r="A275" s="65" t="s">
        <v>767</v>
      </c>
      <c r="B275" s="65"/>
      <c r="C275" s="65"/>
      <c r="D275" s="65"/>
      <c r="E275" s="65"/>
      <c r="F275" s="65"/>
      <c r="G275" s="65"/>
    </row>
    <row r="276" spans="1:7" ht="14.4" thickTop="1" thickBot="1" x14ac:dyDescent="0.3">
      <c r="A276" s="65" t="s">
        <v>624</v>
      </c>
      <c r="B276" s="65"/>
      <c r="C276" s="65"/>
      <c r="D276" s="65"/>
      <c r="E276" s="65"/>
      <c r="F276" s="65"/>
      <c r="G276" s="65"/>
    </row>
    <row r="277" spans="1:7" ht="14.4" thickTop="1" thickBot="1" x14ac:dyDescent="0.3">
      <c r="A277" s="43" t="s">
        <v>515</v>
      </c>
      <c r="B277" s="43" t="s">
        <v>522</v>
      </c>
      <c r="C277" s="43" t="s">
        <v>528</v>
      </c>
      <c r="D277" s="44" t="s">
        <v>517</v>
      </c>
      <c r="E277" s="43" t="s">
        <v>533</v>
      </c>
      <c r="F277" s="43" t="s">
        <v>537</v>
      </c>
      <c r="G277" s="44" t="s">
        <v>514</v>
      </c>
    </row>
    <row r="278" spans="1:7" ht="14.4" thickTop="1" thickBot="1" x14ac:dyDescent="0.3">
      <c r="A278" s="45">
        <v>43437</v>
      </c>
      <c r="B278" s="44" t="s">
        <v>141</v>
      </c>
      <c r="C278" s="44" t="s">
        <v>165</v>
      </c>
      <c r="D278" s="44" t="s">
        <v>104</v>
      </c>
      <c r="E278" s="44"/>
      <c r="F278" s="44" t="s">
        <v>556</v>
      </c>
      <c r="G278" s="44" t="s">
        <v>857</v>
      </c>
    </row>
    <row r="279" spans="1:7" ht="14.4" thickTop="1" thickBot="1" x14ac:dyDescent="0.3">
      <c r="A279" s="45">
        <v>43438</v>
      </c>
      <c r="B279" s="44" t="s">
        <v>93</v>
      </c>
      <c r="C279" s="44" t="s">
        <v>165</v>
      </c>
      <c r="D279" s="44" t="s">
        <v>104</v>
      </c>
      <c r="E279" s="44"/>
      <c r="F279" s="44" t="s">
        <v>556</v>
      </c>
      <c r="G279" s="44" t="s">
        <v>860</v>
      </c>
    </row>
    <row r="280" spans="1:7" ht="14.4" thickTop="1" thickBot="1" x14ac:dyDescent="0.3">
      <c r="A280" s="45">
        <v>43439</v>
      </c>
      <c r="B280" s="44" t="s">
        <v>144</v>
      </c>
      <c r="C280" s="44" t="s">
        <v>165</v>
      </c>
      <c r="D280" s="44" t="s">
        <v>104</v>
      </c>
      <c r="E280" s="44"/>
      <c r="F280" s="44" t="s">
        <v>556</v>
      </c>
      <c r="G280" s="44" t="s">
        <v>861</v>
      </c>
    </row>
    <row r="281" spans="1:7" ht="14.4" thickTop="1" thickBot="1" x14ac:dyDescent="0.3">
      <c r="A281" s="45">
        <v>43440</v>
      </c>
      <c r="B281" s="44" t="s">
        <v>150</v>
      </c>
      <c r="C281" s="44" t="s">
        <v>165</v>
      </c>
      <c r="D281" s="44" t="s">
        <v>104</v>
      </c>
      <c r="E281" s="44"/>
      <c r="F281" s="44" t="s">
        <v>556</v>
      </c>
      <c r="G281" s="44" t="s">
        <v>859</v>
      </c>
    </row>
    <row r="282" spans="1:7" ht="14.4" thickTop="1" thickBot="1" x14ac:dyDescent="0.3">
      <c r="A282" s="45">
        <v>43441</v>
      </c>
      <c r="B282" s="44" t="s">
        <v>15</v>
      </c>
      <c r="C282" s="44" t="s">
        <v>165</v>
      </c>
      <c r="D282" s="44" t="s">
        <v>104</v>
      </c>
      <c r="E282" s="44"/>
      <c r="F282" s="44" t="s">
        <v>556</v>
      </c>
      <c r="G282" s="44" t="s">
        <v>862</v>
      </c>
    </row>
    <row r="283" spans="1:7" ht="14.4" thickTop="1" thickBot="1" x14ac:dyDescent="0.3">
      <c r="A283" s="45">
        <v>43444</v>
      </c>
      <c r="B283" s="44" t="s">
        <v>123</v>
      </c>
      <c r="C283" s="44" t="s">
        <v>166</v>
      </c>
      <c r="D283" s="44" t="s">
        <v>104</v>
      </c>
      <c r="E283" s="44"/>
      <c r="F283" s="44" t="s">
        <v>556</v>
      </c>
      <c r="G283" s="44" t="s">
        <v>863</v>
      </c>
    </row>
    <row r="284" spans="1:7" ht="14.4" thickTop="1" thickBot="1" x14ac:dyDescent="0.3">
      <c r="A284" s="45">
        <v>43445</v>
      </c>
      <c r="B284" s="44" t="s">
        <v>129</v>
      </c>
      <c r="C284" s="44" t="s">
        <v>166</v>
      </c>
      <c r="D284" s="44" t="s">
        <v>104</v>
      </c>
      <c r="E284" s="44"/>
      <c r="F284" s="44" t="s">
        <v>556</v>
      </c>
      <c r="G284" s="44" t="s">
        <v>864</v>
      </c>
    </row>
    <row r="285" spans="1:7" ht="14.4" thickTop="1" thickBot="1" x14ac:dyDescent="0.3">
      <c r="A285" s="45">
        <v>43446</v>
      </c>
      <c r="B285" s="44" t="s">
        <v>132</v>
      </c>
      <c r="C285" s="44" t="s">
        <v>166</v>
      </c>
      <c r="D285" s="44" t="s">
        <v>104</v>
      </c>
      <c r="E285" s="44"/>
      <c r="F285" s="44" t="s">
        <v>556</v>
      </c>
      <c r="G285" s="44" t="s">
        <v>865</v>
      </c>
    </row>
    <row r="286" spans="1:7" ht="14.4" thickTop="1" thickBot="1" x14ac:dyDescent="0.3">
      <c r="A286" s="45">
        <v>43447</v>
      </c>
      <c r="B286" s="44" t="s">
        <v>135</v>
      </c>
      <c r="C286" s="44" t="s">
        <v>166</v>
      </c>
      <c r="D286" s="44" t="s">
        <v>104</v>
      </c>
      <c r="E286" s="44"/>
      <c r="F286" s="44" t="s">
        <v>556</v>
      </c>
      <c r="G286" s="44" t="s">
        <v>866</v>
      </c>
    </row>
    <row r="287" spans="1:7" ht="14.4" thickTop="1" thickBot="1" x14ac:dyDescent="0.3">
      <c r="A287" s="45">
        <v>43448</v>
      </c>
      <c r="B287" s="44" t="s">
        <v>138</v>
      </c>
      <c r="C287" s="44" t="s">
        <v>166</v>
      </c>
      <c r="D287" s="44" t="s">
        <v>104</v>
      </c>
      <c r="E287" s="44"/>
      <c r="F287" s="44" t="s">
        <v>556</v>
      </c>
      <c r="G287" s="44" t="s">
        <v>867</v>
      </c>
    </row>
    <row r="288" spans="1:7" ht="14.4" thickTop="1" thickBot="1" x14ac:dyDescent="0.3">
      <c r="A288" s="45">
        <v>43451</v>
      </c>
      <c r="B288" s="44" t="s">
        <v>42</v>
      </c>
      <c r="C288" s="44" t="s">
        <v>161</v>
      </c>
      <c r="D288" s="44" t="s">
        <v>104</v>
      </c>
      <c r="E288" s="44"/>
      <c r="F288" s="44" t="s">
        <v>556</v>
      </c>
      <c r="G288" s="44" t="s">
        <v>868</v>
      </c>
    </row>
    <row r="289" spans="1:7" ht="14.4" thickTop="1" thickBot="1" x14ac:dyDescent="0.3">
      <c r="A289" s="45">
        <v>43452</v>
      </c>
      <c r="B289" s="44" t="s">
        <v>59</v>
      </c>
      <c r="C289" s="44" t="s">
        <v>161</v>
      </c>
      <c r="D289" s="44" t="s">
        <v>104</v>
      </c>
      <c r="E289" s="44"/>
      <c r="F289" s="44" t="s">
        <v>556</v>
      </c>
      <c r="G289" s="44" t="s">
        <v>869</v>
      </c>
    </row>
    <row r="290" spans="1:7" ht="14.4" thickTop="1" thickBot="1" x14ac:dyDescent="0.3">
      <c r="A290" s="45">
        <v>43453</v>
      </c>
      <c r="B290" s="44" t="s">
        <v>59</v>
      </c>
      <c r="C290" s="44" t="s">
        <v>161</v>
      </c>
      <c r="D290" s="44" t="s">
        <v>104</v>
      </c>
      <c r="E290" s="44"/>
      <c r="F290" s="44" t="s">
        <v>556</v>
      </c>
      <c r="G290" s="44" t="s">
        <v>870</v>
      </c>
    </row>
    <row r="291" spans="1:7" ht="14.4" thickTop="1" thickBot="1" x14ac:dyDescent="0.3">
      <c r="A291" s="45">
        <v>43454</v>
      </c>
      <c r="B291" s="44" t="s">
        <v>153</v>
      </c>
      <c r="C291" s="44" t="s">
        <v>161</v>
      </c>
      <c r="D291" s="44" t="s">
        <v>104</v>
      </c>
      <c r="E291" s="44"/>
      <c r="F291" s="44" t="s">
        <v>556</v>
      </c>
      <c r="G291" s="44" t="s">
        <v>871</v>
      </c>
    </row>
    <row r="292" spans="1:7" ht="14.4" thickTop="1" thickBot="1" x14ac:dyDescent="0.3">
      <c r="A292" s="45">
        <v>43455</v>
      </c>
      <c r="B292" s="44" t="s">
        <v>156</v>
      </c>
      <c r="C292" s="44" t="s">
        <v>161</v>
      </c>
      <c r="D292" s="44" t="s">
        <v>104</v>
      </c>
      <c r="E292" s="44"/>
      <c r="F292" s="44" t="s">
        <v>556</v>
      </c>
      <c r="G292" s="44" t="s">
        <v>872</v>
      </c>
    </row>
    <row r="293" spans="1:7" ht="14.4" thickTop="1" thickBot="1" x14ac:dyDescent="0.3">
      <c r="A293" s="45">
        <v>43458</v>
      </c>
      <c r="B293" s="44" t="s">
        <v>71</v>
      </c>
      <c r="C293" s="44" t="s">
        <v>163</v>
      </c>
      <c r="D293" s="44" t="s">
        <v>104</v>
      </c>
      <c r="E293" s="44"/>
      <c r="F293" s="44" t="s">
        <v>556</v>
      </c>
      <c r="G293" s="44" t="s">
        <v>873</v>
      </c>
    </row>
    <row r="294" spans="1:7" ht="14.4" thickTop="1" thickBot="1" x14ac:dyDescent="0.3">
      <c r="A294" s="45">
        <v>43459</v>
      </c>
      <c r="B294" s="44" t="s">
        <v>77</v>
      </c>
      <c r="C294" s="44" t="s">
        <v>163</v>
      </c>
      <c r="D294" s="44" t="s">
        <v>104</v>
      </c>
      <c r="E294" s="44" t="s">
        <v>61</v>
      </c>
      <c r="F294" s="44" t="s">
        <v>556</v>
      </c>
      <c r="G294" s="44" t="s">
        <v>874</v>
      </c>
    </row>
    <row r="295" spans="1:7" ht="14.4" thickTop="1" thickBot="1" x14ac:dyDescent="0.3">
      <c r="A295" s="45">
        <v>43460</v>
      </c>
      <c r="B295" s="44" t="s">
        <v>83</v>
      </c>
      <c r="C295" s="44" t="s">
        <v>163</v>
      </c>
      <c r="D295" s="44" t="s">
        <v>104</v>
      </c>
      <c r="E295" s="44"/>
      <c r="F295" s="44" t="s">
        <v>556</v>
      </c>
      <c r="G295" s="44" t="s">
        <v>875</v>
      </c>
    </row>
    <row r="296" spans="1:7" ht="14.4" thickTop="1" thickBot="1" x14ac:dyDescent="0.3">
      <c r="A296" s="45">
        <v>43461</v>
      </c>
      <c r="B296" s="44" t="s">
        <v>141</v>
      </c>
      <c r="C296" s="44" t="s">
        <v>163</v>
      </c>
      <c r="D296" s="44" t="s">
        <v>104</v>
      </c>
      <c r="E296" s="44"/>
      <c r="F296" s="44" t="s">
        <v>556</v>
      </c>
      <c r="G296" s="44" t="s">
        <v>876</v>
      </c>
    </row>
    <row r="297" spans="1:7" ht="14.4" thickTop="1" thickBot="1" x14ac:dyDescent="0.3">
      <c r="A297" s="45">
        <v>43462</v>
      </c>
      <c r="B297" s="44" t="s">
        <v>141</v>
      </c>
      <c r="C297" s="44" t="s">
        <v>163</v>
      </c>
      <c r="D297" s="44" t="s">
        <v>104</v>
      </c>
      <c r="E297" s="44"/>
      <c r="F297" s="44" t="s">
        <v>556</v>
      </c>
      <c r="G297" s="44" t="s">
        <v>877</v>
      </c>
    </row>
    <row r="298" spans="1:7" ht="14.4" thickTop="1" thickBot="1" x14ac:dyDescent="0.3">
      <c r="A298" s="45">
        <v>43465</v>
      </c>
      <c r="B298" s="44" t="s">
        <v>93</v>
      </c>
      <c r="C298" s="44" t="s">
        <v>164</v>
      </c>
      <c r="D298" s="44" t="s">
        <v>104</v>
      </c>
      <c r="E298" s="44"/>
      <c r="F298" s="44" t="s">
        <v>556</v>
      </c>
      <c r="G298" s="44" t="s">
        <v>878</v>
      </c>
    </row>
    <row r="299" spans="1:7" ht="14.4" thickTop="1" thickBot="1" x14ac:dyDescent="0.3">
      <c r="A299" s="65" t="s">
        <v>879</v>
      </c>
      <c r="B299" s="65"/>
      <c r="C299" s="65"/>
      <c r="D299" s="65"/>
      <c r="E299" s="65"/>
      <c r="F299" s="65"/>
      <c r="G299" s="65"/>
    </row>
    <row r="300" spans="1:7" ht="13.8" thickTop="1" x14ac:dyDescent="0.25"/>
  </sheetData>
  <mergeCells count="24">
    <mergeCell ref="A1:G1"/>
    <mergeCell ref="A26:G26"/>
    <mergeCell ref="A27:G27"/>
    <mergeCell ref="A50:G50"/>
    <mergeCell ref="A51:G51"/>
    <mergeCell ref="A75:G75"/>
    <mergeCell ref="A76:G76"/>
    <mergeCell ref="A100:G100"/>
    <mergeCell ref="A101:G101"/>
    <mergeCell ref="A126:G126"/>
    <mergeCell ref="A127:G127"/>
    <mergeCell ref="A150:G150"/>
    <mergeCell ref="A151:G151"/>
    <mergeCell ref="A175:G175"/>
    <mergeCell ref="A176:G176"/>
    <mergeCell ref="A251:G251"/>
    <mergeCell ref="A275:G275"/>
    <mergeCell ref="A276:G276"/>
    <mergeCell ref="A299:G299"/>
    <mergeCell ref="A201:G201"/>
    <mergeCell ref="A202:G202"/>
    <mergeCell ref="A224:G224"/>
    <mergeCell ref="A225:G225"/>
    <mergeCell ref="A250:G250"/>
  </mergeCells>
  <printOptions verticalCentered="1" gridLines="1"/>
  <pageMargins left="0" right="0" top="0" bottom="0" header="0" footer="0"/>
  <pageSetup paperSize="9" orientation="landscape" r:id="rId1"/>
  <headerFooter>
    <oddFooter>&amp;C&amp;P/&amp;N</oddFooter>
  </headerFooter>
  <rowBreaks count="11" manualBreakCount="11">
    <brk id="26" max="16383" man="1"/>
    <brk id="50" max="16383" man="1"/>
    <brk id="75" max="16383" man="1"/>
    <brk id="100" max="16383" man="1"/>
    <brk id="126" max="16383" man="1"/>
    <brk id="150" max="16383" man="1"/>
    <brk id="175" max="16383" man="1"/>
    <brk id="201" max="16383" man="1"/>
    <brk id="224" max="16383" man="1"/>
    <brk id="250" max="16383" man="1"/>
    <brk id="27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enusJournaliers"/>
  <dimension ref="A1:H404"/>
  <sheetViews>
    <sheetView workbookViewId="0">
      <selection sqref="A1:H1"/>
    </sheetView>
  </sheetViews>
  <sheetFormatPr baseColWidth="10" defaultColWidth="11.07421875" defaultRowHeight="8.4" x14ac:dyDescent="0.15"/>
  <cols>
    <col min="1" max="1" width="13.921875" style="48" bestFit="1" customWidth="1"/>
    <col min="2" max="2" width="14.53515625" style="48" bestFit="1" customWidth="1"/>
    <col min="3" max="3" width="6.61328125" style="48" bestFit="1" customWidth="1"/>
    <col min="4" max="4" width="11.69140625" style="48" bestFit="1" customWidth="1"/>
    <col min="5" max="5" width="13.84375" style="48" bestFit="1" customWidth="1"/>
    <col min="6" max="6" width="14.53515625" style="48" bestFit="1" customWidth="1"/>
    <col min="7" max="7" width="14.15234375" style="48" bestFit="1" customWidth="1"/>
    <col min="8" max="8" width="8.4609375" style="48" bestFit="1" customWidth="1"/>
    <col min="9" max="16384" width="11.07421875" style="48"/>
  </cols>
  <sheetData>
    <row r="1" spans="1:8" ht="10.5" thickTop="1" thickBot="1" x14ac:dyDescent="0.2">
      <c r="A1" s="66" t="s">
        <v>596</v>
      </c>
      <c r="B1" s="66"/>
      <c r="C1" s="66"/>
      <c r="D1" s="66"/>
      <c r="E1" s="66"/>
      <c r="F1" s="66"/>
      <c r="G1" s="66"/>
      <c r="H1" s="66"/>
    </row>
    <row r="2" spans="1:8" ht="10.5" thickTop="1" thickBot="1" x14ac:dyDescent="0.2">
      <c r="A2" s="49"/>
      <c r="B2" s="49"/>
      <c r="C2" s="49"/>
      <c r="D2" s="49"/>
      <c r="E2" s="49"/>
      <c r="F2" s="49"/>
      <c r="G2" s="49"/>
      <c r="H2" s="49"/>
    </row>
    <row r="3" spans="1:8" ht="9.6" thickTop="1" thickBot="1" x14ac:dyDescent="0.2">
      <c r="A3" s="50" t="s">
        <v>515</v>
      </c>
      <c r="B3" s="50" t="s">
        <v>522</v>
      </c>
      <c r="C3" s="50" t="s">
        <v>6</v>
      </c>
      <c r="D3" s="50" t="s">
        <v>528</v>
      </c>
      <c r="E3" s="50" t="s">
        <v>517</v>
      </c>
      <c r="F3" s="50" t="s">
        <v>533</v>
      </c>
      <c r="G3" s="50" t="s">
        <v>537</v>
      </c>
      <c r="H3" s="49" t="s">
        <v>514</v>
      </c>
    </row>
    <row r="4" spans="1:8" ht="10.5" thickTop="1" thickBot="1" x14ac:dyDescent="0.2">
      <c r="A4" s="51">
        <v>43101</v>
      </c>
      <c r="B4" s="49" t="s">
        <v>36</v>
      </c>
      <c r="C4" s="49"/>
      <c r="D4" s="49" t="s">
        <v>117</v>
      </c>
      <c r="E4" s="49" t="s">
        <v>104</v>
      </c>
      <c r="F4" s="49" t="s">
        <v>44</v>
      </c>
      <c r="G4" s="49" t="s">
        <v>557</v>
      </c>
      <c r="H4" s="49" t="s">
        <v>880</v>
      </c>
    </row>
    <row r="5" spans="1:8" ht="10.5" thickTop="1" thickBot="1" x14ac:dyDescent="0.2">
      <c r="A5" s="51">
        <v>43102</v>
      </c>
      <c r="B5" s="49" t="s">
        <v>36</v>
      </c>
      <c r="C5" s="49"/>
      <c r="D5" s="49" t="s">
        <v>124</v>
      </c>
      <c r="E5" s="49" t="s">
        <v>104</v>
      </c>
      <c r="F5" s="49"/>
      <c r="G5" s="49" t="s">
        <v>557</v>
      </c>
      <c r="H5" s="49" t="s">
        <v>881</v>
      </c>
    </row>
    <row r="6" spans="1:8" ht="9.6" thickTop="1" thickBot="1" x14ac:dyDescent="0.2">
      <c r="A6" s="51">
        <v>43103</v>
      </c>
      <c r="B6" s="49" t="s">
        <v>97</v>
      </c>
      <c r="C6" s="49"/>
      <c r="D6" s="49" t="s">
        <v>117</v>
      </c>
      <c r="E6" s="49" t="s">
        <v>104</v>
      </c>
      <c r="F6" s="49"/>
      <c r="G6" s="49" t="s">
        <v>557</v>
      </c>
      <c r="H6" s="49" t="s">
        <v>882</v>
      </c>
    </row>
    <row r="7" spans="1:8" ht="9.6" thickTop="1" thickBot="1" x14ac:dyDescent="0.2">
      <c r="A7" s="51">
        <v>43104</v>
      </c>
      <c r="B7" s="49" t="s">
        <v>97</v>
      </c>
      <c r="C7" s="49"/>
      <c r="D7" s="49" t="s">
        <v>124</v>
      </c>
      <c r="E7" s="49" t="s">
        <v>104</v>
      </c>
      <c r="F7" s="49"/>
      <c r="G7" s="49" t="s">
        <v>557</v>
      </c>
      <c r="H7" s="49" t="s">
        <v>883</v>
      </c>
    </row>
    <row r="8" spans="1:8" ht="10.5" thickTop="1" thickBot="1" x14ac:dyDescent="0.2">
      <c r="A8" s="51">
        <v>43105</v>
      </c>
      <c r="B8" s="49" t="s">
        <v>138</v>
      </c>
      <c r="C8" s="49"/>
      <c r="D8" s="49" t="s">
        <v>120</v>
      </c>
      <c r="E8" s="49" t="s">
        <v>104</v>
      </c>
      <c r="F8" s="49"/>
      <c r="G8" s="49" t="s">
        <v>557</v>
      </c>
      <c r="H8" s="49" t="s">
        <v>884</v>
      </c>
    </row>
    <row r="9" spans="1:8" ht="9.6" thickTop="1" thickBot="1" x14ac:dyDescent="0.2">
      <c r="A9" s="51">
        <v>43106</v>
      </c>
      <c r="B9" s="49" t="s">
        <v>158</v>
      </c>
      <c r="C9" s="49"/>
      <c r="D9" s="49" t="s">
        <v>124</v>
      </c>
      <c r="E9" s="49" t="s">
        <v>41</v>
      </c>
      <c r="F9" s="49"/>
      <c r="G9" s="49" t="s">
        <v>557</v>
      </c>
      <c r="H9" s="49" t="s">
        <v>885</v>
      </c>
    </row>
    <row r="10" spans="1:8" ht="9.6" thickTop="1" thickBot="1" x14ac:dyDescent="0.2">
      <c r="A10" s="51">
        <v>43107</v>
      </c>
      <c r="B10" s="49" t="s">
        <v>162</v>
      </c>
      <c r="C10" s="49" t="s">
        <v>15</v>
      </c>
      <c r="D10" s="49" t="s">
        <v>120</v>
      </c>
      <c r="E10" s="49" t="s">
        <v>41</v>
      </c>
      <c r="F10" s="49"/>
      <c r="G10" s="49" t="s">
        <v>557</v>
      </c>
      <c r="H10" s="49" t="s">
        <v>886</v>
      </c>
    </row>
    <row r="11" spans="1:8" ht="10.5" thickTop="1" thickBot="1" x14ac:dyDescent="0.2">
      <c r="A11" s="51">
        <v>43108</v>
      </c>
      <c r="B11" s="49" t="s">
        <v>42</v>
      </c>
      <c r="C11" s="49"/>
      <c r="D11" s="49" t="s">
        <v>124</v>
      </c>
      <c r="E11" s="49" t="s">
        <v>104</v>
      </c>
      <c r="F11" s="49"/>
      <c r="G11" s="49" t="s">
        <v>557</v>
      </c>
      <c r="H11" s="49" t="s">
        <v>887</v>
      </c>
    </row>
    <row r="12" spans="1:8" ht="9.6" thickTop="1" thickBot="1" x14ac:dyDescent="0.2">
      <c r="A12" s="51">
        <v>43109</v>
      </c>
      <c r="B12" s="49" t="s">
        <v>42</v>
      </c>
      <c r="C12" s="49"/>
      <c r="D12" s="49" t="s">
        <v>127</v>
      </c>
      <c r="E12" s="49" t="s">
        <v>104</v>
      </c>
      <c r="F12" s="49"/>
      <c r="G12" s="49" t="s">
        <v>557</v>
      </c>
      <c r="H12" s="49" t="s">
        <v>888</v>
      </c>
    </row>
    <row r="13" spans="1:8" ht="10.5" thickTop="1" thickBot="1" x14ac:dyDescent="0.2">
      <c r="A13" s="51">
        <v>43110</v>
      </c>
      <c r="B13" s="49" t="s">
        <v>101</v>
      </c>
      <c r="C13" s="49"/>
      <c r="D13" s="49" t="s">
        <v>124</v>
      </c>
      <c r="E13" s="49" t="s">
        <v>104</v>
      </c>
      <c r="F13" s="49"/>
      <c r="G13" s="49" t="s">
        <v>557</v>
      </c>
      <c r="H13" s="49" t="s">
        <v>889</v>
      </c>
    </row>
    <row r="14" spans="1:8" ht="9.6" thickTop="1" thickBot="1" x14ac:dyDescent="0.2">
      <c r="A14" s="51">
        <v>43111</v>
      </c>
      <c r="B14" s="49" t="s">
        <v>101</v>
      </c>
      <c r="C14" s="49"/>
      <c r="D14" s="49" t="s">
        <v>127</v>
      </c>
      <c r="E14" s="49" t="s">
        <v>104</v>
      </c>
      <c r="F14" s="49"/>
      <c r="G14" s="49" t="s">
        <v>557</v>
      </c>
      <c r="H14" s="49" t="s">
        <v>890</v>
      </c>
    </row>
    <row r="15" spans="1:8" ht="10.5" thickTop="1" thickBot="1" x14ac:dyDescent="0.2">
      <c r="A15" s="51">
        <v>43112</v>
      </c>
      <c r="B15" s="49" t="s">
        <v>141</v>
      </c>
      <c r="C15" s="49"/>
      <c r="D15" s="49" t="s">
        <v>124</v>
      </c>
      <c r="E15" s="49" t="s">
        <v>104</v>
      </c>
      <c r="F15" s="49"/>
      <c r="G15" s="49" t="s">
        <v>557</v>
      </c>
      <c r="H15" s="49" t="s">
        <v>891</v>
      </c>
    </row>
    <row r="16" spans="1:8" ht="9.6" thickTop="1" thickBot="1" x14ac:dyDescent="0.2">
      <c r="A16" s="51">
        <v>43113</v>
      </c>
      <c r="B16" s="49" t="s">
        <v>153</v>
      </c>
      <c r="C16" s="49"/>
      <c r="D16" s="49" t="s">
        <v>130</v>
      </c>
      <c r="E16" s="49" t="s">
        <v>47</v>
      </c>
      <c r="F16" s="49"/>
      <c r="G16" s="49" t="s">
        <v>557</v>
      </c>
      <c r="H16" s="49" t="s">
        <v>892</v>
      </c>
    </row>
    <row r="17" spans="1:8" ht="9.6" thickTop="1" thickBot="1" x14ac:dyDescent="0.2">
      <c r="A17" s="51">
        <v>43114</v>
      </c>
      <c r="B17" s="49" t="s">
        <v>53</v>
      </c>
      <c r="C17" s="49"/>
      <c r="D17" s="49" t="s">
        <v>124</v>
      </c>
      <c r="E17" s="49" t="s">
        <v>47</v>
      </c>
      <c r="F17" s="49"/>
      <c r="G17" s="49" t="s">
        <v>557</v>
      </c>
      <c r="H17" s="49" t="s">
        <v>893</v>
      </c>
    </row>
    <row r="18" spans="1:8" ht="9.6" thickTop="1" thickBot="1" x14ac:dyDescent="0.2">
      <c r="A18" s="51">
        <v>43115</v>
      </c>
      <c r="B18" s="49" t="s">
        <v>48</v>
      </c>
      <c r="C18" s="49"/>
      <c r="D18" s="49" t="s">
        <v>130</v>
      </c>
      <c r="E18" s="49" t="s">
        <v>104</v>
      </c>
      <c r="F18" s="49"/>
      <c r="G18" s="49" t="s">
        <v>557</v>
      </c>
      <c r="H18" s="49" t="s">
        <v>894</v>
      </c>
    </row>
    <row r="19" spans="1:8" ht="10.5" thickTop="1" thickBot="1" x14ac:dyDescent="0.2">
      <c r="A19" s="51">
        <v>43116</v>
      </c>
      <c r="B19" s="49" t="s">
        <v>48</v>
      </c>
      <c r="C19" s="49"/>
      <c r="D19" s="49" t="s">
        <v>124</v>
      </c>
      <c r="E19" s="49" t="s">
        <v>104</v>
      </c>
      <c r="F19" s="49"/>
      <c r="G19" s="49" t="s">
        <v>557</v>
      </c>
      <c r="H19" s="49" t="s">
        <v>895</v>
      </c>
    </row>
    <row r="20" spans="1:8" ht="10.5" thickTop="1" thickBot="1" x14ac:dyDescent="0.2">
      <c r="A20" s="51">
        <v>43117</v>
      </c>
      <c r="B20" s="49" t="s">
        <v>105</v>
      </c>
      <c r="C20" s="49"/>
      <c r="D20" s="49" t="s">
        <v>133</v>
      </c>
      <c r="E20" s="49" t="s">
        <v>104</v>
      </c>
      <c r="F20" s="49"/>
      <c r="G20" s="49" t="s">
        <v>557</v>
      </c>
      <c r="H20" s="49" t="s">
        <v>896</v>
      </c>
    </row>
    <row r="21" spans="1:8" ht="10.5" thickTop="1" thickBot="1" x14ac:dyDescent="0.2">
      <c r="A21" s="51">
        <v>43118</v>
      </c>
      <c r="B21" s="49" t="s">
        <v>105</v>
      </c>
      <c r="C21" s="49"/>
      <c r="D21" s="49" t="s">
        <v>124</v>
      </c>
      <c r="E21" s="49" t="s">
        <v>104</v>
      </c>
      <c r="F21" s="49"/>
      <c r="G21" s="49" t="s">
        <v>557</v>
      </c>
      <c r="H21" s="49" t="s">
        <v>897</v>
      </c>
    </row>
    <row r="22" spans="1:8" ht="9.6" thickTop="1" thickBot="1" x14ac:dyDescent="0.2">
      <c r="A22" s="51">
        <v>43119</v>
      </c>
      <c r="B22" s="49" t="s">
        <v>144</v>
      </c>
      <c r="C22" s="49"/>
      <c r="D22" s="49" t="s">
        <v>17</v>
      </c>
      <c r="E22" s="49" t="s">
        <v>104</v>
      </c>
      <c r="F22" s="49"/>
      <c r="G22" s="49" t="s">
        <v>557</v>
      </c>
      <c r="H22" s="49" t="s">
        <v>898</v>
      </c>
    </row>
    <row r="23" spans="1:8" ht="9.6" thickTop="1" thickBot="1" x14ac:dyDescent="0.2">
      <c r="A23" s="51">
        <v>43120</v>
      </c>
      <c r="B23" s="49" t="s">
        <v>156</v>
      </c>
      <c r="C23" s="49"/>
      <c r="D23" s="49" t="s">
        <v>124</v>
      </c>
      <c r="E23" s="49" t="s">
        <v>52</v>
      </c>
      <c r="F23" s="49"/>
      <c r="G23" s="49" t="s">
        <v>557</v>
      </c>
      <c r="H23" s="49" t="s">
        <v>899</v>
      </c>
    </row>
    <row r="24" spans="1:8" ht="9.6" thickTop="1" thickBot="1" x14ac:dyDescent="0.2">
      <c r="A24" s="51">
        <v>43121</v>
      </c>
      <c r="B24" s="49" t="s">
        <v>160</v>
      </c>
      <c r="C24" s="49"/>
      <c r="D24" s="49" t="s">
        <v>17</v>
      </c>
      <c r="E24" s="49" t="s">
        <v>52</v>
      </c>
      <c r="F24" s="49"/>
      <c r="G24" s="49" t="s">
        <v>557</v>
      </c>
      <c r="H24" s="49" t="s">
        <v>900</v>
      </c>
    </row>
    <row r="25" spans="1:8" ht="10.5" thickTop="1" thickBot="1" x14ac:dyDescent="0.2">
      <c r="A25" s="51">
        <v>43122</v>
      </c>
      <c r="B25" s="49" t="s">
        <v>53</v>
      </c>
      <c r="C25" s="49"/>
      <c r="D25" s="49" t="s">
        <v>124</v>
      </c>
      <c r="E25" s="49" t="s">
        <v>104</v>
      </c>
      <c r="F25" s="49"/>
      <c r="G25" s="49" t="s">
        <v>557</v>
      </c>
      <c r="H25" s="49" t="s">
        <v>901</v>
      </c>
    </row>
    <row r="26" spans="1:8" ht="9.6" thickTop="1" thickBot="1" x14ac:dyDescent="0.2">
      <c r="A26" s="51">
        <v>43123</v>
      </c>
      <c r="B26" s="49" t="s">
        <v>53</v>
      </c>
      <c r="C26" s="49"/>
      <c r="D26" s="49" t="s">
        <v>24</v>
      </c>
      <c r="E26" s="49" t="s">
        <v>104</v>
      </c>
      <c r="F26" s="49"/>
      <c r="G26" s="49" t="s">
        <v>557</v>
      </c>
      <c r="H26" s="49" t="s">
        <v>902</v>
      </c>
    </row>
    <row r="27" spans="1:8" ht="10.5" thickTop="1" thickBot="1" x14ac:dyDescent="0.2">
      <c r="A27" s="51">
        <v>43124</v>
      </c>
      <c r="B27" s="49" t="s">
        <v>109</v>
      </c>
      <c r="C27" s="49"/>
      <c r="D27" s="49" t="s">
        <v>124</v>
      </c>
      <c r="E27" s="49" t="s">
        <v>104</v>
      </c>
      <c r="F27" s="49"/>
      <c r="G27" s="49" t="s">
        <v>557</v>
      </c>
      <c r="H27" s="49" t="s">
        <v>903</v>
      </c>
    </row>
    <row r="28" spans="1:8" ht="9.6" thickTop="1" thickBot="1" x14ac:dyDescent="0.2">
      <c r="A28" s="51">
        <v>43125</v>
      </c>
      <c r="B28" s="49" t="s">
        <v>109</v>
      </c>
      <c r="C28" s="49"/>
      <c r="D28" s="49" t="s">
        <v>31</v>
      </c>
      <c r="E28" s="49" t="s">
        <v>104</v>
      </c>
      <c r="F28" s="49"/>
      <c r="G28" s="49" t="s">
        <v>557</v>
      </c>
      <c r="H28" s="49" t="s">
        <v>904</v>
      </c>
    </row>
    <row r="29" spans="1:8" ht="10.5" thickTop="1" thickBot="1" x14ac:dyDescent="0.2">
      <c r="A29" s="51">
        <v>43126</v>
      </c>
      <c r="B29" s="49" t="s">
        <v>147</v>
      </c>
      <c r="C29" s="49"/>
      <c r="D29" s="49" t="s">
        <v>124</v>
      </c>
      <c r="E29" s="49" t="s">
        <v>104</v>
      </c>
      <c r="F29" s="49"/>
      <c r="G29" s="49" t="s">
        <v>557</v>
      </c>
      <c r="H29" s="49" t="s">
        <v>905</v>
      </c>
    </row>
    <row r="30" spans="1:8" ht="9.6" thickTop="1" thickBot="1" x14ac:dyDescent="0.2">
      <c r="A30" s="51">
        <v>43127</v>
      </c>
      <c r="B30" s="49" t="s">
        <v>158</v>
      </c>
      <c r="C30" s="49"/>
      <c r="D30" s="49" t="s">
        <v>31</v>
      </c>
      <c r="E30" s="49" t="s">
        <v>58</v>
      </c>
      <c r="F30" s="49"/>
      <c r="G30" s="49" t="s">
        <v>557</v>
      </c>
      <c r="H30" s="49" t="s">
        <v>906</v>
      </c>
    </row>
    <row r="31" spans="1:8" ht="10.5" thickTop="1" thickBot="1" x14ac:dyDescent="0.2">
      <c r="A31" s="51">
        <v>43128</v>
      </c>
      <c r="B31" s="49" t="s">
        <v>162</v>
      </c>
      <c r="C31" s="49" t="s">
        <v>15</v>
      </c>
      <c r="D31" s="49" t="s">
        <v>124</v>
      </c>
      <c r="E31" s="49" t="s">
        <v>58</v>
      </c>
      <c r="F31" s="49"/>
      <c r="G31" s="49" t="s">
        <v>557</v>
      </c>
      <c r="H31" s="49" t="s">
        <v>907</v>
      </c>
    </row>
    <row r="32" spans="1:8" ht="9.6" thickTop="1" thickBot="1" x14ac:dyDescent="0.2">
      <c r="A32" s="51">
        <v>43129</v>
      </c>
      <c r="B32" s="49" t="s">
        <v>59</v>
      </c>
      <c r="C32" s="49"/>
      <c r="D32" s="49" t="s">
        <v>37</v>
      </c>
      <c r="E32" s="49" t="s">
        <v>104</v>
      </c>
      <c r="F32" s="49"/>
      <c r="G32" s="49" t="s">
        <v>557</v>
      </c>
      <c r="H32" s="49" t="s">
        <v>908</v>
      </c>
    </row>
    <row r="33" spans="1:8" ht="9.6" thickTop="1" thickBot="1" x14ac:dyDescent="0.2">
      <c r="A33" s="51">
        <v>43130</v>
      </c>
      <c r="B33" s="49" t="s">
        <v>59</v>
      </c>
      <c r="C33" s="49"/>
      <c r="D33" s="49" t="s">
        <v>124</v>
      </c>
      <c r="E33" s="49" t="s">
        <v>104</v>
      </c>
      <c r="F33" s="49"/>
      <c r="G33" s="49" t="s">
        <v>557</v>
      </c>
      <c r="H33" s="49" t="s">
        <v>909</v>
      </c>
    </row>
    <row r="34" spans="1:8" ht="9.6" thickTop="1" thickBot="1" x14ac:dyDescent="0.2">
      <c r="A34" s="51">
        <v>43131</v>
      </c>
      <c r="B34" s="49" t="s">
        <v>112</v>
      </c>
      <c r="C34" s="49"/>
      <c r="D34" s="49" t="s">
        <v>37</v>
      </c>
      <c r="E34" s="49" t="s">
        <v>104</v>
      </c>
      <c r="F34" s="49"/>
      <c r="G34" s="49" t="s">
        <v>557</v>
      </c>
      <c r="H34" s="49" t="s">
        <v>910</v>
      </c>
    </row>
    <row r="35" spans="1:8" ht="9.6" thickTop="1" thickBot="1" x14ac:dyDescent="0.2">
      <c r="A35" s="66" t="s">
        <v>879</v>
      </c>
      <c r="B35" s="66"/>
      <c r="C35" s="66"/>
      <c r="D35" s="66"/>
      <c r="E35" s="66"/>
      <c r="F35" s="66"/>
      <c r="G35" s="66"/>
      <c r="H35" s="66"/>
    </row>
    <row r="36" spans="1:8" ht="9.6" thickTop="1" thickBot="1" x14ac:dyDescent="0.2">
      <c r="A36" s="66" t="s">
        <v>911</v>
      </c>
      <c r="B36" s="66"/>
      <c r="C36" s="66"/>
      <c r="D36" s="66"/>
      <c r="E36" s="66"/>
      <c r="F36" s="66"/>
      <c r="G36" s="66"/>
      <c r="H36" s="66"/>
    </row>
    <row r="37" spans="1:8" ht="9.6" thickTop="1" thickBot="1" x14ac:dyDescent="0.2">
      <c r="A37" s="50" t="s">
        <v>515</v>
      </c>
      <c r="B37" s="50" t="s">
        <v>522</v>
      </c>
      <c r="C37" s="50" t="s">
        <v>6</v>
      </c>
      <c r="D37" s="50" t="s">
        <v>528</v>
      </c>
      <c r="E37" s="50" t="s">
        <v>517</v>
      </c>
      <c r="F37" s="50" t="s">
        <v>533</v>
      </c>
      <c r="G37" s="50" t="s">
        <v>537</v>
      </c>
      <c r="H37" s="49" t="s">
        <v>514</v>
      </c>
    </row>
    <row r="38" spans="1:8" ht="9.6" thickTop="1" thickBot="1" x14ac:dyDescent="0.2">
      <c r="A38" s="51">
        <v>43132</v>
      </c>
      <c r="B38" s="49" t="s">
        <v>112</v>
      </c>
      <c r="C38" s="49"/>
      <c r="D38" s="49" t="s">
        <v>124</v>
      </c>
      <c r="E38" s="49" t="s">
        <v>104</v>
      </c>
      <c r="F38" s="49"/>
      <c r="G38" s="49" t="s">
        <v>558</v>
      </c>
      <c r="H38" s="49" t="s">
        <v>912</v>
      </c>
    </row>
    <row r="39" spans="1:8" ht="9.6" thickTop="1" thickBot="1" x14ac:dyDescent="0.2">
      <c r="A39" s="51">
        <v>43133</v>
      </c>
      <c r="B39" s="49" t="s">
        <v>150</v>
      </c>
      <c r="C39" s="49"/>
      <c r="D39" s="49" t="s">
        <v>43</v>
      </c>
      <c r="E39" s="49" t="s">
        <v>104</v>
      </c>
      <c r="F39" s="49"/>
      <c r="G39" s="49" t="s">
        <v>558</v>
      </c>
      <c r="H39" s="49" t="s">
        <v>913</v>
      </c>
    </row>
    <row r="40" spans="1:8" ht="9.6" thickTop="1" thickBot="1" x14ac:dyDescent="0.2">
      <c r="A40" s="51">
        <v>43134</v>
      </c>
      <c r="B40" s="49" t="s">
        <v>153</v>
      </c>
      <c r="C40" s="49"/>
      <c r="D40" s="49" t="s">
        <v>124</v>
      </c>
      <c r="E40" s="49" t="s">
        <v>64</v>
      </c>
      <c r="F40" s="49"/>
      <c r="G40" s="49" t="s">
        <v>558</v>
      </c>
      <c r="H40" s="49" t="s">
        <v>914</v>
      </c>
    </row>
    <row r="41" spans="1:8" ht="9.6" thickTop="1" thickBot="1" x14ac:dyDescent="0.2">
      <c r="A41" s="51">
        <v>43135</v>
      </c>
      <c r="B41" s="49" t="s">
        <v>53</v>
      </c>
      <c r="C41" s="49"/>
      <c r="D41" s="49" t="s">
        <v>43</v>
      </c>
      <c r="E41" s="49" t="s">
        <v>64</v>
      </c>
      <c r="F41" s="49"/>
      <c r="G41" s="49" t="s">
        <v>558</v>
      </c>
      <c r="H41" s="49" t="s">
        <v>915</v>
      </c>
    </row>
    <row r="42" spans="1:8" ht="9.6" thickTop="1" thickBot="1" x14ac:dyDescent="0.2">
      <c r="A42" s="51">
        <v>43136</v>
      </c>
      <c r="B42" s="49" t="s">
        <v>65</v>
      </c>
      <c r="C42" s="49"/>
      <c r="D42" s="49" t="s">
        <v>142</v>
      </c>
      <c r="E42" s="49" t="s">
        <v>104</v>
      </c>
      <c r="F42" s="49"/>
      <c r="G42" s="49" t="s">
        <v>558</v>
      </c>
      <c r="H42" s="49" t="s">
        <v>916</v>
      </c>
    </row>
    <row r="43" spans="1:8" ht="9.6" thickTop="1" thickBot="1" x14ac:dyDescent="0.2">
      <c r="A43" s="51">
        <v>43137</v>
      </c>
      <c r="B43" s="49" t="s">
        <v>65</v>
      </c>
      <c r="C43" s="49"/>
      <c r="D43" s="49" t="s">
        <v>142</v>
      </c>
      <c r="E43" s="49" t="s">
        <v>104</v>
      </c>
      <c r="F43" s="49"/>
      <c r="G43" s="49" t="s">
        <v>558</v>
      </c>
      <c r="H43" s="49" t="s">
        <v>917</v>
      </c>
    </row>
    <row r="44" spans="1:8" ht="9.6" thickTop="1" thickBot="1" x14ac:dyDescent="0.2">
      <c r="A44" s="51">
        <v>43138</v>
      </c>
      <c r="B44" s="49" t="s">
        <v>116</v>
      </c>
      <c r="C44" s="49"/>
      <c r="D44" s="49" t="s">
        <v>124</v>
      </c>
      <c r="E44" s="49" t="s">
        <v>104</v>
      </c>
      <c r="F44" s="49"/>
      <c r="G44" s="49" t="s">
        <v>558</v>
      </c>
      <c r="H44" s="49" t="s">
        <v>918</v>
      </c>
    </row>
    <row r="45" spans="1:8" ht="9.6" thickTop="1" thickBot="1" x14ac:dyDescent="0.2">
      <c r="A45" s="51">
        <v>43139</v>
      </c>
      <c r="B45" s="49" t="s">
        <v>116</v>
      </c>
      <c r="C45" s="49"/>
      <c r="D45" s="49" t="s">
        <v>49</v>
      </c>
      <c r="E45" s="49" t="s">
        <v>104</v>
      </c>
      <c r="F45" s="49"/>
      <c r="G45" s="49" t="s">
        <v>558</v>
      </c>
      <c r="H45" s="49" t="s">
        <v>919</v>
      </c>
    </row>
    <row r="46" spans="1:8" ht="9.6" thickTop="1" thickBot="1" x14ac:dyDescent="0.2">
      <c r="A46" s="51">
        <v>43140</v>
      </c>
      <c r="B46" s="49" t="s">
        <v>15</v>
      </c>
      <c r="C46" s="49"/>
      <c r="D46" s="49" t="s">
        <v>124</v>
      </c>
      <c r="E46" s="49" t="s">
        <v>104</v>
      </c>
      <c r="F46" s="49"/>
      <c r="G46" s="49" t="s">
        <v>558</v>
      </c>
      <c r="H46" s="49" t="s">
        <v>920</v>
      </c>
    </row>
    <row r="47" spans="1:8" ht="9.6" thickTop="1" thickBot="1" x14ac:dyDescent="0.2">
      <c r="A47" s="51">
        <v>43141</v>
      </c>
      <c r="B47" s="49" t="s">
        <v>156</v>
      </c>
      <c r="C47" s="49"/>
      <c r="D47" s="49" t="s">
        <v>49</v>
      </c>
      <c r="E47" s="49" t="s">
        <v>70</v>
      </c>
      <c r="F47" s="49"/>
      <c r="G47" s="49" t="s">
        <v>558</v>
      </c>
      <c r="H47" s="49" t="s">
        <v>921</v>
      </c>
    </row>
    <row r="48" spans="1:8" ht="9.6" thickTop="1" thickBot="1" x14ac:dyDescent="0.2">
      <c r="A48" s="51">
        <v>43142</v>
      </c>
      <c r="B48" s="49" t="s">
        <v>160</v>
      </c>
      <c r="C48" s="49"/>
      <c r="D48" s="49" t="s">
        <v>124</v>
      </c>
      <c r="E48" s="49" t="s">
        <v>70</v>
      </c>
      <c r="F48" s="49"/>
      <c r="G48" s="49" t="s">
        <v>558</v>
      </c>
      <c r="H48" s="49" t="s">
        <v>922</v>
      </c>
    </row>
    <row r="49" spans="1:8" ht="9.6" thickTop="1" thickBot="1" x14ac:dyDescent="0.2">
      <c r="A49" s="51">
        <v>43143</v>
      </c>
      <c r="B49" s="49" t="s">
        <v>71</v>
      </c>
      <c r="C49" s="49"/>
      <c r="D49" s="49" t="s">
        <v>54</v>
      </c>
      <c r="E49" s="49" t="s">
        <v>104</v>
      </c>
      <c r="F49" s="49"/>
      <c r="G49" s="49" t="s">
        <v>558</v>
      </c>
      <c r="H49" s="49" t="s">
        <v>923</v>
      </c>
    </row>
    <row r="50" spans="1:8" ht="9.6" thickTop="1" thickBot="1" x14ac:dyDescent="0.2">
      <c r="A50" s="51">
        <v>43144</v>
      </c>
      <c r="B50" s="49" t="s">
        <v>71</v>
      </c>
      <c r="C50" s="49"/>
      <c r="D50" s="49" t="s">
        <v>124</v>
      </c>
      <c r="E50" s="49" t="s">
        <v>104</v>
      </c>
      <c r="F50" s="49"/>
      <c r="G50" s="49" t="s">
        <v>558</v>
      </c>
      <c r="H50" s="49" t="s">
        <v>924</v>
      </c>
    </row>
    <row r="51" spans="1:8" ht="9.6" thickTop="1" thickBot="1" x14ac:dyDescent="0.2">
      <c r="A51" s="51">
        <v>43145</v>
      </c>
      <c r="B51" s="49" t="s">
        <v>97</v>
      </c>
      <c r="C51" s="49"/>
      <c r="D51" s="49" t="s">
        <v>54</v>
      </c>
      <c r="E51" s="49" t="s">
        <v>104</v>
      </c>
      <c r="F51" s="49"/>
      <c r="G51" s="49" t="s">
        <v>558</v>
      </c>
      <c r="H51" s="49" t="s">
        <v>925</v>
      </c>
    </row>
    <row r="52" spans="1:8" ht="9.6" thickTop="1" thickBot="1" x14ac:dyDescent="0.2">
      <c r="A52" s="51">
        <v>43146</v>
      </c>
      <c r="B52" s="49" t="s">
        <v>97</v>
      </c>
      <c r="C52" s="49"/>
      <c r="D52" s="49" t="s">
        <v>124</v>
      </c>
      <c r="E52" s="49" t="s">
        <v>104</v>
      </c>
      <c r="F52" s="49"/>
      <c r="G52" s="49" t="s">
        <v>558</v>
      </c>
      <c r="H52" s="49" t="s">
        <v>926</v>
      </c>
    </row>
    <row r="53" spans="1:8" ht="9.6" thickTop="1" thickBot="1" x14ac:dyDescent="0.2">
      <c r="A53" s="51">
        <v>43147</v>
      </c>
      <c r="B53" s="49" t="s">
        <v>123</v>
      </c>
      <c r="C53" s="49"/>
      <c r="D53" s="49" t="s">
        <v>60</v>
      </c>
      <c r="E53" s="49" t="s">
        <v>104</v>
      </c>
      <c r="F53" s="49"/>
      <c r="G53" s="49" t="s">
        <v>558</v>
      </c>
      <c r="H53" s="49" t="s">
        <v>927</v>
      </c>
    </row>
    <row r="54" spans="1:8" ht="9.6" thickTop="1" thickBot="1" x14ac:dyDescent="0.2">
      <c r="A54" s="51">
        <v>43148</v>
      </c>
      <c r="B54" s="49" t="s">
        <v>158</v>
      </c>
      <c r="C54" s="49"/>
      <c r="D54" s="49" t="s">
        <v>124</v>
      </c>
      <c r="E54" s="49" t="s">
        <v>76</v>
      </c>
      <c r="F54" s="49"/>
      <c r="G54" s="49" t="s">
        <v>558</v>
      </c>
      <c r="H54" s="49" t="s">
        <v>928</v>
      </c>
    </row>
    <row r="55" spans="1:8" ht="9.6" thickTop="1" thickBot="1" x14ac:dyDescent="0.2">
      <c r="A55" s="51">
        <v>43149</v>
      </c>
      <c r="B55" s="49" t="s">
        <v>162</v>
      </c>
      <c r="C55" s="49" t="s">
        <v>15</v>
      </c>
      <c r="D55" s="49" t="s">
        <v>60</v>
      </c>
      <c r="E55" s="49" t="s">
        <v>76</v>
      </c>
      <c r="F55" s="49"/>
      <c r="G55" s="49" t="s">
        <v>558</v>
      </c>
      <c r="H55" s="49" t="s">
        <v>929</v>
      </c>
    </row>
    <row r="56" spans="1:8" ht="9.6" thickTop="1" thickBot="1" x14ac:dyDescent="0.2">
      <c r="A56" s="51">
        <v>43150</v>
      </c>
      <c r="B56" s="49" t="s">
        <v>77</v>
      </c>
      <c r="C56" s="49"/>
      <c r="D56" s="49" t="s">
        <v>124</v>
      </c>
      <c r="E56" s="49" t="s">
        <v>104</v>
      </c>
      <c r="F56" s="49"/>
      <c r="G56" s="49" t="s">
        <v>558</v>
      </c>
      <c r="H56" s="49" t="s">
        <v>930</v>
      </c>
    </row>
    <row r="57" spans="1:8" ht="9.6" thickTop="1" thickBot="1" x14ac:dyDescent="0.2">
      <c r="A57" s="51">
        <v>43151</v>
      </c>
      <c r="B57" s="49" t="s">
        <v>77</v>
      </c>
      <c r="C57" s="49"/>
      <c r="D57" s="49" t="s">
        <v>66</v>
      </c>
      <c r="E57" s="49" t="s">
        <v>104</v>
      </c>
      <c r="F57" s="49"/>
      <c r="G57" s="49" t="s">
        <v>558</v>
      </c>
      <c r="H57" s="49" t="s">
        <v>931</v>
      </c>
    </row>
    <row r="58" spans="1:8" ht="9.6" thickTop="1" thickBot="1" x14ac:dyDescent="0.2">
      <c r="A58" s="51">
        <v>43152</v>
      </c>
      <c r="B58" s="49" t="s">
        <v>101</v>
      </c>
      <c r="C58" s="49"/>
      <c r="D58" s="49" t="s">
        <v>124</v>
      </c>
      <c r="E58" s="49" t="s">
        <v>104</v>
      </c>
      <c r="F58" s="49"/>
      <c r="G58" s="49" t="s">
        <v>558</v>
      </c>
      <c r="H58" s="49" t="s">
        <v>932</v>
      </c>
    </row>
    <row r="59" spans="1:8" ht="9.6" thickTop="1" thickBot="1" x14ac:dyDescent="0.2">
      <c r="A59" s="51">
        <v>43153</v>
      </c>
      <c r="B59" s="49" t="s">
        <v>101</v>
      </c>
      <c r="C59" s="49"/>
      <c r="D59" s="49" t="s">
        <v>66</v>
      </c>
      <c r="E59" s="49" t="s">
        <v>104</v>
      </c>
      <c r="F59" s="49"/>
      <c r="G59" s="49" t="s">
        <v>558</v>
      </c>
      <c r="H59" s="49" t="s">
        <v>933</v>
      </c>
    </row>
    <row r="60" spans="1:8" ht="9.6" thickTop="1" thickBot="1" x14ac:dyDescent="0.2">
      <c r="A60" s="51">
        <v>43154</v>
      </c>
      <c r="B60" s="49" t="s">
        <v>126</v>
      </c>
      <c r="C60" s="49"/>
      <c r="D60" s="49" t="s">
        <v>124</v>
      </c>
      <c r="E60" s="49" t="s">
        <v>104</v>
      </c>
      <c r="F60" s="49"/>
      <c r="G60" s="49" t="s">
        <v>558</v>
      </c>
      <c r="H60" s="49" t="s">
        <v>934</v>
      </c>
    </row>
    <row r="61" spans="1:8" ht="9.6" thickTop="1" thickBot="1" x14ac:dyDescent="0.2">
      <c r="A61" s="51">
        <v>43155</v>
      </c>
      <c r="B61" s="49" t="s">
        <v>153</v>
      </c>
      <c r="C61" s="49"/>
      <c r="D61" s="49" t="s">
        <v>72</v>
      </c>
      <c r="E61" s="49" t="s">
        <v>82</v>
      </c>
      <c r="F61" s="49"/>
      <c r="G61" s="49" t="s">
        <v>558</v>
      </c>
      <c r="H61" s="49" t="s">
        <v>935</v>
      </c>
    </row>
    <row r="62" spans="1:8" ht="9.6" thickTop="1" thickBot="1" x14ac:dyDescent="0.2">
      <c r="A62" s="51">
        <v>43156</v>
      </c>
      <c r="B62" s="49" t="s">
        <v>53</v>
      </c>
      <c r="C62" s="49"/>
      <c r="D62" s="49" t="s">
        <v>124</v>
      </c>
      <c r="E62" s="49" t="s">
        <v>82</v>
      </c>
      <c r="F62" s="49"/>
      <c r="G62" s="49" t="s">
        <v>558</v>
      </c>
      <c r="H62" s="49" t="s">
        <v>936</v>
      </c>
    </row>
    <row r="63" spans="1:8" ht="9.6" thickTop="1" thickBot="1" x14ac:dyDescent="0.2">
      <c r="A63" s="51">
        <v>43157</v>
      </c>
      <c r="B63" s="49" t="s">
        <v>83</v>
      </c>
      <c r="C63" s="49"/>
      <c r="D63" s="49" t="s">
        <v>72</v>
      </c>
      <c r="E63" s="49" t="s">
        <v>104</v>
      </c>
      <c r="F63" s="49"/>
      <c r="G63" s="49" t="s">
        <v>558</v>
      </c>
      <c r="H63" s="49" t="s">
        <v>937</v>
      </c>
    </row>
    <row r="64" spans="1:8" ht="9.6" thickTop="1" thickBot="1" x14ac:dyDescent="0.2">
      <c r="A64" s="51">
        <v>43158</v>
      </c>
      <c r="B64" s="49" t="s">
        <v>83</v>
      </c>
      <c r="C64" s="49"/>
      <c r="D64" s="49" t="s">
        <v>124</v>
      </c>
      <c r="E64" s="49" t="s">
        <v>104</v>
      </c>
      <c r="F64" s="49"/>
      <c r="G64" s="49" t="s">
        <v>558</v>
      </c>
      <c r="H64" s="49" t="s">
        <v>938</v>
      </c>
    </row>
    <row r="65" spans="1:8" ht="9.6" thickTop="1" thickBot="1" x14ac:dyDescent="0.2">
      <c r="A65" s="51">
        <v>43159</v>
      </c>
      <c r="B65" s="49" t="s">
        <v>105</v>
      </c>
      <c r="C65" s="49"/>
      <c r="D65" s="49" t="s">
        <v>78</v>
      </c>
      <c r="E65" s="49" t="s">
        <v>104</v>
      </c>
      <c r="F65" s="49"/>
      <c r="G65" s="49" t="s">
        <v>558</v>
      </c>
      <c r="H65" s="49" t="s">
        <v>939</v>
      </c>
    </row>
    <row r="66" spans="1:8" ht="9.6" thickTop="1" thickBot="1" x14ac:dyDescent="0.2">
      <c r="A66" s="51" t="s">
        <v>538</v>
      </c>
      <c r="B66" s="49"/>
      <c r="C66" s="49"/>
      <c r="D66" s="49"/>
      <c r="E66" s="49"/>
      <c r="F66" s="49"/>
      <c r="G66" s="49"/>
      <c r="H66" s="49"/>
    </row>
    <row r="67" spans="1:8" ht="9.6" thickTop="1" thickBot="1" x14ac:dyDescent="0.2">
      <c r="A67" s="66" t="s">
        <v>879</v>
      </c>
      <c r="B67" s="66"/>
      <c r="C67" s="66"/>
      <c r="D67" s="66"/>
      <c r="E67" s="66"/>
      <c r="F67" s="66"/>
      <c r="G67" s="66"/>
      <c r="H67" s="66"/>
    </row>
    <row r="68" spans="1:8" ht="9.6" thickTop="1" thickBot="1" x14ac:dyDescent="0.2">
      <c r="A68" s="66" t="s">
        <v>941</v>
      </c>
      <c r="B68" s="66"/>
      <c r="C68" s="66"/>
      <c r="D68" s="66"/>
      <c r="E68" s="66"/>
      <c r="F68" s="66"/>
      <c r="G68" s="66"/>
      <c r="H68" s="66"/>
    </row>
    <row r="69" spans="1:8" ht="9.6" thickTop="1" thickBot="1" x14ac:dyDescent="0.2">
      <c r="A69" s="50" t="s">
        <v>515</v>
      </c>
      <c r="B69" s="50" t="s">
        <v>522</v>
      </c>
      <c r="C69" s="50" t="s">
        <v>6</v>
      </c>
      <c r="D69" s="50" t="s">
        <v>528</v>
      </c>
      <c r="E69" s="50" t="s">
        <v>517</v>
      </c>
      <c r="F69" s="50" t="s">
        <v>533</v>
      </c>
      <c r="G69" s="50" t="s">
        <v>537</v>
      </c>
      <c r="H69" s="49" t="s">
        <v>514</v>
      </c>
    </row>
    <row r="70" spans="1:8" ht="9.6" thickTop="1" thickBot="1" x14ac:dyDescent="0.2">
      <c r="A70" s="51">
        <v>43160</v>
      </c>
      <c r="B70" s="49" t="s">
        <v>105</v>
      </c>
      <c r="C70" s="49"/>
      <c r="D70" s="49" t="s">
        <v>124</v>
      </c>
      <c r="E70" s="49" t="s">
        <v>104</v>
      </c>
      <c r="F70" s="49"/>
      <c r="G70" s="49" t="s">
        <v>559</v>
      </c>
      <c r="H70" s="49" t="s">
        <v>940</v>
      </c>
    </row>
    <row r="71" spans="1:8" ht="9.6" thickTop="1" thickBot="1" x14ac:dyDescent="0.2">
      <c r="A71" s="51">
        <v>43161</v>
      </c>
      <c r="B71" s="49" t="s">
        <v>129</v>
      </c>
      <c r="C71" s="49"/>
      <c r="D71" s="49" t="s">
        <v>78</v>
      </c>
      <c r="E71" s="49" t="s">
        <v>104</v>
      </c>
      <c r="F71" s="49"/>
      <c r="G71" s="49" t="s">
        <v>559</v>
      </c>
      <c r="H71" s="49" t="s">
        <v>942</v>
      </c>
    </row>
    <row r="72" spans="1:8" ht="9.6" thickTop="1" thickBot="1" x14ac:dyDescent="0.2">
      <c r="A72" s="51">
        <v>43162</v>
      </c>
      <c r="B72" s="49" t="s">
        <v>156</v>
      </c>
      <c r="C72" s="49"/>
      <c r="D72" s="49" t="s">
        <v>124</v>
      </c>
      <c r="E72" s="49" t="s">
        <v>88</v>
      </c>
      <c r="F72" s="49"/>
      <c r="G72" s="49" t="s">
        <v>559</v>
      </c>
      <c r="H72" s="49" t="s">
        <v>943</v>
      </c>
    </row>
    <row r="73" spans="1:8" ht="9.6" thickTop="1" thickBot="1" x14ac:dyDescent="0.2">
      <c r="A73" s="51">
        <v>43163</v>
      </c>
      <c r="B73" s="49" t="s">
        <v>160</v>
      </c>
      <c r="C73" s="49"/>
      <c r="D73" s="49" t="s">
        <v>84</v>
      </c>
      <c r="E73" s="49" t="s">
        <v>88</v>
      </c>
      <c r="F73" s="49"/>
      <c r="G73" s="49" t="s">
        <v>559</v>
      </c>
      <c r="H73" s="49" t="s">
        <v>944</v>
      </c>
    </row>
    <row r="74" spans="1:8" ht="9.6" thickTop="1" thickBot="1" x14ac:dyDescent="0.2">
      <c r="A74" s="51">
        <v>43164</v>
      </c>
      <c r="B74" s="49" t="s">
        <v>89</v>
      </c>
      <c r="C74" s="49"/>
      <c r="D74" s="49" t="s">
        <v>124</v>
      </c>
      <c r="E74" s="49" t="s">
        <v>104</v>
      </c>
      <c r="F74" s="49"/>
      <c r="G74" s="49" t="s">
        <v>559</v>
      </c>
      <c r="H74" s="49" t="s">
        <v>966</v>
      </c>
    </row>
    <row r="75" spans="1:8" ht="9.6" thickTop="1" thickBot="1" x14ac:dyDescent="0.2">
      <c r="A75" s="51">
        <v>43165</v>
      </c>
      <c r="B75" s="49" t="s">
        <v>89</v>
      </c>
      <c r="C75" s="49"/>
      <c r="D75" s="49" t="s">
        <v>84</v>
      </c>
      <c r="E75" s="49" t="s">
        <v>104</v>
      </c>
      <c r="F75" s="49"/>
      <c r="G75" s="49" t="s">
        <v>559</v>
      </c>
      <c r="H75" s="49" t="s">
        <v>945</v>
      </c>
    </row>
    <row r="76" spans="1:8" ht="9.6" thickTop="1" thickBot="1" x14ac:dyDescent="0.2">
      <c r="A76" s="51">
        <v>43166</v>
      </c>
      <c r="B76" s="49" t="s">
        <v>109</v>
      </c>
      <c r="C76" s="49"/>
      <c r="D76" s="49" t="s">
        <v>124</v>
      </c>
      <c r="E76" s="49" t="s">
        <v>104</v>
      </c>
      <c r="F76" s="49"/>
      <c r="G76" s="49" t="s">
        <v>559</v>
      </c>
      <c r="H76" s="49" t="s">
        <v>946</v>
      </c>
    </row>
    <row r="77" spans="1:8" ht="9.6" thickTop="1" thickBot="1" x14ac:dyDescent="0.2">
      <c r="A77" s="51">
        <v>43167</v>
      </c>
      <c r="B77" s="49" t="s">
        <v>109</v>
      </c>
      <c r="C77" s="49"/>
      <c r="D77" s="49" t="s">
        <v>90</v>
      </c>
      <c r="E77" s="49" t="s">
        <v>104</v>
      </c>
      <c r="F77" s="49"/>
      <c r="G77" s="49" t="s">
        <v>559</v>
      </c>
      <c r="H77" s="49" t="s">
        <v>947</v>
      </c>
    </row>
    <row r="78" spans="1:8" ht="9.6" thickTop="1" thickBot="1" x14ac:dyDescent="0.2">
      <c r="A78" s="51">
        <v>43168</v>
      </c>
      <c r="B78" s="49" t="s">
        <v>132</v>
      </c>
      <c r="C78" s="49"/>
      <c r="D78" s="49" t="s">
        <v>124</v>
      </c>
      <c r="E78" s="49" t="s">
        <v>104</v>
      </c>
      <c r="F78" s="49"/>
      <c r="G78" s="49" t="s">
        <v>559</v>
      </c>
      <c r="H78" s="49" t="s">
        <v>948</v>
      </c>
    </row>
    <row r="79" spans="1:8" ht="9.6" thickTop="1" thickBot="1" x14ac:dyDescent="0.2">
      <c r="A79" s="51">
        <v>43169</v>
      </c>
      <c r="B79" s="49" t="s">
        <v>158</v>
      </c>
      <c r="C79" s="49"/>
      <c r="D79" s="49" t="s">
        <v>90</v>
      </c>
      <c r="E79" s="49" t="s">
        <v>92</v>
      </c>
      <c r="F79" s="49"/>
      <c r="G79" s="49" t="s">
        <v>559</v>
      </c>
      <c r="H79" s="49" t="s">
        <v>949</v>
      </c>
    </row>
    <row r="80" spans="1:8" ht="9.6" thickTop="1" thickBot="1" x14ac:dyDescent="0.2">
      <c r="A80" s="51">
        <v>43170</v>
      </c>
      <c r="B80" s="49" t="s">
        <v>162</v>
      </c>
      <c r="C80" s="49" t="s">
        <v>15</v>
      </c>
      <c r="D80" s="49" t="s">
        <v>124</v>
      </c>
      <c r="E80" s="49" t="s">
        <v>92</v>
      </c>
      <c r="F80" s="49"/>
      <c r="G80" s="49" t="s">
        <v>559</v>
      </c>
      <c r="H80" s="49" t="s">
        <v>950</v>
      </c>
    </row>
    <row r="81" spans="1:8" ht="9.6" thickTop="1" thickBot="1" x14ac:dyDescent="0.2">
      <c r="A81" s="51">
        <v>43171</v>
      </c>
      <c r="B81" s="49" t="s">
        <v>93</v>
      </c>
      <c r="C81" s="49"/>
      <c r="D81" s="49" t="s">
        <v>94</v>
      </c>
      <c r="E81" s="49" t="s">
        <v>104</v>
      </c>
      <c r="F81" s="49"/>
      <c r="G81" s="49" t="s">
        <v>559</v>
      </c>
      <c r="H81" s="49" t="s">
        <v>951</v>
      </c>
    </row>
    <row r="82" spans="1:8" ht="9.6" thickTop="1" thickBot="1" x14ac:dyDescent="0.2">
      <c r="A82" s="51">
        <v>43172</v>
      </c>
      <c r="B82" s="49" t="s">
        <v>93</v>
      </c>
      <c r="C82" s="49"/>
      <c r="D82" s="49" t="s">
        <v>124</v>
      </c>
      <c r="E82" s="49" t="s">
        <v>104</v>
      </c>
      <c r="F82" s="49"/>
      <c r="G82" s="49" t="s">
        <v>559</v>
      </c>
      <c r="H82" s="49" t="s">
        <v>952</v>
      </c>
    </row>
    <row r="83" spans="1:8" ht="9.6" thickTop="1" thickBot="1" x14ac:dyDescent="0.2">
      <c r="A83" s="51">
        <v>43173</v>
      </c>
      <c r="B83" s="49" t="s">
        <v>112</v>
      </c>
      <c r="C83" s="49"/>
      <c r="D83" s="49" t="s">
        <v>94</v>
      </c>
      <c r="E83" s="49" t="s">
        <v>104</v>
      </c>
      <c r="F83" s="49"/>
      <c r="G83" s="49" t="s">
        <v>559</v>
      </c>
      <c r="H83" s="49" t="s">
        <v>953</v>
      </c>
    </row>
    <row r="84" spans="1:8" ht="9.6" thickTop="1" thickBot="1" x14ac:dyDescent="0.2">
      <c r="A84" s="51">
        <v>43174</v>
      </c>
      <c r="B84" s="49" t="s">
        <v>112</v>
      </c>
      <c r="C84" s="49"/>
      <c r="D84" s="49" t="s">
        <v>124</v>
      </c>
      <c r="E84" s="49" t="s">
        <v>104</v>
      </c>
      <c r="F84" s="49"/>
      <c r="G84" s="49" t="s">
        <v>559</v>
      </c>
      <c r="H84" s="49" t="s">
        <v>954</v>
      </c>
    </row>
    <row r="85" spans="1:8" ht="9.6" thickTop="1" thickBot="1" x14ac:dyDescent="0.2">
      <c r="A85" s="51">
        <v>43175</v>
      </c>
      <c r="B85" s="49" t="s">
        <v>135</v>
      </c>
      <c r="C85" s="49"/>
      <c r="D85" s="49" t="s">
        <v>98</v>
      </c>
      <c r="E85" s="49" t="s">
        <v>104</v>
      </c>
      <c r="F85" s="49"/>
      <c r="G85" s="49" t="s">
        <v>559</v>
      </c>
      <c r="H85" s="49" t="s">
        <v>955</v>
      </c>
    </row>
    <row r="86" spans="1:8" ht="9.6" thickTop="1" thickBot="1" x14ac:dyDescent="0.2">
      <c r="A86" s="51">
        <v>43176</v>
      </c>
      <c r="B86" s="49" t="s">
        <v>153</v>
      </c>
      <c r="C86" s="49"/>
      <c r="D86" s="49" t="s">
        <v>124</v>
      </c>
      <c r="E86" s="49" t="s">
        <v>96</v>
      </c>
      <c r="F86" s="49"/>
      <c r="G86" s="49" t="s">
        <v>559</v>
      </c>
      <c r="H86" s="49" t="s">
        <v>956</v>
      </c>
    </row>
    <row r="87" spans="1:8" ht="9.6" thickTop="1" thickBot="1" x14ac:dyDescent="0.2">
      <c r="A87" s="51">
        <v>43177</v>
      </c>
      <c r="B87" s="49" t="s">
        <v>53</v>
      </c>
      <c r="C87" s="49"/>
      <c r="D87" s="49" t="s">
        <v>98</v>
      </c>
      <c r="E87" s="49" t="s">
        <v>96</v>
      </c>
      <c r="F87" s="49"/>
      <c r="G87" s="49" t="s">
        <v>559</v>
      </c>
      <c r="H87" s="49" t="s">
        <v>957</v>
      </c>
    </row>
    <row r="88" spans="1:8" ht="9.6" thickTop="1" thickBot="1" x14ac:dyDescent="0.2">
      <c r="A88" s="51">
        <v>43178</v>
      </c>
      <c r="B88" s="49" t="s">
        <v>16</v>
      </c>
      <c r="C88" s="49"/>
      <c r="D88" s="49" t="s">
        <v>136</v>
      </c>
      <c r="E88" s="49" t="s">
        <v>104</v>
      </c>
      <c r="F88" s="49"/>
      <c r="G88" s="49" t="s">
        <v>559</v>
      </c>
      <c r="H88" s="49" t="s">
        <v>958</v>
      </c>
    </row>
    <row r="89" spans="1:8" ht="9.6" thickTop="1" thickBot="1" x14ac:dyDescent="0.2">
      <c r="A89" s="51">
        <v>43179</v>
      </c>
      <c r="B89" s="49" t="s">
        <v>16</v>
      </c>
      <c r="C89" s="49"/>
      <c r="D89" s="49" t="s">
        <v>136</v>
      </c>
      <c r="E89" s="49" t="s">
        <v>104</v>
      </c>
      <c r="F89" s="49"/>
      <c r="G89" s="49" t="s">
        <v>559</v>
      </c>
      <c r="H89" s="49" t="s">
        <v>959</v>
      </c>
    </row>
    <row r="90" spans="1:8" ht="9.6" thickTop="1" thickBot="1" x14ac:dyDescent="0.2">
      <c r="A90" s="51">
        <v>43180</v>
      </c>
      <c r="B90" s="49" t="s">
        <v>116</v>
      </c>
      <c r="C90" s="49"/>
      <c r="D90" s="49" t="s">
        <v>124</v>
      </c>
      <c r="E90" s="49" t="s">
        <v>104</v>
      </c>
      <c r="F90" s="49"/>
      <c r="G90" s="49" t="s">
        <v>559</v>
      </c>
      <c r="H90" s="49" t="s">
        <v>960</v>
      </c>
    </row>
    <row r="91" spans="1:8" ht="9.6" thickTop="1" thickBot="1" x14ac:dyDescent="0.2">
      <c r="A91" s="51">
        <v>43181</v>
      </c>
      <c r="B91" s="49" t="s">
        <v>116</v>
      </c>
      <c r="C91" s="49"/>
      <c r="D91" s="49" t="s">
        <v>102</v>
      </c>
      <c r="E91" s="49" t="s">
        <v>104</v>
      </c>
      <c r="F91" s="49"/>
      <c r="G91" s="49" t="s">
        <v>559</v>
      </c>
      <c r="H91" s="49" t="s">
        <v>961</v>
      </c>
    </row>
    <row r="92" spans="1:8" ht="9.6" thickTop="1" thickBot="1" x14ac:dyDescent="0.2">
      <c r="A92" s="51">
        <v>43182</v>
      </c>
      <c r="B92" s="49" t="s">
        <v>138</v>
      </c>
      <c r="C92" s="49"/>
      <c r="D92" s="49" t="s">
        <v>124</v>
      </c>
      <c r="E92" s="49" t="s">
        <v>104</v>
      </c>
      <c r="F92" s="49"/>
      <c r="G92" s="49" t="s">
        <v>559</v>
      </c>
      <c r="H92" s="49" t="s">
        <v>962</v>
      </c>
    </row>
    <row r="93" spans="1:8" ht="9.6" thickTop="1" thickBot="1" x14ac:dyDescent="0.2">
      <c r="A93" s="51">
        <v>43183</v>
      </c>
      <c r="B93" s="49" t="s">
        <v>156</v>
      </c>
      <c r="C93" s="49"/>
      <c r="D93" s="49" t="s">
        <v>106</v>
      </c>
      <c r="E93" s="49" t="s">
        <v>100</v>
      </c>
      <c r="F93" s="49"/>
      <c r="G93" s="49" t="s">
        <v>559</v>
      </c>
      <c r="H93" s="49" t="s">
        <v>963</v>
      </c>
    </row>
    <row r="94" spans="1:8" ht="9.6" thickTop="1" thickBot="1" x14ac:dyDescent="0.2">
      <c r="A94" s="51">
        <v>43184</v>
      </c>
      <c r="B94" s="49" t="s">
        <v>160</v>
      </c>
      <c r="C94" s="49"/>
      <c r="D94" s="49" t="s">
        <v>124</v>
      </c>
      <c r="E94" s="49" t="s">
        <v>100</v>
      </c>
      <c r="F94" s="49"/>
      <c r="G94" s="49" t="s">
        <v>559</v>
      </c>
      <c r="H94" s="49" t="s">
        <v>964</v>
      </c>
    </row>
    <row r="95" spans="1:8" ht="8.4" customHeight="1" thickTop="1" thickBot="1" x14ac:dyDescent="0.2">
      <c r="A95" s="51">
        <v>43185</v>
      </c>
      <c r="B95" s="49" t="s">
        <v>23</v>
      </c>
      <c r="C95" s="49"/>
      <c r="D95" s="49" t="s">
        <v>139</v>
      </c>
      <c r="E95" s="49" t="s">
        <v>104</v>
      </c>
      <c r="F95" s="49"/>
      <c r="G95" s="49" t="s">
        <v>559</v>
      </c>
      <c r="H95" s="49" t="s">
        <v>965</v>
      </c>
    </row>
    <row r="96" spans="1:8" ht="9.6" thickTop="1" thickBot="1" x14ac:dyDescent="0.2">
      <c r="A96" s="51">
        <v>43186</v>
      </c>
      <c r="B96" s="49" t="s">
        <v>23</v>
      </c>
      <c r="C96" s="49"/>
      <c r="D96" s="49" t="s">
        <v>139</v>
      </c>
      <c r="E96" s="49" t="s">
        <v>104</v>
      </c>
      <c r="F96" s="49"/>
      <c r="G96" s="49" t="s">
        <v>559</v>
      </c>
      <c r="H96" s="49" t="s">
        <v>968</v>
      </c>
    </row>
    <row r="97" spans="1:8" ht="9.6" thickTop="1" thickBot="1" x14ac:dyDescent="0.2">
      <c r="A97" s="51">
        <v>43187</v>
      </c>
      <c r="B97" s="49" t="s">
        <v>97</v>
      </c>
      <c r="C97" s="49"/>
      <c r="D97" s="49" t="s">
        <v>106</v>
      </c>
      <c r="E97" s="49" t="s">
        <v>104</v>
      </c>
      <c r="F97" s="49"/>
      <c r="G97" s="49" t="s">
        <v>559</v>
      </c>
      <c r="H97" s="49" t="s">
        <v>969</v>
      </c>
    </row>
    <row r="98" spans="1:8" ht="9.6" thickTop="1" thickBot="1" x14ac:dyDescent="0.2">
      <c r="A98" s="51">
        <v>43188</v>
      </c>
      <c r="B98" s="49" t="s">
        <v>97</v>
      </c>
      <c r="C98" s="49"/>
      <c r="D98" s="49" t="s">
        <v>124</v>
      </c>
      <c r="E98" s="49" t="s">
        <v>104</v>
      </c>
      <c r="F98" s="49"/>
      <c r="G98" s="49" t="s">
        <v>559</v>
      </c>
      <c r="H98" s="49" t="s">
        <v>970</v>
      </c>
    </row>
    <row r="99" spans="1:8" ht="9.6" thickTop="1" thickBot="1" x14ac:dyDescent="0.2">
      <c r="A99" s="51">
        <v>43189</v>
      </c>
      <c r="B99" s="49" t="s">
        <v>141</v>
      </c>
      <c r="C99" s="49"/>
      <c r="D99" s="49" t="s">
        <v>110</v>
      </c>
      <c r="E99" s="49" t="s">
        <v>104</v>
      </c>
      <c r="F99" s="49"/>
      <c r="G99" s="49" t="s">
        <v>559</v>
      </c>
      <c r="H99" s="49" t="s">
        <v>971</v>
      </c>
    </row>
    <row r="100" spans="1:8" ht="9.6" thickTop="1" thickBot="1" x14ac:dyDescent="0.2">
      <c r="A100" s="51">
        <v>43190</v>
      </c>
      <c r="B100" s="49" t="s">
        <v>158</v>
      </c>
      <c r="C100" s="49"/>
      <c r="D100" s="49" t="s">
        <v>124</v>
      </c>
      <c r="E100" s="49" t="s">
        <v>108</v>
      </c>
      <c r="F100" s="49"/>
      <c r="G100" s="49" t="s">
        <v>559</v>
      </c>
      <c r="H100" s="49" t="s">
        <v>972</v>
      </c>
    </row>
    <row r="101" spans="1:8" ht="9.6" thickTop="1" thickBot="1" x14ac:dyDescent="0.2">
      <c r="A101" s="66" t="s">
        <v>879</v>
      </c>
      <c r="B101" s="66"/>
      <c r="C101" s="66"/>
      <c r="D101" s="66"/>
      <c r="E101" s="66"/>
      <c r="F101" s="66"/>
      <c r="G101" s="66"/>
      <c r="H101" s="66"/>
    </row>
    <row r="102" spans="1:8" ht="9.6" thickTop="1" thickBot="1" x14ac:dyDescent="0.2">
      <c r="A102" s="66" t="s">
        <v>973</v>
      </c>
      <c r="B102" s="66"/>
      <c r="C102" s="66"/>
      <c r="D102" s="66"/>
      <c r="E102" s="66"/>
      <c r="F102" s="66"/>
      <c r="G102" s="66"/>
      <c r="H102" s="66"/>
    </row>
    <row r="103" spans="1:8" ht="9.6" thickTop="1" thickBot="1" x14ac:dyDescent="0.2">
      <c r="A103" s="50" t="s">
        <v>515</v>
      </c>
      <c r="B103" s="50" t="s">
        <v>522</v>
      </c>
      <c r="C103" s="50" t="s">
        <v>6</v>
      </c>
      <c r="D103" s="50" t="s">
        <v>528</v>
      </c>
      <c r="E103" s="50" t="s">
        <v>517</v>
      </c>
      <c r="F103" s="50" t="s">
        <v>533</v>
      </c>
      <c r="G103" s="50" t="s">
        <v>537</v>
      </c>
      <c r="H103" s="49" t="s">
        <v>514</v>
      </c>
    </row>
    <row r="104" spans="1:8" ht="9.6" thickTop="1" thickBot="1" x14ac:dyDescent="0.2">
      <c r="A104" s="51">
        <v>43191</v>
      </c>
      <c r="B104" s="49" t="s">
        <v>162</v>
      </c>
      <c r="C104" s="49" t="s">
        <v>15</v>
      </c>
      <c r="D104" s="49" t="s">
        <v>110</v>
      </c>
      <c r="E104" s="49" t="s">
        <v>108</v>
      </c>
      <c r="F104" s="49" t="s">
        <v>67</v>
      </c>
      <c r="G104" s="49" t="s">
        <v>560</v>
      </c>
      <c r="H104" s="49" t="s">
        <v>974</v>
      </c>
    </row>
    <row r="105" spans="1:8" ht="9.6" thickTop="1" thickBot="1" x14ac:dyDescent="0.2">
      <c r="A105" s="51">
        <v>43192</v>
      </c>
      <c r="B105" s="49" t="s">
        <v>30</v>
      </c>
      <c r="C105" s="49"/>
      <c r="D105" s="49" t="s">
        <v>124</v>
      </c>
      <c r="E105" s="49" t="s">
        <v>104</v>
      </c>
      <c r="F105" s="49" t="s">
        <v>50</v>
      </c>
      <c r="G105" s="49" t="s">
        <v>560</v>
      </c>
      <c r="H105" s="49" t="s">
        <v>975</v>
      </c>
    </row>
    <row r="106" spans="1:8" ht="9.6" thickTop="1" thickBot="1" x14ac:dyDescent="0.2">
      <c r="A106" s="51">
        <v>43193</v>
      </c>
      <c r="B106" s="49" t="s">
        <v>30</v>
      </c>
      <c r="C106" s="49"/>
      <c r="D106" s="49" t="s">
        <v>113</v>
      </c>
      <c r="E106" s="49" t="s">
        <v>104</v>
      </c>
      <c r="F106" s="49"/>
      <c r="G106" s="49" t="s">
        <v>560</v>
      </c>
      <c r="H106" s="49" t="s">
        <v>976</v>
      </c>
    </row>
    <row r="107" spans="1:8" ht="9.6" thickTop="1" thickBot="1" x14ac:dyDescent="0.2">
      <c r="A107" s="51">
        <v>43194</v>
      </c>
      <c r="B107" s="49" t="s">
        <v>101</v>
      </c>
      <c r="C107" s="49"/>
      <c r="D107" s="49" t="s">
        <v>124</v>
      </c>
      <c r="E107" s="49" t="s">
        <v>104</v>
      </c>
      <c r="F107" s="49"/>
      <c r="G107" s="49" t="s">
        <v>560</v>
      </c>
      <c r="H107" s="49" t="s">
        <v>977</v>
      </c>
    </row>
    <row r="108" spans="1:8" ht="9.6" thickTop="1" thickBot="1" x14ac:dyDescent="0.2">
      <c r="A108" s="51">
        <v>43195</v>
      </c>
      <c r="B108" s="49" t="s">
        <v>101</v>
      </c>
      <c r="C108" s="49"/>
      <c r="D108" s="49" t="s">
        <v>113</v>
      </c>
      <c r="E108" s="49" t="s">
        <v>104</v>
      </c>
      <c r="F108" s="49"/>
      <c r="G108" s="49" t="s">
        <v>560</v>
      </c>
      <c r="H108" s="49" t="s">
        <v>978</v>
      </c>
    </row>
    <row r="109" spans="1:8" ht="9.6" thickTop="1" thickBot="1" x14ac:dyDescent="0.2">
      <c r="A109" s="51">
        <v>43196</v>
      </c>
      <c r="B109" s="49" t="s">
        <v>144</v>
      </c>
      <c r="C109" s="49"/>
      <c r="D109" s="49" t="s">
        <v>124</v>
      </c>
      <c r="E109" s="49" t="s">
        <v>104</v>
      </c>
      <c r="F109" s="49"/>
      <c r="G109" s="49" t="s">
        <v>560</v>
      </c>
      <c r="H109" s="49" t="s">
        <v>979</v>
      </c>
    </row>
    <row r="110" spans="1:8" ht="9.6" thickTop="1" thickBot="1" x14ac:dyDescent="0.2">
      <c r="A110" s="51">
        <v>43197</v>
      </c>
      <c r="B110" s="49" t="s">
        <v>153</v>
      </c>
      <c r="C110" s="49"/>
      <c r="D110" s="49" t="s">
        <v>117</v>
      </c>
      <c r="E110" s="49" t="s">
        <v>93</v>
      </c>
      <c r="F110" s="49"/>
      <c r="G110" s="49" t="s">
        <v>560</v>
      </c>
      <c r="H110" s="49" t="s">
        <v>980</v>
      </c>
    </row>
    <row r="111" spans="1:8" ht="9.6" thickTop="1" thickBot="1" x14ac:dyDescent="0.2">
      <c r="A111" s="51">
        <v>43198</v>
      </c>
      <c r="B111" s="49" t="s">
        <v>53</v>
      </c>
      <c r="C111" s="49"/>
      <c r="D111" s="49" t="s">
        <v>124</v>
      </c>
      <c r="E111" s="49" t="s">
        <v>93</v>
      </c>
      <c r="F111" s="49"/>
      <c r="G111" s="49" t="s">
        <v>560</v>
      </c>
      <c r="H111" s="49" t="s">
        <v>981</v>
      </c>
    </row>
    <row r="112" spans="1:8" ht="9.6" thickTop="1" thickBot="1" x14ac:dyDescent="0.2">
      <c r="A112" s="51">
        <v>43199</v>
      </c>
      <c r="B112" s="49" t="s">
        <v>36</v>
      </c>
      <c r="C112" s="49"/>
      <c r="D112" s="49" t="s">
        <v>117</v>
      </c>
      <c r="E112" s="49" t="s">
        <v>104</v>
      </c>
      <c r="F112" s="49"/>
      <c r="G112" s="49" t="s">
        <v>560</v>
      </c>
      <c r="H112" s="49" t="s">
        <v>982</v>
      </c>
    </row>
    <row r="113" spans="1:8" ht="9.6" thickTop="1" thickBot="1" x14ac:dyDescent="0.2">
      <c r="A113" s="51">
        <v>43200</v>
      </c>
      <c r="B113" s="49" t="s">
        <v>36</v>
      </c>
      <c r="C113" s="49"/>
      <c r="D113" s="49" t="s">
        <v>124</v>
      </c>
      <c r="E113" s="49" t="s">
        <v>104</v>
      </c>
      <c r="F113" s="49"/>
      <c r="G113" s="49" t="s">
        <v>560</v>
      </c>
      <c r="H113" s="49" t="s">
        <v>983</v>
      </c>
    </row>
    <row r="114" spans="1:8" ht="9.6" thickTop="1" thickBot="1" x14ac:dyDescent="0.2">
      <c r="A114" s="51">
        <v>43201</v>
      </c>
      <c r="B114" s="49" t="s">
        <v>105</v>
      </c>
      <c r="C114" s="49"/>
      <c r="D114" s="49" t="s">
        <v>120</v>
      </c>
      <c r="E114" s="49" t="s">
        <v>104</v>
      </c>
      <c r="F114" s="49"/>
      <c r="G114" s="49" t="s">
        <v>560</v>
      </c>
      <c r="H114" s="49" t="s">
        <v>984</v>
      </c>
    </row>
    <row r="115" spans="1:8" ht="9.6" thickTop="1" thickBot="1" x14ac:dyDescent="0.2">
      <c r="A115" s="51">
        <v>43202</v>
      </c>
      <c r="B115" s="49" t="s">
        <v>105</v>
      </c>
      <c r="C115" s="49"/>
      <c r="D115" s="49" t="s">
        <v>124</v>
      </c>
      <c r="E115" s="49" t="s">
        <v>104</v>
      </c>
      <c r="F115" s="49"/>
      <c r="G115" s="49" t="s">
        <v>560</v>
      </c>
      <c r="H115" s="49" t="s">
        <v>985</v>
      </c>
    </row>
    <row r="116" spans="1:8" ht="9.6" thickTop="1" thickBot="1" x14ac:dyDescent="0.2">
      <c r="A116" s="51">
        <v>43203</v>
      </c>
      <c r="B116" s="49" t="s">
        <v>147</v>
      </c>
      <c r="C116" s="49"/>
      <c r="D116" s="49" t="s">
        <v>120</v>
      </c>
      <c r="E116" s="49" t="s">
        <v>104</v>
      </c>
      <c r="F116" s="49"/>
      <c r="G116" s="49" t="s">
        <v>560</v>
      </c>
      <c r="H116" s="49" t="s">
        <v>986</v>
      </c>
    </row>
    <row r="117" spans="1:8" ht="9.6" thickTop="1" thickBot="1" x14ac:dyDescent="0.2">
      <c r="A117" s="51">
        <v>43204</v>
      </c>
      <c r="B117" s="49" t="s">
        <v>156</v>
      </c>
      <c r="C117" s="49"/>
      <c r="D117" s="49" t="s">
        <v>124</v>
      </c>
      <c r="E117" s="49" t="s">
        <v>115</v>
      </c>
      <c r="F117" s="49"/>
      <c r="G117" s="49" t="s">
        <v>560</v>
      </c>
      <c r="H117" s="49" t="s">
        <v>987</v>
      </c>
    </row>
    <row r="118" spans="1:8" ht="9.6" thickTop="1" thickBot="1" x14ac:dyDescent="0.2">
      <c r="A118" s="51">
        <v>43205</v>
      </c>
      <c r="B118" s="49" t="s">
        <v>160</v>
      </c>
      <c r="C118" s="49"/>
      <c r="D118" s="49" t="s">
        <v>127</v>
      </c>
      <c r="E118" s="49" t="s">
        <v>115</v>
      </c>
      <c r="F118" s="49"/>
      <c r="G118" s="49" t="s">
        <v>560</v>
      </c>
      <c r="H118" s="49" t="s">
        <v>988</v>
      </c>
    </row>
    <row r="119" spans="1:8" ht="9.6" thickTop="1" thickBot="1" x14ac:dyDescent="0.2">
      <c r="A119" s="51">
        <v>43206</v>
      </c>
      <c r="B119" s="49" t="s">
        <v>42</v>
      </c>
      <c r="C119" s="49"/>
      <c r="D119" s="49" t="s">
        <v>124</v>
      </c>
      <c r="E119" s="49" t="s">
        <v>104</v>
      </c>
      <c r="F119" s="49"/>
      <c r="G119" s="49" t="s">
        <v>560</v>
      </c>
      <c r="H119" s="49" t="s">
        <v>989</v>
      </c>
    </row>
    <row r="120" spans="1:8" ht="9.6" thickTop="1" thickBot="1" x14ac:dyDescent="0.2">
      <c r="A120" s="51">
        <v>43207</v>
      </c>
      <c r="B120" s="49" t="s">
        <v>42</v>
      </c>
      <c r="C120" s="49"/>
      <c r="D120" s="49" t="s">
        <v>127</v>
      </c>
      <c r="E120" s="49" t="s">
        <v>104</v>
      </c>
      <c r="F120" s="49"/>
      <c r="G120" s="49" t="s">
        <v>560</v>
      </c>
      <c r="H120" s="49" t="s">
        <v>990</v>
      </c>
    </row>
    <row r="121" spans="1:8" ht="9.6" thickTop="1" thickBot="1" x14ac:dyDescent="0.2">
      <c r="A121" s="51">
        <v>43208</v>
      </c>
      <c r="B121" s="49" t="s">
        <v>109</v>
      </c>
      <c r="C121" s="49"/>
      <c r="D121" s="49" t="s">
        <v>124</v>
      </c>
      <c r="E121" s="49" t="s">
        <v>104</v>
      </c>
      <c r="F121" s="49"/>
      <c r="G121" s="49" t="s">
        <v>560</v>
      </c>
      <c r="H121" s="49" t="s">
        <v>991</v>
      </c>
    </row>
    <row r="122" spans="1:8" ht="9.6" thickTop="1" thickBot="1" x14ac:dyDescent="0.2">
      <c r="A122" s="51">
        <v>43209</v>
      </c>
      <c r="B122" s="49" t="s">
        <v>109</v>
      </c>
      <c r="C122" s="49"/>
      <c r="D122" s="49" t="s">
        <v>130</v>
      </c>
      <c r="E122" s="49" t="s">
        <v>104</v>
      </c>
      <c r="F122" s="49"/>
      <c r="G122" s="49" t="s">
        <v>560</v>
      </c>
      <c r="H122" s="49" t="s">
        <v>992</v>
      </c>
    </row>
    <row r="123" spans="1:8" ht="9.6" thickTop="1" thickBot="1" x14ac:dyDescent="0.2">
      <c r="A123" s="51">
        <v>43210</v>
      </c>
      <c r="B123" s="49" t="s">
        <v>150</v>
      </c>
      <c r="C123" s="49"/>
      <c r="D123" s="49" t="s">
        <v>124</v>
      </c>
      <c r="E123" s="49" t="s">
        <v>104</v>
      </c>
      <c r="F123" s="49"/>
      <c r="G123" s="49" t="s">
        <v>560</v>
      </c>
      <c r="H123" s="49" t="s">
        <v>993</v>
      </c>
    </row>
    <row r="124" spans="1:8" ht="9.6" thickTop="1" thickBot="1" x14ac:dyDescent="0.2">
      <c r="A124" s="51">
        <v>43211</v>
      </c>
      <c r="B124" s="49" t="s">
        <v>158</v>
      </c>
      <c r="C124" s="49"/>
      <c r="D124" s="49" t="s">
        <v>130</v>
      </c>
      <c r="E124" s="49" t="s">
        <v>119</v>
      </c>
      <c r="F124" s="49"/>
      <c r="G124" s="49" t="s">
        <v>560</v>
      </c>
      <c r="H124" s="49" t="s">
        <v>994</v>
      </c>
    </row>
    <row r="125" spans="1:8" ht="9.6" thickTop="1" thickBot="1" x14ac:dyDescent="0.2">
      <c r="A125" s="51">
        <v>43212</v>
      </c>
      <c r="B125" s="49" t="s">
        <v>162</v>
      </c>
      <c r="C125" s="49" t="s">
        <v>15</v>
      </c>
      <c r="D125" s="49" t="s">
        <v>124</v>
      </c>
      <c r="E125" s="49" t="s">
        <v>119</v>
      </c>
      <c r="F125" s="49"/>
      <c r="G125" s="49" t="s">
        <v>560</v>
      </c>
      <c r="H125" s="49" t="s">
        <v>995</v>
      </c>
    </row>
    <row r="126" spans="1:8" ht="9.6" thickTop="1" thickBot="1" x14ac:dyDescent="0.2">
      <c r="A126" s="51">
        <v>43213</v>
      </c>
      <c r="B126" s="49" t="s">
        <v>48</v>
      </c>
      <c r="C126" s="49"/>
      <c r="D126" s="49" t="s">
        <v>133</v>
      </c>
      <c r="E126" s="49" t="s">
        <v>104</v>
      </c>
      <c r="F126" s="49"/>
      <c r="G126" s="49" t="s">
        <v>560</v>
      </c>
      <c r="H126" s="49" t="s">
        <v>996</v>
      </c>
    </row>
    <row r="127" spans="1:8" ht="9.6" thickTop="1" thickBot="1" x14ac:dyDescent="0.2">
      <c r="A127" s="51">
        <v>43214</v>
      </c>
      <c r="B127" s="49" t="s">
        <v>48</v>
      </c>
      <c r="C127" s="49"/>
      <c r="D127" s="49" t="s">
        <v>124</v>
      </c>
      <c r="E127" s="49" t="s">
        <v>104</v>
      </c>
      <c r="F127" s="49"/>
      <c r="G127" s="49" t="s">
        <v>560</v>
      </c>
      <c r="H127" s="49" t="s">
        <v>997</v>
      </c>
    </row>
    <row r="128" spans="1:8" ht="9.6" thickTop="1" thickBot="1" x14ac:dyDescent="0.2">
      <c r="A128" s="51">
        <v>43215</v>
      </c>
      <c r="B128" s="49" t="s">
        <v>112</v>
      </c>
      <c r="C128" s="49"/>
      <c r="D128" s="49" t="s">
        <v>17</v>
      </c>
      <c r="E128" s="49" t="s">
        <v>104</v>
      </c>
      <c r="F128" s="49"/>
      <c r="G128" s="49" t="s">
        <v>560</v>
      </c>
      <c r="H128" s="49" t="s">
        <v>998</v>
      </c>
    </row>
    <row r="129" spans="1:8" ht="9.6" thickTop="1" thickBot="1" x14ac:dyDescent="0.2">
      <c r="A129" s="51">
        <v>43216</v>
      </c>
      <c r="B129" s="49" t="s">
        <v>112</v>
      </c>
      <c r="C129" s="49"/>
      <c r="D129" s="49" t="s">
        <v>124</v>
      </c>
      <c r="E129" s="49" t="s">
        <v>104</v>
      </c>
      <c r="F129" s="49"/>
      <c r="G129" s="49" t="s">
        <v>560</v>
      </c>
      <c r="H129" s="49" t="s">
        <v>999</v>
      </c>
    </row>
    <row r="130" spans="1:8" ht="9.6" thickTop="1" thickBot="1" x14ac:dyDescent="0.2">
      <c r="A130" s="51">
        <v>43217</v>
      </c>
      <c r="B130" s="49" t="s">
        <v>15</v>
      </c>
      <c r="C130" s="49"/>
      <c r="D130" s="49" t="s">
        <v>17</v>
      </c>
      <c r="E130" s="49" t="s">
        <v>104</v>
      </c>
      <c r="F130" s="49"/>
      <c r="G130" s="49" t="s">
        <v>560</v>
      </c>
      <c r="H130" s="49" t="s">
        <v>1000</v>
      </c>
    </row>
    <row r="131" spans="1:8" ht="9.6" thickTop="1" thickBot="1" x14ac:dyDescent="0.2">
      <c r="A131" s="51">
        <v>43218</v>
      </c>
      <c r="B131" s="49" t="s">
        <v>153</v>
      </c>
      <c r="C131" s="49"/>
      <c r="D131" s="49" t="s">
        <v>124</v>
      </c>
      <c r="E131" s="49" t="s">
        <v>122</v>
      </c>
      <c r="F131" s="49"/>
      <c r="G131" s="49" t="s">
        <v>560</v>
      </c>
      <c r="H131" s="49" t="s">
        <v>1001</v>
      </c>
    </row>
    <row r="132" spans="1:8" ht="9.6" thickTop="1" thickBot="1" x14ac:dyDescent="0.2">
      <c r="A132" s="51">
        <v>43219</v>
      </c>
      <c r="B132" s="49" t="s">
        <v>53</v>
      </c>
      <c r="C132" s="49"/>
      <c r="D132" s="49" t="s">
        <v>24</v>
      </c>
      <c r="E132" s="49" t="s">
        <v>122</v>
      </c>
      <c r="F132" s="49"/>
      <c r="G132" s="49" t="s">
        <v>560</v>
      </c>
      <c r="H132" s="49" t="s">
        <v>1002</v>
      </c>
    </row>
    <row r="133" spans="1:8" ht="9.6" thickTop="1" thickBot="1" x14ac:dyDescent="0.2">
      <c r="A133" s="51">
        <v>43220</v>
      </c>
      <c r="B133" s="49" t="s">
        <v>53</v>
      </c>
      <c r="C133" s="49"/>
      <c r="D133" s="49" t="s">
        <v>124</v>
      </c>
      <c r="E133" s="49" t="s">
        <v>104</v>
      </c>
      <c r="F133" s="49"/>
      <c r="G133" s="49" t="s">
        <v>560</v>
      </c>
      <c r="H133" s="49" t="s">
        <v>1003</v>
      </c>
    </row>
    <row r="134" spans="1:8" ht="9.6" thickTop="1" thickBot="1" x14ac:dyDescent="0.2">
      <c r="A134" s="66" t="s">
        <v>879</v>
      </c>
      <c r="B134" s="66"/>
      <c r="C134" s="66"/>
      <c r="D134" s="66"/>
      <c r="E134" s="66"/>
      <c r="F134" s="66"/>
      <c r="G134" s="66"/>
      <c r="H134" s="66"/>
    </row>
    <row r="135" spans="1:8" ht="9.6" thickTop="1" thickBot="1" x14ac:dyDescent="0.2">
      <c r="A135" s="66" t="s">
        <v>1004</v>
      </c>
      <c r="B135" s="66"/>
      <c r="C135" s="66"/>
      <c r="D135" s="66"/>
      <c r="E135" s="66"/>
      <c r="F135" s="66"/>
      <c r="G135" s="66"/>
      <c r="H135" s="66"/>
    </row>
    <row r="136" spans="1:8" ht="9.6" thickTop="1" thickBot="1" x14ac:dyDescent="0.2">
      <c r="A136" s="50" t="s">
        <v>515</v>
      </c>
      <c r="B136" s="50" t="s">
        <v>522</v>
      </c>
      <c r="C136" s="50" t="s">
        <v>6</v>
      </c>
      <c r="D136" s="50" t="s">
        <v>528</v>
      </c>
      <c r="E136" s="50" t="s">
        <v>517</v>
      </c>
      <c r="F136" s="50" t="s">
        <v>533</v>
      </c>
      <c r="G136" s="50" t="s">
        <v>537</v>
      </c>
      <c r="H136" s="49" t="s">
        <v>514</v>
      </c>
    </row>
    <row r="137" spans="1:8" ht="9.6" thickTop="1" thickBot="1" x14ac:dyDescent="0.2">
      <c r="A137" s="51">
        <v>43221</v>
      </c>
      <c r="B137" s="49" t="s">
        <v>53</v>
      </c>
      <c r="C137" s="49"/>
      <c r="D137" s="49" t="s">
        <v>31</v>
      </c>
      <c r="E137" s="49" t="s">
        <v>104</v>
      </c>
      <c r="F137" s="49" t="s">
        <v>32</v>
      </c>
      <c r="G137" s="49" t="s">
        <v>561</v>
      </c>
      <c r="H137" s="49" t="s">
        <v>1005</v>
      </c>
    </row>
    <row r="138" spans="1:8" ht="9.6" thickTop="1" thickBot="1" x14ac:dyDescent="0.2">
      <c r="A138" s="51">
        <v>43222</v>
      </c>
      <c r="B138" s="49" t="s">
        <v>116</v>
      </c>
      <c r="C138" s="49"/>
      <c r="D138" s="49" t="s">
        <v>124</v>
      </c>
      <c r="E138" s="49" t="s">
        <v>104</v>
      </c>
      <c r="F138" s="49"/>
      <c r="G138" s="49" t="s">
        <v>561</v>
      </c>
      <c r="H138" s="49" t="s">
        <v>1006</v>
      </c>
    </row>
    <row r="139" spans="1:8" ht="9.6" thickTop="1" thickBot="1" x14ac:dyDescent="0.2">
      <c r="A139" s="51">
        <v>43223</v>
      </c>
      <c r="B139" s="49" t="s">
        <v>116</v>
      </c>
      <c r="C139" s="49"/>
      <c r="D139" s="49" t="s">
        <v>31</v>
      </c>
      <c r="E139" s="49" t="s">
        <v>104</v>
      </c>
      <c r="F139" s="49"/>
      <c r="G139" s="49" t="s">
        <v>561</v>
      </c>
      <c r="H139" s="49" t="s">
        <v>1007</v>
      </c>
    </row>
    <row r="140" spans="1:8" ht="9.6" thickTop="1" thickBot="1" x14ac:dyDescent="0.2">
      <c r="A140" s="51">
        <v>43224</v>
      </c>
      <c r="B140" s="49" t="s">
        <v>123</v>
      </c>
      <c r="C140" s="49"/>
      <c r="D140" s="49" t="s">
        <v>124</v>
      </c>
      <c r="E140" s="49" t="s">
        <v>104</v>
      </c>
      <c r="F140" s="49"/>
      <c r="G140" s="49" t="s">
        <v>561</v>
      </c>
      <c r="H140" s="49" t="s">
        <v>1008</v>
      </c>
    </row>
    <row r="141" spans="1:8" ht="9.6" thickTop="1" thickBot="1" x14ac:dyDescent="0.2">
      <c r="A141" s="51">
        <v>43225</v>
      </c>
      <c r="B141" s="49" t="s">
        <v>156</v>
      </c>
      <c r="C141" s="49"/>
      <c r="D141" s="49" t="s">
        <v>37</v>
      </c>
      <c r="E141" s="49" t="s">
        <v>14</v>
      </c>
      <c r="F141" s="49"/>
      <c r="G141" s="49" t="s">
        <v>561</v>
      </c>
      <c r="H141" s="49" t="s">
        <v>1009</v>
      </c>
    </row>
    <row r="142" spans="1:8" ht="9.6" thickTop="1" thickBot="1" x14ac:dyDescent="0.2">
      <c r="A142" s="51">
        <v>43226</v>
      </c>
      <c r="B142" s="49" t="s">
        <v>160</v>
      </c>
      <c r="C142" s="49"/>
      <c r="D142" s="49" t="s">
        <v>124</v>
      </c>
      <c r="E142" s="49" t="s">
        <v>14</v>
      </c>
      <c r="F142" s="49"/>
      <c r="G142" s="49" t="s">
        <v>561</v>
      </c>
      <c r="H142" s="49" t="s">
        <v>1010</v>
      </c>
    </row>
    <row r="143" spans="1:8" ht="9.6" thickTop="1" thickBot="1" x14ac:dyDescent="0.2">
      <c r="A143" s="51">
        <v>43227</v>
      </c>
      <c r="B143" s="49" t="s">
        <v>59</v>
      </c>
      <c r="C143" s="49"/>
      <c r="D143" s="49" t="s">
        <v>37</v>
      </c>
      <c r="E143" s="49" t="s">
        <v>104</v>
      </c>
      <c r="F143" s="49"/>
      <c r="G143" s="49" t="s">
        <v>561</v>
      </c>
      <c r="H143" s="49" t="s">
        <v>1011</v>
      </c>
    </row>
    <row r="144" spans="1:8" ht="9.6" thickTop="1" thickBot="1" x14ac:dyDescent="0.2">
      <c r="A144" s="51">
        <v>43228</v>
      </c>
      <c r="B144" s="49" t="s">
        <v>59</v>
      </c>
      <c r="C144" s="49"/>
      <c r="D144" s="49" t="s">
        <v>124</v>
      </c>
      <c r="E144" s="49" t="s">
        <v>104</v>
      </c>
      <c r="F144" s="49" t="s">
        <v>86</v>
      </c>
      <c r="G144" s="49" t="s">
        <v>561</v>
      </c>
      <c r="H144" s="49" t="s">
        <v>1012</v>
      </c>
    </row>
    <row r="145" spans="1:8" ht="9.6" thickTop="1" thickBot="1" x14ac:dyDescent="0.2">
      <c r="A145" s="51">
        <v>43229</v>
      </c>
      <c r="B145" s="49" t="s">
        <v>97</v>
      </c>
      <c r="C145" s="49"/>
      <c r="D145" s="49" t="s">
        <v>43</v>
      </c>
      <c r="E145" s="49" t="s">
        <v>104</v>
      </c>
      <c r="F145" s="49"/>
      <c r="G145" s="49" t="s">
        <v>561</v>
      </c>
      <c r="H145" s="49" t="s">
        <v>1013</v>
      </c>
    </row>
    <row r="146" spans="1:8" ht="9.6" thickTop="1" thickBot="1" x14ac:dyDescent="0.2">
      <c r="A146" s="51">
        <v>43230</v>
      </c>
      <c r="B146" s="49" t="s">
        <v>97</v>
      </c>
      <c r="C146" s="49"/>
      <c r="D146" s="49" t="s">
        <v>124</v>
      </c>
      <c r="E146" s="49" t="s">
        <v>104</v>
      </c>
      <c r="F146" s="49" t="s">
        <v>19</v>
      </c>
      <c r="G146" s="49" t="s">
        <v>561</v>
      </c>
      <c r="H146" s="49" t="s">
        <v>1014</v>
      </c>
    </row>
    <row r="147" spans="1:8" ht="9.6" thickTop="1" thickBot="1" x14ac:dyDescent="0.2">
      <c r="A147" s="51">
        <v>43231</v>
      </c>
      <c r="B147" s="49" t="s">
        <v>126</v>
      </c>
      <c r="C147" s="49"/>
      <c r="D147" s="49" t="s">
        <v>43</v>
      </c>
      <c r="E147" s="49" t="s">
        <v>104</v>
      </c>
      <c r="F147" s="49"/>
      <c r="G147" s="49" t="s">
        <v>561</v>
      </c>
      <c r="H147" s="49" t="s">
        <v>1015</v>
      </c>
    </row>
    <row r="148" spans="1:8" ht="9.6" thickTop="1" thickBot="1" x14ac:dyDescent="0.2">
      <c r="A148" s="51">
        <v>43232</v>
      </c>
      <c r="B148" s="49" t="s">
        <v>158</v>
      </c>
      <c r="C148" s="49"/>
      <c r="D148" s="49" t="s">
        <v>124</v>
      </c>
      <c r="E148" s="49" t="s">
        <v>22</v>
      </c>
      <c r="F148" s="49"/>
      <c r="G148" s="49" t="s">
        <v>561</v>
      </c>
      <c r="H148" s="49" t="s">
        <v>1016</v>
      </c>
    </row>
    <row r="149" spans="1:8" ht="9.6" thickTop="1" thickBot="1" x14ac:dyDescent="0.2">
      <c r="A149" s="51">
        <v>43233</v>
      </c>
      <c r="B149" s="49" t="s">
        <v>162</v>
      </c>
      <c r="C149" s="49" t="s">
        <v>15</v>
      </c>
      <c r="D149" s="49" t="s">
        <v>49</v>
      </c>
      <c r="E149" s="49" t="s">
        <v>22</v>
      </c>
      <c r="F149" s="49"/>
      <c r="G149" s="49" t="s">
        <v>561</v>
      </c>
      <c r="H149" s="49" t="s">
        <v>1017</v>
      </c>
    </row>
    <row r="150" spans="1:8" ht="9.6" thickTop="1" thickBot="1" x14ac:dyDescent="0.2">
      <c r="A150" s="51">
        <v>43234</v>
      </c>
      <c r="B150" s="49" t="s">
        <v>65</v>
      </c>
      <c r="C150" s="49"/>
      <c r="D150" s="49" t="s">
        <v>142</v>
      </c>
      <c r="E150" s="49" t="s">
        <v>104</v>
      </c>
      <c r="F150" s="49"/>
      <c r="G150" s="49" t="s">
        <v>561</v>
      </c>
      <c r="H150" s="49" t="s">
        <v>1018</v>
      </c>
    </row>
    <row r="151" spans="1:8" ht="9.6" thickTop="1" thickBot="1" x14ac:dyDescent="0.2">
      <c r="A151" s="51">
        <v>43235</v>
      </c>
      <c r="B151" s="49" t="s">
        <v>65</v>
      </c>
      <c r="C151" s="49"/>
      <c r="D151" s="49" t="s">
        <v>142</v>
      </c>
      <c r="E151" s="49" t="s">
        <v>104</v>
      </c>
      <c r="F151" s="49"/>
      <c r="G151" s="49" t="s">
        <v>561</v>
      </c>
      <c r="H151" s="49" t="s">
        <v>1019</v>
      </c>
    </row>
    <row r="152" spans="1:8" ht="9.6" thickTop="1" thickBot="1" x14ac:dyDescent="0.2">
      <c r="A152" s="51">
        <v>43236</v>
      </c>
      <c r="B152" s="49" t="s">
        <v>101</v>
      </c>
      <c r="C152" s="49"/>
      <c r="D152" s="49" t="s">
        <v>124</v>
      </c>
      <c r="E152" s="49" t="s">
        <v>104</v>
      </c>
      <c r="F152" s="49"/>
      <c r="G152" s="49" t="s">
        <v>561</v>
      </c>
      <c r="H152" s="49" t="s">
        <v>1020</v>
      </c>
    </row>
    <row r="153" spans="1:8" ht="9.6" thickTop="1" thickBot="1" x14ac:dyDescent="0.2">
      <c r="A153" s="51">
        <v>43237</v>
      </c>
      <c r="B153" s="49" t="s">
        <v>101</v>
      </c>
      <c r="C153" s="49"/>
      <c r="D153" s="49" t="s">
        <v>49</v>
      </c>
      <c r="E153" s="49" t="s">
        <v>104</v>
      </c>
      <c r="F153" s="49"/>
      <c r="G153" s="49" t="s">
        <v>561</v>
      </c>
      <c r="H153" s="49" t="s">
        <v>1021</v>
      </c>
    </row>
    <row r="154" spans="1:8" ht="9.6" thickTop="1" thickBot="1" x14ac:dyDescent="0.2">
      <c r="A154" s="51">
        <v>43238</v>
      </c>
      <c r="B154" s="49" t="s">
        <v>129</v>
      </c>
      <c r="C154" s="49"/>
      <c r="D154" s="49" t="s">
        <v>124</v>
      </c>
      <c r="E154" s="49" t="s">
        <v>104</v>
      </c>
      <c r="F154" s="49"/>
      <c r="G154" s="49" t="s">
        <v>561</v>
      </c>
      <c r="H154" s="49" t="s">
        <v>1022</v>
      </c>
    </row>
    <row r="155" spans="1:8" ht="9.6" thickTop="1" thickBot="1" x14ac:dyDescent="0.2">
      <c r="A155" s="51">
        <v>43239</v>
      </c>
      <c r="B155" s="49" t="s">
        <v>153</v>
      </c>
      <c r="C155" s="49"/>
      <c r="D155" s="49" t="s">
        <v>54</v>
      </c>
      <c r="E155" s="49" t="s">
        <v>29</v>
      </c>
      <c r="F155" s="49"/>
      <c r="G155" s="49" t="s">
        <v>561</v>
      </c>
      <c r="H155" s="49" t="s">
        <v>1023</v>
      </c>
    </row>
    <row r="156" spans="1:8" ht="9.6" thickTop="1" thickBot="1" x14ac:dyDescent="0.2">
      <c r="A156" s="51">
        <v>43240</v>
      </c>
      <c r="B156" s="49" t="s">
        <v>53</v>
      </c>
      <c r="C156" s="49"/>
      <c r="D156" s="49" t="s">
        <v>124</v>
      </c>
      <c r="E156" s="49" t="s">
        <v>29</v>
      </c>
      <c r="F156" s="49" t="s">
        <v>73</v>
      </c>
      <c r="G156" s="49" t="s">
        <v>561</v>
      </c>
      <c r="H156" s="49" t="s">
        <v>1024</v>
      </c>
    </row>
    <row r="157" spans="1:8" ht="9.6" thickTop="1" thickBot="1" x14ac:dyDescent="0.2">
      <c r="A157" s="51">
        <v>43241</v>
      </c>
      <c r="B157" s="49" t="s">
        <v>71</v>
      </c>
      <c r="C157" s="49"/>
      <c r="D157" s="49" t="s">
        <v>54</v>
      </c>
      <c r="E157" s="49" t="s">
        <v>104</v>
      </c>
      <c r="F157" s="49" t="s">
        <v>55</v>
      </c>
      <c r="G157" s="49" t="s">
        <v>561</v>
      </c>
      <c r="H157" s="49" t="s">
        <v>1025</v>
      </c>
    </row>
    <row r="158" spans="1:8" ht="9.6" thickTop="1" thickBot="1" x14ac:dyDescent="0.2">
      <c r="A158" s="51">
        <v>43242</v>
      </c>
      <c r="B158" s="49" t="s">
        <v>71</v>
      </c>
      <c r="C158" s="49"/>
      <c r="D158" s="49" t="s">
        <v>124</v>
      </c>
      <c r="E158" s="49" t="s">
        <v>104</v>
      </c>
      <c r="F158" s="49"/>
      <c r="G158" s="49" t="s">
        <v>561</v>
      </c>
      <c r="H158" s="49" t="s">
        <v>1026</v>
      </c>
    </row>
    <row r="159" spans="1:8" ht="9.6" thickTop="1" thickBot="1" x14ac:dyDescent="0.2">
      <c r="A159" s="51">
        <v>43243</v>
      </c>
      <c r="B159" s="49" t="s">
        <v>105</v>
      </c>
      <c r="C159" s="49"/>
      <c r="D159" s="49" t="s">
        <v>60</v>
      </c>
      <c r="E159" s="49" t="s">
        <v>104</v>
      </c>
      <c r="F159" s="49"/>
      <c r="G159" s="49" t="s">
        <v>561</v>
      </c>
      <c r="H159" s="49" t="s">
        <v>1027</v>
      </c>
    </row>
    <row r="160" spans="1:8" ht="9.6" thickTop="1" thickBot="1" x14ac:dyDescent="0.2">
      <c r="A160" s="51">
        <v>43244</v>
      </c>
      <c r="B160" s="49" t="s">
        <v>105</v>
      </c>
      <c r="C160" s="49"/>
      <c r="D160" s="49" t="s">
        <v>124</v>
      </c>
      <c r="E160" s="49" t="s">
        <v>104</v>
      </c>
      <c r="F160" s="49"/>
      <c r="G160" s="49" t="s">
        <v>561</v>
      </c>
      <c r="H160" s="49" t="s">
        <v>1028</v>
      </c>
    </row>
    <row r="161" spans="1:8" ht="9.6" thickTop="1" thickBot="1" x14ac:dyDescent="0.2">
      <c r="A161" s="51">
        <v>43245</v>
      </c>
      <c r="B161" s="49" t="s">
        <v>132</v>
      </c>
      <c r="C161" s="49"/>
      <c r="D161" s="49" t="s">
        <v>60</v>
      </c>
      <c r="E161" s="49" t="s">
        <v>104</v>
      </c>
      <c r="F161" s="49"/>
      <c r="G161" s="49" t="s">
        <v>561</v>
      </c>
      <c r="H161" s="49" t="s">
        <v>1029</v>
      </c>
    </row>
    <row r="162" spans="1:8" ht="9.6" thickTop="1" thickBot="1" x14ac:dyDescent="0.2">
      <c r="A162" s="51">
        <v>43246</v>
      </c>
      <c r="B162" s="49" t="s">
        <v>156</v>
      </c>
      <c r="C162" s="49"/>
      <c r="D162" s="49" t="s">
        <v>124</v>
      </c>
      <c r="E162" s="49" t="s">
        <v>35</v>
      </c>
      <c r="F162" s="49"/>
      <c r="G162" s="49" t="s">
        <v>561</v>
      </c>
      <c r="H162" s="49" t="s">
        <v>1030</v>
      </c>
    </row>
    <row r="163" spans="1:8" ht="9.6" thickTop="1" thickBot="1" x14ac:dyDescent="0.2">
      <c r="A163" s="51">
        <v>43247</v>
      </c>
      <c r="B163" s="49" t="s">
        <v>160</v>
      </c>
      <c r="C163" s="49"/>
      <c r="D163" s="49" t="s">
        <v>66</v>
      </c>
      <c r="E163" s="49" t="s">
        <v>35</v>
      </c>
      <c r="F163" s="49"/>
      <c r="G163" s="49" t="s">
        <v>561</v>
      </c>
      <c r="H163" s="49" t="s">
        <v>1031</v>
      </c>
    </row>
    <row r="164" spans="1:8" ht="9.6" thickTop="1" thickBot="1" x14ac:dyDescent="0.2">
      <c r="A164" s="51">
        <v>43248</v>
      </c>
      <c r="B164" s="49" t="s">
        <v>77</v>
      </c>
      <c r="C164" s="49"/>
      <c r="D164" s="49" t="s">
        <v>124</v>
      </c>
      <c r="E164" s="49" t="s">
        <v>104</v>
      </c>
      <c r="F164" s="49"/>
      <c r="G164" s="49" t="s">
        <v>561</v>
      </c>
      <c r="H164" s="49" t="s">
        <v>1032</v>
      </c>
    </row>
    <row r="165" spans="1:8" ht="9.6" thickTop="1" thickBot="1" x14ac:dyDescent="0.2">
      <c r="A165" s="51">
        <v>43249</v>
      </c>
      <c r="B165" s="49" t="s">
        <v>77</v>
      </c>
      <c r="C165" s="49"/>
      <c r="D165" s="49" t="s">
        <v>66</v>
      </c>
      <c r="E165" s="49" t="s">
        <v>104</v>
      </c>
      <c r="F165" s="49"/>
      <c r="G165" s="49" t="s">
        <v>561</v>
      </c>
      <c r="H165" s="49" t="s">
        <v>1033</v>
      </c>
    </row>
    <row r="166" spans="1:8" ht="9.6" thickTop="1" thickBot="1" x14ac:dyDescent="0.2">
      <c r="A166" s="51">
        <v>43250</v>
      </c>
      <c r="B166" s="49" t="s">
        <v>109</v>
      </c>
      <c r="C166" s="49"/>
      <c r="D166" s="49" t="s">
        <v>124</v>
      </c>
      <c r="E166" s="49" t="s">
        <v>104</v>
      </c>
      <c r="F166" s="49"/>
      <c r="G166" s="49" t="s">
        <v>561</v>
      </c>
      <c r="H166" s="49" t="s">
        <v>1034</v>
      </c>
    </row>
    <row r="167" spans="1:8" ht="9.6" thickTop="1" thickBot="1" x14ac:dyDescent="0.2">
      <c r="A167" s="51">
        <v>43251</v>
      </c>
      <c r="B167" s="49" t="s">
        <v>109</v>
      </c>
      <c r="C167" s="49"/>
      <c r="D167" s="49" t="s">
        <v>72</v>
      </c>
      <c r="E167" s="49" t="s">
        <v>104</v>
      </c>
      <c r="F167" s="49"/>
      <c r="G167" s="49" t="s">
        <v>561</v>
      </c>
      <c r="H167" s="49" t="s">
        <v>1035</v>
      </c>
    </row>
    <row r="168" spans="1:8" ht="9.6" thickTop="1" thickBot="1" x14ac:dyDescent="0.2">
      <c r="A168" s="66" t="s">
        <v>879</v>
      </c>
      <c r="B168" s="66"/>
      <c r="C168" s="66"/>
      <c r="D168" s="66"/>
      <c r="E168" s="66"/>
      <c r="F168" s="66"/>
      <c r="G168" s="66"/>
      <c r="H168" s="66"/>
    </row>
    <row r="169" spans="1:8" ht="9.6" thickTop="1" thickBot="1" x14ac:dyDescent="0.2">
      <c r="A169" s="66" t="s">
        <v>1036</v>
      </c>
      <c r="B169" s="66"/>
      <c r="C169" s="66"/>
      <c r="D169" s="66"/>
      <c r="E169" s="66"/>
      <c r="F169" s="66"/>
      <c r="G169" s="66"/>
      <c r="H169" s="66"/>
    </row>
    <row r="170" spans="1:8" ht="9.6" thickTop="1" thickBot="1" x14ac:dyDescent="0.2">
      <c r="A170" s="50" t="s">
        <v>515</v>
      </c>
      <c r="B170" s="50" t="s">
        <v>522</v>
      </c>
      <c r="C170" s="50" t="s">
        <v>6</v>
      </c>
      <c r="D170" s="50" t="s">
        <v>528</v>
      </c>
      <c r="E170" s="50" t="s">
        <v>517</v>
      </c>
      <c r="F170" s="50" t="s">
        <v>533</v>
      </c>
      <c r="G170" s="50" t="s">
        <v>537</v>
      </c>
      <c r="H170" s="49" t="s">
        <v>514</v>
      </c>
    </row>
    <row r="171" spans="1:8" ht="9.6" thickTop="1" thickBot="1" x14ac:dyDescent="0.2">
      <c r="A171" s="51">
        <v>43252</v>
      </c>
      <c r="B171" s="49" t="s">
        <v>135</v>
      </c>
      <c r="C171" s="49"/>
      <c r="D171" s="49" t="s">
        <v>124</v>
      </c>
      <c r="E171" s="49" t="s">
        <v>104</v>
      </c>
      <c r="F171" s="49"/>
      <c r="G171" s="49" t="s">
        <v>562</v>
      </c>
      <c r="H171" s="49" t="s">
        <v>1037</v>
      </c>
    </row>
    <row r="172" spans="1:8" ht="9.6" thickTop="1" thickBot="1" x14ac:dyDescent="0.2">
      <c r="A172" s="51">
        <v>43253</v>
      </c>
      <c r="B172" s="49" t="s">
        <v>158</v>
      </c>
      <c r="C172" s="49"/>
      <c r="D172" s="49" t="s">
        <v>72</v>
      </c>
      <c r="E172" s="49" t="s">
        <v>41</v>
      </c>
      <c r="F172" s="49"/>
      <c r="G172" s="49" t="s">
        <v>562</v>
      </c>
      <c r="H172" s="49" t="s">
        <v>1038</v>
      </c>
    </row>
    <row r="173" spans="1:8" ht="9.6" thickTop="1" thickBot="1" x14ac:dyDescent="0.2">
      <c r="A173" s="51">
        <v>43254</v>
      </c>
      <c r="B173" s="49" t="s">
        <v>162</v>
      </c>
      <c r="C173" s="49" t="s">
        <v>15</v>
      </c>
      <c r="D173" s="49" t="s">
        <v>124</v>
      </c>
      <c r="E173" s="49" t="s">
        <v>41</v>
      </c>
      <c r="F173" s="49"/>
      <c r="G173" s="49" t="s">
        <v>562</v>
      </c>
      <c r="H173" s="49" t="s">
        <v>1039</v>
      </c>
    </row>
    <row r="174" spans="1:8" ht="9.6" thickTop="1" thickBot="1" x14ac:dyDescent="0.2">
      <c r="A174" s="51">
        <v>43255</v>
      </c>
      <c r="B174" s="49" t="s">
        <v>83</v>
      </c>
      <c r="C174" s="49"/>
      <c r="D174" s="49" t="s">
        <v>78</v>
      </c>
      <c r="E174" s="49" t="s">
        <v>104</v>
      </c>
      <c r="F174" s="49"/>
      <c r="G174" s="49" t="s">
        <v>562</v>
      </c>
      <c r="H174" s="49" t="s">
        <v>1040</v>
      </c>
    </row>
    <row r="175" spans="1:8" ht="9.6" thickTop="1" thickBot="1" x14ac:dyDescent="0.2">
      <c r="A175" s="51">
        <v>43256</v>
      </c>
      <c r="B175" s="49" t="s">
        <v>83</v>
      </c>
      <c r="C175" s="49"/>
      <c r="D175" s="49" t="s">
        <v>124</v>
      </c>
      <c r="E175" s="49" t="s">
        <v>104</v>
      </c>
      <c r="F175" s="49"/>
      <c r="G175" s="49" t="s">
        <v>562</v>
      </c>
      <c r="H175" s="49" t="s">
        <v>1041</v>
      </c>
    </row>
    <row r="176" spans="1:8" ht="9.6" thickTop="1" thickBot="1" x14ac:dyDescent="0.2">
      <c r="A176" s="51">
        <v>43257</v>
      </c>
      <c r="B176" s="49" t="s">
        <v>112</v>
      </c>
      <c r="C176" s="49"/>
      <c r="D176" s="49" t="s">
        <v>78</v>
      </c>
      <c r="E176" s="49" t="s">
        <v>104</v>
      </c>
      <c r="F176" s="49"/>
      <c r="G176" s="49" t="s">
        <v>562</v>
      </c>
      <c r="H176" s="49" t="s">
        <v>1042</v>
      </c>
    </row>
    <row r="177" spans="1:8" ht="9.6" thickTop="1" thickBot="1" x14ac:dyDescent="0.2">
      <c r="A177" s="51">
        <v>43258</v>
      </c>
      <c r="B177" s="49" t="s">
        <v>112</v>
      </c>
      <c r="C177" s="49"/>
      <c r="D177" s="49" t="s">
        <v>124</v>
      </c>
      <c r="E177" s="49" t="s">
        <v>104</v>
      </c>
      <c r="F177" s="49"/>
      <c r="G177" s="49" t="s">
        <v>562</v>
      </c>
      <c r="H177" s="49" t="s">
        <v>1043</v>
      </c>
    </row>
    <row r="178" spans="1:8" ht="9.6" thickTop="1" thickBot="1" x14ac:dyDescent="0.2">
      <c r="A178" s="51">
        <v>43259</v>
      </c>
      <c r="B178" s="49" t="s">
        <v>138</v>
      </c>
      <c r="C178" s="49"/>
      <c r="D178" s="49" t="s">
        <v>84</v>
      </c>
      <c r="E178" s="49" t="s">
        <v>104</v>
      </c>
      <c r="F178" s="49"/>
      <c r="G178" s="49" t="s">
        <v>562</v>
      </c>
      <c r="H178" s="49" t="s">
        <v>1044</v>
      </c>
    </row>
    <row r="179" spans="1:8" ht="9.6" thickTop="1" thickBot="1" x14ac:dyDescent="0.2">
      <c r="A179" s="51">
        <v>43260</v>
      </c>
      <c r="B179" s="49" t="s">
        <v>153</v>
      </c>
      <c r="C179" s="49"/>
      <c r="D179" s="49" t="s">
        <v>124</v>
      </c>
      <c r="E179" s="49" t="s">
        <v>47</v>
      </c>
      <c r="F179" s="49"/>
      <c r="G179" s="49" t="s">
        <v>562</v>
      </c>
      <c r="H179" s="49" t="s">
        <v>1045</v>
      </c>
    </row>
    <row r="180" spans="1:8" ht="9.6" thickTop="1" thickBot="1" x14ac:dyDescent="0.2">
      <c r="A180" s="51">
        <v>43261</v>
      </c>
      <c r="B180" s="49" t="s">
        <v>53</v>
      </c>
      <c r="C180" s="49"/>
      <c r="D180" s="49" t="s">
        <v>84</v>
      </c>
      <c r="E180" s="49" t="s">
        <v>47</v>
      </c>
      <c r="F180" s="49"/>
      <c r="G180" s="49" t="s">
        <v>562</v>
      </c>
      <c r="H180" s="49" t="s">
        <v>1046</v>
      </c>
    </row>
    <row r="181" spans="1:8" ht="9.6" thickTop="1" thickBot="1" x14ac:dyDescent="0.2">
      <c r="A181" s="51">
        <v>43262</v>
      </c>
      <c r="B181" s="49" t="s">
        <v>89</v>
      </c>
      <c r="C181" s="49"/>
      <c r="D181" s="49" t="s">
        <v>124</v>
      </c>
      <c r="E181" s="49" t="s">
        <v>104</v>
      </c>
      <c r="F181" s="49"/>
      <c r="G181" s="49" t="s">
        <v>562</v>
      </c>
      <c r="H181" s="49" t="s">
        <v>1047</v>
      </c>
    </row>
    <row r="182" spans="1:8" ht="9.6" thickTop="1" thickBot="1" x14ac:dyDescent="0.2">
      <c r="A182" s="51">
        <v>43263</v>
      </c>
      <c r="B182" s="49" t="s">
        <v>89</v>
      </c>
      <c r="C182" s="49"/>
      <c r="D182" s="49" t="s">
        <v>90</v>
      </c>
      <c r="E182" s="49" t="s">
        <v>104</v>
      </c>
      <c r="F182" s="49"/>
      <c r="G182" s="49" t="s">
        <v>562</v>
      </c>
      <c r="H182" s="49" t="s">
        <v>1048</v>
      </c>
    </row>
    <row r="183" spans="1:8" ht="9.6" thickTop="1" thickBot="1" x14ac:dyDescent="0.2">
      <c r="A183" s="51">
        <v>43264</v>
      </c>
      <c r="B183" s="49" t="s">
        <v>116</v>
      </c>
      <c r="C183" s="49"/>
      <c r="D183" s="49" t="s">
        <v>124</v>
      </c>
      <c r="E183" s="49" t="s">
        <v>104</v>
      </c>
      <c r="F183" s="49"/>
      <c r="G183" s="49" t="s">
        <v>562</v>
      </c>
      <c r="H183" s="49" t="s">
        <v>1049</v>
      </c>
    </row>
    <row r="184" spans="1:8" ht="9.6" thickTop="1" thickBot="1" x14ac:dyDescent="0.2">
      <c r="A184" s="51">
        <v>43265</v>
      </c>
      <c r="B184" s="49" t="s">
        <v>116</v>
      </c>
      <c r="C184" s="49"/>
      <c r="D184" s="49" t="s">
        <v>90</v>
      </c>
      <c r="E184" s="49" t="s">
        <v>104</v>
      </c>
      <c r="F184" s="49"/>
      <c r="G184" s="49" t="s">
        <v>562</v>
      </c>
      <c r="H184" s="49" t="s">
        <v>1050</v>
      </c>
    </row>
    <row r="185" spans="1:8" ht="9.6" thickTop="1" thickBot="1" x14ac:dyDescent="0.2">
      <c r="A185" s="51">
        <v>43266</v>
      </c>
      <c r="B185" s="49" t="s">
        <v>141</v>
      </c>
      <c r="C185" s="49"/>
      <c r="D185" s="49" t="s">
        <v>124</v>
      </c>
      <c r="E185" s="49" t="s">
        <v>104</v>
      </c>
      <c r="F185" s="49"/>
      <c r="G185" s="49" t="s">
        <v>562</v>
      </c>
      <c r="H185" s="49" t="s">
        <v>1051</v>
      </c>
    </row>
    <row r="186" spans="1:8" ht="9.6" thickTop="1" thickBot="1" x14ac:dyDescent="0.2">
      <c r="A186" s="51">
        <v>43267</v>
      </c>
      <c r="B186" s="49" t="s">
        <v>156</v>
      </c>
      <c r="C186" s="49"/>
      <c r="D186" s="49" t="s">
        <v>94</v>
      </c>
      <c r="E186" s="49" t="s">
        <v>52</v>
      </c>
      <c r="F186" s="49"/>
      <c r="G186" s="49" t="s">
        <v>562</v>
      </c>
      <c r="H186" s="49" t="s">
        <v>1052</v>
      </c>
    </row>
    <row r="187" spans="1:8" ht="9.6" thickTop="1" thickBot="1" x14ac:dyDescent="0.2">
      <c r="A187" s="51">
        <v>43268</v>
      </c>
      <c r="B187" s="49" t="s">
        <v>160</v>
      </c>
      <c r="C187" s="49"/>
      <c r="D187" s="49" t="s">
        <v>124</v>
      </c>
      <c r="E187" s="49" t="s">
        <v>52</v>
      </c>
      <c r="F187" s="49"/>
      <c r="G187" s="49" t="s">
        <v>562</v>
      </c>
      <c r="H187" s="49" t="s">
        <v>1053</v>
      </c>
    </row>
    <row r="188" spans="1:8" ht="9.6" thickTop="1" thickBot="1" x14ac:dyDescent="0.2">
      <c r="A188" s="51">
        <v>43269</v>
      </c>
      <c r="B188" s="49" t="s">
        <v>93</v>
      </c>
      <c r="C188" s="49"/>
      <c r="D188" s="49" t="s">
        <v>94</v>
      </c>
      <c r="E188" s="49" t="s">
        <v>104</v>
      </c>
      <c r="F188" s="49"/>
      <c r="G188" s="49" t="s">
        <v>562</v>
      </c>
      <c r="H188" s="49" t="s">
        <v>1054</v>
      </c>
    </row>
    <row r="189" spans="1:8" ht="9.6" thickTop="1" thickBot="1" x14ac:dyDescent="0.2">
      <c r="A189" s="51">
        <v>43270</v>
      </c>
      <c r="B189" s="49" t="s">
        <v>93</v>
      </c>
      <c r="C189" s="49"/>
      <c r="D189" s="49" t="s">
        <v>124</v>
      </c>
      <c r="E189" s="49" t="s">
        <v>104</v>
      </c>
      <c r="F189" s="49"/>
      <c r="G189" s="49" t="s">
        <v>562</v>
      </c>
      <c r="H189" s="49" t="s">
        <v>1055</v>
      </c>
    </row>
    <row r="190" spans="1:8" ht="9.6" thickTop="1" thickBot="1" x14ac:dyDescent="0.2">
      <c r="A190" s="51">
        <v>43271</v>
      </c>
      <c r="B190" s="49" t="s">
        <v>97</v>
      </c>
      <c r="C190" s="49"/>
      <c r="D190" s="49" t="s">
        <v>98</v>
      </c>
      <c r="E190" s="49" t="s">
        <v>104</v>
      </c>
      <c r="F190" s="49"/>
      <c r="G190" s="49" t="s">
        <v>562</v>
      </c>
      <c r="H190" s="49" t="s">
        <v>1056</v>
      </c>
    </row>
    <row r="191" spans="1:8" ht="9.6" thickTop="1" thickBot="1" x14ac:dyDescent="0.2">
      <c r="A191" s="51">
        <v>43272</v>
      </c>
      <c r="B191" s="49" t="s">
        <v>97</v>
      </c>
      <c r="C191" s="49"/>
      <c r="D191" s="49" t="s">
        <v>124</v>
      </c>
      <c r="E191" s="49" t="s">
        <v>104</v>
      </c>
      <c r="F191" s="49"/>
      <c r="G191" s="49" t="s">
        <v>562</v>
      </c>
      <c r="H191" s="49" t="s">
        <v>1057</v>
      </c>
    </row>
    <row r="192" spans="1:8" ht="9.6" thickTop="1" thickBot="1" x14ac:dyDescent="0.2">
      <c r="A192" s="51">
        <v>43273</v>
      </c>
      <c r="B192" s="49" t="s">
        <v>144</v>
      </c>
      <c r="C192" s="49"/>
      <c r="D192" s="49" t="s">
        <v>98</v>
      </c>
      <c r="E192" s="49" t="s">
        <v>104</v>
      </c>
      <c r="F192" s="49"/>
      <c r="G192" s="49" t="s">
        <v>562</v>
      </c>
      <c r="H192" s="49" t="s">
        <v>1058</v>
      </c>
    </row>
    <row r="193" spans="1:8" ht="9.6" thickTop="1" thickBot="1" x14ac:dyDescent="0.2">
      <c r="A193" s="51">
        <v>43274</v>
      </c>
      <c r="B193" s="49" t="s">
        <v>156</v>
      </c>
      <c r="C193" s="49"/>
      <c r="D193" s="49" t="s">
        <v>124</v>
      </c>
      <c r="E193" s="49" t="s">
        <v>58</v>
      </c>
      <c r="F193" s="49"/>
      <c r="G193" s="49" t="s">
        <v>562</v>
      </c>
      <c r="H193" s="49" t="s">
        <v>1059</v>
      </c>
    </row>
    <row r="194" spans="1:8" ht="9.6" thickTop="1" thickBot="1" x14ac:dyDescent="0.2">
      <c r="A194" s="51">
        <v>43275</v>
      </c>
      <c r="B194" s="49" t="s">
        <v>162</v>
      </c>
      <c r="C194" s="49" t="s">
        <v>15</v>
      </c>
      <c r="D194" s="49" t="s">
        <v>102</v>
      </c>
      <c r="E194" s="49" t="s">
        <v>58</v>
      </c>
      <c r="F194" s="49"/>
      <c r="G194" s="49" t="s">
        <v>562</v>
      </c>
      <c r="H194" s="49" t="s">
        <v>1060</v>
      </c>
    </row>
    <row r="195" spans="1:8" ht="9.6" thickTop="1" thickBot="1" x14ac:dyDescent="0.2">
      <c r="A195" s="51">
        <v>43276</v>
      </c>
      <c r="B195" s="49" t="s">
        <v>16</v>
      </c>
      <c r="C195" s="49"/>
      <c r="D195" s="49" t="s">
        <v>136</v>
      </c>
      <c r="E195" s="49" t="s">
        <v>104</v>
      </c>
      <c r="F195" s="49"/>
      <c r="G195" s="49" t="s">
        <v>562</v>
      </c>
      <c r="H195" s="49" t="s">
        <v>1061</v>
      </c>
    </row>
    <row r="196" spans="1:8" ht="9.6" thickTop="1" thickBot="1" x14ac:dyDescent="0.2">
      <c r="A196" s="51">
        <v>43277</v>
      </c>
      <c r="B196" s="49" t="s">
        <v>16</v>
      </c>
      <c r="C196" s="49"/>
      <c r="D196" s="49" t="s">
        <v>136</v>
      </c>
      <c r="E196" s="49" t="s">
        <v>104</v>
      </c>
      <c r="F196" s="49"/>
      <c r="G196" s="49" t="s">
        <v>562</v>
      </c>
      <c r="H196" s="49" t="s">
        <v>1062</v>
      </c>
    </row>
    <row r="197" spans="1:8" ht="9.6" thickTop="1" thickBot="1" x14ac:dyDescent="0.2">
      <c r="A197" s="51">
        <v>43278</v>
      </c>
      <c r="B197" s="49" t="s">
        <v>101</v>
      </c>
      <c r="C197" s="49"/>
      <c r="D197" s="49" t="s">
        <v>124</v>
      </c>
      <c r="E197" s="49" t="s">
        <v>104</v>
      </c>
      <c r="F197" s="49"/>
      <c r="G197" s="49" t="s">
        <v>562</v>
      </c>
      <c r="H197" s="49" t="s">
        <v>1063</v>
      </c>
    </row>
    <row r="198" spans="1:8" ht="9.6" thickTop="1" thickBot="1" x14ac:dyDescent="0.2">
      <c r="A198" s="51">
        <v>43279</v>
      </c>
      <c r="B198" s="49" t="s">
        <v>101</v>
      </c>
      <c r="C198" s="49"/>
      <c r="D198" s="49" t="s">
        <v>106</v>
      </c>
      <c r="E198" s="49" t="s">
        <v>104</v>
      </c>
      <c r="F198" s="49"/>
      <c r="G198" s="49" t="s">
        <v>562</v>
      </c>
      <c r="H198" s="49" t="s">
        <v>1064</v>
      </c>
    </row>
    <row r="199" spans="1:8" ht="9.6" thickTop="1" thickBot="1" x14ac:dyDescent="0.2">
      <c r="A199" s="51">
        <v>43280</v>
      </c>
      <c r="B199" s="49" t="s">
        <v>147</v>
      </c>
      <c r="C199" s="49"/>
      <c r="D199" s="49" t="s">
        <v>124</v>
      </c>
      <c r="E199" s="49" t="s">
        <v>104</v>
      </c>
      <c r="F199" s="49"/>
      <c r="G199" s="49" t="s">
        <v>562</v>
      </c>
      <c r="H199" s="49" t="s">
        <v>1065</v>
      </c>
    </row>
    <row r="200" spans="1:8" ht="9.6" thickTop="1" thickBot="1" x14ac:dyDescent="0.2">
      <c r="A200" s="51">
        <v>43281</v>
      </c>
      <c r="B200" s="49" t="s">
        <v>153</v>
      </c>
      <c r="C200" s="49"/>
      <c r="D200" s="49" t="s">
        <v>106</v>
      </c>
      <c r="E200" s="49" t="s">
        <v>64</v>
      </c>
      <c r="F200" s="49"/>
      <c r="G200" s="49" t="s">
        <v>562</v>
      </c>
      <c r="H200" s="49" t="s">
        <v>1066</v>
      </c>
    </row>
    <row r="201" spans="1:8" ht="9.6" thickTop="1" thickBot="1" x14ac:dyDescent="0.2">
      <c r="A201" s="66" t="s">
        <v>879</v>
      </c>
      <c r="B201" s="66"/>
      <c r="C201" s="66"/>
      <c r="D201" s="66"/>
      <c r="E201" s="66"/>
      <c r="F201" s="66"/>
      <c r="G201" s="66"/>
      <c r="H201" s="66"/>
    </row>
    <row r="202" spans="1:8" ht="9.6" thickTop="1" thickBot="1" x14ac:dyDescent="0.2">
      <c r="A202" s="66" t="s">
        <v>1067</v>
      </c>
      <c r="B202" s="66"/>
      <c r="C202" s="66"/>
      <c r="D202" s="66"/>
      <c r="E202" s="66"/>
      <c r="F202" s="66"/>
      <c r="G202" s="66"/>
      <c r="H202" s="66"/>
    </row>
    <row r="203" spans="1:8" ht="9.6" thickTop="1" thickBot="1" x14ac:dyDescent="0.2">
      <c r="A203" s="50" t="s">
        <v>515</v>
      </c>
      <c r="B203" s="50" t="s">
        <v>522</v>
      </c>
      <c r="C203" s="50" t="s">
        <v>6</v>
      </c>
      <c r="D203" s="50" t="s">
        <v>528</v>
      </c>
      <c r="E203" s="50" t="s">
        <v>517</v>
      </c>
      <c r="F203" s="50" t="s">
        <v>533</v>
      </c>
      <c r="G203" s="50" t="s">
        <v>537</v>
      </c>
      <c r="H203" s="49" t="s">
        <v>514</v>
      </c>
    </row>
    <row r="204" spans="1:8" ht="9.6" thickTop="1" thickBot="1" x14ac:dyDescent="0.2">
      <c r="A204" s="51">
        <v>43282</v>
      </c>
      <c r="B204" s="49" t="s">
        <v>53</v>
      </c>
      <c r="C204" s="49"/>
      <c r="D204" s="49" t="s">
        <v>124</v>
      </c>
      <c r="E204" s="49" t="s">
        <v>64</v>
      </c>
      <c r="F204" s="49"/>
      <c r="G204" s="49" t="s">
        <v>563</v>
      </c>
      <c r="H204" s="49" t="s">
        <v>1068</v>
      </c>
    </row>
    <row r="205" spans="1:8" ht="9.6" thickTop="1" thickBot="1" x14ac:dyDescent="0.2">
      <c r="A205" s="51">
        <v>43283</v>
      </c>
      <c r="B205" s="49" t="s">
        <v>23</v>
      </c>
      <c r="C205" s="49"/>
      <c r="D205" s="49" t="s">
        <v>139</v>
      </c>
      <c r="E205" s="49" t="s">
        <v>104</v>
      </c>
      <c r="F205" s="49"/>
      <c r="G205" s="49" t="s">
        <v>563</v>
      </c>
      <c r="H205" s="49" t="s">
        <v>1069</v>
      </c>
    </row>
    <row r="206" spans="1:8" ht="9.6" thickTop="1" thickBot="1" x14ac:dyDescent="0.2">
      <c r="A206" s="51">
        <v>43284</v>
      </c>
      <c r="B206" s="49" t="s">
        <v>23</v>
      </c>
      <c r="C206" s="49"/>
      <c r="D206" s="49" t="s">
        <v>139</v>
      </c>
      <c r="E206" s="49" t="s">
        <v>104</v>
      </c>
      <c r="F206" s="49"/>
      <c r="G206" s="49" t="s">
        <v>563</v>
      </c>
      <c r="H206" s="49" t="s">
        <v>1070</v>
      </c>
    </row>
    <row r="207" spans="1:8" ht="9.6" thickTop="1" thickBot="1" x14ac:dyDescent="0.2">
      <c r="A207" s="51">
        <v>43285</v>
      </c>
      <c r="B207" s="49" t="s">
        <v>105</v>
      </c>
      <c r="C207" s="49"/>
      <c r="D207" s="49" t="s">
        <v>110</v>
      </c>
      <c r="E207" s="49" t="s">
        <v>104</v>
      </c>
      <c r="F207" s="49"/>
      <c r="G207" s="49" t="s">
        <v>563</v>
      </c>
      <c r="H207" s="49" t="s">
        <v>1071</v>
      </c>
    </row>
    <row r="208" spans="1:8" ht="9.6" thickTop="1" thickBot="1" x14ac:dyDescent="0.2">
      <c r="A208" s="51">
        <v>43286</v>
      </c>
      <c r="B208" s="49" t="s">
        <v>105</v>
      </c>
      <c r="C208" s="49"/>
      <c r="D208" s="49" t="s">
        <v>124</v>
      </c>
      <c r="E208" s="49" t="s">
        <v>104</v>
      </c>
      <c r="F208" s="49"/>
      <c r="G208" s="49" t="s">
        <v>563</v>
      </c>
      <c r="H208" s="49" t="s">
        <v>1072</v>
      </c>
    </row>
    <row r="209" spans="1:8" ht="9.6" thickTop="1" thickBot="1" x14ac:dyDescent="0.2">
      <c r="A209" s="51">
        <v>43287</v>
      </c>
      <c r="B209" s="49" t="s">
        <v>150</v>
      </c>
      <c r="C209" s="49"/>
      <c r="D209" s="49" t="s">
        <v>110</v>
      </c>
      <c r="E209" s="49" t="s">
        <v>104</v>
      </c>
      <c r="F209" s="49"/>
      <c r="G209" s="49" t="s">
        <v>563</v>
      </c>
      <c r="H209" s="49" t="s">
        <v>1073</v>
      </c>
    </row>
    <row r="210" spans="1:8" ht="9.6" thickTop="1" thickBot="1" x14ac:dyDescent="0.2">
      <c r="A210" s="51">
        <v>43288</v>
      </c>
      <c r="B210" s="49" t="s">
        <v>156</v>
      </c>
      <c r="C210" s="49"/>
      <c r="D210" s="49" t="s">
        <v>124</v>
      </c>
      <c r="E210" s="49" t="s">
        <v>70</v>
      </c>
      <c r="F210" s="49"/>
      <c r="G210" s="49" t="s">
        <v>563</v>
      </c>
      <c r="H210" s="49" t="s">
        <v>1074</v>
      </c>
    </row>
    <row r="211" spans="1:8" ht="9.6" thickTop="1" thickBot="1" x14ac:dyDescent="0.2">
      <c r="A211" s="51">
        <v>43289</v>
      </c>
      <c r="B211" s="49" t="s">
        <v>160</v>
      </c>
      <c r="C211" s="49"/>
      <c r="D211" s="49" t="s">
        <v>113</v>
      </c>
      <c r="E211" s="49" t="s">
        <v>70</v>
      </c>
      <c r="F211" s="49"/>
      <c r="G211" s="49" t="s">
        <v>563</v>
      </c>
      <c r="H211" s="49" t="s">
        <v>1075</v>
      </c>
    </row>
    <row r="212" spans="1:8" ht="9.6" thickTop="1" thickBot="1" x14ac:dyDescent="0.2">
      <c r="A212" s="51">
        <v>43290</v>
      </c>
      <c r="B212" s="49" t="s">
        <v>30</v>
      </c>
      <c r="C212" s="49"/>
      <c r="D212" s="49" t="s">
        <v>124</v>
      </c>
      <c r="E212" s="49" t="s">
        <v>104</v>
      </c>
      <c r="F212" s="49"/>
      <c r="G212" s="49" t="s">
        <v>563</v>
      </c>
      <c r="H212" s="49" t="s">
        <v>1076</v>
      </c>
    </row>
    <row r="213" spans="1:8" ht="9.6" thickTop="1" thickBot="1" x14ac:dyDescent="0.2">
      <c r="A213" s="51">
        <v>43291</v>
      </c>
      <c r="B213" s="49" t="s">
        <v>30</v>
      </c>
      <c r="C213" s="49"/>
      <c r="D213" s="49" t="s">
        <v>113</v>
      </c>
      <c r="E213" s="49" t="s">
        <v>104</v>
      </c>
      <c r="F213" s="49"/>
      <c r="G213" s="49" t="s">
        <v>563</v>
      </c>
      <c r="H213" s="49" t="s">
        <v>1077</v>
      </c>
    </row>
    <row r="214" spans="1:8" ht="9.6" thickTop="1" thickBot="1" x14ac:dyDescent="0.2">
      <c r="A214" s="51">
        <v>43292</v>
      </c>
      <c r="B214" s="49" t="s">
        <v>109</v>
      </c>
      <c r="C214" s="49"/>
      <c r="D214" s="49" t="s">
        <v>124</v>
      </c>
      <c r="E214" s="49" t="s">
        <v>104</v>
      </c>
      <c r="F214" s="49"/>
      <c r="G214" s="49" t="s">
        <v>563</v>
      </c>
      <c r="H214" s="49" t="s">
        <v>1078</v>
      </c>
    </row>
    <row r="215" spans="1:8" ht="9.6" thickTop="1" thickBot="1" x14ac:dyDescent="0.2">
      <c r="A215" s="51">
        <v>43293</v>
      </c>
      <c r="B215" s="49" t="s">
        <v>109</v>
      </c>
      <c r="C215" s="49"/>
      <c r="D215" s="49" t="s">
        <v>117</v>
      </c>
      <c r="E215" s="49" t="s">
        <v>104</v>
      </c>
      <c r="F215" s="49"/>
      <c r="G215" s="49" t="s">
        <v>563</v>
      </c>
      <c r="H215" s="49" t="s">
        <v>1079</v>
      </c>
    </row>
    <row r="216" spans="1:8" ht="9.6" thickTop="1" thickBot="1" x14ac:dyDescent="0.2">
      <c r="A216" s="51">
        <v>43294</v>
      </c>
      <c r="B216" s="49" t="s">
        <v>15</v>
      </c>
      <c r="C216" s="49"/>
      <c r="D216" s="49" t="s">
        <v>124</v>
      </c>
      <c r="E216" s="49" t="s">
        <v>104</v>
      </c>
      <c r="F216" s="49"/>
      <c r="G216" s="49" t="s">
        <v>563</v>
      </c>
      <c r="H216" s="49" t="s">
        <v>1080</v>
      </c>
    </row>
    <row r="217" spans="1:8" ht="9.6" thickTop="1" thickBot="1" x14ac:dyDescent="0.2">
      <c r="A217" s="51">
        <v>43295</v>
      </c>
      <c r="B217" s="49" t="s">
        <v>158</v>
      </c>
      <c r="C217" s="49"/>
      <c r="D217" s="49" t="s">
        <v>117</v>
      </c>
      <c r="E217" s="49" t="s">
        <v>76</v>
      </c>
      <c r="F217" s="49" t="s">
        <v>38</v>
      </c>
      <c r="G217" s="49" t="s">
        <v>563</v>
      </c>
      <c r="H217" s="49" t="s">
        <v>1081</v>
      </c>
    </row>
    <row r="218" spans="1:8" ht="9.6" thickTop="1" thickBot="1" x14ac:dyDescent="0.2">
      <c r="A218" s="51">
        <v>43296</v>
      </c>
      <c r="B218" s="49" t="s">
        <v>162</v>
      </c>
      <c r="C218" s="49" t="s">
        <v>15</v>
      </c>
      <c r="D218" s="49" t="s">
        <v>124</v>
      </c>
      <c r="E218" s="49" t="s">
        <v>76</v>
      </c>
      <c r="F218" s="49"/>
      <c r="G218" s="49" t="s">
        <v>563</v>
      </c>
      <c r="H218" s="49" t="s">
        <v>1082</v>
      </c>
    </row>
    <row r="219" spans="1:8" ht="9.6" thickTop="1" thickBot="1" x14ac:dyDescent="0.2">
      <c r="A219" s="51">
        <v>43297</v>
      </c>
      <c r="B219" s="49" t="s">
        <v>36</v>
      </c>
      <c r="C219" s="49"/>
      <c r="D219" s="49" t="s">
        <v>120</v>
      </c>
      <c r="E219" s="49" t="s">
        <v>104</v>
      </c>
      <c r="F219" s="49"/>
      <c r="G219" s="49" t="s">
        <v>563</v>
      </c>
      <c r="H219" s="49" t="s">
        <v>1083</v>
      </c>
    </row>
    <row r="220" spans="1:8" ht="9.6" thickTop="1" thickBot="1" x14ac:dyDescent="0.2">
      <c r="A220" s="51">
        <v>43298</v>
      </c>
      <c r="B220" s="49" t="s">
        <v>36</v>
      </c>
      <c r="C220" s="49"/>
      <c r="D220" s="49" t="s">
        <v>124</v>
      </c>
      <c r="E220" s="49" t="s">
        <v>104</v>
      </c>
      <c r="F220" s="49"/>
      <c r="G220" s="49" t="s">
        <v>563</v>
      </c>
      <c r="H220" s="49" t="s">
        <v>1084</v>
      </c>
    </row>
    <row r="221" spans="1:8" ht="9.6" thickTop="1" thickBot="1" x14ac:dyDescent="0.2">
      <c r="A221" s="51">
        <v>43299</v>
      </c>
      <c r="B221" s="49" t="s">
        <v>112</v>
      </c>
      <c r="C221" s="49"/>
      <c r="D221" s="49" t="s">
        <v>120</v>
      </c>
      <c r="E221" s="49" t="s">
        <v>104</v>
      </c>
      <c r="F221" s="49"/>
      <c r="G221" s="49" t="s">
        <v>563</v>
      </c>
      <c r="H221" s="49" t="s">
        <v>1085</v>
      </c>
    </row>
    <row r="222" spans="1:8" ht="9.6" thickTop="1" thickBot="1" x14ac:dyDescent="0.2">
      <c r="A222" s="51">
        <v>43300</v>
      </c>
      <c r="B222" s="49" t="s">
        <v>112</v>
      </c>
      <c r="C222" s="49"/>
      <c r="D222" s="49" t="s">
        <v>124</v>
      </c>
      <c r="E222" s="49" t="s">
        <v>104</v>
      </c>
      <c r="F222" s="49"/>
      <c r="G222" s="49" t="s">
        <v>563</v>
      </c>
      <c r="H222" s="49" t="s">
        <v>1086</v>
      </c>
    </row>
    <row r="223" spans="1:8" ht="9.6" thickTop="1" thickBot="1" x14ac:dyDescent="0.2">
      <c r="A223" s="51">
        <v>43301</v>
      </c>
      <c r="B223" s="49" t="s">
        <v>123</v>
      </c>
      <c r="C223" s="49"/>
      <c r="D223" s="49" t="s">
        <v>127</v>
      </c>
      <c r="E223" s="49" t="s">
        <v>104</v>
      </c>
      <c r="F223" s="49"/>
      <c r="G223" s="49" t="s">
        <v>563</v>
      </c>
      <c r="H223" s="49" t="s">
        <v>1087</v>
      </c>
    </row>
    <row r="224" spans="1:8" ht="9.6" thickTop="1" thickBot="1" x14ac:dyDescent="0.2">
      <c r="A224" s="51">
        <v>43302</v>
      </c>
      <c r="B224" s="49" t="s">
        <v>153</v>
      </c>
      <c r="C224" s="49"/>
      <c r="D224" s="49" t="s">
        <v>124</v>
      </c>
      <c r="E224" s="49" t="s">
        <v>82</v>
      </c>
      <c r="F224" s="49"/>
      <c r="G224" s="49" t="s">
        <v>563</v>
      </c>
      <c r="H224" s="49" t="s">
        <v>1088</v>
      </c>
    </row>
    <row r="225" spans="1:8" ht="9.6" thickTop="1" thickBot="1" x14ac:dyDescent="0.2">
      <c r="A225" s="51">
        <v>43303</v>
      </c>
      <c r="B225" s="49" t="s">
        <v>53</v>
      </c>
      <c r="C225" s="49"/>
      <c r="D225" s="49" t="s">
        <v>127</v>
      </c>
      <c r="E225" s="49" t="s">
        <v>82</v>
      </c>
      <c r="F225" s="49"/>
      <c r="G225" s="49" t="s">
        <v>563</v>
      </c>
      <c r="H225" s="49" t="s">
        <v>1089</v>
      </c>
    </row>
    <row r="226" spans="1:8" ht="9.6" thickTop="1" thickBot="1" x14ac:dyDescent="0.2">
      <c r="A226" s="51">
        <v>43304</v>
      </c>
      <c r="B226" s="49" t="s">
        <v>42</v>
      </c>
      <c r="C226" s="49"/>
      <c r="D226" s="49" t="s">
        <v>124</v>
      </c>
      <c r="E226" s="49" t="s">
        <v>104</v>
      </c>
      <c r="F226" s="49"/>
      <c r="G226" s="49" t="s">
        <v>563</v>
      </c>
      <c r="H226" s="49" t="s">
        <v>1090</v>
      </c>
    </row>
    <row r="227" spans="1:8" ht="9.6" thickTop="1" thickBot="1" x14ac:dyDescent="0.2">
      <c r="A227" s="51">
        <v>43305</v>
      </c>
      <c r="B227" s="49" t="s">
        <v>42</v>
      </c>
      <c r="C227" s="49"/>
      <c r="D227" s="49" t="s">
        <v>130</v>
      </c>
      <c r="E227" s="49" t="s">
        <v>104</v>
      </c>
      <c r="F227" s="49"/>
      <c r="G227" s="49" t="s">
        <v>563</v>
      </c>
      <c r="H227" s="49" t="s">
        <v>1091</v>
      </c>
    </row>
    <row r="228" spans="1:8" ht="9.6" thickTop="1" thickBot="1" x14ac:dyDescent="0.2">
      <c r="A228" s="51">
        <v>43306</v>
      </c>
      <c r="B228" s="49" t="s">
        <v>116</v>
      </c>
      <c r="C228" s="49"/>
      <c r="D228" s="49" t="s">
        <v>124</v>
      </c>
      <c r="E228" s="49" t="s">
        <v>104</v>
      </c>
      <c r="F228" s="49"/>
      <c r="G228" s="49" t="s">
        <v>563</v>
      </c>
      <c r="H228" s="49" t="s">
        <v>1092</v>
      </c>
    </row>
    <row r="229" spans="1:8" ht="9.6" thickTop="1" thickBot="1" x14ac:dyDescent="0.2">
      <c r="A229" s="51">
        <v>43307</v>
      </c>
      <c r="B229" s="49" t="s">
        <v>116</v>
      </c>
      <c r="C229" s="49"/>
      <c r="D229" s="49" t="s">
        <v>130</v>
      </c>
      <c r="E229" s="49" t="s">
        <v>104</v>
      </c>
      <c r="F229" s="49"/>
      <c r="G229" s="49" t="s">
        <v>563</v>
      </c>
      <c r="H229" s="49" t="s">
        <v>1093</v>
      </c>
    </row>
    <row r="230" spans="1:8" ht="9.6" thickTop="1" thickBot="1" x14ac:dyDescent="0.2">
      <c r="A230" s="51">
        <v>43308</v>
      </c>
      <c r="B230" s="49" t="s">
        <v>126</v>
      </c>
      <c r="C230" s="49"/>
      <c r="D230" s="49" t="s">
        <v>124</v>
      </c>
      <c r="E230" s="49" t="s">
        <v>104</v>
      </c>
      <c r="F230" s="49"/>
      <c r="G230" s="49" t="s">
        <v>563</v>
      </c>
      <c r="H230" s="49" t="s">
        <v>1094</v>
      </c>
    </row>
    <row r="231" spans="1:8" ht="9.6" thickTop="1" thickBot="1" x14ac:dyDescent="0.2">
      <c r="A231" s="51">
        <v>43309</v>
      </c>
      <c r="B231" s="49" t="s">
        <v>156</v>
      </c>
      <c r="C231" s="49"/>
      <c r="D231" s="49" t="s">
        <v>133</v>
      </c>
      <c r="E231" s="49" t="s">
        <v>88</v>
      </c>
      <c r="F231" s="49"/>
      <c r="G231" s="49" t="s">
        <v>563</v>
      </c>
      <c r="H231" s="49" t="s">
        <v>1095</v>
      </c>
    </row>
    <row r="232" spans="1:8" ht="9.6" thickTop="1" thickBot="1" x14ac:dyDescent="0.2">
      <c r="A232" s="51">
        <v>43310</v>
      </c>
      <c r="B232" s="49" t="s">
        <v>160</v>
      </c>
      <c r="C232" s="49"/>
      <c r="D232" s="49" t="s">
        <v>124</v>
      </c>
      <c r="E232" s="49" t="s">
        <v>88</v>
      </c>
      <c r="F232" s="49"/>
      <c r="G232" s="49" t="s">
        <v>563</v>
      </c>
      <c r="H232" s="49" t="s">
        <v>1096</v>
      </c>
    </row>
    <row r="233" spans="1:8" ht="9.6" thickTop="1" thickBot="1" x14ac:dyDescent="0.2">
      <c r="A233" s="51">
        <v>43311</v>
      </c>
      <c r="B233" s="49" t="s">
        <v>48</v>
      </c>
      <c r="C233" s="49"/>
      <c r="D233" s="49" t="s">
        <v>17</v>
      </c>
      <c r="E233" s="49" t="s">
        <v>104</v>
      </c>
      <c r="F233" s="49"/>
      <c r="G233" s="49" t="s">
        <v>563</v>
      </c>
      <c r="H233" s="49" t="s">
        <v>1097</v>
      </c>
    </row>
    <row r="234" spans="1:8" ht="9.6" thickTop="1" thickBot="1" x14ac:dyDescent="0.2">
      <c r="A234" s="51">
        <v>43312</v>
      </c>
      <c r="B234" s="49" t="s">
        <v>48</v>
      </c>
      <c r="C234" s="49"/>
      <c r="D234" s="49" t="s">
        <v>124</v>
      </c>
      <c r="E234" s="49" t="s">
        <v>104</v>
      </c>
      <c r="F234" s="49"/>
      <c r="G234" s="49" t="s">
        <v>563</v>
      </c>
      <c r="H234" s="49" t="s">
        <v>1098</v>
      </c>
    </row>
    <row r="235" spans="1:8" ht="9.6" thickTop="1" thickBot="1" x14ac:dyDescent="0.2">
      <c r="A235" s="66" t="s">
        <v>1099</v>
      </c>
      <c r="B235" s="66"/>
      <c r="C235" s="66"/>
      <c r="D235" s="66"/>
      <c r="E235" s="66"/>
      <c r="F235" s="66"/>
      <c r="G235" s="66"/>
      <c r="H235" s="66"/>
    </row>
    <row r="236" spans="1:8" ht="9.6" thickTop="1" thickBot="1" x14ac:dyDescent="0.2">
      <c r="A236" s="66" t="s">
        <v>1100</v>
      </c>
      <c r="B236" s="66"/>
      <c r="C236" s="66"/>
      <c r="D236" s="66"/>
      <c r="E236" s="66"/>
      <c r="F236" s="66"/>
      <c r="G236" s="66"/>
      <c r="H236" s="66"/>
    </row>
    <row r="237" spans="1:8" ht="9.6" thickTop="1" thickBot="1" x14ac:dyDescent="0.2">
      <c r="A237" s="50" t="s">
        <v>515</v>
      </c>
      <c r="B237" s="50" t="s">
        <v>522</v>
      </c>
      <c r="C237" s="50" t="s">
        <v>6</v>
      </c>
      <c r="D237" s="50" t="s">
        <v>528</v>
      </c>
      <c r="E237" s="50" t="s">
        <v>517</v>
      </c>
      <c r="F237" s="50" t="s">
        <v>533</v>
      </c>
      <c r="G237" s="50" t="s">
        <v>537</v>
      </c>
      <c r="H237" s="49" t="s">
        <v>514</v>
      </c>
    </row>
    <row r="238" spans="1:8" ht="9.6" thickTop="1" thickBot="1" x14ac:dyDescent="0.2">
      <c r="A238" s="51">
        <v>43313</v>
      </c>
      <c r="B238" s="49" t="s">
        <v>97</v>
      </c>
      <c r="C238" s="49"/>
      <c r="D238" s="49" t="s">
        <v>17</v>
      </c>
      <c r="E238" s="49" t="s">
        <v>104</v>
      </c>
      <c r="F238" s="49"/>
      <c r="G238" s="49" t="s">
        <v>564</v>
      </c>
      <c r="H238" s="49" t="s">
        <v>1101</v>
      </c>
    </row>
    <row r="239" spans="1:8" ht="9.6" thickTop="1" thickBot="1" x14ac:dyDescent="0.2">
      <c r="A239" s="51">
        <v>43314</v>
      </c>
      <c r="B239" s="49" t="s">
        <v>97</v>
      </c>
      <c r="C239" s="49"/>
      <c r="D239" s="49" t="s">
        <v>124</v>
      </c>
      <c r="E239" s="49" t="s">
        <v>104</v>
      </c>
      <c r="F239" s="49"/>
      <c r="G239" s="49" t="s">
        <v>564</v>
      </c>
      <c r="H239" s="49" t="s">
        <v>1102</v>
      </c>
    </row>
    <row r="240" spans="1:8" ht="9.6" thickTop="1" thickBot="1" x14ac:dyDescent="0.2">
      <c r="A240" s="51">
        <v>43315</v>
      </c>
      <c r="B240" s="49" t="s">
        <v>129</v>
      </c>
      <c r="C240" s="49"/>
      <c r="D240" s="49" t="s">
        <v>24</v>
      </c>
      <c r="E240" s="49" t="s">
        <v>104</v>
      </c>
      <c r="F240" s="49"/>
      <c r="G240" s="49" t="s">
        <v>564</v>
      </c>
      <c r="H240" s="49" t="s">
        <v>1103</v>
      </c>
    </row>
    <row r="241" spans="1:8" ht="9.6" thickTop="1" thickBot="1" x14ac:dyDescent="0.2">
      <c r="A241" s="51">
        <v>43316</v>
      </c>
      <c r="B241" s="49" t="s">
        <v>158</v>
      </c>
      <c r="C241" s="49"/>
      <c r="D241" s="49" t="s">
        <v>124</v>
      </c>
      <c r="E241" s="49" t="s">
        <v>92</v>
      </c>
      <c r="F241" s="49"/>
      <c r="G241" s="49" t="s">
        <v>564</v>
      </c>
      <c r="H241" s="49" t="s">
        <v>1104</v>
      </c>
    </row>
    <row r="242" spans="1:8" ht="9.6" thickTop="1" thickBot="1" x14ac:dyDescent="0.2">
      <c r="A242" s="51">
        <v>43317</v>
      </c>
      <c r="B242" s="49" t="s">
        <v>162</v>
      </c>
      <c r="C242" s="49" t="s">
        <v>15</v>
      </c>
      <c r="D242" s="49" t="s">
        <v>31</v>
      </c>
      <c r="E242" s="49" t="s">
        <v>92</v>
      </c>
      <c r="F242" s="49"/>
      <c r="G242" s="49" t="s">
        <v>564</v>
      </c>
      <c r="H242" s="49" t="s">
        <v>1105</v>
      </c>
    </row>
    <row r="243" spans="1:8" ht="9.6" thickTop="1" thickBot="1" x14ac:dyDescent="0.2">
      <c r="A243" s="51">
        <v>43318</v>
      </c>
      <c r="B243" s="49" t="s">
        <v>53</v>
      </c>
      <c r="C243" s="49"/>
      <c r="D243" s="49" t="s">
        <v>124</v>
      </c>
      <c r="E243" s="49" t="s">
        <v>104</v>
      </c>
      <c r="F243" s="49"/>
      <c r="G243" s="49" t="s">
        <v>564</v>
      </c>
      <c r="H243" s="49" t="s">
        <v>1106</v>
      </c>
    </row>
    <row r="244" spans="1:8" ht="9.6" thickTop="1" thickBot="1" x14ac:dyDescent="0.2">
      <c r="A244" s="51">
        <v>43319</v>
      </c>
      <c r="B244" s="49" t="s">
        <v>53</v>
      </c>
      <c r="C244" s="49"/>
      <c r="D244" s="49" t="s">
        <v>31</v>
      </c>
      <c r="E244" s="49" t="s">
        <v>104</v>
      </c>
      <c r="F244" s="49"/>
      <c r="G244" s="49" t="s">
        <v>564</v>
      </c>
      <c r="H244" s="49" t="s">
        <v>1107</v>
      </c>
    </row>
    <row r="245" spans="1:8" ht="9.6" thickTop="1" thickBot="1" x14ac:dyDescent="0.2">
      <c r="A245" s="51">
        <v>43320</v>
      </c>
      <c r="B245" s="49" t="s">
        <v>101</v>
      </c>
      <c r="C245" s="49"/>
      <c r="D245" s="49" t="s">
        <v>124</v>
      </c>
      <c r="E245" s="49" t="s">
        <v>104</v>
      </c>
      <c r="F245" s="49"/>
      <c r="G245" s="49" t="s">
        <v>564</v>
      </c>
      <c r="H245" s="49" t="s">
        <v>1108</v>
      </c>
    </row>
    <row r="246" spans="1:8" ht="9.6" thickTop="1" thickBot="1" x14ac:dyDescent="0.2">
      <c r="A246" s="51">
        <v>43321</v>
      </c>
      <c r="B246" s="49" t="s">
        <v>101</v>
      </c>
      <c r="C246" s="49"/>
      <c r="D246" s="49" t="s">
        <v>37</v>
      </c>
      <c r="E246" s="49" t="s">
        <v>104</v>
      </c>
      <c r="F246" s="49"/>
      <c r="G246" s="49" t="s">
        <v>564</v>
      </c>
      <c r="H246" s="49" t="s">
        <v>1109</v>
      </c>
    </row>
    <row r="247" spans="1:8" ht="9.6" thickTop="1" thickBot="1" x14ac:dyDescent="0.2">
      <c r="A247" s="51">
        <v>43322</v>
      </c>
      <c r="B247" s="49" t="s">
        <v>132</v>
      </c>
      <c r="C247" s="49"/>
      <c r="D247" s="49" t="s">
        <v>124</v>
      </c>
      <c r="E247" s="49" t="s">
        <v>104</v>
      </c>
      <c r="F247" s="49"/>
      <c r="G247" s="49" t="s">
        <v>564</v>
      </c>
      <c r="H247" s="49" t="s">
        <v>1110</v>
      </c>
    </row>
    <row r="248" spans="1:8" ht="9.6" thickTop="1" thickBot="1" x14ac:dyDescent="0.2">
      <c r="A248" s="51">
        <v>43323</v>
      </c>
      <c r="B248" s="49" t="s">
        <v>153</v>
      </c>
      <c r="C248" s="49"/>
      <c r="D248" s="49" t="s">
        <v>37</v>
      </c>
      <c r="E248" s="49" t="s">
        <v>96</v>
      </c>
      <c r="F248" s="49"/>
      <c r="G248" s="49" t="s">
        <v>564</v>
      </c>
      <c r="H248" s="49" t="s">
        <v>1111</v>
      </c>
    </row>
    <row r="249" spans="1:8" ht="9.6" thickTop="1" thickBot="1" x14ac:dyDescent="0.2">
      <c r="A249" s="51">
        <v>43324</v>
      </c>
      <c r="B249" s="49" t="s">
        <v>53</v>
      </c>
      <c r="C249" s="49"/>
      <c r="D249" s="49" t="s">
        <v>124</v>
      </c>
      <c r="E249" s="49" t="s">
        <v>96</v>
      </c>
      <c r="F249" s="49"/>
      <c r="G249" s="49" t="s">
        <v>564</v>
      </c>
      <c r="H249" s="49" t="s">
        <v>1112</v>
      </c>
    </row>
    <row r="250" spans="1:8" ht="9.6" thickTop="1" thickBot="1" x14ac:dyDescent="0.2">
      <c r="A250" s="51">
        <v>43325</v>
      </c>
      <c r="B250" s="49" t="s">
        <v>59</v>
      </c>
      <c r="C250" s="49"/>
      <c r="D250" s="49" t="s">
        <v>43</v>
      </c>
      <c r="E250" s="49" t="s">
        <v>104</v>
      </c>
      <c r="F250" s="49"/>
      <c r="G250" s="49" t="s">
        <v>564</v>
      </c>
      <c r="H250" s="49" t="s">
        <v>1113</v>
      </c>
    </row>
    <row r="251" spans="1:8" ht="9.6" thickTop="1" thickBot="1" x14ac:dyDescent="0.2">
      <c r="A251" s="51">
        <v>43326</v>
      </c>
      <c r="B251" s="49" t="s">
        <v>59</v>
      </c>
      <c r="C251" s="49"/>
      <c r="D251" s="49" t="s">
        <v>124</v>
      </c>
      <c r="E251" s="49" t="s">
        <v>104</v>
      </c>
      <c r="F251" s="49"/>
      <c r="G251" s="49" t="s">
        <v>564</v>
      </c>
      <c r="H251" s="49" t="s">
        <v>1114</v>
      </c>
    </row>
    <row r="252" spans="1:8" ht="9.6" thickTop="1" thickBot="1" x14ac:dyDescent="0.2">
      <c r="A252" s="51">
        <v>43327</v>
      </c>
      <c r="B252" s="49" t="s">
        <v>105</v>
      </c>
      <c r="C252" s="49"/>
      <c r="D252" s="49" t="s">
        <v>43</v>
      </c>
      <c r="E252" s="49" t="s">
        <v>104</v>
      </c>
      <c r="F252" s="49" t="s">
        <v>19</v>
      </c>
      <c r="G252" s="49" t="s">
        <v>564</v>
      </c>
      <c r="H252" s="49" t="s">
        <v>1115</v>
      </c>
    </row>
    <row r="253" spans="1:8" ht="9.6" thickTop="1" thickBot="1" x14ac:dyDescent="0.2">
      <c r="A253" s="51">
        <v>43328</v>
      </c>
      <c r="B253" s="49" t="s">
        <v>105</v>
      </c>
      <c r="C253" s="49"/>
      <c r="D253" s="49" t="s">
        <v>124</v>
      </c>
      <c r="E253" s="49" t="s">
        <v>104</v>
      </c>
      <c r="F253" s="49"/>
      <c r="G253" s="49" t="s">
        <v>564</v>
      </c>
      <c r="H253" s="49" t="s">
        <v>1116</v>
      </c>
    </row>
    <row r="254" spans="1:8" ht="9.6" thickTop="1" thickBot="1" x14ac:dyDescent="0.2">
      <c r="A254" s="51">
        <v>43329</v>
      </c>
      <c r="B254" s="49" t="s">
        <v>135</v>
      </c>
      <c r="C254" s="49"/>
      <c r="D254" s="49" t="s">
        <v>49</v>
      </c>
      <c r="E254" s="49" t="s">
        <v>104</v>
      </c>
      <c r="F254" s="49"/>
      <c r="G254" s="49" t="s">
        <v>564</v>
      </c>
      <c r="H254" s="49" t="s">
        <v>1117</v>
      </c>
    </row>
    <row r="255" spans="1:8" ht="9.6" thickTop="1" thickBot="1" x14ac:dyDescent="0.2">
      <c r="A255" s="51">
        <v>43330</v>
      </c>
      <c r="B255" s="49" t="s">
        <v>156</v>
      </c>
      <c r="C255" s="49"/>
      <c r="D255" s="49" t="s">
        <v>124</v>
      </c>
      <c r="E255" s="49" t="s">
        <v>100</v>
      </c>
      <c r="F255" s="49"/>
      <c r="G255" s="49" t="s">
        <v>564</v>
      </c>
      <c r="H255" s="49" t="s">
        <v>1118</v>
      </c>
    </row>
    <row r="256" spans="1:8" ht="9.6" thickTop="1" thickBot="1" x14ac:dyDescent="0.2">
      <c r="A256" s="51">
        <v>43331</v>
      </c>
      <c r="B256" s="49" t="s">
        <v>160</v>
      </c>
      <c r="C256" s="49"/>
      <c r="D256" s="49" t="s">
        <v>49</v>
      </c>
      <c r="E256" s="49" t="s">
        <v>100</v>
      </c>
      <c r="F256" s="49"/>
      <c r="G256" s="49" t="s">
        <v>564</v>
      </c>
      <c r="H256" s="49" t="s">
        <v>1119</v>
      </c>
    </row>
    <row r="257" spans="1:8" ht="9.6" thickTop="1" thickBot="1" x14ac:dyDescent="0.2">
      <c r="A257" s="51">
        <v>43332</v>
      </c>
      <c r="B257" s="49" t="s">
        <v>65</v>
      </c>
      <c r="C257" s="49"/>
      <c r="D257" s="49" t="s">
        <v>142</v>
      </c>
      <c r="E257" s="49" t="s">
        <v>104</v>
      </c>
      <c r="F257" s="49"/>
      <c r="G257" s="49" t="s">
        <v>564</v>
      </c>
      <c r="H257" s="49" t="s">
        <v>1120</v>
      </c>
    </row>
    <row r="258" spans="1:8" ht="9.6" thickTop="1" thickBot="1" x14ac:dyDescent="0.2">
      <c r="A258" s="51">
        <v>43333</v>
      </c>
      <c r="B258" s="49" t="s">
        <v>65</v>
      </c>
      <c r="C258" s="49"/>
      <c r="D258" s="49" t="s">
        <v>142</v>
      </c>
      <c r="E258" s="49" t="s">
        <v>104</v>
      </c>
      <c r="F258" s="49"/>
      <c r="G258" s="49" t="s">
        <v>564</v>
      </c>
      <c r="H258" s="49" t="s">
        <v>1121</v>
      </c>
    </row>
    <row r="259" spans="1:8" ht="9.6" thickTop="1" thickBot="1" x14ac:dyDescent="0.2">
      <c r="A259" s="51">
        <v>43334</v>
      </c>
      <c r="B259" s="49" t="s">
        <v>109</v>
      </c>
      <c r="C259" s="49"/>
      <c r="D259" s="49" t="s">
        <v>124</v>
      </c>
      <c r="E259" s="49" t="s">
        <v>104</v>
      </c>
      <c r="F259" s="49"/>
      <c r="G259" s="49" t="s">
        <v>564</v>
      </c>
      <c r="H259" s="49" t="s">
        <v>1122</v>
      </c>
    </row>
    <row r="260" spans="1:8" ht="9.6" thickTop="1" thickBot="1" x14ac:dyDescent="0.2">
      <c r="A260" s="51">
        <v>43335</v>
      </c>
      <c r="B260" s="49" t="s">
        <v>109</v>
      </c>
      <c r="C260" s="49"/>
      <c r="D260" s="49" t="s">
        <v>54</v>
      </c>
      <c r="E260" s="49" t="s">
        <v>104</v>
      </c>
      <c r="F260" s="49"/>
      <c r="G260" s="49" t="s">
        <v>564</v>
      </c>
      <c r="H260" s="49" t="s">
        <v>1123</v>
      </c>
    </row>
    <row r="261" spans="1:8" ht="9.6" thickTop="1" thickBot="1" x14ac:dyDescent="0.2">
      <c r="A261" s="51">
        <v>43336</v>
      </c>
      <c r="B261" s="49" t="s">
        <v>138</v>
      </c>
      <c r="C261" s="49"/>
      <c r="D261" s="49" t="s">
        <v>124</v>
      </c>
      <c r="E261" s="49" t="s">
        <v>104</v>
      </c>
      <c r="F261" s="49"/>
      <c r="G261" s="49" t="s">
        <v>564</v>
      </c>
      <c r="H261" s="49" t="s">
        <v>1124</v>
      </c>
    </row>
    <row r="262" spans="1:8" ht="9.6" thickTop="1" thickBot="1" x14ac:dyDescent="0.2">
      <c r="A262" s="51">
        <v>43337</v>
      </c>
      <c r="B262" s="49" t="s">
        <v>158</v>
      </c>
      <c r="C262" s="49"/>
      <c r="D262" s="49" t="s">
        <v>54</v>
      </c>
      <c r="E262" s="49" t="s">
        <v>108</v>
      </c>
      <c r="F262" s="49"/>
      <c r="G262" s="49" t="s">
        <v>564</v>
      </c>
      <c r="H262" s="49" t="s">
        <v>1125</v>
      </c>
    </row>
    <row r="263" spans="1:8" ht="9.6" thickTop="1" thickBot="1" x14ac:dyDescent="0.2">
      <c r="A263" s="51">
        <v>43338</v>
      </c>
      <c r="B263" s="49" t="s">
        <v>162</v>
      </c>
      <c r="C263" s="49" t="s">
        <v>15</v>
      </c>
      <c r="D263" s="49" t="s">
        <v>124</v>
      </c>
      <c r="E263" s="49" t="s">
        <v>108</v>
      </c>
      <c r="F263" s="49"/>
      <c r="G263" s="49" t="s">
        <v>564</v>
      </c>
      <c r="H263" s="49" t="s">
        <v>1126</v>
      </c>
    </row>
    <row r="264" spans="1:8" ht="9.6" thickTop="1" thickBot="1" x14ac:dyDescent="0.2">
      <c r="A264" s="51">
        <v>43339</v>
      </c>
      <c r="B264" s="49" t="s">
        <v>71</v>
      </c>
      <c r="C264" s="49"/>
      <c r="D264" s="49" t="s">
        <v>60</v>
      </c>
      <c r="E264" s="49" t="s">
        <v>104</v>
      </c>
      <c r="F264" s="49"/>
      <c r="G264" s="49" t="s">
        <v>564</v>
      </c>
      <c r="H264" s="49" t="s">
        <v>1127</v>
      </c>
    </row>
    <row r="265" spans="1:8" ht="9.6" thickTop="1" thickBot="1" x14ac:dyDescent="0.2">
      <c r="A265" s="51">
        <v>43340</v>
      </c>
      <c r="B265" s="49" t="s">
        <v>71</v>
      </c>
      <c r="C265" s="49"/>
      <c r="D265" s="49" t="s">
        <v>124</v>
      </c>
      <c r="E265" s="49" t="s">
        <v>104</v>
      </c>
      <c r="F265" s="49"/>
      <c r="G265" s="49" t="s">
        <v>564</v>
      </c>
      <c r="H265" s="49" t="s">
        <v>1128</v>
      </c>
    </row>
    <row r="266" spans="1:8" ht="9.6" thickTop="1" thickBot="1" x14ac:dyDescent="0.2">
      <c r="A266" s="51">
        <v>43341</v>
      </c>
      <c r="B266" s="49" t="s">
        <v>112</v>
      </c>
      <c r="C266" s="49"/>
      <c r="D266" s="49" t="s">
        <v>60</v>
      </c>
      <c r="E266" s="49" t="s">
        <v>104</v>
      </c>
      <c r="F266" s="49"/>
      <c r="G266" s="49" t="s">
        <v>564</v>
      </c>
      <c r="H266" s="49" t="s">
        <v>1129</v>
      </c>
    </row>
    <row r="267" spans="1:8" ht="9.6" thickTop="1" thickBot="1" x14ac:dyDescent="0.2">
      <c r="A267" s="51">
        <v>43342</v>
      </c>
      <c r="B267" s="49" t="s">
        <v>112</v>
      </c>
      <c r="C267" s="49"/>
      <c r="D267" s="49" t="s">
        <v>124</v>
      </c>
      <c r="E267" s="49" t="s">
        <v>104</v>
      </c>
      <c r="F267" s="49"/>
      <c r="G267" s="49" t="s">
        <v>564</v>
      </c>
      <c r="H267" s="49" t="s">
        <v>1130</v>
      </c>
    </row>
    <row r="268" spans="1:8" ht="9.6" thickTop="1" thickBot="1" x14ac:dyDescent="0.2">
      <c r="A268" s="51">
        <v>43343</v>
      </c>
      <c r="B268" s="49" t="s">
        <v>141</v>
      </c>
      <c r="C268" s="49"/>
      <c r="D268" s="49" t="s">
        <v>66</v>
      </c>
      <c r="E268" s="49" t="s">
        <v>104</v>
      </c>
      <c r="F268" s="49"/>
      <c r="G268" s="49" t="s">
        <v>564</v>
      </c>
      <c r="H268" s="49" t="s">
        <v>1131</v>
      </c>
    </row>
    <row r="269" spans="1:8" ht="9.6" thickTop="1" thickBot="1" x14ac:dyDescent="0.2">
      <c r="A269" s="66" t="s">
        <v>1099</v>
      </c>
      <c r="B269" s="66"/>
      <c r="C269" s="66"/>
      <c r="D269" s="66"/>
      <c r="E269" s="66"/>
      <c r="F269" s="66"/>
      <c r="G269" s="66"/>
      <c r="H269" s="66"/>
    </row>
    <row r="270" spans="1:8" ht="9.6" thickTop="1" thickBot="1" x14ac:dyDescent="0.2">
      <c r="A270" s="66" t="s">
        <v>539</v>
      </c>
      <c r="B270" s="66"/>
      <c r="C270" s="66"/>
      <c r="D270" s="66"/>
      <c r="E270" s="66"/>
      <c r="F270" s="66"/>
      <c r="G270" s="66"/>
      <c r="H270" s="66"/>
    </row>
    <row r="271" spans="1:8" ht="9.6" thickTop="1" thickBot="1" x14ac:dyDescent="0.2">
      <c r="A271" s="50" t="s">
        <v>515</v>
      </c>
      <c r="B271" s="50" t="s">
        <v>522</v>
      </c>
      <c r="C271" s="50" t="s">
        <v>6</v>
      </c>
      <c r="D271" s="50" t="s">
        <v>528</v>
      </c>
      <c r="E271" s="50" t="s">
        <v>517</v>
      </c>
      <c r="F271" s="50" t="s">
        <v>533</v>
      </c>
      <c r="G271" s="50" t="s">
        <v>537</v>
      </c>
      <c r="H271" s="49" t="s">
        <v>514</v>
      </c>
    </row>
    <row r="272" spans="1:8" ht="9.6" thickTop="1" thickBot="1" x14ac:dyDescent="0.2">
      <c r="A272" s="51">
        <v>43344</v>
      </c>
      <c r="B272" s="49" t="s">
        <v>153</v>
      </c>
      <c r="C272" s="49"/>
      <c r="D272" s="49" t="s">
        <v>124</v>
      </c>
      <c r="E272" s="49" t="s">
        <v>93</v>
      </c>
      <c r="F272" s="49"/>
      <c r="G272" s="50" t="s">
        <v>565</v>
      </c>
      <c r="H272" s="49" t="s">
        <v>1132</v>
      </c>
    </row>
    <row r="273" spans="1:8" ht="9.6" thickTop="1" thickBot="1" x14ac:dyDescent="0.2">
      <c r="A273" s="51">
        <v>43345</v>
      </c>
      <c r="B273" s="49" t="s">
        <v>53</v>
      </c>
      <c r="C273" s="49"/>
      <c r="D273" s="49" t="s">
        <v>66</v>
      </c>
      <c r="E273" s="49" t="s">
        <v>93</v>
      </c>
      <c r="F273" s="49"/>
      <c r="G273" s="49" t="s">
        <v>565</v>
      </c>
      <c r="H273" s="49" t="s">
        <v>1133</v>
      </c>
    </row>
    <row r="274" spans="1:8" ht="9.6" thickTop="1" thickBot="1" x14ac:dyDescent="0.2">
      <c r="A274" s="51">
        <v>43346</v>
      </c>
      <c r="B274" s="49" t="s">
        <v>77</v>
      </c>
      <c r="C274" s="49"/>
      <c r="D274" s="49" t="s">
        <v>124</v>
      </c>
      <c r="E274" s="49" t="s">
        <v>104</v>
      </c>
      <c r="F274" s="49"/>
      <c r="G274" s="49" t="s">
        <v>565</v>
      </c>
      <c r="H274" s="49" t="s">
        <v>1134</v>
      </c>
    </row>
    <row r="275" spans="1:8" ht="9.6" thickTop="1" thickBot="1" x14ac:dyDescent="0.2">
      <c r="A275" s="51">
        <v>43347</v>
      </c>
      <c r="B275" s="49" t="s">
        <v>77</v>
      </c>
      <c r="C275" s="49"/>
      <c r="D275" s="49" t="s">
        <v>72</v>
      </c>
      <c r="E275" s="49" t="s">
        <v>104</v>
      </c>
      <c r="F275" s="49"/>
      <c r="G275" s="49" t="s">
        <v>565</v>
      </c>
      <c r="H275" s="49" t="s">
        <v>1135</v>
      </c>
    </row>
    <row r="276" spans="1:8" ht="9.6" thickTop="1" thickBot="1" x14ac:dyDescent="0.2">
      <c r="A276" s="51">
        <v>43348</v>
      </c>
      <c r="B276" s="49" t="s">
        <v>116</v>
      </c>
      <c r="C276" s="49"/>
      <c r="D276" s="49" t="s">
        <v>124</v>
      </c>
      <c r="E276" s="49" t="s">
        <v>104</v>
      </c>
      <c r="F276" s="49"/>
      <c r="G276" s="49" t="s">
        <v>565</v>
      </c>
      <c r="H276" s="49" t="s">
        <v>1136</v>
      </c>
    </row>
    <row r="277" spans="1:8" ht="9.6" thickTop="1" thickBot="1" x14ac:dyDescent="0.2">
      <c r="A277" s="51">
        <v>43349</v>
      </c>
      <c r="B277" s="49" t="s">
        <v>116</v>
      </c>
      <c r="C277" s="49"/>
      <c r="D277" s="49" t="s">
        <v>72</v>
      </c>
      <c r="E277" s="49" t="s">
        <v>104</v>
      </c>
      <c r="F277" s="49"/>
      <c r="G277" s="49" t="s">
        <v>565</v>
      </c>
      <c r="H277" s="49" t="s">
        <v>1137</v>
      </c>
    </row>
    <row r="278" spans="1:8" ht="9.6" thickTop="1" thickBot="1" x14ac:dyDescent="0.2">
      <c r="A278" s="51">
        <v>43350</v>
      </c>
      <c r="B278" s="49" t="s">
        <v>144</v>
      </c>
      <c r="C278" s="49"/>
      <c r="D278" s="49" t="s">
        <v>124</v>
      </c>
      <c r="E278" s="49" t="s">
        <v>104</v>
      </c>
      <c r="F278" s="49"/>
      <c r="G278" s="49" t="s">
        <v>565</v>
      </c>
      <c r="H278" s="49" t="s">
        <v>1138</v>
      </c>
    </row>
    <row r="279" spans="1:8" ht="9.6" thickTop="1" thickBot="1" x14ac:dyDescent="0.2">
      <c r="A279" s="51">
        <v>43351</v>
      </c>
      <c r="B279" s="49" t="s">
        <v>156</v>
      </c>
      <c r="C279" s="49"/>
      <c r="D279" s="49" t="s">
        <v>78</v>
      </c>
      <c r="E279" s="49" t="s">
        <v>115</v>
      </c>
      <c r="F279" s="49"/>
      <c r="G279" s="49" t="s">
        <v>565</v>
      </c>
      <c r="H279" s="49" t="s">
        <v>1139</v>
      </c>
    </row>
    <row r="280" spans="1:8" ht="9.6" thickTop="1" thickBot="1" x14ac:dyDescent="0.2">
      <c r="A280" s="51">
        <v>43352</v>
      </c>
      <c r="B280" s="49" t="s">
        <v>160</v>
      </c>
      <c r="C280" s="49"/>
      <c r="D280" s="49" t="s">
        <v>124</v>
      </c>
      <c r="E280" s="49" t="s">
        <v>115</v>
      </c>
      <c r="F280" s="49"/>
      <c r="G280" s="49" t="s">
        <v>565</v>
      </c>
      <c r="H280" s="49" t="s">
        <v>1140</v>
      </c>
    </row>
    <row r="281" spans="1:8" ht="9.6" thickTop="1" thickBot="1" x14ac:dyDescent="0.2">
      <c r="A281" s="51">
        <v>43353</v>
      </c>
      <c r="B281" s="49" t="s">
        <v>83</v>
      </c>
      <c r="C281" s="49"/>
      <c r="D281" s="49" t="s">
        <v>78</v>
      </c>
      <c r="E281" s="49" t="s">
        <v>104</v>
      </c>
      <c r="F281" s="49"/>
      <c r="G281" s="49" t="s">
        <v>565</v>
      </c>
      <c r="H281" s="49" t="s">
        <v>1141</v>
      </c>
    </row>
    <row r="282" spans="1:8" ht="9.6" thickTop="1" thickBot="1" x14ac:dyDescent="0.2">
      <c r="A282" s="51">
        <v>43354</v>
      </c>
      <c r="B282" s="49" t="s">
        <v>83</v>
      </c>
      <c r="C282" s="49"/>
      <c r="D282" s="49" t="s">
        <v>124</v>
      </c>
      <c r="E282" s="49" t="s">
        <v>104</v>
      </c>
      <c r="F282" s="49"/>
      <c r="G282" s="49" t="s">
        <v>565</v>
      </c>
      <c r="H282" s="49" t="s">
        <v>1142</v>
      </c>
    </row>
    <row r="283" spans="1:8" ht="9.6" thickTop="1" thickBot="1" x14ac:dyDescent="0.2">
      <c r="A283" s="51">
        <v>43355</v>
      </c>
      <c r="B283" s="49" t="s">
        <v>97</v>
      </c>
      <c r="C283" s="49"/>
      <c r="D283" s="49" t="s">
        <v>84</v>
      </c>
      <c r="E283" s="49" t="s">
        <v>104</v>
      </c>
      <c r="F283" s="49"/>
      <c r="G283" s="49" t="s">
        <v>565</v>
      </c>
      <c r="H283" s="49" t="s">
        <v>1143</v>
      </c>
    </row>
    <row r="284" spans="1:8" ht="9.6" thickTop="1" thickBot="1" x14ac:dyDescent="0.2">
      <c r="A284" s="51">
        <v>43356</v>
      </c>
      <c r="B284" s="49" t="s">
        <v>97</v>
      </c>
      <c r="C284" s="49"/>
      <c r="D284" s="49" t="s">
        <v>124</v>
      </c>
      <c r="E284" s="49" t="s">
        <v>104</v>
      </c>
      <c r="F284" s="49"/>
      <c r="G284" s="49" t="s">
        <v>565</v>
      </c>
      <c r="H284" s="49" t="s">
        <v>1144</v>
      </c>
    </row>
    <row r="285" spans="1:8" ht="9.6" thickTop="1" thickBot="1" x14ac:dyDescent="0.2">
      <c r="A285" s="51">
        <v>43357</v>
      </c>
      <c r="B285" s="49" t="s">
        <v>147</v>
      </c>
      <c r="C285" s="49"/>
      <c r="D285" s="49" t="s">
        <v>84</v>
      </c>
      <c r="E285" s="49" t="s">
        <v>104</v>
      </c>
      <c r="F285" s="49"/>
      <c r="G285" s="49" t="s">
        <v>565</v>
      </c>
      <c r="H285" s="49" t="s">
        <v>1145</v>
      </c>
    </row>
    <row r="286" spans="1:8" ht="9.6" thickTop="1" thickBot="1" x14ac:dyDescent="0.2">
      <c r="A286" s="51">
        <v>43358</v>
      </c>
      <c r="B286" s="49" t="s">
        <v>158</v>
      </c>
      <c r="C286" s="49"/>
      <c r="D286" s="49" t="s">
        <v>124</v>
      </c>
      <c r="E286" s="49" t="s">
        <v>119</v>
      </c>
      <c r="F286" s="49"/>
      <c r="G286" s="49" t="s">
        <v>565</v>
      </c>
      <c r="H286" s="49" t="s">
        <v>1146</v>
      </c>
    </row>
    <row r="287" spans="1:8" ht="9.6" thickTop="1" thickBot="1" x14ac:dyDescent="0.2">
      <c r="A287" s="51">
        <v>43359</v>
      </c>
      <c r="B287" s="49" t="s">
        <v>162</v>
      </c>
      <c r="C287" s="49" t="s">
        <v>15</v>
      </c>
      <c r="D287" s="49" t="s">
        <v>90</v>
      </c>
      <c r="E287" s="49" t="s">
        <v>119</v>
      </c>
      <c r="F287" s="49"/>
      <c r="G287" s="49" t="s">
        <v>565</v>
      </c>
      <c r="H287" s="49" t="s">
        <v>1147</v>
      </c>
    </row>
    <row r="288" spans="1:8" ht="9.6" thickTop="1" thickBot="1" x14ac:dyDescent="0.2">
      <c r="A288" s="51">
        <v>43360</v>
      </c>
      <c r="B288" s="49" t="s">
        <v>89</v>
      </c>
      <c r="C288" s="49"/>
      <c r="D288" s="49" t="s">
        <v>124</v>
      </c>
      <c r="E288" s="49" t="s">
        <v>104</v>
      </c>
      <c r="F288" s="49"/>
      <c r="G288" s="49" t="s">
        <v>565</v>
      </c>
      <c r="H288" s="49" t="s">
        <v>1148</v>
      </c>
    </row>
    <row r="289" spans="1:8" ht="9.6" thickTop="1" thickBot="1" x14ac:dyDescent="0.2">
      <c r="A289" s="51">
        <v>43361</v>
      </c>
      <c r="B289" s="49" t="s">
        <v>89</v>
      </c>
      <c r="C289" s="49"/>
      <c r="D289" s="49" t="s">
        <v>90</v>
      </c>
      <c r="E289" s="49" t="s">
        <v>104</v>
      </c>
      <c r="F289" s="49"/>
      <c r="G289" s="49" t="s">
        <v>565</v>
      </c>
      <c r="H289" s="49" t="s">
        <v>1149</v>
      </c>
    </row>
    <row r="290" spans="1:8" ht="9.6" thickTop="1" thickBot="1" x14ac:dyDescent="0.2">
      <c r="A290" s="51">
        <v>43362</v>
      </c>
      <c r="B290" s="49" t="s">
        <v>101</v>
      </c>
      <c r="C290" s="49"/>
      <c r="D290" s="49" t="s">
        <v>124</v>
      </c>
      <c r="E290" s="49" t="s">
        <v>104</v>
      </c>
      <c r="F290" s="49"/>
      <c r="G290" s="49" t="s">
        <v>565</v>
      </c>
      <c r="H290" s="49" t="s">
        <v>1150</v>
      </c>
    </row>
    <row r="291" spans="1:8" ht="9.6" thickTop="1" thickBot="1" x14ac:dyDescent="0.2">
      <c r="A291" s="51">
        <v>43363</v>
      </c>
      <c r="B291" s="49" t="s">
        <v>101</v>
      </c>
      <c r="C291" s="49"/>
      <c r="D291" s="49" t="s">
        <v>94</v>
      </c>
      <c r="E291" s="49" t="s">
        <v>104</v>
      </c>
      <c r="F291" s="49"/>
      <c r="G291" s="49" t="s">
        <v>565</v>
      </c>
      <c r="H291" s="49" t="s">
        <v>1151</v>
      </c>
    </row>
    <row r="292" spans="1:8" ht="9.6" thickTop="1" thickBot="1" x14ac:dyDescent="0.2">
      <c r="A292" s="51">
        <v>43364</v>
      </c>
      <c r="B292" s="49" t="s">
        <v>150</v>
      </c>
      <c r="C292" s="49"/>
      <c r="D292" s="49" t="s">
        <v>124</v>
      </c>
      <c r="E292" s="49" t="s">
        <v>104</v>
      </c>
      <c r="F292" s="49"/>
      <c r="G292" s="49" t="s">
        <v>565</v>
      </c>
      <c r="H292" s="49" t="s">
        <v>1152</v>
      </c>
    </row>
    <row r="293" spans="1:8" ht="9.6" thickTop="1" thickBot="1" x14ac:dyDescent="0.2">
      <c r="A293" s="51">
        <v>43365</v>
      </c>
      <c r="B293" s="49" t="s">
        <v>153</v>
      </c>
      <c r="C293" s="49"/>
      <c r="D293" s="49" t="s">
        <v>94</v>
      </c>
      <c r="E293" s="49" t="s">
        <v>122</v>
      </c>
      <c r="F293" s="49"/>
      <c r="G293" s="49" t="s">
        <v>565</v>
      </c>
      <c r="H293" s="49" t="s">
        <v>1153</v>
      </c>
    </row>
    <row r="294" spans="1:8" ht="9.6" thickTop="1" thickBot="1" x14ac:dyDescent="0.2">
      <c r="A294" s="51">
        <v>43366</v>
      </c>
      <c r="B294" s="49" t="s">
        <v>53</v>
      </c>
      <c r="C294" s="49"/>
      <c r="D294" s="49" t="s">
        <v>124</v>
      </c>
      <c r="E294" s="49" t="s">
        <v>122</v>
      </c>
      <c r="F294" s="49"/>
      <c r="G294" s="49" t="s">
        <v>565</v>
      </c>
      <c r="H294" s="49" t="s">
        <v>1154</v>
      </c>
    </row>
    <row r="295" spans="1:8" ht="9.6" thickTop="1" thickBot="1" x14ac:dyDescent="0.2">
      <c r="A295" s="51">
        <v>43367</v>
      </c>
      <c r="B295" s="49" t="s">
        <v>93</v>
      </c>
      <c r="C295" s="49"/>
      <c r="D295" s="49" t="s">
        <v>98</v>
      </c>
      <c r="E295" s="49" t="s">
        <v>104</v>
      </c>
      <c r="F295" s="49"/>
      <c r="G295" s="49" t="s">
        <v>565</v>
      </c>
      <c r="H295" s="49" t="s">
        <v>1155</v>
      </c>
    </row>
    <row r="296" spans="1:8" ht="9.6" thickTop="1" thickBot="1" x14ac:dyDescent="0.2">
      <c r="A296" s="51">
        <v>43368</v>
      </c>
      <c r="B296" s="49" t="s">
        <v>93</v>
      </c>
      <c r="C296" s="49"/>
      <c r="D296" s="49" t="s">
        <v>124</v>
      </c>
      <c r="E296" s="49" t="s">
        <v>104</v>
      </c>
      <c r="F296" s="49"/>
      <c r="G296" s="49" t="s">
        <v>565</v>
      </c>
      <c r="H296" s="49" t="s">
        <v>1156</v>
      </c>
    </row>
    <row r="297" spans="1:8" ht="9.6" thickTop="1" thickBot="1" x14ac:dyDescent="0.2">
      <c r="A297" s="51">
        <v>43369</v>
      </c>
      <c r="B297" s="49" t="s">
        <v>105</v>
      </c>
      <c r="C297" s="49"/>
      <c r="D297" s="49" t="s">
        <v>98</v>
      </c>
      <c r="E297" s="49" t="s">
        <v>104</v>
      </c>
      <c r="F297" s="49"/>
      <c r="G297" s="49" t="s">
        <v>565</v>
      </c>
      <c r="H297" s="49" t="s">
        <v>1157</v>
      </c>
    </row>
    <row r="298" spans="1:8" ht="9.6" thickTop="1" thickBot="1" x14ac:dyDescent="0.2">
      <c r="A298" s="51">
        <v>43370</v>
      </c>
      <c r="B298" s="49" t="s">
        <v>105</v>
      </c>
      <c r="C298" s="49"/>
      <c r="D298" s="49" t="s">
        <v>124</v>
      </c>
      <c r="E298" s="49" t="s">
        <v>104</v>
      </c>
      <c r="F298" s="49"/>
      <c r="G298" s="49" t="s">
        <v>565</v>
      </c>
      <c r="H298" s="49" t="s">
        <v>1158</v>
      </c>
    </row>
    <row r="299" spans="1:8" ht="9.6" thickTop="1" thickBot="1" x14ac:dyDescent="0.2">
      <c r="A299" s="51">
        <v>43371</v>
      </c>
      <c r="B299" s="49" t="s">
        <v>15</v>
      </c>
      <c r="C299" s="49"/>
      <c r="D299" s="49" t="s">
        <v>102</v>
      </c>
      <c r="E299" s="49" t="s">
        <v>104</v>
      </c>
      <c r="F299" s="49"/>
      <c r="G299" s="49" t="s">
        <v>565</v>
      </c>
      <c r="H299" s="49" t="s">
        <v>1159</v>
      </c>
    </row>
    <row r="300" spans="1:8" ht="9.6" thickTop="1" thickBot="1" x14ac:dyDescent="0.2">
      <c r="A300" s="51">
        <v>43372</v>
      </c>
      <c r="B300" s="49" t="s">
        <v>156</v>
      </c>
      <c r="C300" s="49"/>
      <c r="D300" s="49" t="s">
        <v>124</v>
      </c>
      <c r="E300" s="49" t="s">
        <v>14</v>
      </c>
      <c r="F300" s="49"/>
      <c r="G300" s="49" t="s">
        <v>565</v>
      </c>
      <c r="H300" s="49" t="s">
        <v>1160</v>
      </c>
    </row>
    <row r="301" spans="1:8" ht="9.6" thickTop="1" thickBot="1" x14ac:dyDescent="0.2">
      <c r="A301" s="51">
        <v>43373</v>
      </c>
      <c r="B301" s="49" t="s">
        <v>160</v>
      </c>
      <c r="C301" s="49"/>
      <c r="D301" s="49" t="s">
        <v>106</v>
      </c>
      <c r="E301" s="49" t="s">
        <v>14</v>
      </c>
      <c r="F301" s="49"/>
      <c r="G301" s="49" t="s">
        <v>565</v>
      </c>
      <c r="H301" s="49" t="s">
        <v>1161</v>
      </c>
    </row>
    <row r="302" spans="1:8" ht="9.6" thickTop="1" thickBot="1" x14ac:dyDescent="0.2">
      <c r="A302" s="66" t="s">
        <v>1099</v>
      </c>
      <c r="B302" s="66"/>
      <c r="C302" s="66"/>
      <c r="D302" s="66"/>
      <c r="E302" s="66"/>
      <c r="F302" s="66"/>
      <c r="G302" s="66"/>
      <c r="H302" s="66"/>
    </row>
    <row r="303" spans="1:8" ht="9.6" thickTop="1" thickBot="1" x14ac:dyDescent="0.2">
      <c r="A303" s="66" t="s">
        <v>540</v>
      </c>
      <c r="B303" s="66"/>
      <c r="C303" s="66"/>
      <c r="D303" s="66"/>
      <c r="E303" s="66"/>
      <c r="F303" s="66"/>
      <c r="G303" s="66"/>
      <c r="H303" s="66"/>
    </row>
    <row r="304" spans="1:8" ht="9.6" thickTop="1" thickBot="1" x14ac:dyDescent="0.2">
      <c r="A304" s="50" t="s">
        <v>515</v>
      </c>
      <c r="B304" s="50" t="s">
        <v>522</v>
      </c>
      <c r="C304" s="50" t="s">
        <v>6</v>
      </c>
      <c r="D304" s="50" t="s">
        <v>528</v>
      </c>
      <c r="E304" s="50" t="s">
        <v>517</v>
      </c>
      <c r="F304" s="50" t="s">
        <v>533</v>
      </c>
      <c r="G304" s="50" t="s">
        <v>537</v>
      </c>
      <c r="H304" s="49" t="s">
        <v>514</v>
      </c>
    </row>
    <row r="305" spans="1:8" ht="9.6" thickTop="1" thickBot="1" x14ac:dyDescent="0.2">
      <c r="A305" s="51">
        <v>43374</v>
      </c>
      <c r="B305" s="49" t="s">
        <v>16</v>
      </c>
      <c r="C305" s="49"/>
      <c r="D305" s="49" t="s">
        <v>136</v>
      </c>
      <c r="E305" s="49" t="s">
        <v>104</v>
      </c>
      <c r="F305" s="49"/>
      <c r="G305" s="49" t="s">
        <v>566</v>
      </c>
      <c r="H305" s="49" t="s">
        <v>1162</v>
      </c>
    </row>
    <row r="306" spans="1:8" ht="9.6" thickTop="1" thickBot="1" x14ac:dyDescent="0.2">
      <c r="A306" s="51">
        <v>43375</v>
      </c>
      <c r="B306" s="49" t="s">
        <v>16</v>
      </c>
      <c r="C306" s="49"/>
      <c r="D306" s="49" t="s">
        <v>136</v>
      </c>
      <c r="E306" s="49" t="s">
        <v>104</v>
      </c>
      <c r="F306" s="49"/>
      <c r="G306" s="49" t="s">
        <v>566</v>
      </c>
      <c r="H306" s="49" t="s">
        <v>1163</v>
      </c>
    </row>
    <row r="307" spans="1:8" ht="9.6" thickTop="1" thickBot="1" x14ac:dyDescent="0.2">
      <c r="A307" s="51">
        <v>43376</v>
      </c>
      <c r="B307" s="49" t="s">
        <v>109</v>
      </c>
      <c r="C307" s="49"/>
      <c r="D307" s="49" t="s">
        <v>124</v>
      </c>
      <c r="E307" s="49" t="s">
        <v>104</v>
      </c>
      <c r="F307" s="49"/>
      <c r="G307" s="49" t="s">
        <v>566</v>
      </c>
      <c r="H307" s="49" t="s">
        <v>1164</v>
      </c>
    </row>
    <row r="308" spans="1:8" ht="9.6" thickTop="1" thickBot="1" x14ac:dyDescent="0.2">
      <c r="A308" s="51">
        <v>43377</v>
      </c>
      <c r="B308" s="49" t="s">
        <v>109</v>
      </c>
      <c r="C308" s="49"/>
      <c r="D308" s="49" t="s">
        <v>106</v>
      </c>
      <c r="E308" s="49" t="s">
        <v>104</v>
      </c>
      <c r="F308" s="49"/>
      <c r="G308" s="49" t="s">
        <v>566</v>
      </c>
      <c r="H308" s="49" t="s">
        <v>1165</v>
      </c>
    </row>
    <row r="309" spans="1:8" ht="9.6" thickTop="1" thickBot="1" x14ac:dyDescent="0.2">
      <c r="A309" s="51">
        <v>43378</v>
      </c>
      <c r="B309" s="49" t="s">
        <v>123</v>
      </c>
      <c r="C309" s="49"/>
      <c r="D309" s="49" t="s">
        <v>124</v>
      </c>
      <c r="E309" s="49" t="s">
        <v>104</v>
      </c>
      <c r="F309" s="49"/>
      <c r="G309" s="49" t="s">
        <v>566</v>
      </c>
      <c r="H309" s="49" t="s">
        <v>1166</v>
      </c>
    </row>
    <row r="310" spans="1:8" ht="9.6" thickTop="1" thickBot="1" x14ac:dyDescent="0.2">
      <c r="A310" s="51">
        <v>43379</v>
      </c>
      <c r="B310" s="49" t="s">
        <v>158</v>
      </c>
      <c r="C310" s="49"/>
      <c r="D310" s="49" t="s">
        <v>110</v>
      </c>
      <c r="E310" s="49" t="s">
        <v>22</v>
      </c>
      <c r="F310" s="49"/>
      <c r="G310" s="49" t="s">
        <v>566</v>
      </c>
      <c r="H310" s="49" t="s">
        <v>1167</v>
      </c>
    </row>
    <row r="311" spans="1:8" ht="9.6" thickTop="1" thickBot="1" x14ac:dyDescent="0.2">
      <c r="A311" s="51">
        <v>43380</v>
      </c>
      <c r="B311" s="49" t="s">
        <v>162</v>
      </c>
      <c r="C311" s="49" t="s">
        <v>15</v>
      </c>
      <c r="D311" s="49" t="s">
        <v>124</v>
      </c>
      <c r="E311" s="49" t="s">
        <v>22</v>
      </c>
      <c r="F311" s="49"/>
      <c r="G311" s="49" t="s">
        <v>566</v>
      </c>
      <c r="H311" s="49" t="s">
        <v>1168</v>
      </c>
    </row>
    <row r="312" spans="1:8" ht="9.6" thickTop="1" thickBot="1" x14ac:dyDescent="0.2">
      <c r="A312" s="51">
        <v>43381</v>
      </c>
      <c r="B312" s="49" t="s">
        <v>23</v>
      </c>
      <c r="C312" s="49"/>
      <c r="D312" s="49" t="s">
        <v>139</v>
      </c>
      <c r="E312" s="49" t="s">
        <v>104</v>
      </c>
      <c r="F312" s="49"/>
      <c r="G312" s="49" t="s">
        <v>566</v>
      </c>
      <c r="H312" s="49" t="s">
        <v>1169</v>
      </c>
    </row>
    <row r="313" spans="1:8" ht="9.6" thickTop="1" thickBot="1" x14ac:dyDescent="0.2">
      <c r="A313" s="51">
        <v>43382</v>
      </c>
      <c r="B313" s="49" t="s">
        <v>23</v>
      </c>
      <c r="C313" s="49"/>
      <c r="D313" s="49" t="s">
        <v>139</v>
      </c>
      <c r="E313" s="49" t="s">
        <v>104</v>
      </c>
      <c r="F313" s="49"/>
      <c r="G313" s="49" t="s">
        <v>566</v>
      </c>
      <c r="H313" s="49" t="s">
        <v>1170</v>
      </c>
    </row>
    <row r="314" spans="1:8" ht="9.6" thickTop="1" thickBot="1" x14ac:dyDescent="0.2">
      <c r="A314" s="51">
        <v>43383</v>
      </c>
      <c r="B314" s="49" t="s">
        <v>112</v>
      </c>
      <c r="C314" s="49"/>
      <c r="D314" s="49" t="s">
        <v>110</v>
      </c>
      <c r="E314" s="49" t="s">
        <v>104</v>
      </c>
      <c r="F314" s="49"/>
      <c r="G314" s="49" t="s">
        <v>566</v>
      </c>
      <c r="H314" s="49" t="s">
        <v>1171</v>
      </c>
    </row>
    <row r="315" spans="1:8" ht="9.6" thickTop="1" thickBot="1" x14ac:dyDescent="0.2">
      <c r="A315" s="51">
        <v>43384</v>
      </c>
      <c r="B315" s="49" t="s">
        <v>112</v>
      </c>
      <c r="C315" s="49"/>
      <c r="D315" s="49" t="s">
        <v>124</v>
      </c>
      <c r="E315" s="49" t="s">
        <v>104</v>
      </c>
      <c r="F315" s="49"/>
      <c r="G315" s="49" t="s">
        <v>566</v>
      </c>
      <c r="H315" s="49" t="s">
        <v>1172</v>
      </c>
    </row>
    <row r="316" spans="1:8" ht="9.6" thickTop="1" thickBot="1" x14ac:dyDescent="0.2">
      <c r="A316" s="51">
        <v>43385</v>
      </c>
      <c r="B316" s="49" t="s">
        <v>126</v>
      </c>
      <c r="C316" s="49"/>
      <c r="D316" s="49" t="s">
        <v>113</v>
      </c>
      <c r="E316" s="49" t="s">
        <v>104</v>
      </c>
      <c r="F316" s="49"/>
      <c r="G316" s="49" t="s">
        <v>566</v>
      </c>
      <c r="H316" s="49" t="s">
        <v>1173</v>
      </c>
    </row>
    <row r="317" spans="1:8" ht="9.6" thickTop="1" thickBot="1" x14ac:dyDescent="0.2">
      <c r="A317" s="51">
        <v>43386</v>
      </c>
      <c r="B317" s="49" t="s">
        <v>153</v>
      </c>
      <c r="C317" s="49"/>
      <c r="D317" s="49" t="s">
        <v>124</v>
      </c>
      <c r="E317" s="49" t="s">
        <v>29</v>
      </c>
      <c r="F317" s="49"/>
      <c r="G317" s="49" t="s">
        <v>566</v>
      </c>
      <c r="H317" s="49" t="s">
        <v>1174</v>
      </c>
    </row>
    <row r="318" spans="1:8" ht="9.6" thickTop="1" thickBot="1" x14ac:dyDescent="0.2">
      <c r="A318" s="51">
        <v>43387</v>
      </c>
      <c r="B318" s="49" t="s">
        <v>53</v>
      </c>
      <c r="C318" s="49"/>
      <c r="D318" s="49" t="s">
        <v>113</v>
      </c>
      <c r="E318" s="49" t="s">
        <v>29</v>
      </c>
      <c r="F318" s="49"/>
      <c r="G318" s="49" t="s">
        <v>566</v>
      </c>
      <c r="H318" s="49" t="s">
        <v>1175</v>
      </c>
    </row>
    <row r="319" spans="1:8" ht="9.6" thickTop="1" thickBot="1" x14ac:dyDescent="0.2">
      <c r="A319" s="51">
        <v>43388</v>
      </c>
      <c r="B319" s="49" t="s">
        <v>30</v>
      </c>
      <c r="C319" s="49"/>
      <c r="D319" s="49" t="s">
        <v>124</v>
      </c>
      <c r="E319" s="49" t="s">
        <v>104</v>
      </c>
      <c r="F319" s="49"/>
      <c r="G319" s="49" t="s">
        <v>566</v>
      </c>
      <c r="H319" s="49" t="s">
        <v>1176</v>
      </c>
    </row>
    <row r="320" spans="1:8" ht="9.6" thickTop="1" thickBot="1" x14ac:dyDescent="0.2">
      <c r="A320" s="51">
        <v>43389</v>
      </c>
      <c r="B320" s="49" t="s">
        <v>30</v>
      </c>
      <c r="C320" s="49"/>
      <c r="D320" s="49" t="s">
        <v>117</v>
      </c>
      <c r="E320" s="49" t="s">
        <v>104</v>
      </c>
      <c r="F320" s="49"/>
      <c r="G320" s="49" t="s">
        <v>566</v>
      </c>
      <c r="H320" s="49" t="s">
        <v>1177</v>
      </c>
    </row>
    <row r="321" spans="1:8" ht="9.6" thickTop="1" thickBot="1" x14ac:dyDescent="0.2">
      <c r="A321" s="51">
        <v>43390</v>
      </c>
      <c r="B321" s="49" t="s">
        <v>116</v>
      </c>
      <c r="C321" s="49"/>
      <c r="D321" s="49" t="s">
        <v>124</v>
      </c>
      <c r="E321" s="49" t="s">
        <v>104</v>
      </c>
      <c r="F321" s="49"/>
      <c r="G321" s="49" t="s">
        <v>566</v>
      </c>
      <c r="H321" s="49" t="s">
        <v>1178</v>
      </c>
    </row>
    <row r="322" spans="1:8" ht="9.6" thickTop="1" thickBot="1" x14ac:dyDescent="0.2">
      <c r="A322" s="51">
        <v>43391</v>
      </c>
      <c r="B322" s="49" t="s">
        <v>116</v>
      </c>
      <c r="C322" s="49"/>
      <c r="D322" s="49" t="s">
        <v>117</v>
      </c>
      <c r="E322" s="49" t="s">
        <v>104</v>
      </c>
      <c r="F322" s="49"/>
      <c r="G322" s="49" t="s">
        <v>566</v>
      </c>
      <c r="H322" s="49" t="s">
        <v>1179</v>
      </c>
    </row>
    <row r="323" spans="1:8" ht="9.6" thickTop="1" thickBot="1" x14ac:dyDescent="0.2">
      <c r="A323" s="51">
        <v>43392</v>
      </c>
      <c r="B323" s="49" t="s">
        <v>129</v>
      </c>
      <c r="C323" s="49"/>
      <c r="D323" s="49" t="s">
        <v>124</v>
      </c>
      <c r="E323" s="49" t="s">
        <v>104</v>
      </c>
      <c r="F323" s="49"/>
      <c r="G323" s="49" t="s">
        <v>566</v>
      </c>
      <c r="H323" s="49" t="s">
        <v>1180</v>
      </c>
    </row>
    <row r="324" spans="1:8" ht="9.6" thickTop="1" thickBot="1" x14ac:dyDescent="0.2">
      <c r="A324" s="51">
        <v>43393</v>
      </c>
      <c r="B324" s="49" t="s">
        <v>156</v>
      </c>
      <c r="C324" s="49"/>
      <c r="D324" s="49" t="s">
        <v>120</v>
      </c>
      <c r="E324" s="49" t="s">
        <v>35</v>
      </c>
      <c r="F324" s="49"/>
      <c r="G324" s="49" t="s">
        <v>566</v>
      </c>
      <c r="H324" s="49" t="s">
        <v>1181</v>
      </c>
    </row>
    <row r="325" spans="1:8" ht="9.6" thickTop="1" thickBot="1" x14ac:dyDescent="0.2">
      <c r="A325" s="51">
        <v>43394</v>
      </c>
      <c r="B325" s="49" t="s">
        <v>160</v>
      </c>
      <c r="C325" s="49"/>
      <c r="D325" s="49" t="s">
        <v>124</v>
      </c>
      <c r="E325" s="49" t="s">
        <v>35</v>
      </c>
      <c r="F325" s="49"/>
      <c r="G325" s="49" t="s">
        <v>566</v>
      </c>
      <c r="H325" s="49" t="s">
        <v>1182</v>
      </c>
    </row>
    <row r="326" spans="1:8" ht="9.6" thickTop="1" thickBot="1" x14ac:dyDescent="0.2">
      <c r="A326" s="51">
        <v>43395</v>
      </c>
      <c r="B326" s="49" t="s">
        <v>36</v>
      </c>
      <c r="C326" s="49"/>
      <c r="D326" s="49" t="s">
        <v>120</v>
      </c>
      <c r="E326" s="49" t="s">
        <v>104</v>
      </c>
      <c r="F326" s="49"/>
      <c r="G326" s="49" t="s">
        <v>566</v>
      </c>
      <c r="H326" s="49" t="s">
        <v>1183</v>
      </c>
    </row>
    <row r="327" spans="1:8" ht="9.6" thickTop="1" thickBot="1" x14ac:dyDescent="0.2">
      <c r="A327" s="51">
        <v>43396</v>
      </c>
      <c r="B327" s="49" t="s">
        <v>36</v>
      </c>
      <c r="C327" s="49"/>
      <c r="D327" s="49" t="s">
        <v>124</v>
      </c>
      <c r="E327" s="49" t="s">
        <v>104</v>
      </c>
      <c r="F327" s="49"/>
      <c r="G327" s="49" t="s">
        <v>566</v>
      </c>
      <c r="H327" s="49" t="s">
        <v>1184</v>
      </c>
    </row>
    <row r="328" spans="1:8" ht="9.6" thickTop="1" thickBot="1" x14ac:dyDescent="0.2">
      <c r="A328" s="51">
        <v>43397</v>
      </c>
      <c r="B328" s="49" t="s">
        <v>97</v>
      </c>
      <c r="C328" s="49"/>
      <c r="D328" s="49" t="s">
        <v>127</v>
      </c>
      <c r="E328" s="49" t="s">
        <v>104</v>
      </c>
      <c r="F328" s="49"/>
      <c r="G328" s="49" t="s">
        <v>566</v>
      </c>
      <c r="H328" s="49" t="s">
        <v>1185</v>
      </c>
    </row>
    <row r="329" spans="1:8" ht="9.6" thickTop="1" thickBot="1" x14ac:dyDescent="0.2">
      <c r="A329" s="51">
        <v>43398</v>
      </c>
      <c r="B329" s="49" t="s">
        <v>97</v>
      </c>
      <c r="C329" s="49"/>
      <c r="D329" s="49" t="s">
        <v>124</v>
      </c>
      <c r="E329" s="49" t="s">
        <v>104</v>
      </c>
      <c r="F329" s="49"/>
      <c r="G329" s="49" t="s">
        <v>566</v>
      </c>
      <c r="H329" s="49" t="s">
        <v>1186</v>
      </c>
    </row>
    <row r="330" spans="1:8" ht="9.6" thickTop="1" thickBot="1" x14ac:dyDescent="0.2">
      <c r="A330" s="51">
        <v>43399</v>
      </c>
      <c r="B330" s="49" t="s">
        <v>132</v>
      </c>
      <c r="C330" s="49"/>
      <c r="D330" s="49" t="s">
        <v>127</v>
      </c>
      <c r="E330" s="49" t="s">
        <v>104</v>
      </c>
      <c r="F330" s="49"/>
      <c r="G330" s="49" t="s">
        <v>566</v>
      </c>
      <c r="H330" s="49" t="s">
        <v>1187</v>
      </c>
    </row>
    <row r="331" spans="1:8" ht="9.6" thickTop="1" thickBot="1" x14ac:dyDescent="0.2">
      <c r="A331" s="51">
        <v>43400</v>
      </c>
      <c r="B331" s="49" t="s">
        <v>158</v>
      </c>
      <c r="C331" s="49"/>
      <c r="D331" s="49" t="s">
        <v>124</v>
      </c>
      <c r="E331" s="49" t="s">
        <v>41</v>
      </c>
      <c r="F331" s="49"/>
      <c r="G331" s="49" t="s">
        <v>566</v>
      </c>
      <c r="H331" s="49" t="s">
        <v>1188</v>
      </c>
    </row>
    <row r="332" spans="1:8" ht="9.6" thickTop="1" thickBot="1" x14ac:dyDescent="0.2">
      <c r="A332" s="51">
        <v>43401</v>
      </c>
      <c r="B332" s="49" t="s">
        <v>162</v>
      </c>
      <c r="C332" s="49" t="s">
        <v>15</v>
      </c>
      <c r="D332" s="49" t="s">
        <v>130</v>
      </c>
      <c r="E332" s="49" t="s">
        <v>41</v>
      </c>
      <c r="F332" s="49"/>
      <c r="G332" s="49" t="s">
        <v>566</v>
      </c>
      <c r="H332" s="49" t="s">
        <v>1189</v>
      </c>
    </row>
    <row r="333" spans="1:8" ht="9.6" thickTop="1" thickBot="1" x14ac:dyDescent="0.2">
      <c r="A333" s="51">
        <v>43402</v>
      </c>
      <c r="B333" s="49" t="s">
        <v>42</v>
      </c>
      <c r="C333" s="49"/>
      <c r="D333" s="49" t="s">
        <v>124</v>
      </c>
      <c r="E333" s="49" t="s">
        <v>104</v>
      </c>
      <c r="F333" s="49"/>
      <c r="G333" s="49" t="s">
        <v>566</v>
      </c>
      <c r="H333" s="49" t="s">
        <v>1190</v>
      </c>
    </row>
    <row r="334" spans="1:8" ht="9.6" thickTop="1" thickBot="1" x14ac:dyDescent="0.2">
      <c r="A334" s="51">
        <v>43403</v>
      </c>
      <c r="B334" s="49" t="s">
        <v>42</v>
      </c>
      <c r="C334" s="49"/>
      <c r="D334" s="49" t="s">
        <v>130</v>
      </c>
      <c r="E334" s="49" t="s">
        <v>104</v>
      </c>
      <c r="F334" s="49"/>
      <c r="G334" s="49" t="s">
        <v>566</v>
      </c>
      <c r="H334" s="49" t="s">
        <v>1191</v>
      </c>
    </row>
    <row r="335" spans="1:8" ht="9.6" thickTop="1" thickBot="1" x14ac:dyDescent="0.2">
      <c r="A335" s="51">
        <v>43404</v>
      </c>
      <c r="B335" s="49" t="s">
        <v>101</v>
      </c>
      <c r="C335" s="49"/>
      <c r="D335" s="49" t="s">
        <v>124</v>
      </c>
      <c r="E335" s="49" t="s">
        <v>104</v>
      </c>
      <c r="F335" s="49"/>
      <c r="G335" s="49" t="s">
        <v>566</v>
      </c>
      <c r="H335" s="49" t="s">
        <v>1192</v>
      </c>
    </row>
    <row r="336" spans="1:8" ht="9.6" thickTop="1" thickBot="1" x14ac:dyDescent="0.2">
      <c r="A336" s="66" t="s">
        <v>1193</v>
      </c>
      <c r="B336" s="66"/>
      <c r="C336" s="66"/>
      <c r="D336" s="66"/>
      <c r="E336" s="66"/>
      <c r="F336" s="66"/>
      <c r="G336" s="66"/>
      <c r="H336" s="66"/>
    </row>
    <row r="337" spans="1:8" ht="9.6" thickTop="1" thickBot="1" x14ac:dyDescent="0.2">
      <c r="A337" s="66" t="s">
        <v>541</v>
      </c>
      <c r="B337" s="66"/>
      <c r="C337" s="66"/>
      <c r="D337" s="66"/>
      <c r="E337" s="66"/>
      <c r="F337" s="66"/>
      <c r="G337" s="66"/>
      <c r="H337" s="66"/>
    </row>
    <row r="338" spans="1:8" ht="9.6" thickTop="1" thickBot="1" x14ac:dyDescent="0.2">
      <c r="A338" s="50" t="s">
        <v>515</v>
      </c>
      <c r="B338" s="50" t="s">
        <v>522</v>
      </c>
      <c r="C338" s="50" t="s">
        <v>6</v>
      </c>
      <c r="D338" s="50" t="s">
        <v>528</v>
      </c>
      <c r="E338" s="50" t="s">
        <v>517</v>
      </c>
      <c r="F338" s="50" t="s">
        <v>533</v>
      </c>
      <c r="G338" s="50" t="s">
        <v>537</v>
      </c>
      <c r="H338" s="49" t="s">
        <v>514</v>
      </c>
    </row>
    <row r="339" spans="1:8" ht="9.6" thickTop="1" thickBot="1" x14ac:dyDescent="0.2">
      <c r="A339" s="51">
        <v>43405</v>
      </c>
      <c r="B339" s="49" t="s">
        <v>101</v>
      </c>
      <c r="C339" s="49"/>
      <c r="D339" s="49" t="s">
        <v>133</v>
      </c>
      <c r="E339" s="49" t="s">
        <v>104</v>
      </c>
      <c r="F339" s="49" t="s">
        <v>79</v>
      </c>
      <c r="G339" s="49" t="s">
        <v>567</v>
      </c>
      <c r="H339" s="49" t="s">
        <v>1194</v>
      </c>
    </row>
    <row r="340" spans="1:8" ht="9.6" thickTop="1" thickBot="1" x14ac:dyDescent="0.2">
      <c r="A340" s="51">
        <v>43406</v>
      </c>
      <c r="B340" s="49" t="s">
        <v>135</v>
      </c>
      <c r="C340" s="49"/>
      <c r="D340" s="49" t="s">
        <v>124</v>
      </c>
      <c r="E340" s="49" t="s">
        <v>104</v>
      </c>
      <c r="F340" s="49"/>
      <c r="G340" s="49" t="s">
        <v>567</v>
      </c>
      <c r="H340" s="49" t="s">
        <v>1195</v>
      </c>
    </row>
    <row r="341" spans="1:8" ht="9.6" thickTop="1" thickBot="1" x14ac:dyDescent="0.2">
      <c r="A341" s="51">
        <v>43407</v>
      </c>
      <c r="B341" s="49" t="s">
        <v>153</v>
      </c>
      <c r="C341" s="49"/>
      <c r="D341" s="49" t="s">
        <v>17</v>
      </c>
      <c r="E341" s="49" t="s">
        <v>47</v>
      </c>
      <c r="F341" s="49"/>
      <c r="G341" s="49" t="s">
        <v>567</v>
      </c>
      <c r="H341" s="49" t="s">
        <v>1196</v>
      </c>
    </row>
    <row r="342" spans="1:8" ht="9.6" thickTop="1" thickBot="1" x14ac:dyDescent="0.2">
      <c r="A342" s="51">
        <v>43408</v>
      </c>
      <c r="B342" s="49" t="s">
        <v>53</v>
      </c>
      <c r="C342" s="49"/>
      <c r="D342" s="49" t="s">
        <v>124</v>
      </c>
      <c r="E342" s="49" t="s">
        <v>47</v>
      </c>
      <c r="F342" s="49"/>
      <c r="G342" s="49" t="s">
        <v>567</v>
      </c>
      <c r="H342" s="49" t="s">
        <v>1197</v>
      </c>
    </row>
    <row r="343" spans="1:8" ht="9.6" thickTop="1" thickBot="1" x14ac:dyDescent="0.2">
      <c r="A343" s="51">
        <v>43409</v>
      </c>
      <c r="B343" s="49" t="s">
        <v>48</v>
      </c>
      <c r="C343" s="49"/>
      <c r="D343" s="49" t="s">
        <v>17</v>
      </c>
      <c r="E343" s="49" t="s">
        <v>104</v>
      </c>
      <c r="F343" s="49"/>
      <c r="G343" s="49" t="s">
        <v>567</v>
      </c>
      <c r="H343" s="49" t="s">
        <v>1198</v>
      </c>
    </row>
    <row r="344" spans="1:8" ht="9.6" thickTop="1" thickBot="1" x14ac:dyDescent="0.2">
      <c r="A344" s="51">
        <v>43410</v>
      </c>
      <c r="B344" s="49" t="s">
        <v>48</v>
      </c>
      <c r="C344" s="49"/>
      <c r="D344" s="49" t="s">
        <v>124</v>
      </c>
      <c r="E344" s="49" t="s">
        <v>104</v>
      </c>
      <c r="F344" s="49"/>
      <c r="G344" s="49" t="s">
        <v>567</v>
      </c>
      <c r="H344" s="49" t="s">
        <v>1199</v>
      </c>
    </row>
    <row r="345" spans="1:8" ht="9.6" thickTop="1" thickBot="1" x14ac:dyDescent="0.2">
      <c r="A345" s="51">
        <v>43411</v>
      </c>
      <c r="B345" s="49" t="s">
        <v>105</v>
      </c>
      <c r="C345" s="49"/>
      <c r="D345" s="49" t="s">
        <v>24</v>
      </c>
      <c r="E345" s="49" t="s">
        <v>104</v>
      </c>
      <c r="F345" s="49"/>
      <c r="G345" s="49" t="s">
        <v>567</v>
      </c>
      <c r="H345" s="49" t="s">
        <v>1200</v>
      </c>
    </row>
    <row r="346" spans="1:8" ht="9.6" thickTop="1" thickBot="1" x14ac:dyDescent="0.2">
      <c r="A346" s="51">
        <v>43412</v>
      </c>
      <c r="B346" s="49" t="s">
        <v>105</v>
      </c>
      <c r="C346" s="49"/>
      <c r="D346" s="49" t="s">
        <v>124</v>
      </c>
      <c r="E346" s="49" t="s">
        <v>104</v>
      </c>
      <c r="F346" s="49"/>
      <c r="G346" s="49" t="s">
        <v>567</v>
      </c>
      <c r="H346" s="49" t="s">
        <v>1201</v>
      </c>
    </row>
    <row r="347" spans="1:8" ht="9.6" thickTop="1" thickBot="1" x14ac:dyDescent="0.2">
      <c r="A347" s="51">
        <v>43413</v>
      </c>
      <c r="B347" s="49" t="s">
        <v>138</v>
      </c>
      <c r="C347" s="49"/>
      <c r="D347" s="49" t="s">
        <v>31</v>
      </c>
      <c r="E347" s="49" t="s">
        <v>104</v>
      </c>
      <c r="F347" s="49"/>
      <c r="G347" s="49" t="s">
        <v>567</v>
      </c>
      <c r="H347" s="49" t="s">
        <v>1202</v>
      </c>
    </row>
    <row r="348" spans="1:8" ht="9.6" thickTop="1" thickBot="1" x14ac:dyDescent="0.2">
      <c r="A348" s="51">
        <v>43414</v>
      </c>
      <c r="B348" s="49" t="s">
        <v>156</v>
      </c>
      <c r="C348" s="49"/>
      <c r="D348" s="49" t="s">
        <v>124</v>
      </c>
      <c r="E348" s="49" t="s">
        <v>52</v>
      </c>
      <c r="F348" s="49"/>
      <c r="G348" s="49" t="s">
        <v>567</v>
      </c>
      <c r="H348" s="49" t="s">
        <v>1203</v>
      </c>
    </row>
    <row r="349" spans="1:8" ht="9.6" thickTop="1" thickBot="1" x14ac:dyDescent="0.2">
      <c r="A349" s="51">
        <v>43415</v>
      </c>
      <c r="B349" s="49" t="s">
        <v>160</v>
      </c>
      <c r="C349" s="49"/>
      <c r="D349" s="49" t="s">
        <v>31</v>
      </c>
      <c r="E349" s="49" t="s">
        <v>52</v>
      </c>
      <c r="F349" s="49" t="s">
        <v>11</v>
      </c>
      <c r="G349" s="49" t="s">
        <v>567</v>
      </c>
      <c r="H349" s="49" t="s">
        <v>1204</v>
      </c>
    </row>
    <row r="350" spans="1:8" ht="9.6" thickTop="1" thickBot="1" x14ac:dyDescent="0.2">
      <c r="A350" s="51">
        <v>43416</v>
      </c>
      <c r="B350" s="49" t="s">
        <v>53</v>
      </c>
      <c r="C350" s="49"/>
      <c r="D350" s="49" t="s">
        <v>124</v>
      </c>
      <c r="E350" s="49" t="s">
        <v>104</v>
      </c>
      <c r="F350" s="49"/>
      <c r="G350" s="49" t="s">
        <v>567</v>
      </c>
      <c r="H350" s="49" t="s">
        <v>1205</v>
      </c>
    </row>
    <row r="351" spans="1:8" ht="9.6" thickTop="1" thickBot="1" x14ac:dyDescent="0.2">
      <c r="A351" s="51">
        <v>43417</v>
      </c>
      <c r="B351" s="49" t="s">
        <v>53</v>
      </c>
      <c r="C351" s="49"/>
      <c r="D351" s="49" t="s">
        <v>37</v>
      </c>
      <c r="E351" s="49" t="s">
        <v>104</v>
      </c>
      <c r="F351" s="49"/>
      <c r="G351" s="49" t="s">
        <v>567</v>
      </c>
      <c r="H351" s="49" t="s">
        <v>1206</v>
      </c>
    </row>
    <row r="352" spans="1:8" ht="9.6" thickTop="1" thickBot="1" x14ac:dyDescent="0.2">
      <c r="A352" s="51">
        <v>43418</v>
      </c>
      <c r="B352" s="49" t="s">
        <v>109</v>
      </c>
      <c r="C352" s="49"/>
      <c r="D352" s="49" t="s">
        <v>124</v>
      </c>
      <c r="E352" s="49" t="s">
        <v>104</v>
      </c>
      <c r="F352" s="49"/>
      <c r="G352" s="49" t="s">
        <v>567</v>
      </c>
      <c r="H352" s="49" t="s">
        <v>1207</v>
      </c>
    </row>
    <row r="353" spans="1:8" ht="9.6" thickTop="1" thickBot="1" x14ac:dyDescent="0.2">
      <c r="A353" s="51">
        <v>43419</v>
      </c>
      <c r="B353" s="49" t="s">
        <v>109</v>
      </c>
      <c r="C353" s="49"/>
      <c r="D353" s="49" t="s">
        <v>37</v>
      </c>
      <c r="E353" s="49" t="s">
        <v>104</v>
      </c>
      <c r="F353" s="49"/>
      <c r="G353" s="49" t="s">
        <v>567</v>
      </c>
      <c r="H353" s="49" t="s">
        <v>1208</v>
      </c>
    </row>
    <row r="354" spans="1:8" ht="9.6" thickTop="1" thickBot="1" x14ac:dyDescent="0.2">
      <c r="A354" s="51">
        <v>43420</v>
      </c>
      <c r="B354" s="49" t="s">
        <v>141</v>
      </c>
      <c r="C354" s="49"/>
      <c r="D354" s="49" t="s">
        <v>124</v>
      </c>
      <c r="E354" s="49" t="s">
        <v>104</v>
      </c>
      <c r="F354" s="49"/>
      <c r="G354" s="49" t="s">
        <v>567</v>
      </c>
      <c r="H354" s="49" t="s">
        <v>1209</v>
      </c>
    </row>
    <row r="355" spans="1:8" ht="9.6" thickTop="1" thickBot="1" x14ac:dyDescent="0.2">
      <c r="A355" s="51">
        <v>43421</v>
      </c>
      <c r="B355" s="49" t="s">
        <v>153</v>
      </c>
      <c r="C355" s="49"/>
      <c r="D355" s="49" t="s">
        <v>43</v>
      </c>
      <c r="E355" s="49" t="s">
        <v>58</v>
      </c>
      <c r="F355" s="49"/>
      <c r="G355" s="49" t="s">
        <v>567</v>
      </c>
      <c r="H355" s="49" t="s">
        <v>1210</v>
      </c>
    </row>
    <row r="356" spans="1:8" ht="9.6" thickTop="1" thickBot="1" x14ac:dyDescent="0.2">
      <c r="A356" s="51">
        <v>43422</v>
      </c>
      <c r="B356" s="49" t="s">
        <v>162</v>
      </c>
      <c r="C356" s="49" t="s">
        <v>15</v>
      </c>
      <c r="D356" s="49" t="s">
        <v>124</v>
      </c>
      <c r="E356" s="49" t="s">
        <v>58</v>
      </c>
      <c r="F356" s="49"/>
      <c r="G356" s="49" t="s">
        <v>567</v>
      </c>
      <c r="H356" s="49" t="s">
        <v>1211</v>
      </c>
    </row>
    <row r="357" spans="1:8" ht="9.6" thickTop="1" thickBot="1" x14ac:dyDescent="0.2">
      <c r="A357" s="51">
        <v>43423</v>
      </c>
      <c r="B357" s="49" t="s">
        <v>59</v>
      </c>
      <c r="C357" s="49"/>
      <c r="D357" s="49" t="s">
        <v>43</v>
      </c>
      <c r="E357" s="49" t="s">
        <v>104</v>
      </c>
      <c r="F357" s="49"/>
      <c r="G357" s="49" t="s">
        <v>567</v>
      </c>
      <c r="H357" s="49" t="s">
        <v>1212</v>
      </c>
    </row>
    <row r="358" spans="1:8" ht="9.6" thickTop="1" thickBot="1" x14ac:dyDescent="0.2">
      <c r="A358" s="51">
        <v>43424</v>
      </c>
      <c r="B358" s="49" t="s">
        <v>59</v>
      </c>
      <c r="C358" s="49"/>
      <c r="D358" s="49" t="s">
        <v>124</v>
      </c>
      <c r="E358" s="49" t="s">
        <v>104</v>
      </c>
      <c r="F358" s="49"/>
      <c r="G358" s="49" t="s">
        <v>567</v>
      </c>
      <c r="H358" s="49" t="s">
        <v>1213</v>
      </c>
    </row>
    <row r="359" spans="1:8" ht="9.6" thickTop="1" thickBot="1" x14ac:dyDescent="0.2">
      <c r="A359" s="51">
        <v>43425</v>
      </c>
      <c r="B359" s="49" t="s">
        <v>112</v>
      </c>
      <c r="C359" s="49"/>
      <c r="D359" s="49" t="s">
        <v>49</v>
      </c>
      <c r="E359" s="49" t="s">
        <v>104</v>
      </c>
      <c r="F359" s="49"/>
      <c r="G359" s="49" t="s">
        <v>567</v>
      </c>
      <c r="H359" s="49" t="s">
        <v>1214</v>
      </c>
    </row>
    <row r="360" spans="1:8" ht="9.6" thickTop="1" thickBot="1" x14ac:dyDescent="0.2">
      <c r="A360" s="51">
        <v>43426</v>
      </c>
      <c r="B360" s="49" t="s">
        <v>112</v>
      </c>
      <c r="C360" s="49"/>
      <c r="D360" s="49" t="s">
        <v>124</v>
      </c>
      <c r="E360" s="49" t="s">
        <v>104</v>
      </c>
      <c r="F360" s="49"/>
      <c r="G360" s="49" t="s">
        <v>567</v>
      </c>
      <c r="H360" s="49" t="s">
        <v>1215</v>
      </c>
    </row>
    <row r="361" spans="1:8" ht="9.6" thickTop="1" thickBot="1" x14ac:dyDescent="0.2">
      <c r="A361" s="51">
        <v>43427</v>
      </c>
      <c r="B361" s="49" t="s">
        <v>144</v>
      </c>
      <c r="C361" s="49"/>
      <c r="D361" s="49" t="s">
        <v>49</v>
      </c>
      <c r="E361" s="49" t="s">
        <v>104</v>
      </c>
      <c r="F361" s="49"/>
      <c r="G361" s="49" t="s">
        <v>567</v>
      </c>
      <c r="H361" s="49" t="s">
        <v>1216</v>
      </c>
    </row>
    <row r="362" spans="1:8" ht="9.6" thickTop="1" thickBot="1" x14ac:dyDescent="0.2">
      <c r="A362" s="51">
        <v>43428</v>
      </c>
      <c r="B362" s="49" t="s">
        <v>153</v>
      </c>
      <c r="C362" s="49"/>
      <c r="D362" s="49" t="s">
        <v>124</v>
      </c>
      <c r="E362" s="49" t="s">
        <v>64</v>
      </c>
      <c r="F362" s="49"/>
      <c r="G362" s="49" t="s">
        <v>567</v>
      </c>
      <c r="H362" s="49" t="s">
        <v>1217</v>
      </c>
    </row>
    <row r="363" spans="1:8" ht="9.6" thickTop="1" thickBot="1" x14ac:dyDescent="0.2">
      <c r="A363" s="51">
        <v>43429</v>
      </c>
      <c r="B363" s="49" t="s">
        <v>53</v>
      </c>
      <c r="C363" s="49"/>
      <c r="D363" s="49" t="s">
        <v>54</v>
      </c>
      <c r="E363" s="49" t="s">
        <v>64</v>
      </c>
      <c r="F363" s="49"/>
      <c r="G363" s="49" t="s">
        <v>567</v>
      </c>
      <c r="H363" s="49" t="s">
        <v>1218</v>
      </c>
    </row>
    <row r="364" spans="1:8" ht="9.6" thickTop="1" thickBot="1" x14ac:dyDescent="0.2">
      <c r="A364" s="51">
        <v>43430</v>
      </c>
      <c r="B364" s="49" t="s">
        <v>65</v>
      </c>
      <c r="C364" s="49"/>
      <c r="D364" s="49" t="s">
        <v>142</v>
      </c>
      <c r="E364" s="49" t="s">
        <v>104</v>
      </c>
      <c r="F364" s="49"/>
      <c r="G364" s="49" t="s">
        <v>567</v>
      </c>
      <c r="H364" s="49" t="s">
        <v>1219</v>
      </c>
    </row>
    <row r="365" spans="1:8" ht="9.6" thickTop="1" thickBot="1" x14ac:dyDescent="0.2">
      <c r="A365" s="51">
        <v>43431</v>
      </c>
      <c r="B365" s="49" t="s">
        <v>65</v>
      </c>
      <c r="C365" s="49"/>
      <c r="D365" s="49" t="s">
        <v>142</v>
      </c>
      <c r="E365" s="49" t="s">
        <v>104</v>
      </c>
      <c r="F365" s="49"/>
      <c r="G365" s="49" t="s">
        <v>567</v>
      </c>
      <c r="H365" s="49" t="s">
        <v>1220</v>
      </c>
    </row>
    <row r="366" spans="1:8" ht="9.6" thickTop="1" thickBot="1" x14ac:dyDescent="0.2">
      <c r="A366" s="51">
        <v>43432</v>
      </c>
      <c r="B366" s="49" t="s">
        <v>116</v>
      </c>
      <c r="C366" s="49"/>
      <c r="D366" s="49" t="s">
        <v>124</v>
      </c>
      <c r="E366" s="49" t="s">
        <v>104</v>
      </c>
      <c r="F366" s="49"/>
      <c r="G366" s="49" t="s">
        <v>567</v>
      </c>
      <c r="H366" s="49" t="s">
        <v>1221</v>
      </c>
    </row>
    <row r="367" spans="1:8" ht="9.6" thickTop="1" thickBot="1" x14ac:dyDescent="0.2">
      <c r="A367" s="51">
        <v>43433</v>
      </c>
      <c r="B367" s="49" t="s">
        <v>116</v>
      </c>
      <c r="C367" s="49"/>
      <c r="D367" s="49" t="s">
        <v>54</v>
      </c>
      <c r="E367" s="49" t="s">
        <v>104</v>
      </c>
      <c r="F367" s="49"/>
      <c r="G367" s="49" t="s">
        <v>567</v>
      </c>
      <c r="H367" s="49" t="s">
        <v>1222</v>
      </c>
    </row>
    <row r="368" spans="1:8" ht="9.6" thickTop="1" thickBot="1" x14ac:dyDescent="0.2">
      <c r="A368" s="51">
        <v>43434</v>
      </c>
      <c r="B368" s="49" t="s">
        <v>147</v>
      </c>
      <c r="C368" s="49"/>
      <c r="D368" s="49" t="s">
        <v>124</v>
      </c>
      <c r="E368" s="49" t="s">
        <v>104</v>
      </c>
      <c r="F368" s="49"/>
      <c r="G368" s="49" t="s">
        <v>567</v>
      </c>
      <c r="H368" s="49" t="s">
        <v>1223</v>
      </c>
    </row>
    <row r="369" spans="1:8" ht="9.6" thickTop="1" thickBot="1" x14ac:dyDescent="0.2">
      <c r="A369" s="66" t="s">
        <v>1193</v>
      </c>
      <c r="B369" s="66"/>
      <c r="C369" s="66"/>
      <c r="D369" s="66"/>
      <c r="E369" s="66"/>
      <c r="F369" s="66"/>
      <c r="G369" s="66"/>
      <c r="H369" s="66"/>
    </row>
    <row r="370" spans="1:8" ht="9.6" thickTop="1" thickBot="1" x14ac:dyDescent="0.2">
      <c r="A370" s="66" t="s">
        <v>542</v>
      </c>
      <c r="B370" s="66"/>
      <c r="C370" s="66"/>
      <c r="D370" s="66"/>
      <c r="E370" s="66"/>
      <c r="F370" s="66"/>
      <c r="G370" s="66"/>
      <c r="H370" s="66"/>
    </row>
    <row r="371" spans="1:8" ht="9.6" thickTop="1" thickBot="1" x14ac:dyDescent="0.2">
      <c r="A371" s="50" t="s">
        <v>515</v>
      </c>
      <c r="B371" s="50" t="s">
        <v>522</v>
      </c>
      <c r="C371" s="50" t="s">
        <v>6</v>
      </c>
      <c r="D371" s="50" t="s">
        <v>528</v>
      </c>
      <c r="E371" s="50" t="s">
        <v>517</v>
      </c>
      <c r="F371" s="50" t="s">
        <v>533</v>
      </c>
      <c r="G371" s="52" t="s">
        <v>537</v>
      </c>
      <c r="H371" s="49" t="s">
        <v>514</v>
      </c>
    </row>
    <row r="372" spans="1:8" ht="9.6" thickTop="1" thickBot="1" x14ac:dyDescent="0.2">
      <c r="A372" s="51">
        <v>43435</v>
      </c>
      <c r="B372" s="49" t="s">
        <v>156</v>
      </c>
      <c r="C372" s="49"/>
      <c r="D372" s="49" t="s">
        <v>60</v>
      </c>
      <c r="E372" s="49" t="s">
        <v>70</v>
      </c>
      <c r="F372" s="49"/>
      <c r="G372" s="49" t="s">
        <v>568</v>
      </c>
      <c r="H372" s="49" t="s">
        <v>1224</v>
      </c>
    </row>
    <row r="373" spans="1:8" ht="9.6" thickTop="1" thickBot="1" x14ac:dyDescent="0.2">
      <c r="A373" s="51">
        <v>43436</v>
      </c>
      <c r="B373" s="49" t="s">
        <v>160</v>
      </c>
      <c r="C373" s="49"/>
      <c r="D373" s="49" t="s">
        <v>124</v>
      </c>
      <c r="E373" s="49" t="s">
        <v>70</v>
      </c>
      <c r="F373" s="49"/>
      <c r="G373" s="49" t="s">
        <v>568</v>
      </c>
      <c r="H373" s="49" t="s">
        <v>1225</v>
      </c>
    </row>
    <row r="374" spans="1:8" ht="9.6" thickTop="1" thickBot="1" x14ac:dyDescent="0.2">
      <c r="A374" s="51">
        <v>43437</v>
      </c>
      <c r="B374" s="49" t="s">
        <v>71</v>
      </c>
      <c r="C374" s="49"/>
      <c r="D374" s="49" t="s">
        <v>60</v>
      </c>
      <c r="E374" s="49" t="s">
        <v>104</v>
      </c>
      <c r="F374" s="49"/>
      <c r="G374" s="49" t="s">
        <v>568</v>
      </c>
      <c r="H374" s="49" t="s">
        <v>1226</v>
      </c>
    </row>
    <row r="375" spans="1:8" ht="9.6" thickTop="1" thickBot="1" x14ac:dyDescent="0.2">
      <c r="A375" s="51">
        <v>43438</v>
      </c>
      <c r="B375" s="49" t="s">
        <v>71</v>
      </c>
      <c r="C375" s="49"/>
      <c r="D375" s="49" t="s">
        <v>124</v>
      </c>
      <c r="E375" s="49" t="s">
        <v>104</v>
      </c>
      <c r="F375" s="49"/>
      <c r="G375" s="49" t="s">
        <v>568</v>
      </c>
      <c r="H375" s="49" t="s">
        <v>1227</v>
      </c>
    </row>
    <row r="376" spans="1:8" ht="9.6" thickTop="1" thickBot="1" x14ac:dyDescent="0.2">
      <c r="A376" s="51">
        <v>43439</v>
      </c>
      <c r="B376" s="49" t="s">
        <v>97</v>
      </c>
      <c r="C376" s="49"/>
      <c r="D376" s="49" t="s">
        <v>66</v>
      </c>
      <c r="E376" s="49" t="s">
        <v>104</v>
      </c>
      <c r="F376" s="49"/>
      <c r="G376" s="49" t="s">
        <v>568</v>
      </c>
      <c r="H376" s="49" t="s">
        <v>1228</v>
      </c>
    </row>
    <row r="377" spans="1:8" ht="9.6" thickTop="1" thickBot="1" x14ac:dyDescent="0.2">
      <c r="A377" s="51">
        <v>43440</v>
      </c>
      <c r="B377" s="49" t="s">
        <v>97</v>
      </c>
      <c r="C377" s="49"/>
      <c r="D377" s="49" t="s">
        <v>124</v>
      </c>
      <c r="E377" s="49" t="s">
        <v>104</v>
      </c>
      <c r="F377" s="49"/>
      <c r="G377" s="49" t="s">
        <v>568</v>
      </c>
      <c r="H377" s="49" t="s">
        <v>1229</v>
      </c>
    </row>
    <row r="378" spans="1:8" ht="9.6" thickTop="1" thickBot="1" x14ac:dyDescent="0.2">
      <c r="A378" s="51">
        <v>43441</v>
      </c>
      <c r="B378" s="49" t="s">
        <v>150</v>
      </c>
      <c r="C378" s="49"/>
      <c r="D378" s="49" t="s">
        <v>66</v>
      </c>
      <c r="E378" s="49" t="s">
        <v>104</v>
      </c>
      <c r="F378" s="49"/>
      <c r="G378" s="49" t="s">
        <v>568</v>
      </c>
      <c r="H378" s="49" t="s">
        <v>1230</v>
      </c>
    </row>
    <row r="379" spans="1:8" ht="9.6" thickTop="1" thickBot="1" x14ac:dyDescent="0.2">
      <c r="A379" s="51">
        <v>43442</v>
      </c>
      <c r="B379" s="49" t="s">
        <v>158</v>
      </c>
      <c r="C379" s="49"/>
      <c r="D379" s="49" t="s">
        <v>124</v>
      </c>
      <c r="E379" s="49" t="s">
        <v>76</v>
      </c>
      <c r="F379" s="49"/>
      <c r="G379" s="49" t="s">
        <v>568</v>
      </c>
      <c r="H379" s="49" t="s">
        <v>1231</v>
      </c>
    </row>
    <row r="380" spans="1:8" ht="9.6" thickTop="1" thickBot="1" x14ac:dyDescent="0.2">
      <c r="A380" s="51">
        <v>43443</v>
      </c>
      <c r="B380" s="49" t="s">
        <v>162</v>
      </c>
      <c r="C380" s="49" t="s">
        <v>15</v>
      </c>
      <c r="D380" s="49" t="s">
        <v>72</v>
      </c>
      <c r="E380" s="49" t="s">
        <v>76</v>
      </c>
      <c r="F380" s="49"/>
      <c r="G380" s="49" t="s">
        <v>568</v>
      </c>
      <c r="H380" s="49" t="s">
        <v>1232</v>
      </c>
    </row>
    <row r="381" spans="1:8" ht="9.6" thickTop="1" thickBot="1" x14ac:dyDescent="0.2">
      <c r="A381" s="51">
        <v>43444</v>
      </c>
      <c r="B381" s="49" t="s">
        <v>77</v>
      </c>
      <c r="C381" s="49"/>
      <c r="D381" s="49" t="s">
        <v>124</v>
      </c>
      <c r="E381" s="49" t="s">
        <v>104</v>
      </c>
      <c r="F381" s="49"/>
      <c r="G381" s="49" t="s">
        <v>568</v>
      </c>
      <c r="H381" s="49" t="s">
        <v>1233</v>
      </c>
    </row>
    <row r="382" spans="1:8" ht="9.6" thickTop="1" thickBot="1" x14ac:dyDescent="0.2">
      <c r="A382" s="51">
        <v>43445</v>
      </c>
      <c r="B382" s="49" t="s">
        <v>77</v>
      </c>
      <c r="C382" s="49"/>
      <c r="D382" s="49" t="s">
        <v>72</v>
      </c>
      <c r="E382" s="49" t="s">
        <v>104</v>
      </c>
      <c r="F382" s="49"/>
      <c r="G382" s="49" t="s">
        <v>568</v>
      </c>
      <c r="H382" s="49" t="s">
        <v>1234</v>
      </c>
    </row>
    <row r="383" spans="1:8" ht="9.6" thickTop="1" thickBot="1" x14ac:dyDescent="0.2">
      <c r="A383" s="51">
        <v>43446</v>
      </c>
      <c r="B383" s="49" t="s">
        <v>101</v>
      </c>
      <c r="C383" s="49"/>
      <c r="D383" s="49" t="s">
        <v>124</v>
      </c>
      <c r="E383" s="49" t="s">
        <v>104</v>
      </c>
      <c r="F383" s="49"/>
      <c r="G383" s="49" t="s">
        <v>568</v>
      </c>
      <c r="H383" s="49" t="s">
        <v>1235</v>
      </c>
    </row>
    <row r="384" spans="1:8" ht="9.6" thickTop="1" thickBot="1" x14ac:dyDescent="0.2">
      <c r="A384" s="51">
        <v>43447</v>
      </c>
      <c r="B384" s="49" t="s">
        <v>101</v>
      </c>
      <c r="C384" s="49"/>
      <c r="D384" s="49" t="s">
        <v>78</v>
      </c>
      <c r="E384" s="49" t="s">
        <v>104</v>
      </c>
      <c r="F384" s="49"/>
      <c r="G384" s="49" t="s">
        <v>568</v>
      </c>
      <c r="H384" s="49" t="s">
        <v>1236</v>
      </c>
    </row>
    <row r="385" spans="1:8" ht="9.6" thickTop="1" thickBot="1" x14ac:dyDescent="0.2">
      <c r="A385" s="51">
        <v>43448</v>
      </c>
      <c r="B385" s="49" t="s">
        <v>15</v>
      </c>
      <c r="C385" s="49"/>
      <c r="D385" s="49" t="s">
        <v>124</v>
      </c>
      <c r="E385" s="49" t="s">
        <v>104</v>
      </c>
      <c r="F385" s="49"/>
      <c r="G385" s="49" t="s">
        <v>568</v>
      </c>
      <c r="H385" s="49" t="s">
        <v>1237</v>
      </c>
    </row>
    <row r="386" spans="1:8" ht="9.6" thickTop="1" thickBot="1" x14ac:dyDescent="0.2">
      <c r="A386" s="51">
        <v>43449</v>
      </c>
      <c r="B386" s="49" t="s">
        <v>153</v>
      </c>
      <c r="C386" s="49"/>
      <c r="D386" s="49" t="s">
        <v>78</v>
      </c>
      <c r="E386" s="49" t="s">
        <v>82</v>
      </c>
      <c r="F386" s="49"/>
      <c r="G386" s="49" t="s">
        <v>568</v>
      </c>
      <c r="H386" s="49" t="s">
        <v>1238</v>
      </c>
    </row>
    <row r="387" spans="1:8" ht="9.6" thickTop="1" thickBot="1" x14ac:dyDescent="0.2">
      <c r="A387" s="51">
        <v>43450</v>
      </c>
      <c r="B387" s="49" t="s">
        <v>53</v>
      </c>
      <c r="C387" s="49"/>
      <c r="D387" s="49" t="s">
        <v>124</v>
      </c>
      <c r="E387" s="49" t="s">
        <v>82</v>
      </c>
      <c r="F387" s="49"/>
      <c r="G387" s="49" t="s">
        <v>568</v>
      </c>
      <c r="H387" s="49" t="s">
        <v>1239</v>
      </c>
    </row>
    <row r="388" spans="1:8" ht="9.6" thickTop="1" thickBot="1" x14ac:dyDescent="0.2">
      <c r="A388" s="51">
        <v>43451</v>
      </c>
      <c r="B388" s="49" t="s">
        <v>83</v>
      </c>
      <c r="C388" s="49"/>
      <c r="D388" s="49" t="s">
        <v>84</v>
      </c>
      <c r="E388" s="49" t="s">
        <v>104</v>
      </c>
      <c r="F388" s="49"/>
      <c r="G388" s="49" t="s">
        <v>568</v>
      </c>
      <c r="H388" s="49" t="s">
        <v>1240</v>
      </c>
    </row>
    <row r="389" spans="1:8" ht="9.6" thickTop="1" thickBot="1" x14ac:dyDescent="0.2">
      <c r="A389" s="51">
        <v>43452</v>
      </c>
      <c r="B389" s="49" t="s">
        <v>83</v>
      </c>
      <c r="C389" s="49"/>
      <c r="D389" s="49" t="s">
        <v>124</v>
      </c>
      <c r="E389" s="49" t="s">
        <v>104</v>
      </c>
      <c r="F389" s="49"/>
      <c r="G389" s="49" t="s">
        <v>568</v>
      </c>
      <c r="H389" s="49" t="s">
        <v>1241</v>
      </c>
    </row>
    <row r="390" spans="1:8" ht="9.6" thickTop="1" thickBot="1" x14ac:dyDescent="0.2">
      <c r="A390" s="51">
        <v>43453</v>
      </c>
      <c r="B390" s="49" t="s">
        <v>105</v>
      </c>
      <c r="C390" s="49"/>
      <c r="D390" s="49" t="s">
        <v>84</v>
      </c>
      <c r="E390" s="49" t="s">
        <v>104</v>
      </c>
      <c r="F390" s="49"/>
      <c r="G390" s="49" t="s">
        <v>568</v>
      </c>
      <c r="H390" s="49" t="s">
        <v>1242</v>
      </c>
    </row>
    <row r="391" spans="1:8" ht="9.6" thickTop="1" thickBot="1" x14ac:dyDescent="0.2">
      <c r="A391" s="51">
        <v>43454</v>
      </c>
      <c r="B391" s="49" t="s">
        <v>105</v>
      </c>
      <c r="C391" s="49"/>
      <c r="D391" s="49" t="s">
        <v>124</v>
      </c>
      <c r="E391" s="49" t="s">
        <v>104</v>
      </c>
      <c r="F391" s="49"/>
      <c r="G391" s="49" t="s">
        <v>568</v>
      </c>
      <c r="H391" s="49" t="s">
        <v>1243</v>
      </c>
    </row>
    <row r="392" spans="1:8" ht="9.6" thickTop="1" thickBot="1" x14ac:dyDescent="0.2">
      <c r="A392" s="51">
        <v>43455</v>
      </c>
      <c r="B392" s="49" t="s">
        <v>123</v>
      </c>
      <c r="C392" s="49"/>
      <c r="D392" s="49" t="s">
        <v>90</v>
      </c>
      <c r="E392" s="49" t="s">
        <v>104</v>
      </c>
      <c r="F392" s="49"/>
      <c r="G392" s="49" t="s">
        <v>568</v>
      </c>
      <c r="H392" s="49" t="s">
        <v>1244</v>
      </c>
    </row>
    <row r="393" spans="1:8" ht="9.6" thickTop="1" thickBot="1" x14ac:dyDescent="0.2">
      <c r="A393" s="51">
        <v>43456</v>
      </c>
      <c r="B393" s="49" t="s">
        <v>156</v>
      </c>
      <c r="C393" s="49"/>
      <c r="D393" s="49" t="s">
        <v>124</v>
      </c>
      <c r="E393" s="49" t="s">
        <v>88</v>
      </c>
      <c r="F393" s="49"/>
      <c r="G393" s="49" t="s">
        <v>568</v>
      </c>
      <c r="H393" s="49" t="s">
        <v>1245</v>
      </c>
    </row>
    <row r="394" spans="1:8" ht="9.6" thickTop="1" thickBot="1" x14ac:dyDescent="0.2">
      <c r="A394" s="51">
        <v>43457</v>
      </c>
      <c r="B394" s="49" t="s">
        <v>160</v>
      </c>
      <c r="C394" s="49"/>
      <c r="D394" s="49" t="s">
        <v>90</v>
      </c>
      <c r="E394" s="49" t="s">
        <v>88</v>
      </c>
      <c r="F394" s="49"/>
      <c r="G394" s="49" t="s">
        <v>568</v>
      </c>
      <c r="H394" s="49" t="s">
        <v>1246</v>
      </c>
    </row>
    <row r="395" spans="1:8" ht="9.6" thickTop="1" thickBot="1" x14ac:dyDescent="0.2">
      <c r="A395" s="51">
        <v>43458</v>
      </c>
      <c r="B395" s="49" t="s">
        <v>89</v>
      </c>
      <c r="C395" s="49"/>
      <c r="D395" s="49" t="s">
        <v>124</v>
      </c>
      <c r="E395" s="49" t="s">
        <v>104</v>
      </c>
      <c r="F395" s="49"/>
      <c r="G395" s="49" t="s">
        <v>568</v>
      </c>
      <c r="H395" s="49" t="s">
        <v>1247</v>
      </c>
    </row>
    <row r="396" spans="1:8" ht="9.6" thickTop="1" thickBot="1" x14ac:dyDescent="0.2">
      <c r="A396" s="51">
        <v>43459</v>
      </c>
      <c r="B396" s="49" t="s">
        <v>89</v>
      </c>
      <c r="C396" s="49"/>
      <c r="D396" s="49" t="s">
        <v>94</v>
      </c>
      <c r="E396" s="49" t="s">
        <v>104</v>
      </c>
      <c r="F396" s="49" t="s">
        <v>61</v>
      </c>
      <c r="G396" s="49" t="s">
        <v>568</v>
      </c>
      <c r="H396" s="49" t="s">
        <v>1248</v>
      </c>
    </row>
    <row r="397" spans="1:8" ht="9.6" thickTop="1" thickBot="1" x14ac:dyDescent="0.2">
      <c r="A397" s="51">
        <v>43460</v>
      </c>
      <c r="B397" s="49" t="s">
        <v>109</v>
      </c>
      <c r="C397" s="49"/>
      <c r="D397" s="49" t="s">
        <v>124</v>
      </c>
      <c r="E397" s="49" t="s">
        <v>104</v>
      </c>
      <c r="F397" s="49"/>
      <c r="G397" s="49" t="s">
        <v>568</v>
      </c>
      <c r="H397" s="49" t="s">
        <v>1249</v>
      </c>
    </row>
    <row r="398" spans="1:8" ht="9.6" thickTop="1" thickBot="1" x14ac:dyDescent="0.2">
      <c r="A398" s="51">
        <v>43461</v>
      </c>
      <c r="B398" s="49" t="s">
        <v>109</v>
      </c>
      <c r="C398" s="49"/>
      <c r="D398" s="49" t="s">
        <v>94</v>
      </c>
      <c r="E398" s="49" t="s">
        <v>104</v>
      </c>
      <c r="F398" s="49"/>
      <c r="G398" s="49" t="s">
        <v>568</v>
      </c>
      <c r="H398" s="49" t="s">
        <v>1250</v>
      </c>
    </row>
    <row r="399" spans="1:8" ht="9.6" thickTop="1" thickBot="1" x14ac:dyDescent="0.2">
      <c r="A399" s="51">
        <v>43462</v>
      </c>
      <c r="B399" s="49" t="s">
        <v>126</v>
      </c>
      <c r="C399" s="49"/>
      <c r="D399" s="49" t="s">
        <v>124</v>
      </c>
      <c r="E399" s="49" t="s">
        <v>104</v>
      </c>
      <c r="F399" s="49"/>
      <c r="G399" s="49" t="s">
        <v>568</v>
      </c>
      <c r="H399" s="49" t="s">
        <v>1251</v>
      </c>
    </row>
    <row r="400" spans="1:8" ht="9.6" thickTop="1" thickBot="1" x14ac:dyDescent="0.2">
      <c r="A400" s="51">
        <v>43463</v>
      </c>
      <c r="B400" s="49" t="s">
        <v>158</v>
      </c>
      <c r="C400" s="49"/>
      <c r="D400" s="49" t="s">
        <v>98</v>
      </c>
      <c r="E400" s="49" t="s">
        <v>92</v>
      </c>
      <c r="F400" s="49"/>
      <c r="G400" s="49" t="s">
        <v>568</v>
      </c>
      <c r="H400" s="49" t="s">
        <v>1252</v>
      </c>
    </row>
    <row r="401" spans="1:8" ht="9.6" thickTop="1" thickBot="1" x14ac:dyDescent="0.2">
      <c r="A401" s="51">
        <v>43464</v>
      </c>
      <c r="B401" s="49" t="s">
        <v>162</v>
      </c>
      <c r="C401" s="49" t="s">
        <v>15</v>
      </c>
      <c r="D401" s="49" t="s">
        <v>124</v>
      </c>
      <c r="E401" s="49" t="s">
        <v>92</v>
      </c>
      <c r="F401" s="49"/>
      <c r="G401" s="49" t="s">
        <v>568</v>
      </c>
      <c r="H401" s="49" t="s">
        <v>1253</v>
      </c>
    </row>
    <row r="402" spans="1:8" ht="9.6" thickTop="1" thickBot="1" x14ac:dyDescent="0.2">
      <c r="A402" s="51">
        <v>43465</v>
      </c>
      <c r="B402" s="49" t="s">
        <v>93</v>
      </c>
      <c r="C402" s="49"/>
      <c r="D402" s="49" t="s">
        <v>98</v>
      </c>
      <c r="E402" s="49" t="s">
        <v>104</v>
      </c>
      <c r="F402" s="49"/>
      <c r="G402" s="49" t="s">
        <v>568</v>
      </c>
      <c r="H402" s="49" t="s">
        <v>1254</v>
      </c>
    </row>
    <row r="403" spans="1:8" ht="9.6" thickTop="1" thickBot="1" x14ac:dyDescent="0.2">
      <c r="A403" s="66" t="s">
        <v>1193</v>
      </c>
      <c r="B403" s="66"/>
      <c r="C403" s="66"/>
      <c r="D403" s="66"/>
      <c r="E403" s="66"/>
      <c r="F403" s="66"/>
      <c r="G403" s="66"/>
      <c r="H403" s="66"/>
    </row>
    <row r="404" spans="1:8" ht="9" thickTop="1" x14ac:dyDescent="0.15"/>
  </sheetData>
  <mergeCells count="24">
    <mergeCell ref="A337:H337"/>
    <mergeCell ref="A369:H369"/>
    <mergeCell ref="A370:H370"/>
    <mergeCell ref="A403:H403"/>
    <mergeCell ref="A269:H269"/>
    <mergeCell ref="A270:H270"/>
    <mergeCell ref="A302:H302"/>
    <mergeCell ref="A303:H303"/>
    <mergeCell ref="A336:H336"/>
    <mergeCell ref="A169:H169"/>
    <mergeCell ref="A201:H201"/>
    <mergeCell ref="A202:H202"/>
    <mergeCell ref="A235:H235"/>
    <mergeCell ref="A236:H236"/>
    <mergeCell ref="A101:H101"/>
    <mergeCell ref="A102:H102"/>
    <mergeCell ref="A134:H134"/>
    <mergeCell ref="A135:H135"/>
    <mergeCell ref="A168:H168"/>
    <mergeCell ref="A1:H1"/>
    <mergeCell ref="A35:H35"/>
    <mergeCell ref="A36:H36"/>
    <mergeCell ref="A67:H67"/>
    <mergeCell ref="A68:H68"/>
  </mergeCells>
  <printOptions gridLines="1"/>
  <pageMargins left="0" right="0" top="0" bottom="0" header="0" footer="0"/>
  <pageSetup paperSize="9" orientation="landscape" r:id="rId1"/>
  <headerFooter>
    <oddFooter>&amp;C&amp;P/&amp;N</oddFooter>
  </headerFooter>
  <rowBreaks count="11" manualBreakCount="11">
    <brk id="35" max="16383" man="1"/>
    <brk id="67" max="16383" man="1"/>
    <brk id="101" max="16383" man="1"/>
    <brk id="134" max="16383" man="1"/>
    <brk id="168" max="16383" man="1"/>
    <brk id="201" max="16383" man="1"/>
    <brk id="235" max="16383" man="1"/>
    <brk id="269" max="16383" man="1"/>
    <brk id="302" max="16383" man="1"/>
    <brk id="336" max="16383" man="1"/>
    <brk id="3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enusViandesWeekend"/>
  <dimension ref="A1:E110"/>
  <sheetViews>
    <sheetView workbookViewId="0">
      <selection sqref="A1:E1"/>
    </sheetView>
  </sheetViews>
  <sheetFormatPr baseColWidth="10" defaultColWidth="11.07421875" defaultRowHeight="10.199999999999999" customHeight="1" x14ac:dyDescent="0.25"/>
  <cols>
    <col min="1" max="1" width="19.69140625" style="18" customWidth="1"/>
    <col min="2" max="2" width="5.3828125" style="18" customWidth="1"/>
    <col min="3" max="3" width="18.3828125" style="18" customWidth="1"/>
    <col min="4" max="4" width="26.3828125" style="18" customWidth="1"/>
    <col min="5" max="5" width="10.3828125" style="18" customWidth="1"/>
    <col min="6" max="16384" width="11.07421875" style="18"/>
  </cols>
  <sheetData>
    <row r="1" spans="1:5" ht="10.199999999999999" customHeight="1" thickTop="1" thickBot="1" x14ac:dyDescent="0.3">
      <c r="A1" s="67" t="s">
        <v>595</v>
      </c>
      <c r="B1" s="67"/>
      <c r="C1" s="67"/>
      <c r="D1" s="67"/>
      <c r="E1" s="67"/>
    </row>
    <row r="2" spans="1:5" ht="10.199999999999999" customHeight="1" thickTop="1" thickBot="1" x14ac:dyDescent="0.3">
      <c r="A2" s="53" t="s">
        <v>515</v>
      </c>
      <c r="B2" s="54" t="s">
        <v>528</v>
      </c>
      <c r="C2" s="53" t="s">
        <v>533</v>
      </c>
      <c r="D2" s="53" t="s">
        <v>537</v>
      </c>
      <c r="E2" s="55" t="s">
        <v>514</v>
      </c>
    </row>
    <row r="3" spans="1:5" ht="10.199999999999999" customHeight="1" thickTop="1" thickBot="1" x14ac:dyDescent="0.25">
      <c r="A3" s="56">
        <v>43106</v>
      </c>
      <c r="B3" s="55" t="s">
        <v>154</v>
      </c>
      <c r="C3" s="55"/>
      <c r="D3" s="55" t="s">
        <v>569</v>
      </c>
      <c r="E3" s="55" t="s">
        <v>1255</v>
      </c>
    </row>
    <row r="4" spans="1:5" ht="10.199999999999999" customHeight="1" thickTop="1" thickBot="1" x14ac:dyDescent="0.25">
      <c r="A4" s="56">
        <v>43107</v>
      </c>
      <c r="B4" s="55" t="s">
        <v>102</v>
      </c>
      <c r="C4" s="55"/>
      <c r="D4" s="55" t="s">
        <v>569</v>
      </c>
      <c r="E4" s="55" t="s">
        <v>1256</v>
      </c>
    </row>
    <row r="5" spans="1:5" ht="10.199999999999999" customHeight="1" thickTop="1" thickBot="1" x14ac:dyDescent="0.25">
      <c r="A5" s="56">
        <v>43113</v>
      </c>
      <c r="B5" s="55" t="s">
        <v>157</v>
      </c>
      <c r="C5" s="55"/>
      <c r="D5" s="55" t="s">
        <v>569</v>
      </c>
      <c r="E5" s="55" t="s">
        <v>1257</v>
      </c>
    </row>
    <row r="6" spans="1:5" ht="10.199999999999999" customHeight="1" thickTop="1" thickBot="1" x14ac:dyDescent="0.25">
      <c r="A6" s="56">
        <v>43114</v>
      </c>
      <c r="B6" s="55" t="s">
        <v>159</v>
      </c>
      <c r="C6" s="55"/>
      <c r="D6" s="55" t="s">
        <v>569</v>
      </c>
      <c r="E6" s="55" t="s">
        <v>1258</v>
      </c>
    </row>
    <row r="7" spans="1:5" ht="10.199999999999999" customHeight="1" thickTop="1" thickBot="1" x14ac:dyDescent="0.25">
      <c r="A7" s="56">
        <v>43120</v>
      </c>
      <c r="B7" s="55" t="s">
        <v>145</v>
      </c>
      <c r="C7" s="55"/>
      <c r="D7" s="55" t="s">
        <v>569</v>
      </c>
      <c r="E7" s="55" t="s">
        <v>1259</v>
      </c>
    </row>
    <row r="8" spans="1:5" ht="10.199999999999999" customHeight="1" thickTop="1" thickBot="1" x14ac:dyDescent="0.3">
      <c r="A8" s="56">
        <v>43121</v>
      </c>
      <c r="B8" s="55" t="s">
        <v>148</v>
      </c>
      <c r="C8" s="55"/>
      <c r="D8" s="55" t="s">
        <v>569</v>
      </c>
      <c r="E8" s="55" t="s">
        <v>1260</v>
      </c>
    </row>
    <row r="9" spans="1:5" ht="10.199999999999999" customHeight="1" thickTop="1" thickBot="1" x14ac:dyDescent="0.25">
      <c r="A9" s="56">
        <v>43127</v>
      </c>
      <c r="B9" s="55" t="s">
        <v>151</v>
      </c>
      <c r="C9" s="55"/>
      <c r="D9" s="55" t="s">
        <v>569</v>
      </c>
      <c r="E9" s="55" t="s">
        <v>1262</v>
      </c>
    </row>
    <row r="10" spans="1:5" ht="10.199999999999999" customHeight="1" thickTop="1" thickBot="1" x14ac:dyDescent="0.25">
      <c r="A10" s="56">
        <v>43128</v>
      </c>
      <c r="B10" s="55" t="s">
        <v>154</v>
      </c>
      <c r="C10" s="55"/>
      <c r="D10" s="55" t="s">
        <v>569</v>
      </c>
      <c r="E10" s="55" t="s">
        <v>1261</v>
      </c>
    </row>
    <row r="11" spans="1:5" ht="10.199999999999999" customHeight="1" thickTop="1" thickBot="1" x14ac:dyDescent="0.25">
      <c r="A11" s="56">
        <v>43134</v>
      </c>
      <c r="B11" s="55" t="s">
        <v>102</v>
      </c>
      <c r="C11" s="55"/>
      <c r="D11" s="55" t="s">
        <v>569</v>
      </c>
      <c r="E11" s="55" t="s">
        <v>1263</v>
      </c>
    </row>
    <row r="12" spans="1:5" ht="10.199999999999999" customHeight="1" thickTop="1" thickBot="1" x14ac:dyDescent="0.25">
      <c r="A12" s="56">
        <v>43135</v>
      </c>
      <c r="B12" s="55" t="s">
        <v>157</v>
      </c>
      <c r="C12" s="55"/>
      <c r="D12" s="55" t="s">
        <v>569</v>
      </c>
      <c r="E12" s="55" t="s">
        <v>1264</v>
      </c>
    </row>
    <row r="13" spans="1:5" ht="10.199999999999999" customHeight="1" thickTop="1" thickBot="1" x14ac:dyDescent="0.25">
      <c r="A13" s="56">
        <v>43141</v>
      </c>
      <c r="B13" s="55" t="s">
        <v>159</v>
      </c>
      <c r="C13" s="55"/>
      <c r="D13" s="55" t="s">
        <v>569</v>
      </c>
      <c r="E13" s="55" t="s">
        <v>1265</v>
      </c>
    </row>
    <row r="14" spans="1:5" ht="10.199999999999999" customHeight="1" thickTop="1" thickBot="1" x14ac:dyDescent="0.25">
      <c r="A14" s="56">
        <v>43142</v>
      </c>
      <c r="B14" s="55" t="s">
        <v>145</v>
      </c>
      <c r="C14" s="55"/>
      <c r="D14" s="55" t="s">
        <v>569</v>
      </c>
      <c r="E14" s="55" t="s">
        <v>1266</v>
      </c>
    </row>
    <row r="15" spans="1:5" ht="10.199999999999999" customHeight="1" thickTop="1" thickBot="1" x14ac:dyDescent="0.3">
      <c r="A15" s="56">
        <v>43148</v>
      </c>
      <c r="B15" s="55" t="s">
        <v>148</v>
      </c>
      <c r="C15" s="55"/>
      <c r="D15" s="55" t="s">
        <v>569</v>
      </c>
      <c r="E15" s="55" t="s">
        <v>1267</v>
      </c>
    </row>
    <row r="16" spans="1:5" ht="10.199999999999999" customHeight="1" thickTop="1" thickBot="1" x14ac:dyDescent="0.25">
      <c r="A16" s="56">
        <v>43149</v>
      </c>
      <c r="B16" s="55" t="s">
        <v>151</v>
      </c>
      <c r="C16" s="55"/>
      <c r="D16" s="55" t="s">
        <v>569</v>
      </c>
      <c r="E16" s="55" t="s">
        <v>1268</v>
      </c>
    </row>
    <row r="17" spans="1:5" ht="10.199999999999999" customHeight="1" thickTop="1" thickBot="1" x14ac:dyDescent="0.25">
      <c r="A17" s="56">
        <v>43155</v>
      </c>
      <c r="B17" s="55" t="s">
        <v>154</v>
      </c>
      <c r="C17" s="55"/>
      <c r="D17" s="55" t="s">
        <v>569</v>
      </c>
      <c r="E17" s="55" t="s">
        <v>1269</v>
      </c>
    </row>
    <row r="18" spans="1:5" ht="10.199999999999999" customHeight="1" thickTop="1" thickBot="1" x14ac:dyDescent="0.25">
      <c r="A18" s="56">
        <v>43156</v>
      </c>
      <c r="B18" s="55" t="s">
        <v>102</v>
      </c>
      <c r="C18" s="55"/>
      <c r="D18" s="55" t="s">
        <v>569</v>
      </c>
      <c r="E18" s="55" t="s">
        <v>1270</v>
      </c>
    </row>
    <row r="19" spans="1:5" ht="10.199999999999999" customHeight="1" thickTop="1" thickBot="1" x14ac:dyDescent="0.25">
      <c r="A19" s="56">
        <v>43162</v>
      </c>
      <c r="B19" s="55" t="s">
        <v>157</v>
      </c>
      <c r="C19" s="55"/>
      <c r="D19" s="55" t="s">
        <v>569</v>
      </c>
      <c r="E19" s="55" t="s">
        <v>1271</v>
      </c>
    </row>
    <row r="20" spans="1:5" ht="10.199999999999999" customHeight="1" thickTop="1" thickBot="1" x14ac:dyDescent="0.25">
      <c r="A20" s="56">
        <v>43163</v>
      </c>
      <c r="B20" s="55" t="s">
        <v>159</v>
      </c>
      <c r="C20" s="55"/>
      <c r="D20" s="55" t="s">
        <v>569</v>
      </c>
      <c r="E20" s="55" t="s">
        <v>1272</v>
      </c>
    </row>
    <row r="21" spans="1:5" ht="10.199999999999999" customHeight="1" thickTop="1" thickBot="1" x14ac:dyDescent="0.25">
      <c r="A21" s="56">
        <v>43169</v>
      </c>
      <c r="B21" s="55" t="s">
        <v>145</v>
      </c>
      <c r="C21" s="55"/>
      <c r="D21" s="55" t="s">
        <v>569</v>
      </c>
      <c r="E21" s="55" t="s">
        <v>1273</v>
      </c>
    </row>
    <row r="22" spans="1:5" ht="10.199999999999999" customHeight="1" thickTop="1" thickBot="1" x14ac:dyDescent="0.3">
      <c r="A22" s="56">
        <v>43170</v>
      </c>
      <c r="B22" s="55" t="s">
        <v>148</v>
      </c>
      <c r="C22" s="55"/>
      <c r="D22" s="55" t="s">
        <v>569</v>
      </c>
      <c r="E22" s="55" t="s">
        <v>1274</v>
      </c>
    </row>
    <row r="23" spans="1:5" ht="10.199999999999999" customHeight="1" thickTop="1" thickBot="1" x14ac:dyDescent="0.25">
      <c r="A23" s="56">
        <v>43176</v>
      </c>
      <c r="B23" s="55" t="s">
        <v>151</v>
      </c>
      <c r="C23" s="55"/>
      <c r="D23" s="55" t="s">
        <v>569</v>
      </c>
      <c r="E23" s="55" t="s">
        <v>1275</v>
      </c>
    </row>
    <row r="24" spans="1:5" ht="10.199999999999999" customHeight="1" thickTop="1" thickBot="1" x14ac:dyDescent="0.25">
      <c r="A24" s="56">
        <v>43177</v>
      </c>
      <c r="B24" s="55" t="s">
        <v>154</v>
      </c>
      <c r="C24" s="55"/>
      <c r="D24" s="55" t="s">
        <v>569</v>
      </c>
      <c r="E24" s="55" t="s">
        <v>1276</v>
      </c>
    </row>
    <row r="25" spans="1:5" ht="10.199999999999999" customHeight="1" thickTop="1" thickBot="1" x14ac:dyDescent="0.25">
      <c r="A25" s="56">
        <v>43183</v>
      </c>
      <c r="B25" s="55" t="s">
        <v>102</v>
      </c>
      <c r="C25" s="55"/>
      <c r="D25" s="55" t="s">
        <v>569</v>
      </c>
      <c r="E25" s="55" t="s">
        <v>1277</v>
      </c>
    </row>
    <row r="26" spans="1:5" ht="10.199999999999999" customHeight="1" thickTop="1" thickBot="1" x14ac:dyDescent="0.25">
      <c r="A26" s="56">
        <v>43184</v>
      </c>
      <c r="B26" s="55" t="s">
        <v>157</v>
      </c>
      <c r="C26" s="55"/>
      <c r="D26" s="55" t="s">
        <v>569</v>
      </c>
      <c r="E26" s="55" t="s">
        <v>1278</v>
      </c>
    </row>
    <row r="27" spans="1:5" ht="10.199999999999999" customHeight="1" thickTop="1" thickBot="1" x14ac:dyDescent="0.25">
      <c r="A27" s="56">
        <v>43190</v>
      </c>
      <c r="B27" s="55" t="s">
        <v>159</v>
      </c>
      <c r="C27" s="55"/>
      <c r="D27" s="55" t="s">
        <v>569</v>
      </c>
      <c r="E27" s="55" t="s">
        <v>1279</v>
      </c>
    </row>
    <row r="28" spans="1:5" ht="10.199999999999999" customHeight="1" thickTop="1" thickBot="1" x14ac:dyDescent="0.3">
      <c r="A28" s="56">
        <v>43191</v>
      </c>
      <c r="B28" s="55" t="s">
        <v>145</v>
      </c>
      <c r="C28" s="55" t="s">
        <v>67</v>
      </c>
      <c r="D28" s="55" t="s">
        <v>569</v>
      </c>
      <c r="E28" s="55" t="s">
        <v>1280</v>
      </c>
    </row>
    <row r="29" spans="1:5" ht="10.199999999999999" customHeight="1" thickTop="1" thickBot="1" x14ac:dyDescent="0.3">
      <c r="A29" s="56">
        <v>43197</v>
      </c>
      <c r="B29" s="55" t="s">
        <v>148</v>
      </c>
      <c r="C29" s="55"/>
      <c r="D29" s="55" t="s">
        <v>569</v>
      </c>
      <c r="E29" s="55" t="s">
        <v>1281</v>
      </c>
    </row>
    <row r="30" spans="1:5" ht="10.199999999999999" customHeight="1" thickTop="1" thickBot="1" x14ac:dyDescent="0.25">
      <c r="A30" s="56">
        <v>43198</v>
      </c>
      <c r="B30" s="55" t="s">
        <v>151</v>
      </c>
      <c r="C30" s="55"/>
      <c r="D30" s="55" t="s">
        <v>569</v>
      </c>
      <c r="E30" s="55" t="s">
        <v>1282</v>
      </c>
    </row>
    <row r="31" spans="1:5" ht="10.199999999999999" customHeight="1" thickTop="1" thickBot="1" x14ac:dyDescent="0.25">
      <c r="A31" s="56">
        <v>43204</v>
      </c>
      <c r="B31" s="55" t="s">
        <v>154</v>
      </c>
      <c r="C31" s="55"/>
      <c r="D31" s="55" t="s">
        <v>569</v>
      </c>
      <c r="E31" s="55" t="s">
        <v>1283</v>
      </c>
    </row>
    <row r="32" spans="1:5" ht="10.199999999999999" customHeight="1" thickTop="1" thickBot="1" x14ac:dyDescent="0.25">
      <c r="A32" s="56">
        <v>43205</v>
      </c>
      <c r="B32" s="55" t="s">
        <v>102</v>
      </c>
      <c r="C32" s="55"/>
      <c r="D32" s="55" t="s">
        <v>569</v>
      </c>
      <c r="E32" s="55" t="s">
        <v>1284</v>
      </c>
    </row>
    <row r="33" spans="1:5" ht="10.199999999999999" customHeight="1" thickTop="1" thickBot="1" x14ac:dyDescent="0.25">
      <c r="A33" s="56">
        <v>43211</v>
      </c>
      <c r="B33" s="55" t="s">
        <v>157</v>
      </c>
      <c r="C33" s="55"/>
      <c r="D33" s="55" t="s">
        <v>569</v>
      </c>
      <c r="E33" s="55" t="s">
        <v>1285</v>
      </c>
    </row>
    <row r="34" spans="1:5" ht="10.199999999999999" customHeight="1" thickTop="1" thickBot="1" x14ac:dyDescent="0.25">
      <c r="A34" s="56">
        <v>43212</v>
      </c>
      <c r="B34" s="55" t="s">
        <v>159</v>
      </c>
      <c r="C34" s="55"/>
      <c r="D34" s="55" t="s">
        <v>569</v>
      </c>
      <c r="E34" s="55" t="s">
        <v>1286</v>
      </c>
    </row>
    <row r="35" spans="1:5" ht="10.199999999999999" customHeight="1" thickTop="1" thickBot="1" x14ac:dyDescent="0.25">
      <c r="A35" s="56">
        <v>43218</v>
      </c>
      <c r="B35" s="55" t="s">
        <v>145</v>
      </c>
      <c r="C35" s="55"/>
      <c r="D35" s="55" t="s">
        <v>569</v>
      </c>
      <c r="E35" s="55" t="s">
        <v>1287</v>
      </c>
    </row>
    <row r="36" spans="1:5" ht="10.199999999999999" customHeight="1" thickTop="1" thickBot="1" x14ac:dyDescent="0.3">
      <c r="A36" s="56">
        <v>43219</v>
      </c>
      <c r="B36" s="55" t="s">
        <v>148</v>
      </c>
      <c r="C36" s="55"/>
      <c r="D36" s="55" t="s">
        <v>569</v>
      </c>
      <c r="E36" s="55" t="s">
        <v>1288</v>
      </c>
    </row>
    <row r="37" spans="1:5" ht="10.199999999999999" customHeight="1" thickTop="1" thickBot="1" x14ac:dyDescent="0.25">
      <c r="A37" s="56">
        <v>43225</v>
      </c>
      <c r="B37" s="55" t="s">
        <v>151</v>
      </c>
      <c r="C37" s="55"/>
      <c r="D37" s="55" t="s">
        <v>569</v>
      </c>
      <c r="E37" s="55" t="s">
        <v>1289</v>
      </c>
    </row>
    <row r="38" spans="1:5" ht="10.199999999999999" customHeight="1" thickTop="1" thickBot="1" x14ac:dyDescent="0.25">
      <c r="A38" s="56">
        <v>43226</v>
      </c>
      <c r="B38" s="57" t="s">
        <v>154</v>
      </c>
      <c r="C38" s="55"/>
      <c r="D38" s="55" t="s">
        <v>569</v>
      </c>
      <c r="E38" s="55" t="s">
        <v>1290</v>
      </c>
    </row>
    <row r="39" spans="1:5" ht="10.199999999999999" customHeight="1" thickTop="1" thickBot="1" x14ac:dyDescent="0.25">
      <c r="A39" s="56">
        <v>43232</v>
      </c>
      <c r="B39" s="55" t="s">
        <v>102</v>
      </c>
      <c r="C39" s="55"/>
      <c r="D39" s="55" t="s">
        <v>569</v>
      </c>
      <c r="E39" s="55" t="s">
        <v>1291</v>
      </c>
    </row>
    <row r="40" spans="1:5" ht="10.199999999999999" customHeight="1" thickTop="1" thickBot="1" x14ac:dyDescent="0.25">
      <c r="A40" s="56">
        <v>43233</v>
      </c>
      <c r="B40" s="55" t="s">
        <v>157</v>
      </c>
      <c r="C40" s="55"/>
      <c r="D40" s="55" t="s">
        <v>569</v>
      </c>
      <c r="E40" s="55" t="s">
        <v>1292</v>
      </c>
    </row>
    <row r="41" spans="1:5" ht="10.199999999999999" customHeight="1" thickTop="1" thickBot="1" x14ac:dyDescent="0.3">
      <c r="A41" s="56">
        <v>43239</v>
      </c>
      <c r="B41" s="55" t="s">
        <v>159</v>
      </c>
      <c r="C41" s="55"/>
      <c r="D41" s="55" t="s">
        <v>569</v>
      </c>
      <c r="E41" s="55" t="s">
        <v>1293</v>
      </c>
    </row>
    <row r="42" spans="1:5" ht="10.199999999999999" customHeight="1" thickTop="1" thickBot="1" x14ac:dyDescent="0.3">
      <c r="A42" s="56">
        <v>43240</v>
      </c>
      <c r="B42" s="55" t="s">
        <v>145</v>
      </c>
      <c r="C42" s="55" t="s">
        <v>73</v>
      </c>
      <c r="D42" s="55" t="s">
        <v>569</v>
      </c>
      <c r="E42" s="55" t="s">
        <v>1294</v>
      </c>
    </row>
    <row r="43" spans="1:5" ht="10.199999999999999" customHeight="1" thickTop="1" thickBot="1" x14ac:dyDescent="0.3">
      <c r="A43" s="56">
        <v>43246</v>
      </c>
      <c r="B43" s="55" t="s">
        <v>148</v>
      </c>
      <c r="C43" s="55"/>
      <c r="D43" s="55" t="s">
        <v>569</v>
      </c>
      <c r="E43" s="55" t="s">
        <v>1295</v>
      </c>
    </row>
    <row r="44" spans="1:5" ht="10.199999999999999" customHeight="1" thickTop="1" thickBot="1" x14ac:dyDescent="0.3">
      <c r="A44" s="56">
        <v>43247</v>
      </c>
      <c r="B44" s="55" t="s">
        <v>151</v>
      </c>
      <c r="C44" s="55"/>
      <c r="D44" s="55" t="s">
        <v>569</v>
      </c>
      <c r="E44" s="55" t="s">
        <v>1296</v>
      </c>
    </row>
    <row r="45" spans="1:5" ht="10.199999999999999" customHeight="1" thickTop="1" thickBot="1" x14ac:dyDescent="0.3">
      <c r="A45" s="56">
        <v>43253</v>
      </c>
      <c r="B45" s="55" t="s">
        <v>154</v>
      </c>
      <c r="C45" s="55"/>
      <c r="D45" s="55" t="s">
        <v>569</v>
      </c>
      <c r="E45" s="55" t="s">
        <v>1297</v>
      </c>
    </row>
    <row r="46" spans="1:5" ht="10.199999999999999" customHeight="1" thickTop="1" thickBot="1" x14ac:dyDescent="0.3">
      <c r="A46" s="56">
        <v>43254</v>
      </c>
      <c r="B46" s="55" t="s">
        <v>102</v>
      </c>
      <c r="C46" s="55"/>
      <c r="D46" s="55" t="s">
        <v>569</v>
      </c>
      <c r="E46" s="55" t="s">
        <v>1298</v>
      </c>
    </row>
    <row r="47" spans="1:5" ht="10.199999999999999" customHeight="1" thickTop="1" thickBot="1" x14ac:dyDescent="0.3">
      <c r="A47" s="56">
        <v>43260</v>
      </c>
      <c r="B47" s="55" t="s">
        <v>157</v>
      </c>
      <c r="C47" s="55"/>
      <c r="D47" s="55" t="s">
        <v>569</v>
      </c>
      <c r="E47" s="55" t="s">
        <v>1299</v>
      </c>
    </row>
    <row r="48" spans="1:5" ht="10.199999999999999" customHeight="1" thickTop="1" thickBot="1" x14ac:dyDescent="0.3">
      <c r="A48" s="56">
        <v>43261</v>
      </c>
      <c r="B48" s="55" t="s">
        <v>159</v>
      </c>
      <c r="C48" s="55"/>
      <c r="D48" s="55" t="s">
        <v>569</v>
      </c>
      <c r="E48" s="55" t="s">
        <v>1300</v>
      </c>
    </row>
    <row r="49" spans="1:5" ht="10.199999999999999" customHeight="1" thickTop="1" thickBot="1" x14ac:dyDescent="0.3">
      <c r="A49" s="56">
        <v>43267</v>
      </c>
      <c r="B49" s="55" t="s">
        <v>145</v>
      </c>
      <c r="C49" s="55"/>
      <c r="D49" s="55" t="s">
        <v>569</v>
      </c>
      <c r="E49" s="55" t="s">
        <v>1301</v>
      </c>
    </row>
    <row r="50" spans="1:5" ht="10.199999999999999" customHeight="1" thickTop="1" thickBot="1" x14ac:dyDescent="0.3">
      <c r="A50" s="56">
        <v>43268</v>
      </c>
      <c r="B50" s="55" t="s">
        <v>148</v>
      </c>
      <c r="C50" s="55"/>
      <c r="D50" s="55" t="s">
        <v>569</v>
      </c>
      <c r="E50" s="55" t="s">
        <v>1302</v>
      </c>
    </row>
    <row r="51" spans="1:5" ht="10.199999999999999" customHeight="1" thickTop="1" thickBot="1" x14ac:dyDescent="0.3">
      <c r="A51" s="56">
        <v>43274</v>
      </c>
      <c r="B51" s="55" t="s">
        <v>151</v>
      </c>
      <c r="C51" s="55"/>
      <c r="D51" s="55" t="s">
        <v>569</v>
      </c>
      <c r="E51" s="55" t="s">
        <v>1303</v>
      </c>
    </row>
    <row r="52" spans="1:5" ht="10.199999999999999" customHeight="1" thickTop="1" thickBot="1" x14ac:dyDescent="0.3">
      <c r="A52" s="56">
        <v>43275</v>
      </c>
      <c r="B52" s="55" t="s">
        <v>154</v>
      </c>
      <c r="C52" s="55"/>
      <c r="D52" s="55" t="s">
        <v>569</v>
      </c>
      <c r="E52" s="55" t="s">
        <v>1304</v>
      </c>
    </row>
    <row r="53" spans="1:5" ht="10.199999999999999" customHeight="1" thickTop="1" thickBot="1" x14ac:dyDescent="0.3">
      <c r="A53" s="56">
        <v>43281</v>
      </c>
      <c r="B53" s="55" t="s">
        <v>102</v>
      </c>
      <c r="C53" s="55"/>
      <c r="D53" s="55" t="s">
        <v>569</v>
      </c>
      <c r="E53" s="55" t="s">
        <v>1305</v>
      </c>
    </row>
    <row r="54" spans="1:5" ht="10.199999999999999" customHeight="1" thickTop="1" thickBot="1" x14ac:dyDescent="0.3">
      <c r="A54" s="68" t="s">
        <v>1193</v>
      </c>
      <c r="B54" s="68"/>
      <c r="C54" s="68"/>
      <c r="D54" s="68"/>
      <c r="E54" s="68"/>
    </row>
    <row r="55" spans="1:5" ht="10.199999999999999" customHeight="1" thickTop="1" thickBot="1" x14ac:dyDescent="0.3">
      <c r="A55" s="67" t="s">
        <v>1318</v>
      </c>
      <c r="B55" s="67"/>
      <c r="C55" s="67"/>
      <c r="D55" s="67"/>
      <c r="E55" s="67"/>
    </row>
    <row r="56" spans="1:5" ht="10.199999999999999" customHeight="1" thickTop="1" thickBot="1" x14ac:dyDescent="0.3">
      <c r="A56" s="53" t="s">
        <v>515</v>
      </c>
      <c r="B56" s="54" t="s">
        <v>528</v>
      </c>
      <c r="C56" s="53" t="s">
        <v>533</v>
      </c>
      <c r="D56" s="53" t="s">
        <v>537</v>
      </c>
      <c r="E56" s="55" t="s">
        <v>514</v>
      </c>
    </row>
    <row r="57" spans="1:5" ht="10.199999999999999" customHeight="1" thickTop="1" thickBot="1" x14ac:dyDescent="0.3">
      <c r="A57" s="56">
        <v>43282</v>
      </c>
      <c r="B57" s="55" t="s">
        <v>157</v>
      </c>
      <c r="C57" s="55"/>
      <c r="D57" s="55" t="s">
        <v>570</v>
      </c>
      <c r="E57" s="55" t="s">
        <v>1306</v>
      </c>
    </row>
    <row r="58" spans="1:5" ht="10.199999999999999" customHeight="1" thickTop="1" thickBot="1" x14ac:dyDescent="0.3">
      <c r="A58" s="56">
        <v>43288</v>
      </c>
      <c r="B58" s="55" t="s">
        <v>159</v>
      </c>
      <c r="C58" s="55"/>
      <c r="D58" s="55" t="s">
        <v>570</v>
      </c>
      <c r="E58" s="55" t="s">
        <v>1307</v>
      </c>
    </row>
    <row r="59" spans="1:5" ht="10.199999999999999" customHeight="1" thickTop="1" thickBot="1" x14ac:dyDescent="0.3">
      <c r="A59" s="56">
        <v>43289</v>
      </c>
      <c r="B59" s="55" t="s">
        <v>145</v>
      </c>
      <c r="C59" s="55"/>
      <c r="D59" s="55" t="s">
        <v>570</v>
      </c>
      <c r="E59" s="55" t="s">
        <v>1308</v>
      </c>
    </row>
    <row r="60" spans="1:5" ht="10.199999999999999" customHeight="1" thickTop="1" thickBot="1" x14ac:dyDescent="0.3">
      <c r="A60" s="56">
        <v>43295</v>
      </c>
      <c r="B60" s="55" t="s">
        <v>148</v>
      </c>
      <c r="C60" s="55" t="s">
        <v>38</v>
      </c>
      <c r="D60" s="55" t="s">
        <v>570</v>
      </c>
      <c r="E60" s="55" t="s">
        <v>1309</v>
      </c>
    </row>
    <row r="61" spans="1:5" ht="10.199999999999999" customHeight="1" thickTop="1" thickBot="1" x14ac:dyDescent="0.3">
      <c r="A61" s="56">
        <v>43296</v>
      </c>
      <c r="B61" s="55" t="s">
        <v>151</v>
      </c>
      <c r="C61" s="55"/>
      <c r="D61" s="55" t="s">
        <v>570</v>
      </c>
      <c r="E61" s="55" t="s">
        <v>1310</v>
      </c>
    </row>
    <row r="62" spans="1:5" ht="10.199999999999999" customHeight="1" thickTop="1" thickBot="1" x14ac:dyDescent="0.3">
      <c r="A62" s="56">
        <v>43302</v>
      </c>
      <c r="B62" s="55" t="s">
        <v>154</v>
      </c>
      <c r="C62" s="55"/>
      <c r="D62" s="55" t="s">
        <v>570</v>
      </c>
      <c r="E62" s="55" t="s">
        <v>1311</v>
      </c>
    </row>
    <row r="63" spans="1:5" ht="10.199999999999999" customHeight="1" thickTop="1" thickBot="1" x14ac:dyDescent="0.3">
      <c r="A63" s="56">
        <v>43303</v>
      </c>
      <c r="B63" s="55" t="s">
        <v>102</v>
      </c>
      <c r="C63" s="55"/>
      <c r="D63" s="55" t="s">
        <v>570</v>
      </c>
      <c r="E63" s="55" t="s">
        <v>1312</v>
      </c>
    </row>
    <row r="64" spans="1:5" ht="10.199999999999999" customHeight="1" thickTop="1" thickBot="1" x14ac:dyDescent="0.3">
      <c r="A64" s="56">
        <v>43309</v>
      </c>
      <c r="B64" s="55" t="s">
        <v>157</v>
      </c>
      <c r="C64" s="55"/>
      <c r="D64" s="55" t="s">
        <v>570</v>
      </c>
      <c r="E64" s="55" t="s">
        <v>1313</v>
      </c>
    </row>
    <row r="65" spans="1:5" ht="10.199999999999999" customHeight="1" thickTop="1" thickBot="1" x14ac:dyDescent="0.3">
      <c r="A65" s="56">
        <v>43310</v>
      </c>
      <c r="B65" s="55" t="s">
        <v>159</v>
      </c>
      <c r="C65" s="55"/>
      <c r="D65" s="55" t="s">
        <v>570</v>
      </c>
      <c r="E65" s="55" t="s">
        <v>1314</v>
      </c>
    </row>
    <row r="66" spans="1:5" ht="10.199999999999999" customHeight="1" thickTop="1" thickBot="1" x14ac:dyDescent="0.3">
      <c r="A66" s="56">
        <v>43316</v>
      </c>
      <c r="B66" s="55" t="s">
        <v>145</v>
      </c>
      <c r="C66" s="55"/>
      <c r="D66" s="55" t="s">
        <v>570</v>
      </c>
      <c r="E66" s="55" t="s">
        <v>1315</v>
      </c>
    </row>
    <row r="67" spans="1:5" ht="10.199999999999999" customHeight="1" thickTop="1" thickBot="1" x14ac:dyDescent="0.3">
      <c r="A67" s="56">
        <v>43317</v>
      </c>
      <c r="B67" s="55" t="s">
        <v>148</v>
      </c>
      <c r="C67" s="55"/>
      <c r="D67" s="55" t="s">
        <v>570</v>
      </c>
      <c r="E67" s="55" t="s">
        <v>1316</v>
      </c>
    </row>
    <row r="68" spans="1:5" ht="10.199999999999999" customHeight="1" thickTop="1" thickBot="1" x14ac:dyDescent="0.3">
      <c r="A68" s="56">
        <v>43323</v>
      </c>
      <c r="B68" s="55" t="s">
        <v>151</v>
      </c>
      <c r="C68" s="55"/>
      <c r="D68" s="55" t="s">
        <v>570</v>
      </c>
      <c r="E68" s="55" t="s">
        <v>1317</v>
      </c>
    </row>
    <row r="69" spans="1:5" ht="10.199999999999999" customHeight="1" thickTop="1" thickBot="1" x14ac:dyDescent="0.3">
      <c r="A69" s="56">
        <v>43324</v>
      </c>
      <c r="B69" s="55" t="s">
        <v>154</v>
      </c>
      <c r="C69" s="55"/>
      <c r="D69" s="55" t="s">
        <v>570</v>
      </c>
      <c r="E69" s="55" t="s">
        <v>1319</v>
      </c>
    </row>
    <row r="70" spans="1:5" ht="10.199999999999999" customHeight="1" thickTop="1" thickBot="1" x14ac:dyDescent="0.3">
      <c r="A70" s="56">
        <v>43330</v>
      </c>
      <c r="B70" s="55" t="s">
        <v>102</v>
      </c>
      <c r="C70" s="55"/>
      <c r="D70" s="55" t="s">
        <v>570</v>
      </c>
      <c r="E70" s="55" t="s">
        <v>1320</v>
      </c>
    </row>
    <row r="71" spans="1:5" ht="10.199999999999999" customHeight="1" thickTop="1" thickBot="1" x14ac:dyDescent="0.3">
      <c r="A71" s="56">
        <v>43331</v>
      </c>
      <c r="B71" s="55" t="s">
        <v>157</v>
      </c>
      <c r="C71" s="55"/>
      <c r="D71" s="55" t="s">
        <v>570</v>
      </c>
      <c r="E71" s="55" t="s">
        <v>1321</v>
      </c>
    </row>
    <row r="72" spans="1:5" ht="10.199999999999999" customHeight="1" thickTop="1" thickBot="1" x14ac:dyDescent="0.3">
      <c r="A72" s="56">
        <v>43337</v>
      </c>
      <c r="B72" s="55" t="s">
        <v>159</v>
      </c>
      <c r="C72" s="55"/>
      <c r="D72" s="55" t="s">
        <v>570</v>
      </c>
      <c r="E72" s="55" t="s">
        <v>1322</v>
      </c>
    </row>
    <row r="73" spans="1:5" ht="10.199999999999999" customHeight="1" thickTop="1" thickBot="1" x14ac:dyDescent="0.3">
      <c r="A73" s="56">
        <v>43338</v>
      </c>
      <c r="B73" s="55" t="s">
        <v>145</v>
      </c>
      <c r="C73" s="55"/>
      <c r="D73" s="55" t="s">
        <v>570</v>
      </c>
      <c r="E73" s="55" t="s">
        <v>1323</v>
      </c>
    </row>
    <row r="74" spans="1:5" ht="10.199999999999999" customHeight="1" thickTop="1" thickBot="1" x14ac:dyDescent="0.3">
      <c r="A74" s="56">
        <v>43345</v>
      </c>
      <c r="B74" s="55" t="s">
        <v>151</v>
      </c>
      <c r="C74" s="55"/>
      <c r="D74" s="55" t="s">
        <v>570</v>
      </c>
      <c r="E74" s="55" t="s">
        <v>1324</v>
      </c>
    </row>
    <row r="75" spans="1:5" ht="10.199999999999999" customHeight="1" thickTop="1" thickBot="1" x14ac:dyDescent="0.3">
      <c r="A75" s="56">
        <v>43351</v>
      </c>
      <c r="B75" s="55" t="s">
        <v>154</v>
      </c>
      <c r="C75" s="55"/>
      <c r="D75" s="55" t="s">
        <v>570</v>
      </c>
      <c r="E75" s="55" t="s">
        <v>1325</v>
      </c>
    </row>
    <row r="76" spans="1:5" ht="10.199999999999999" customHeight="1" thickTop="1" thickBot="1" x14ac:dyDescent="0.3">
      <c r="A76" s="56">
        <v>43352</v>
      </c>
      <c r="B76" s="55" t="s">
        <v>102</v>
      </c>
      <c r="C76" s="55"/>
      <c r="D76" s="55" t="s">
        <v>570</v>
      </c>
      <c r="E76" s="55" t="s">
        <v>1326</v>
      </c>
    </row>
    <row r="77" spans="1:5" ht="10.199999999999999" customHeight="1" thickTop="1" thickBot="1" x14ac:dyDescent="0.3">
      <c r="A77" s="56">
        <v>43358</v>
      </c>
      <c r="B77" s="55" t="s">
        <v>157</v>
      </c>
      <c r="C77" s="55"/>
      <c r="D77" s="55" t="s">
        <v>570</v>
      </c>
      <c r="E77" s="55" t="s">
        <v>1327</v>
      </c>
    </row>
    <row r="78" spans="1:5" ht="10.199999999999999" customHeight="1" thickTop="1" thickBot="1" x14ac:dyDescent="0.3">
      <c r="A78" s="56">
        <v>43359</v>
      </c>
      <c r="B78" s="55" t="s">
        <v>159</v>
      </c>
      <c r="C78" s="55"/>
      <c r="D78" s="55" t="s">
        <v>570</v>
      </c>
      <c r="E78" s="55" t="s">
        <v>1328</v>
      </c>
    </row>
    <row r="79" spans="1:5" ht="10.199999999999999" customHeight="1" thickTop="1" thickBot="1" x14ac:dyDescent="0.3">
      <c r="A79" s="56">
        <v>43365</v>
      </c>
      <c r="B79" s="55" t="s">
        <v>145</v>
      </c>
      <c r="C79" s="55"/>
      <c r="D79" s="55" t="s">
        <v>570</v>
      </c>
      <c r="E79" s="55" t="s">
        <v>1329</v>
      </c>
    </row>
    <row r="80" spans="1:5" ht="10.199999999999999" customHeight="1" thickTop="1" thickBot="1" x14ac:dyDescent="0.3">
      <c r="A80" s="56">
        <v>43366</v>
      </c>
      <c r="B80" s="55" t="s">
        <v>148</v>
      </c>
      <c r="C80" s="55"/>
      <c r="D80" s="55" t="s">
        <v>570</v>
      </c>
      <c r="E80" s="55" t="s">
        <v>1330</v>
      </c>
    </row>
    <row r="81" spans="1:5" ht="10.199999999999999" customHeight="1" thickTop="1" thickBot="1" x14ac:dyDescent="0.3">
      <c r="A81" s="56">
        <v>43372</v>
      </c>
      <c r="B81" s="55" t="s">
        <v>151</v>
      </c>
      <c r="C81" s="55"/>
      <c r="D81" s="55" t="s">
        <v>570</v>
      </c>
      <c r="E81" s="55" t="s">
        <v>1331</v>
      </c>
    </row>
    <row r="82" spans="1:5" ht="10.199999999999999" customHeight="1" thickTop="1" thickBot="1" x14ac:dyDescent="0.3">
      <c r="A82" s="56">
        <v>43373</v>
      </c>
      <c r="B82" s="55" t="s">
        <v>154</v>
      </c>
      <c r="C82" s="55"/>
      <c r="D82" s="55" t="s">
        <v>570</v>
      </c>
      <c r="E82" s="55" t="s">
        <v>1332</v>
      </c>
    </row>
    <row r="83" spans="1:5" ht="10.199999999999999" customHeight="1" thickTop="1" thickBot="1" x14ac:dyDescent="0.3">
      <c r="A83" s="56">
        <v>43379</v>
      </c>
      <c r="B83" s="55" t="s">
        <v>102</v>
      </c>
      <c r="C83" s="55"/>
      <c r="D83" s="55" t="s">
        <v>570</v>
      </c>
      <c r="E83" s="55" t="s">
        <v>1333</v>
      </c>
    </row>
    <row r="84" spans="1:5" ht="10.199999999999999" customHeight="1" thickTop="1" thickBot="1" x14ac:dyDescent="0.3">
      <c r="A84" s="56">
        <v>43380</v>
      </c>
      <c r="B84" s="55" t="s">
        <v>157</v>
      </c>
      <c r="C84" s="55"/>
      <c r="D84" s="55" t="s">
        <v>570</v>
      </c>
      <c r="E84" s="55" t="s">
        <v>1334</v>
      </c>
    </row>
    <row r="85" spans="1:5" ht="10.199999999999999" customHeight="1" thickTop="1" thickBot="1" x14ac:dyDescent="0.3">
      <c r="A85" s="56">
        <v>43386</v>
      </c>
      <c r="B85" s="55" t="s">
        <v>159</v>
      </c>
      <c r="C85" s="55"/>
      <c r="D85" s="55" t="s">
        <v>570</v>
      </c>
      <c r="E85" s="55" t="s">
        <v>1335</v>
      </c>
    </row>
    <row r="86" spans="1:5" ht="10.199999999999999" customHeight="1" thickTop="1" thickBot="1" x14ac:dyDescent="0.3">
      <c r="A86" s="56">
        <v>43387</v>
      </c>
      <c r="B86" s="55" t="s">
        <v>145</v>
      </c>
      <c r="C86" s="55"/>
      <c r="D86" s="55" t="s">
        <v>570</v>
      </c>
      <c r="E86" s="55" t="s">
        <v>1336</v>
      </c>
    </row>
    <row r="87" spans="1:5" ht="10.199999999999999" customHeight="1" thickTop="1" thickBot="1" x14ac:dyDescent="0.3">
      <c r="A87" s="56">
        <v>43393</v>
      </c>
      <c r="B87" s="55" t="s">
        <v>148</v>
      </c>
      <c r="C87" s="55"/>
      <c r="D87" s="55" t="s">
        <v>570</v>
      </c>
      <c r="E87" s="55" t="s">
        <v>1337</v>
      </c>
    </row>
    <row r="88" spans="1:5" ht="10.199999999999999" customHeight="1" thickTop="1" thickBot="1" x14ac:dyDescent="0.3">
      <c r="A88" s="56">
        <v>43394</v>
      </c>
      <c r="B88" s="55" t="s">
        <v>151</v>
      </c>
      <c r="C88" s="55"/>
      <c r="D88" s="55" t="s">
        <v>570</v>
      </c>
      <c r="E88" s="55" t="s">
        <v>1338</v>
      </c>
    </row>
    <row r="89" spans="1:5" ht="10.199999999999999" customHeight="1" thickTop="1" thickBot="1" x14ac:dyDescent="0.3">
      <c r="A89" s="56">
        <v>43400</v>
      </c>
      <c r="B89" s="55" t="s">
        <v>154</v>
      </c>
      <c r="C89" s="55"/>
      <c r="D89" s="55" t="s">
        <v>570</v>
      </c>
      <c r="E89" s="55" t="s">
        <v>1339</v>
      </c>
    </row>
    <row r="90" spans="1:5" ht="10.199999999999999" customHeight="1" thickTop="1" thickBot="1" x14ac:dyDescent="0.3">
      <c r="A90" s="56">
        <v>43401</v>
      </c>
      <c r="B90" s="55" t="s">
        <v>102</v>
      </c>
      <c r="C90" s="55"/>
      <c r="D90" s="55" t="s">
        <v>570</v>
      </c>
      <c r="E90" s="55" t="s">
        <v>1340</v>
      </c>
    </row>
    <row r="91" spans="1:5" ht="10.199999999999999" customHeight="1" thickTop="1" thickBot="1" x14ac:dyDescent="0.3">
      <c r="A91" s="56">
        <v>43407</v>
      </c>
      <c r="B91" s="55" t="s">
        <v>157</v>
      </c>
      <c r="C91" s="55"/>
      <c r="D91" s="55" t="s">
        <v>570</v>
      </c>
      <c r="E91" s="55" t="s">
        <v>1341</v>
      </c>
    </row>
    <row r="92" spans="1:5" ht="10.199999999999999" customHeight="1" thickTop="1" thickBot="1" x14ac:dyDescent="0.3">
      <c r="A92" s="56">
        <v>43408</v>
      </c>
      <c r="B92" s="55" t="s">
        <v>159</v>
      </c>
      <c r="C92" s="55"/>
      <c r="D92" s="55" t="s">
        <v>570</v>
      </c>
      <c r="E92" s="55" t="s">
        <v>1342</v>
      </c>
    </row>
    <row r="93" spans="1:5" ht="10.199999999999999" customHeight="1" thickTop="1" thickBot="1" x14ac:dyDescent="0.3">
      <c r="A93" s="56">
        <v>43414</v>
      </c>
      <c r="B93" s="55" t="s">
        <v>145</v>
      </c>
      <c r="C93" s="55"/>
      <c r="D93" s="55" t="s">
        <v>570</v>
      </c>
      <c r="E93" s="55" t="s">
        <v>1343</v>
      </c>
    </row>
    <row r="94" spans="1:5" ht="10.199999999999999" customHeight="1" thickTop="1" thickBot="1" x14ac:dyDescent="0.3">
      <c r="A94" s="56">
        <v>43415</v>
      </c>
      <c r="B94" s="55" t="s">
        <v>148</v>
      </c>
      <c r="C94" s="55" t="s">
        <v>11</v>
      </c>
      <c r="D94" s="55" t="s">
        <v>570</v>
      </c>
      <c r="E94" s="55" t="s">
        <v>1344</v>
      </c>
    </row>
    <row r="95" spans="1:5" ht="10.199999999999999" customHeight="1" thickTop="1" thickBot="1" x14ac:dyDescent="0.3">
      <c r="A95" s="56">
        <v>43421</v>
      </c>
      <c r="B95" s="55" t="s">
        <v>151</v>
      </c>
      <c r="C95" s="55"/>
      <c r="D95" s="55" t="s">
        <v>570</v>
      </c>
      <c r="E95" s="55" t="s">
        <v>1345</v>
      </c>
    </row>
    <row r="96" spans="1:5" ht="10.199999999999999" customHeight="1" thickTop="1" thickBot="1" x14ac:dyDescent="0.3">
      <c r="A96" s="56">
        <v>43422</v>
      </c>
      <c r="B96" s="55" t="s">
        <v>154</v>
      </c>
      <c r="C96" s="55"/>
      <c r="D96" s="55" t="s">
        <v>570</v>
      </c>
      <c r="E96" s="55" t="s">
        <v>1346</v>
      </c>
    </row>
    <row r="97" spans="1:5" ht="10.199999999999999" customHeight="1" thickTop="1" thickBot="1" x14ac:dyDescent="0.3">
      <c r="A97" s="56">
        <v>43428</v>
      </c>
      <c r="B97" s="55" t="s">
        <v>102</v>
      </c>
      <c r="C97" s="55"/>
      <c r="D97" s="55" t="s">
        <v>570</v>
      </c>
      <c r="E97" s="55" t="s">
        <v>1347</v>
      </c>
    </row>
    <row r="98" spans="1:5" ht="10.199999999999999" customHeight="1" thickTop="1" thickBot="1" x14ac:dyDescent="0.3">
      <c r="A98" s="56">
        <v>43429</v>
      </c>
      <c r="B98" s="55" t="s">
        <v>157</v>
      </c>
      <c r="C98" s="55"/>
      <c r="D98" s="55" t="s">
        <v>570</v>
      </c>
      <c r="E98" s="55" t="s">
        <v>1348</v>
      </c>
    </row>
    <row r="99" spans="1:5" ht="10.199999999999999" customHeight="1" thickTop="1" thickBot="1" x14ac:dyDescent="0.3">
      <c r="A99" s="56">
        <v>43435</v>
      </c>
      <c r="B99" s="55" t="s">
        <v>159</v>
      </c>
      <c r="C99" s="55"/>
      <c r="D99" s="55" t="s">
        <v>570</v>
      </c>
      <c r="E99" s="55" t="s">
        <v>1349</v>
      </c>
    </row>
    <row r="100" spans="1:5" ht="10.199999999999999" customHeight="1" thickTop="1" thickBot="1" x14ac:dyDescent="0.3">
      <c r="A100" s="56">
        <v>43436</v>
      </c>
      <c r="B100" s="55" t="s">
        <v>145</v>
      </c>
      <c r="C100" s="55"/>
      <c r="D100" s="55" t="s">
        <v>570</v>
      </c>
      <c r="E100" s="55" t="s">
        <v>1350</v>
      </c>
    </row>
    <row r="101" spans="1:5" ht="10.199999999999999" customHeight="1" thickTop="1" thickBot="1" x14ac:dyDescent="0.3">
      <c r="A101" s="56">
        <v>43442</v>
      </c>
      <c r="B101" s="55" t="s">
        <v>148</v>
      </c>
      <c r="C101" s="55"/>
      <c r="D101" s="55" t="s">
        <v>570</v>
      </c>
      <c r="E101" s="55" t="s">
        <v>1351</v>
      </c>
    </row>
    <row r="102" spans="1:5" ht="10.199999999999999" customHeight="1" thickTop="1" thickBot="1" x14ac:dyDescent="0.3">
      <c r="A102" s="56">
        <v>43443</v>
      </c>
      <c r="B102" s="55" t="s">
        <v>151</v>
      </c>
      <c r="C102" s="55"/>
      <c r="D102" s="55" t="s">
        <v>570</v>
      </c>
      <c r="E102" s="55" t="s">
        <v>1352</v>
      </c>
    </row>
    <row r="103" spans="1:5" ht="10.199999999999999" customHeight="1" thickTop="1" thickBot="1" x14ac:dyDescent="0.3">
      <c r="A103" s="56">
        <v>43449</v>
      </c>
      <c r="B103" s="55" t="s">
        <v>154</v>
      </c>
      <c r="C103" s="55"/>
      <c r="D103" s="55" t="s">
        <v>570</v>
      </c>
      <c r="E103" s="55" t="s">
        <v>1353</v>
      </c>
    </row>
    <row r="104" spans="1:5" ht="10.199999999999999" customHeight="1" thickTop="1" thickBot="1" x14ac:dyDescent="0.3">
      <c r="A104" s="56">
        <v>43450</v>
      </c>
      <c r="B104" s="55" t="s">
        <v>102</v>
      </c>
      <c r="C104" s="55"/>
      <c r="D104" s="55" t="s">
        <v>570</v>
      </c>
      <c r="E104" s="55" t="s">
        <v>1354</v>
      </c>
    </row>
    <row r="105" spans="1:5" ht="10.199999999999999" customHeight="1" thickTop="1" thickBot="1" x14ac:dyDescent="0.3">
      <c r="A105" s="56">
        <v>43456</v>
      </c>
      <c r="B105" s="55" t="s">
        <v>157</v>
      </c>
      <c r="C105" s="55"/>
      <c r="D105" s="55" t="s">
        <v>570</v>
      </c>
      <c r="E105" s="55" t="s">
        <v>1355</v>
      </c>
    </row>
    <row r="106" spans="1:5" ht="10.199999999999999" customHeight="1" thickTop="1" thickBot="1" x14ac:dyDescent="0.3">
      <c r="A106" s="56">
        <v>43457</v>
      </c>
      <c r="B106" s="55" t="s">
        <v>159</v>
      </c>
      <c r="C106" s="55"/>
      <c r="D106" s="55" t="s">
        <v>570</v>
      </c>
      <c r="E106" s="55" t="s">
        <v>1356</v>
      </c>
    </row>
    <row r="107" spans="1:5" ht="10.199999999999999" customHeight="1" thickTop="1" thickBot="1" x14ac:dyDescent="0.3">
      <c r="A107" s="56">
        <v>43463</v>
      </c>
      <c r="B107" s="55" t="s">
        <v>145</v>
      </c>
      <c r="C107" s="55"/>
      <c r="D107" s="55" t="s">
        <v>570</v>
      </c>
      <c r="E107" s="55" t="s">
        <v>1357</v>
      </c>
    </row>
    <row r="108" spans="1:5" ht="10.199999999999999" customHeight="1" thickTop="1" thickBot="1" x14ac:dyDescent="0.3">
      <c r="A108" s="56">
        <v>43464</v>
      </c>
      <c r="B108" s="55" t="s">
        <v>148</v>
      </c>
      <c r="C108" s="55"/>
      <c r="D108" s="55" t="s">
        <v>570</v>
      </c>
      <c r="E108" s="55" t="s">
        <v>1358</v>
      </c>
    </row>
    <row r="109" spans="1:5" ht="10.199999999999999" customHeight="1" thickTop="1" thickBot="1" x14ac:dyDescent="0.3">
      <c r="A109" s="68" t="s">
        <v>1193</v>
      </c>
      <c r="B109" s="68"/>
      <c r="C109" s="68"/>
      <c r="D109" s="68"/>
      <c r="E109" s="68"/>
    </row>
    <row r="110" spans="1:5" ht="10.199999999999999" customHeight="1" thickTop="1" x14ac:dyDescent="0.25"/>
  </sheetData>
  <mergeCells count="4">
    <mergeCell ref="A1:E1"/>
    <mergeCell ref="A54:E54"/>
    <mergeCell ref="A55:E55"/>
    <mergeCell ref="A109:E109"/>
  </mergeCells>
  <printOptions gridLines="1"/>
  <pageMargins left="0" right="0" top="0" bottom="0" header="0" footer="0"/>
  <pageSetup paperSize="9" orientation="landscape" r:id="rId1"/>
  <headerFooter>
    <oddFooter>&amp;C&amp;P/&amp;N</oddFooter>
  </headerFooter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Janvier"/>
  <dimension ref="A1:AE750"/>
  <sheetViews>
    <sheetView topLeftCell="A43" workbookViewId="0">
      <selection activeCell="A66" sqref="A66"/>
    </sheetView>
  </sheetViews>
  <sheetFormatPr baseColWidth="10" defaultColWidth="11.07421875" defaultRowHeight="13.2" x14ac:dyDescent="0.25"/>
  <cols>
    <col min="1" max="1" width="11.07421875" style="1"/>
    <col min="2" max="2" width="15.23046875" style="1" bestFit="1" customWidth="1"/>
    <col min="3" max="3" width="15.4609375" style="1" bestFit="1" customWidth="1"/>
    <col min="4" max="4" width="12" style="1" bestFit="1" customWidth="1"/>
    <col min="5" max="5" width="8.07421875" style="1" customWidth="1"/>
    <col min="6" max="6" width="18.07421875" style="1" bestFit="1" customWidth="1"/>
    <col min="7" max="7" width="21.3828125" style="1" bestFit="1" customWidth="1"/>
    <col min="8" max="8" width="31.23046875" style="1" bestFit="1" customWidth="1"/>
    <col min="9" max="9" width="12.4609375" style="1" bestFit="1" customWidth="1"/>
    <col min="10" max="10" width="11.07421875" style="1"/>
    <col min="11" max="11" width="8.53515625" style="1" customWidth="1"/>
    <col min="12" max="12" width="15.69140625" style="1" bestFit="1" customWidth="1"/>
    <col min="13" max="13" width="14.23046875" style="1" bestFit="1" customWidth="1"/>
    <col min="14" max="14" width="19.07421875" style="1" bestFit="1" customWidth="1"/>
    <col min="15" max="15" width="12.23046875" style="1" bestFit="1" customWidth="1"/>
    <col min="16" max="16" width="11.07421875" style="17"/>
    <col min="17" max="17" width="11.84375" style="1" bestFit="1" customWidth="1"/>
    <col min="18" max="18" width="11.07421875" style="1"/>
    <col min="19" max="19" width="11.4609375" style="1" bestFit="1" customWidth="1"/>
    <col min="20" max="20" width="19.07421875" style="1" bestFit="1" customWidth="1"/>
    <col min="21" max="21" width="15.53515625" style="1" bestFit="1" customWidth="1"/>
    <col min="22" max="22" width="13.84375" style="1" bestFit="1" customWidth="1"/>
    <col min="23" max="23" width="11.07421875" style="1"/>
    <col min="24" max="24" width="13.53515625" style="1" bestFit="1" customWidth="1"/>
    <col min="25" max="25" width="15.23046875" style="1" bestFit="1" customWidth="1"/>
    <col min="26" max="26" width="31" style="1" bestFit="1" customWidth="1"/>
    <col min="27" max="27" width="15.84375" style="1" bestFit="1" customWidth="1"/>
    <col min="28" max="28" width="11.07421875" style="1"/>
    <col min="29" max="29" width="12.07421875" style="1" bestFit="1" customWidth="1"/>
    <col min="30" max="30" width="11.07421875" style="1"/>
    <col min="31" max="31" width="25.4609375" style="1" bestFit="1" customWidth="1"/>
    <col min="32" max="16384" width="11.07421875" style="1"/>
  </cols>
  <sheetData>
    <row r="1" spans="1:31" ht="12.75" x14ac:dyDescent="0.2">
      <c r="A1" s="64" t="s">
        <v>594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3" spans="1:31" x14ac:dyDescent="0.25">
      <c r="A3" s="1" t="s">
        <v>514</v>
      </c>
      <c r="B3" s="33" t="s">
        <v>515</v>
      </c>
      <c r="C3" s="1" t="s">
        <v>221</v>
      </c>
      <c r="D3" s="1" t="s">
        <v>9</v>
      </c>
      <c r="E3" s="1" t="s">
        <v>516</v>
      </c>
      <c r="F3" s="20" t="s">
        <v>517</v>
      </c>
      <c r="G3" s="16" t="s">
        <v>518</v>
      </c>
      <c r="H3" s="16" t="s">
        <v>519</v>
      </c>
      <c r="I3" s="1" t="s">
        <v>534</v>
      </c>
      <c r="J3" s="1" t="s">
        <v>520</v>
      </c>
      <c r="K3" s="1" t="s">
        <v>521</v>
      </c>
      <c r="L3" s="16" t="s">
        <v>522</v>
      </c>
      <c r="M3" s="16" t="s">
        <v>523</v>
      </c>
      <c r="N3" s="32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" t="s">
        <v>526</v>
      </c>
      <c r="W3" s="1" t="s">
        <v>527</v>
      </c>
      <c r="X3" s="1" t="s">
        <v>528</v>
      </c>
      <c r="Y3" s="16" t="s">
        <v>529</v>
      </c>
      <c r="Z3" s="16" t="s">
        <v>530</v>
      </c>
      <c r="AA3" s="20" t="s">
        <v>536</v>
      </c>
      <c r="AB3" s="1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" t="s">
        <v>577</v>
      </c>
      <c r="B4" s="8">
        <v>43101</v>
      </c>
      <c r="C4" s="1" t="s">
        <v>490</v>
      </c>
      <c r="D4" s="1" t="s">
        <v>173</v>
      </c>
      <c r="E4" s="1" t="s">
        <v>272</v>
      </c>
      <c r="F4" s="1" t="s">
        <v>104</v>
      </c>
      <c r="G4" s="1" t="s">
        <v>39</v>
      </c>
      <c r="H4" s="1" t="s">
        <v>99</v>
      </c>
      <c r="I4" s="1" t="s">
        <v>10</v>
      </c>
      <c r="J4" s="17">
        <v>1</v>
      </c>
      <c r="K4" s="1" t="s">
        <v>356</v>
      </c>
      <c r="L4" s="1" t="s">
        <v>132</v>
      </c>
      <c r="M4" s="1" t="s">
        <v>39</v>
      </c>
      <c r="N4" s="1" t="s">
        <v>134</v>
      </c>
      <c r="O4" s="1" t="s">
        <v>10</v>
      </c>
      <c r="P4" s="17">
        <v>1</v>
      </c>
      <c r="V4" s="17">
        <v>0</v>
      </c>
      <c r="W4" s="1" t="s">
        <v>454</v>
      </c>
      <c r="X4" s="1" t="s">
        <v>161</v>
      </c>
      <c r="Y4" s="1" t="s">
        <v>39</v>
      </c>
      <c r="Z4" s="1" t="s">
        <v>63</v>
      </c>
      <c r="AA4" s="1" t="s">
        <v>10</v>
      </c>
      <c r="AB4" s="17">
        <v>100</v>
      </c>
      <c r="AC4" s="1" t="s">
        <v>474</v>
      </c>
      <c r="AD4" s="1" t="s">
        <v>44</v>
      </c>
      <c r="AE4" s="1" t="s">
        <v>545</v>
      </c>
    </row>
    <row r="5" spans="1:31" x14ac:dyDescent="0.25">
      <c r="A5" s="1" t="s">
        <v>598</v>
      </c>
      <c r="B5" s="8">
        <v>43102</v>
      </c>
      <c r="C5" s="1" t="s">
        <v>490</v>
      </c>
      <c r="D5" s="1" t="s">
        <v>173</v>
      </c>
      <c r="E5" s="1" t="s">
        <v>272</v>
      </c>
      <c r="F5" s="1" t="s">
        <v>104</v>
      </c>
      <c r="G5" s="1" t="s">
        <v>39</v>
      </c>
      <c r="H5" s="1" t="s">
        <v>99</v>
      </c>
      <c r="I5" s="1" t="s">
        <v>10</v>
      </c>
      <c r="J5" s="17">
        <v>1</v>
      </c>
      <c r="K5" s="1" t="s">
        <v>358</v>
      </c>
      <c r="L5" s="1" t="s">
        <v>135</v>
      </c>
      <c r="M5" s="1" t="s">
        <v>39</v>
      </c>
      <c r="N5" s="1" t="s">
        <v>34</v>
      </c>
      <c r="O5" s="1" t="s">
        <v>10</v>
      </c>
      <c r="P5" s="17">
        <v>1</v>
      </c>
      <c r="V5" s="17">
        <v>0</v>
      </c>
      <c r="W5" s="1" t="s">
        <v>454</v>
      </c>
      <c r="X5" s="1" t="s">
        <v>161</v>
      </c>
      <c r="Y5" s="1" t="s">
        <v>39</v>
      </c>
      <c r="Z5" s="1" t="s">
        <v>63</v>
      </c>
      <c r="AA5" s="1" t="s">
        <v>10</v>
      </c>
      <c r="AB5" s="17">
        <v>100</v>
      </c>
      <c r="AE5" s="1" t="s">
        <v>545</v>
      </c>
    </row>
    <row r="6" spans="1:31" x14ac:dyDescent="0.25">
      <c r="A6" s="1" t="s">
        <v>599</v>
      </c>
      <c r="B6" s="8">
        <v>43103</v>
      </c>
      <c r="C6" s="1" t="s">
        <v>490</v>
      </c>
      <c r="D6" s="1" t="s">
        <v>173</v>
      </c>
      <c r="E6" s="1" t="s">
        <v>272</v>
      </c>
      <c r="F6" s="1" t="s">
        <v>104</v>
      </c>
      <c r="G6" s="1" t="s">
        <v>39</v>
      </c>
      <c r="H6" s="1" t="s">
        <v>99</v>
      </c>
      <c r="I6" s="1" t="s">
        <v>10</v>
      </c>
      <c r="J6" s="17">
        <v>1</v>
      </c>
      <c r="K6" s="1" t="s">
        <v>360</v>
      </c>
      <c r="L6" s="1" t="s">
        <v>138</v>
      </c>
      <c r="M6" s="1" t="s">
        <v>39</v>
      </c>
      <c r="N6" s="1" t="s">
        <v>140</v>
      </c>
      <c r="O6" s="1" t="s">
        <v>10</v>
      </c>
      <c r="P6" s="17">
        <v>1</v>
      </c>
      <c r="V6" s="17">
        <v>0</v>
      </c>
      <c r="W6" s="1" t="s">
        <v>454</v>
      </c>
      <c r="X6" s="1" t="s">
        <v>161</v>
      </c>
      <c r="Y6" s="1" t="s">
        <v>39</v>
      </c>
      <c r="Z6" s="1" t="s">
        <v>63</v>
      </c>
      <c r="AA6" s="1" t="s">
        <v>10</v>
      </c>
      <c r="AB6" s="17">
        <v>100</v>
      </c>
      <c r="AE6" s="1" t="s">
        <v>545</v>
      </c>
    </row>
    <row r="7" spans="1:31" x14ac:dyDescent="0.25">
      <c r="A7" s="1" t="s">
        <v>600</v>
      </c>
      <c r="B7" s="8">
        <v>43104</v>
      </c>
      <c r="C7" s="1" t="s">
        <v>490</v>
      </c>
      <c r="D7" s="1" t="s">
        <v>173</v>
      </c>
      <c r="E7" s="1" t="s">
        <v>272</v>
      </c>
      <c r="F7" s="1" t="s">
        <v>104</v>
      </c>
      <c r="G7" s="1" t="s">
        <v>39</v>
      </c>
      <c r="H7" s="1" t="s">
        <v>99</v>
      </c>
      <c r="I7" s="1" t="s">
        <v>10</v>
      </c>
      <c r="J7" s="17">
        <v>1</v>
      </c>
      <c r="K7" s="1" t="s">
        <v>362</v>
      </c>
      <c r="L7" s="1" t="s">
        <v>42</v>
      </c>
      <c r="M7" s="1" t="s">
        <v>39</v>
      </c>
      <c r="N7" s="1" t="s">
        <v>125</v>
      </c>
      <c r="O7" s="1" t="s">
        <v>10</v>
      </c>
      <c r="P7" s="17">
        <v>25</v>
      </c>
      <c r="V7" s="17">
        <v>0</v>
      </c>
      <c r="W7" s="1" t="s">
        <v>454</v>
      </c>
      <c r="X7" s="1" t="s">
        <v>161</v>
      </c>
      <c r="Y7" s="1" t="s">
        <v>39</v>
      </c>
      <c r="Z7" s="1" t="s">
        <v>63</v>
      </c>
      <c r="AA7" s="1" t="s">
        <v>10</v>
      </c>
      <c r="AB7" s="17">
        <v>100</v>
      </c>
      <c r="AE7" s="1" t="s">
        <v>545</v>
      </c>
    </row>
    <row r="8" spans="1:31" x14ac:dyDescent="0.25">
      <c r="A8" s="1" t="s">
        <v>601</v>
      </c>
      <c r="B8" s="8">
        <v>43105</v>
      </c>
      <c r="C8" s="1" t="s">
        <v>490</v>
      </c>
      <c r="D8" s="1" t="s">
        <v>173</v>
      </c>
      <c r="E8" s="1" t="s">
        <v>272</v>
      </c>
      <c r="F8" s="1" t="s">
        <v>104</v>
      </c>
      <c r="G8" s="1" t="s">
        <v>39</v>
      </c>
      <c r="H8" s="1" t="s">
        <v>99</v>
      </c>
      <c r="I8" s="1" t="s">
        <v>10</v>
      </c>
      <c r="J8" s="17">
        <v>1</v>
      </c>
      <c r="K8" s="1" t="s">
        <v>364</v>
      </c>
      <c r="L8" s="1" t="s">
        <v>59</v>
      </c>
      <c r="M8" s="1" t="s">
        <v>39</v>
      </c>
      <c r="N8" s="1" t="s">
        <v>40</v>
      </c>
      <c r="O8" s="1" t="s">
        <v>10</v>
      </c>
      <c r="P8" s="17">
        <v>0</v>
      </c>
      <c r="V8" s="17">
        <v>0</v>
      </c>
      <c r="W8" s="1" t="s">
        <v>454</v>
      </c>
      <c r="X8" s="1" t="s">
        <v>161</v>
      </c>
      <c r="Y8" s="1" t="s">
        <v>39</v>
      </c>
      <c r="Z8" s="1" t="s">
        <v>63</v>
      </c>
      <c r="AA8" s="1" t="s">
        <v>10</v>
      </c>
      <c r="AB8" s="17">
        <v>100</v>
      </c>
      <c r="AE8" s="1" t="s">
        <v>545</v>
      </c>
    </row>
    <row r="9" spans="1:31" x14ac:dyDescent="0.25">
      <c r="A9" s="1" t="s">
        <v>602</v>
      </c>
      <c r="B9" s="8">
        <v>43108</v>
      </c>
      <c r="C9" s="1" t="s">
        <v>490</v>
      </c>
      <c r="D9" s="1" t="s">
        <v>173</v>
      </c>
      <c r="E9" s="1" t="s">
        <v>272</v>
      </c>
      <c r="F9" s="1" t="s">
        <v>104</v>
      </c>
      <c r="G9" s="1" t="s">
        <v>39</v>
      </c>
      <c r="H9" s="1" t="s">
        <v>99</v>
      </c>
      <c r="I9" s="1" t="s">
        <v>10</v>
      </c>
      <c r="J9" s="17">
        <v>1</v>
      </c>
      <c r="K9" s="1" t="s">
        <v>364</v>
      </c>
      <c r="L9" s="1" t="s">
        <v>59</v>
      </c>
      <c r="M9" s="1" t="s">
        <v>39</v>
      </c>
      <c r="N9" s="1" t="s">
        <v>40</v>
      </c>
      <c r="O9" s="1" t="s">
        <v>10</v>
      </c>
      <c r="P9" s="17">
        <v>0</v>
      </c>
      <c r="V9" s="17">
        <v>0</v>
      </c>
      <c r="W9" s="1" t="s">
        <v>456</v>
      </c>
      <c r="X9" s="1" t="s">
        <v>163</v>
      </c>
      <c r="Y9" s="1" t="s">
        <v>39</v>
      </c>
      <c r="Z9" s="1" t="s">
        <v>63</v>
      </c>
      <c r="AA9" s="1" t="s">
        <v>10</v>
      </c>
      <c r="AB9" s="17">
        <v>100</v>
      </c>
      <c r="AE9" s="1" t="s">
        <v>545</v>
      </c>
    </row>
    <row r="10" spans="1:31" x14ac:dyDescent="0.25">
      <c r="A10" s="1" t="s">
        <v>603</v>
      </c>
      <c r="B10" s="8">
        <v>43109</v>
      </c>
      <c r="C10" s="1" t="s">
        <v>490</v>
      </c>
      <c r="D10" s="1" t="s">
        <v>173</v>
      </c>
      <c r="E10" s="1" t="s">
        <v>272</v>
      </c>
      <c r="F10" s="1" t="s">
        <v>104</v>
      </c>
      <c r="G10" s="1" t="s">
        <v>39</v>
      </c>
      <c r="H10" s="1" t="s">
        <v>99</v>
      </c>
      <c r="I10" s="1" t="s">
        <v>10</v>
      </c>
      <c r="J10" s="17">
        <v>1</v>
      </c>
      <c r="K10" s="1" t="s">
        <v>366</v>
      </c>
      <c r="L10" s="1" t="s">
        <v>153</v>
      </c>
      <c r="M10" s="1" t="s">
        <v>39</v>
      </c>
      <c r="N10" s="1" t="s">
        <v>131</v>
      </c>
      <c r="O10" s="1" t="s">
        <v>10</v>
      </c>
      <c r="P10" s="17">
        <v>5</v>
      </c>
      <c r="V10" s="17">
        <v>0</v>
      </c>
      <c r="W10" s="1" t="s">
        <v>456</v>
      </c>
      <c r="X10" s="1" t="s">
        <v>163</v>
      </c>
      <c r="Y10" s="1" t="s">
        <v>39</v>
      </c>
      <c r="Z10" s="1" t="s">
        <v>63</v>
      </c>
      <c r="AA10" s="1" t="s">
        <v>10</v>
      </c>
      <c r="AB10" s="17">
        <v>100</v>
      </c>
      <c r="AE10" s="1" t="s">
        <v>545</v>
      </c>
    </row>
    <row r="11" spans="1:31" x14ac:dyDescent="0.25">
      <c r="A11" s="1" t="s">
        <v>604</v>
      </c>
      <c r="B11" s="8">
        <v>43110</v>
      </c>
      <c r="C11" s="1" t="s">
        <v>490</v>
      </c>
      <c r="D11" s="1" t="s">
        <v>173</v>
      </c>
      <c r="E11" s="1" t="s">
        <v>272</v>
      </c>
      <c r="F11" s="1" t="s">
        <v>104</v>
      </c>
      <c r="G11" s="1" t="s">
        <v>39</v>
      </c>
      <c r="H11" s="1" t="s">
        <v>99</v>
      </c>
      <c r="I11" s="1" t="s">
        <v>10</v>
      </c>
      <c r="J11" s="17">
        <v>1</v>
      </c>
      <c r="K11" s="1" t="s">
        <v>368</v>
      </c>
      <c r="L11" s="1" t="s">
        <v>156</v>
      </c>
      <c r="M11" s="1" t="s">
        <v>39</v>
      </c>
      <c r="N11" s="1" t="s">
        <v>131</v>
      </c>
      <c r="O11" s="1" t="s">
        <v>10</v>
      </c>
      <c r="P11" s="17">
        <v>5</v>
      </c>
      <c r="V11" s="17">
        <v>0</v>
      </c>
      <c r="W11" s="1" t="s">
        <v>456</v>
      </c>
      <c r="X11" s="1" t="s">
        <v>163</v>
      </c>
      <c r="Y11" s="1" t="s">
        <v>39</v>
      </c>
      <c r="Z11" s="1" t="s">
        <v>63</v>
      </c>
      <c r="AA11" s="1" t="s">
        <v>10</v>
      </c>
      <c r="AB11" s="17">
        <v>100</v>
      </c>
      <c r="AE11" s="1" t="s">
        <v>545</v>
      </c>
    </row>
    <row r="12" spans="1:31" x14ac:dyDescent="0.25">
      <c r="A12" s="1" t="s">
        <v>605</v>
      </c>
      <c r="B12" s="8">
        <v>43111</v>
      </c>
      <c r="C12" s="1" t="s">
        <v>490</v>
      </c>
      <c r="D12" s="1" t="s">
        <v>173</v>
      </c>
      <c r="E12" s="1" t="s">
        <v>272</v>
      </c>
      <c r="F12" s="1" t="s">
        <v>104</v>
      </c>
      <c r="G12" s="1" t="s">
        <v>39</v>
      </c>
      <c r="H12" s="1" t="s">
        <v>99</v>
      </c>
      <c r="I12" s="1" t="s">
        <v>10</v>
      </c>
      <c r="J12" s="17">
        <v>1</v>
      </c>
      <c r="K12" s="1" t="s">
        <v>370</v>
      </c>
      <c r="L12" s="1" t="s">
        <v>71</v>
      </c>
      <c r="M12" s="1" t="s">
        <v>39</v>
      </c>
      <c r="N12" s="1" t="s">
        <v>140</v>
      </c>
      <c r="O12" s="1" t="s">
        <v>10</v>
      </c>
      <c r="P12" s="17">
        <v>1</v>
      </c>
      <c r="V12" s="17">
        <v>0</v>
      </c>
      <c r="W12" s="1" t="s">
        <v>456</v>
      </c>
      <c r="X12" s="1" t="s">
        <v>163</v>
      </c>
      <c r="Y12" s="1" t="s">
        <v>39</v>
      </c>
      <c r="Z12" s="1" t="s">
        <v>63</v>
      </c>
      <c r="AA12" s="1" t="s">
        <v>10</v>
      </c>
      <c r="AB12" s="17">
        <v>100</v>
      </c>
      <c r="AE12" s="1" t="s">
        <v>545</v>
      </c>
    </row>
    <row r="13" spans="1:31" x14ac:dyDescent="0.25">
      <c r="A13" s="1" t="s">
        <v>606</v>
      </c>
      <c r="B13" s="8">
        <v>43112</v>
      </c>
      <c r="C13" s="1" t="s">
        <v>490</v>
      </c>
      <c r="D13" s="1" t="s">
        <v>173</v>
      </c>
      <c r="E13" s="1" t="s">
        <v>272</v>
      </c>
      <c r="F13" s="1" t="s">
        <v>104</v>
      </c>
      <c r="G13" s="1" t="s">
        <v>39</v>
      </c>
      <c r="H13" s="1" t="s">
        <v>99</v>
      </c>
      <c r="I13" s="1" t="s">
        <v>10</v>
      </c>
      <c r="J13" s="17">
        <v>1</v>
      </c>
      <c r="K13" s="1" t="s">
        <v>372</v>
      </c>
      <c r="L13" s="1" t="s">
        <v>77</v>
      </c>
      <c r="M13" s="1" t="s">
        <v>39</v>
      </c>
      <c r="N13" s="1" t="s">
        <v>140</v>
      </c>
      <c r="O13" s="1" t="s">
        <v>10</v>
      </c>
      <c r="P13" s="17">
        <v>1</v>
      </c>
      <c r="V13" s="17">
        <v>0</v>
      </c>
      <c r="W13" s="1" t="s">
        <v>456</v>
      </c>
      <c r="X13" s="1" t="s">
        <v>163</v>
      </c>
      <c r="Y13" s="1" t="s">
        <v>39</v>
      </c>
      <c r="Z13" s="1" t="s">
        <v>63</v>
      </c>
      <c r="AA13" s="1" t="s">
        <v>10</v>
      </c>
      <c r="AB13" s="17">
        <v>100</v>
      </c>
      <c r="AE13" s="1" t="s">
        <v>545</v>
      </c>
    </row>
    <row r="14" spans="1:31" x14ac:dyDescent="0.25">
      <c r="A14" s="1" t="s">
        <v>607</v>
      </c>
      <c r="B14" s="8">
        <v>43115</v>
      </c>
      <c r="C14" s="1" t="s">
        <v>490</v>
      </c>
      <c r="D14" s="1" t="s">
        <v>173</v>
      </c>
      <c r="E14" s="1" t="s">
        <v>272</v>
      </c>
      <c r="F14" s="1" t="s">
        <v>104</v>
      </c>
      <c r="G14" s="1" t="s">
        <v>39</v>
      </c>
      <c r="H14" s="1" t="s">
        <v>99</v>
      </c>
      <c r="I14" s="1" t="s">
        <v>10</v>
      </c>
      <c r="J14" s="17">
        <v>1</v>
      </c>
      <c r="K14" s="1" t="s">
        <v>374</v>
      </c>
      <c r="L14" s="1" t="s">
        <v>83</v>
      </c>
      <c r="M14" s="1" t="s">
        <v>39</v>
      </c>
      <c r="N14" s="1" t="s">
        <v>125</v>
      </c>
      <c r="O14" s="1" t="s">
        <v>10</v>
      </c>
      <c r="P14" s="17">
        <v>25</v>
      </c>
      <c r="V14" s="17">
        <v>0</v>
      </c>
      <c r="W14" s="1" t="s">
        <v>457</v>
      </c>
      <c r="X14" s="1" t="s">
        <v>164</v>
      </c>
      <c r="Y14" s="1" t="s">
        <v>39</v>
      </c>
      <c r="Z14" s="1" t="s">
        <v>63</v>
      </c>
      <c r="AA14" s="1" t="s">
        <v>10</v>
      </c>
      <c r="AB14" s="17">
        <v>100</v>
      </c>
      <c r="AE14" s="1" t="s">
        <v>545</v>
      </c>
    </row>
    <row r="15" spans="1:31" x14ac:dyDescent="0.25">
      <c r="A15" s="1" t="s">
        <v>608</v>
      </c>
      <c r="B15" s="8">
        <v>43116</v>
      </c>
      <c r="C15" s="1" t="s">
        <v>490</v>
      </c>
      <c r="D15" s="1" t="s">
        <v>173</v>
      </c>
      <c r="E15" s="1" t="s">
        <v>272</v>
      </c>
      <c r="F15" s="1" t="s">
        <v>104</v>
      </c>
      <c r="G15" s="1" t="s">
        <v>39</v>
      </c>
      <c r="H15" s="1" t="s">
        <v>99</v>
      </c>
      <c r="I15" s="1" t="s">
        <v>10</v>
      </c>
      <c r="J15" s="17">
        <v>1</v>
      </c>
      <c r="K15" s="1" t="s">
        <v>376</v>
      </c>
      <c r="L15" s="1" t="s">
        <v>141</v>
      </c>
      <c r="M15" s="1" t="s">
        <v>39</v>
      </c>
      <c r="N15" s="1" t="s">
        <v>224</v>
      </c>
      <c r="O15" s="1" t="s">
        <v>10</v>
      </c>
      <c r="P15" s="17">
        <v>0</v>
      </c>
      <c r="V15" s="17">
        <v>0</v>
      </c>
      <c r="W15" s="1" t="s">
        <v>457</v>
      </c>
      <c r="X15" s="1" t="s">
        <v>164</v>
      </c>
      <c r="Y15" s="1" t="s">
        <v>39</v>
      </c>
      <c r="Z15" s="1" t="s">
        <v>63</v>
      </c>
      <c r="AA15" s="1" t="s">
        <v>10</v>
      </c>
      <c r="AB15" s="17">
        <v>100</v>
      </c>
      <c r="AE15" s="1" t="s">
        <v>545</v>
      </c>
    </row>
    <row r="16" spans="1:31" x14ac:dyDescent="0.25">
      <c r="A16" s="1" t="s">
        <v>609</v>
      </c>
      <c r="B16" s="8">
        <v>43117</v>
      </c>
      <c r="C16" s="1" t="s">
        <v>490</v>
      </c>
      <c r="D16" s="1" t="s">
        <v>173</v>
      </c>
      <c r="E16" s="1" t="s">
        <v>272</v>
      </c>
      <c r="F16" s="1" t="s">
        <v>104</v>
      </c>
      <c r="G16" s="1" t="s">
        <v>39</v>
      </c>
      <c r="H16" s="1" t="s">
        <v>99</v>
      </c>
      <c r="I16" s="1" t="s">
        <v>10</v>
      </c>
      <c r="J16" s="17">
        <v>1</v>
      </c>
      <c r="K16" s="1" t="s">
        <v>376</v>
      </c>
      <c r="L16" s="1" t="s">
        <v>141</v>
      </c>
      <c r="M16" s="1" t="s">
        <v>39</v>
      </c>
      <c r="N16" s="1" t="s">
        <v>224</v>
      </c>
      <c r="O16" s="1" t="s">
        <v>10</v>
      </c>
      <c r="P16" s="17">
        <v>0</v>
      </c>
      <c r="V16" s="17">
        <v>0</v>
      </c>
      <c r="W16" s="1" t="s">
        <v>457</v>
      </c>
      <c r="X16" s="1" t="s">
        <v>164</v>
      </c>
      <c r="Y16" s="1" t="s">
        <v>39</v>
      </c>
      <c r="Z16" s="1" t="s">
        <v>63</v>
      </c>
      <c r="AA16" s="1" t="s">
        <v>10</v>
      </c>
      <c r="AB16" s="17">
        <v>100</v>
      </c>
      <c r="AE16" s="1" t="s">
        <v>545</v>
      </c>
    </row>
    <row r="17" spans="1:31" x14ac:dyDescent="0.25">
      <c r="A17" s="1" t="s">
        <v>610</v>
      </c>
      <c r="B17" s="8">
        <v>43118</v>
      </c>
      <c r="C17" s="1" t="s">
        <v>490</v>
      </c>
      <c r="D17" s="1" t="s">
        <v>173</v>
      </c>
      <c r="E17" s="1" t="s">
        <v>272</v>
      </c>
      <c r="F17" s="1" t="s">
        <v>104</v>
      </c>
      <c r="G17" s="1" t="s">
        <v>39</v>
      </c>
      <c r="H17" s="1" t="s">
        <v>99</v>
      </c>
      <c r="I17" s="1" t="s">
        <v>10</v>
      </c>
      <c r="J17" s="17">
        <v>1</v>
      </c>
      <c r="K17" s="1" t="s">
        <v>378</v>
      </c>
      <c r="L17" s="1" t="s">
        <v>93</v>
      </c>
      <c r="M17" s="1" t="s">
        <v>39</v>
      </c>
      <c r="N17" s="1" t="s">
        <v>125</v>
      </c>
      <c r="O17" s="1" t="s">
        <v>10</v>
      </c>
      <c r="P17" s="17">
        <v>25</v>
      </c>
      <c r="V17" s="17">
        <v>0</v>
      </c>
      <c r="W17" s="1" t="s">
        <v>457</v>
      </c>
      <c r="X17" s="1" t="s">
        <v>164</v>
      </c>
      <c r="Y17" s="1" t="s">
        <v>39</v>
      </c>
      <c r="Z17" s="1" t="s">
        <v>63</v>
      </c>
      <c r="AA17" s="1" t="s">
        <v>10</v>
      </c>
      <c r="AB17" s="17">
        <v>100</v>
      </c>
      <c r="AE17" s="1" t="s">
        <v>545</v>
      </c>
    </row>
    <row r="18" spans="1:31" x14ac:dyDescent="0.25">
      <c r="A18" s="1" t="s">
        <v>611</v>
      </c>
      <c r="B18" s="8">
        <v>43119</v>
      </c>
      <c r="C18" s="1" t="s">
        <v>490</v>
      </c>
      <c r="D18" s="1" t="s">
        <v>173</v>
      </c>
      <c r="E18" s="1" t="s">
        <v>272</v>
      </c>
      <c r="F18" s="1" t="s">
        <v>104</v>
      </c>
      <c r="G18" s="1" t="s">
        <v>39</v>
      </c>
      <c r="H18" s="1" t="s">
        <v>99</v>
      </c>
      <c r="I18" s="1" t="s">
        <v>10</v>
      </c>
      <c r="J18" s="17">
        <v>1</v>
      </c>
      <c r="K18" s="1" t="s">
        <v>380</v>
      </c>
      <c r="L18" s="1" t="s">
        <v>144</v>
      </c>
      <c r="M18" s="1" t="s">
        <v>39</v>
      </c>
      <c r="N18" s="1" t="s">
        <v>149</v>
      </c>
      <c r="O18" s="1" t="s">
        <v>10</v>
      </c>
      <c r="P18" s="17">
        <v>1</v>
      </c>
      <c r="V18" s="17">
        <v>0</v>
      </c>
      <c r="W18" s="1" t="s">
        <v>457</v>
      </c>
      <c r="X18" s="1" t="s">
        <v>164</v>
      </c>
      <c r="Y18" s="1" t="s">
        <v>39</v>
      </c>
      <c r="Z18" s="1" t="s">
        <v>63</v>
      </c>
      <c r="AA18" s="1" t="s">
        <v>10</v>
      </c>
      <c r="AB18" s="17">
        <v>100</v>
      </c>
      <c r="AE18" s="1" t="s">
        <v>545</v>
      </c>
    </row>
    <row r="19" spans="1:31" x14ac:dyDescent="0.25">
      <c r="A19" s="1" t="s">
        <v>612</v>
      </c>
      <c r="B19" s="8">
        <v>43122</v>
      </c>
      <c r="C19" s="1" t="s">
        <v>490</v>
      </c>
      <c r="D19" s="1" t="s">
        <v>173</v>
      </c>
      <c r="E19" s="1" t="s">
        <v>272</v>
      </c>
      <c r="F19" s="1" t="s">
        <v>104</v>
      </c>
      <c r="G19" s="1" t="s">
        <v>39</v>
      </c>
      <c r="H19" s="1" t="s">
        <v>99</v>
      </c>
      <c r="I19" s="1" t="s">
        <v>10</v>
      </c>
      <c r="J19" s="17">
        <v>1</v>
      </c>
      <c r="K19" s="1" t="s">
        <v>382</v>
      </c>
      <c r="L19" s="1" t="s">
        <v>150</v>
      </c>
      <c r="M19" s="1" t="s">
        <v>39</v>
      </c>
      <c r="N19" s="1" t="s">
        <v>155</v>
      </c>
      <c r="O19" s="1" t="s">
        <v>10</v>
      </c>
      <c r="P19" s="17">
        <v>2</v>
      </c>
      <c r="V19" s="17">
        <v>0</v>
      </c>
      <c r="W19" s="1" t="s">
        <v>459</v>
      </c>
      <c r="X19" s="1" t="s">
        <v>165</v>
      </c>
      <c r="Y19" s="1" t="s">
        <v>39</v>
      </c>
      <c r="Z19" s="1" t="s">
        <v>63</v>
      </c>
      <c r="AA19" s="1" t="s">
        <v>10</v>
      </c>
      <c r="AB19" s="17">
        <v>100</v>
      </c>
      <c r="AE19" s="1" t="s">
        <v>545</v>
      </c>
    </row>
    <row r="20" spans="1:31" x14ac:dyDescent="0.25">
      <c r="A20" s="1" t="s">
        <v>613</v>
      </c>
      <c r="B20" s="8">
        <v>43123</v>
      </c>
      <c r="C20" s="1" t="s">
        <v>490</v>
      </c>
      <c r="D20" s="1" t="s">
        <v>173</v>
      </c>
      <c r="E20" s="1" t="s">
        <v>272</v>
      </c>
      <c r="F20" s="1" t="s">
        <v>104</v>
      </c>
      <c r="G20" s="1" t="s">
        <v>39</v>
      </c>
      <c r="H20" s="1" t="s">
        <v>99</v>
      </c>
      <c r="I20" s="1" t="s">
        <v>10</v>
      </c>
      <c r="J20" s="17">
        <v>1</v>
      </c>
      <c r="K20" s="1" t="s">
        <v>350</v>
      </c>
      <c r="L20" s="1" t="s">
        <v>15</v>
      </c>
      <c r="M20" s="1" t="s">
        <v>39</v>
      </c>
      <c r="N20" s="1" t="s">
        <v>34</v>
      </c>
      <c r="O20" s="1" t="s">
        <v>10</v>
      </c>
      <c r="P20" s="17">
        <v>1</v>
      </c>
      <c r="V20" s="17">
        <v>0</v>
      </c>
      <c r="W20" s="1" t="s">
        <v>459</v>
      </c>
      <c r="X20" s="1" t="s">
        <v>165</v>
      </c>
      <c r="Y20" s="1" t="s">
        <v>39</v>
      </c>
      <c r="Z20" s="1" t="s">
        <v>63</v>
      </c>
      <c r="AA20" s="1" t="s">
        <v>10</v>
      </c>
      <c r="AB20" s="17">
        <v>100</v>
      </c>
      <c r="AE20" s="1" t="s">
        <v>545</v>
      </c>
    </row>
    <row r="21" spans="1:31" x14ac:dyDescent="0.25">
      <c r="A21" s="1" t="s">
        <v>626</v>
      </c>
      <c r="B21" s="8">
        <v>43124</v>
      </c>
      <c r="C21" s="1" t="s">
        <v>490</v>
      </c>
      <c r="D21" s="1" t="s">
        <v>173</v>
      </c>
      <c r="E21" s="1" t="s">
        <v>272</v>
      </c>
      <c r="F21" s="1" t="s">
        <v>104</v>
      </c>
      <c r="G21" s="1" t="s">
        <v>39</v>
      </c>
      <c r="H21" s="1" t="s">
        <v>99</v>
      </c>
      <c r="I21" s="1" t="s">
        <v>10</v>
      </c>
      <c r="J21" s="17">
        <v>1</v>
      </c>
      <c r="K21" s="1" t="s">
        <v>352</v>
      </c>
      <c r="L21" s="1" t="s">
        <v>123</v>
      </c>
      <c r="M21" s="1" t="s">
        <v>39</v>
      </c>
      <c r="N21" s="1" t="s">
        <v>140</v>
      </c>
      <c r="O21" s="1" t="s">
        <v>10</v>
      </c>
      <c r="P21" s="17">
        <v>1</v>
      </c>
      <c r="V21" s="17">
        <v>0</v>
      </c>
      <c r="W21" s="1" t="s">
        <v>459</v>
      </c>
      <c r="X21" s="1" t="s">
        <v>165</v>
      </c>
      <c r="Y21" s="1" t="s">
        <v>39</v>
      </c>
      <c r="Z21" s="1" t="s">
        <v>63</v>
      </c>
      <c r="AA21" s="1" t="s">
        <v>10</v>
      </c>
      <c r="AB21" s="17">
        <v>100</v>
      </c>
      <c r="AE21" s="1" t="s">
        <v>545</v>
      </c>
    </row>
    <row r="22" spans="1:31" x14ac:dyDescent="0.25">
      <c r="A22" s="1" t="s">
        <v>627</v>
      </c>
      <c r="B22" s="8">
        <v>43125</v>
      </c>
      <c r="C22" s="1" t="s">
        <v>490</v>
      </c>
      <c r="D22" s="1" t="s">
        <v>173</v>
      </c>
      <c r="E22" s="1" t="s">
        <v>272</v>
      </c>
      <c r="F22" s="1" t="s">
        <v>104</v>
      </c>
      <c r="G22" s="1" t="s">
        <v>39</v>
      </c>
      <c r="H22" s="1" t="s">
        <v>99</v>
      </c>
      <c r="I22" s="1" t="s">
        <v>10</v>
      </c>
      <c r="J22" s="17">
        <v>1</v>
      </c>
      <c r="K22" s="1" t="s">
        <v>354</v>
      </c>
      <c r="L22" s="1" t="s">
        <v>129</v>
      </c>
      <c r="M22" s="1" t="s">
        <v>39</v>
      </c>
      <c r="N22" s="1" t="s">
        <v>155</v>
      </c>
      <c r="O22" s="1" t="s">
        <v>10</v>
      </c>
      <c r="P22" s="17">
        <v>2</v>
      </c>
      <c r="V22" s="17">
        <v>0</v>
      </c>
      <c r="W22" s="1" t="s">
        <v>459</v>
      </c>
      <c r="X22" s="1" t="s">
        <v>165</v>
      </c>
      <c r="Y22" s="1" t="s">
        <v>39</v>
      </c>
      <c r="Z22" s="1" t="s">
        <v>63</v>
      </c>
      <c r="AA22" s="1" t="s">
        <v>10</v>
      </c>
      <c r="AB22" s="17">
        <v>100</v>
      </c>
      <c r="AE22" s="1" t="s">
        <v>545</v>
      </c>
    </row>
    <row r="23" spans="1:31" x14ac:dyDescent="0.25">
      <c r="A23" s="1" t="s">
        <v>628</v>
      </c>
      <c r="B23" s="8">
        <v>43126</v>
      </c>
      <c r="C23" s="1" t="s">
        <v>490</v>
      </c>
      <c r="D23" s="1" t="s">
        <v>173</v>
      </c>
      <c r="E23" s="1" t="s">
        <v>272</v>
      </c>
      <c r="F23" s="1" t="s">
        <v>104</v>
      </c>
      <c r="G23" s="1" t="s">
        <v>39</v>
      </c>
      <c r="H23" s="1" t="s">
        <v>99</v>
      </c>
      <c r="I23" s="1" t="s">
        <v>10</v>
      </c>
      <c r="J23" s="17">
        <v>1</v>
      </c>
      <c r="K23" s="1" t="s">
        <v>356</v>
      </c>
      <c r="L23" s="1" t="s">
        <v>132</v>
      </c>
      <c r="M23" s="1" t="s">
        <v>39</v>
      </c>
      <c r="N23" s="1" t="s">
        <v>134</v>
      </c>
      <c r="O23" s="1" t="s">
        <v>10</v>
      </c>
      <c r="P23" s="17">
        <v>2</v>
      </c>
      <c r="V23" s="17">
        <v>0</v>
      </c>
      <c r="W23" s="1" t="s">
        <v>459</v>
      </c>
      <c r="X23" s="1" t="s">
        <v>165</v>
      </c>
      <c r="Y23" s="1" t="s">
        <v>39</v>
      </c>
      <c r="Z23" s="1" t="s">
        <v>63</v>
      </c>
      <c r="AA23" s="1" t="s">
        <v>10</v>
      </c>
      <c r="AB23" s="17">
        <v>100</v>
      </c>
      <c r="AE23" s="1" t="s">
        <v>545</v>
      </c>
    </row>
    <row r="24" spans="1:31" x14ac:dyDescent="0.25">
      <c r="A24" s="1" t="s">
        <v>629</v>
      </c>
      <c r="B24" s="8">
        <v>43129</v>
      </c>
      <c r="C24" s="1" t="s">
        <v>490</v>
      </c>
      <c r="D24" s="1" t="s">
        <v>173</v>
      </c>
      <c r="E24" s="1" t="s">
        <v>272</v>
      </c>
      <c r="F24" s="1" t="s">
        <v>104</v>
      </c>
      <c r="G24" s="1" t="s">
        <v>39</v>
      </c>
      <c r="H24" s="1" t="s">
        <v>99</v>
      </c>
      <c r="I24" s="1" t="s">
        <v>10</v>
      </c>
      <c r="J24" s="17">
        <v>1</v>
      </c>
      <c r="K24" s="1" t="s">
        <v>358</v>
      </c>
      <c r="L24" s="1" t="s">
        <v>135</v>
      </c>
      <c r="M24" s="1" t="s">
        <v>39</v>
      </c>
      <c r="N24" s="1" t="s">
        <v>34</v>
      </c>
      <c r="O24" s="1" t="s">
        <v>10</v>
      </c>
      <c r="P24" s="17">
        <v>1</v>
      </c>
      <c r="V24" s="17">
        <v>0</v>
      </c>
      <c r="W24" s="1" t="s">
        <v>462</v>
      </c>
      <c r="X24" s="1" t="s">
        <v>166</v>
      </c>
      <c r="Y24" s="1" t="s">
        <v>39</v>
      </c>
      <c r="Z24" s="1" t="s">
        <v>63</v>
      </c>
      <c r="AA24" s="1" t="s">
        <v>10</v>
      </c>
      <c r="AB24" s="17">
        <v>100</v>
      </c>
      <c r="AE24" s="1" t="s">
        <v>545</v>
      </c>
    </row>
    <row r="25" spans="1:31" x14ac:dyDescent="0.25">
      <c r="A25" s="1" t="s">
        <v>630</v>
      </c>
      <c r="B25" s="8">
        <v>43130</v>
      </c>
      <c r="C25" s="1" t="s">
        <v>490</v>
      </c>
      <c r="D25" s="1" t="s">
        <v>173</v>
      </c>
      <c r="E25" s="1" t="s">
        <v>272</v>
      </c>
      <c r="F25" s="1" t="s">
        <v>104</v>
      </c>
      <c r="G25" s="1" t="s">
        <v>39</v>
      </c>
      <c r="H25" s="1" t="s">
        <v>99</v>
      </c>
      <c r="I25" s="1" t="s">
        <v>10</v>
      </c>
      <c r="J25" s="17">
        <v>1</v>
      </c>
      <c r="K25" s="1" t="s">
        <v>360</v>
      </c>
      <c r="L25" s="1" t="s">
        <v>138</v>
      </c>
      <c r="M25" s="1" t="s">
        <v>39</v>
      </c>
      <c r="N25" s="1" t="s">
        <v>140</v>
      </c>
      <c r="O25" s="1" t="s">
        <v>10</v>
      </c>
      <c r="P25" s="17">
        <v>1</v>
      </c>
      <c r="V25" s="17">
        <v>0</v>
      </c>
      <c r="W25" s="1" t="s">
        <v>462</v>
      </c>
      <c r="X25" s="1" t="s">
        <v>166</v>
      </c>
      <c r="Y25" s="1" t="s">
        <v>39</v>
      </c>
      <c r="Z25" s="1" t="s">
        <v>63</v>
      </c>
      <c r="AA25" s="1" t="s">
        <v>10</v>
      </c>
      <c r="AB25" s="17">
        <v>100</v>
      </c>
      <c r="AE25" s="1" t="s">
        <v>545</v>
      </c>
    </row>
    <row r="26" spans="1:31" x14ac:dyDescent="0.25">
      <c r="A26" s="1" t="s">
        <v>631</v>
      </c>
      <c r="B26" s="8">
        <v>43131</v>
      </c>
      <c r="C26" s="1" t="s">
        <v>490</v>
      </c>
      <c r="D26" s="1" t="s">
        <v>173</v>
      </c>
      <c r="E26" s="1" t="s">
        <v>272</v>
      </c>
      <c r="F26" s="1" t="s">
        <v>104</v>
      </c>
      <c r="G26" s="1" t="s">
        <v>39</v>
      </c>
      <c r="H26" s="1" t="s">
        <v>99</v>
      </c>
      <c r="I26" s="1" t="s">
        <v>10</v>
      </c>
      <c r="J26" s="17">
        <v>1</v>
      </c>
      <c r="K26" s="1" t="s">
        <v>362</v>
      </c>
      <c r="L26" s="1" t="s">
        <v>42</v>
      </c>
      <c r="M26" s="1" t="s">
        <v>39</v>
      </c>
      <c r="N26" s="1" t="s">
        <v>125</v>
      </c>
      <c r="O26" s="1" t="s">
        <v>10</v>
      </c>
      <c r="P26" s="17">
        <v>1</v>
      </c>
      <c r="V26" s="17">
        <v>0</v>
      </c>
      <c r="W26" s="1" t="s">
        <v>462</v>
      </c>
      <c r="X26" s="1" t="s">
        <v>166</v>
      </c>
      <c r="Y26" s="1" t="s">
        <v>39</v>
      </c>
      <c r="Z26" s="1" t="s">
        <v>63</v>
      </c>
      <c r="AA26" s="1" t="s">
        <v>10</v>
      </c>
      <c r="AB26" s="17">
        <v>100</v>
      </c>
      <c r="AE26" s="1" t="s">
        <v>545</v>
      </c>
    </row>
    <row r="27" spans="1:31" x14ac:dyDescent="0.25">
      <c r="A27" s="1" t="s">
        <v>880</v>
      </c>
      <c r="B27" s="8">
        <v>43101</v>
      </c>
      <c r="C27" s="1" t="s">
        <v>490</v>
      </c>
      <c r="D27" s="1" t="s">
        <v>173</v>
      </c>
      <c r="E27" s="1" t="s">
        <v>260</v>
      </c>
      <c r="F27" s="1" t="s">
        <v>104</v>
      </c>
      <c r="G27" s="1" t="s">
        <v>45</v>
      </c>
      <c r="H27" s="1" t="s">
        <v>99</v>
      </c>
      <c r="I27" s="1" t="s">
        <v>18</v>
      </c>
      <c r="J27" s="17">
        <v>1</v>
      </c>
      <c r="K27" s="1" t="s">
        <v>282</v>
      </c>
      <c r="L27" s="1" t="s">
        <v>36</v>
      </c>
      <c r="M27" s="1" t="s">
        <v>51</v>
      </c>
      <c r="N27" s="1" t="s">
        <v>40</v>
      </c>
      <c r="O27" s="1" t="s">
        <v>18</v>
      </c>
      <c r="P27" s="17">
        <v>0.5</v>
      </c>
      <c r="V27" s="17">
        <v>0</v>
      </c>
      <c r="W27" s="1" t="s">
        <v>422</v>
      </c>
      <c r="X27" s="1" t="s">
        <v>117</v>
      </c>
      <c r="Y27" s="1" t="s">
        <v>33</v>
      </c>
      <c r="Z27" s="1" t="s">
        <v>87</v>
      </c>
      <c r="AA27" s="1" t="s">
        <v>18</v>
      </c>
      <c r="AB27" s="17">
        <v>0.5</v>
      </c>
      <c r="AC27" s="1" t="s">
        <v>474</v>
      </c>
      <c r="AD27" s="1" t="s">
        <v>44</v>
      </c>
      <c r="AE27" s="1" t="s">
        <v>557</v>
      </c>
    </row>
    <row r="28" spans="1:31" x14ac:dyDescent="0.25">
      <c r="A28" s="1" t="s">
        <v>881</v>
      </c>
      <c r="B28" s="8">
        <v>43102</v>
      </c>
      <c r="C28" s="1" t="s">
        <v>490</v>
      </c>
      <c r="D28" s="1" t="s">
        <v>173</v>
      </c>
      <c r="E28" s="1" t="s">
        <v>260</v>
      </c>
      <c r="F28" s="1" t="s">
        <v>104</v>
      </c>
      <c r="G28" s="1" t="s">
        <v>45</v>
      </c>
      <c r="H28" s="1" t="s">
        <v>99</v>
      </c>
      <c r="I28" s="1" t="s">
        <v>18</v>
      </c>
      <c r="J28" s="17">
        <v>1</v>
      </c>
      <c r="K28" s="1" t="s">
        <v>282</v>
      </c>
      <c r="L28" s="1" t="s">
        <v>36</v>
      </c>
      <c r="M28" s="1" t="s">
        <v>51</v>
      </c>
      <c r="N28" s="1" t="s">
        <v>40</v>
      </c>
      <c r="O28" s="1" t="s">
        <v>18</v>
      </c>
      <c r="P28" s="17">
        <v>0.5</v>
      </c>
      <c r="V28" s="17">
        <v>0</v>
      </c>
      <c r="W28" s="1" t="s">
        <v>426</v>
      </c>
      <c r="X28" s="1" t="s">
        <v>124</v>
      </c>
      <c r="Y28" s="1" t="s">
        <v>33</v>
      </c>
      <c r="Z28" s="1" t="s">
        <v>57</v>
      </c>
      <c r="AA28" s="1" t="s">
        <v>18</v>
      </c>
      <c r="AB28" s="17">
        <v>134</v>
      </c>
      <c r="AE28" s="1" t="s">
        <v>557</v>
      </c>
    </row>
    <row r="29" spans="1:31" x14ac:dyDescent="0.25">
      <c r="A29" s="1" t="s">
        <v>882</v>
      </c>
      <c r="B29" s="8">
        <v>43103</v>
      </c>
      <c r="C29" s="1" t="s">
        <v>490</v>
      </c>
      <c r="D29" s="1" t="s">
        <v>173</v>
      </c>
      <c r="E29" s="1" t="s">
        <v>260</v>
      </c>
      <c r="F29" s="1" t="s">
        <v>104</v>
      </c>
      <c r="G29" s="1" t="s">
        <v>45</v>
      </c>
      <c r="H29" s="1" t="s">
        <v>99</v>
      </c>
      <c r="I29" s="1" t="s">
        <v>18</v>
      </c>
      <c r="J29" s="17">
        <v>1</v>
      </c>
      <c r="K29" s="1" t="s">
        <v>306</v>
      </c>
      <c r="L29" s="1" t="s">
        <v>97</v>
      </c>
      <c r="M29" s="1" t="s">
        <v>56</v>
      </c>
      <c r="N29" s="1" t="s">
        <v>40</v>
      </c>
      <c r="O29" s="1" t="s">
        <v>18</v>
      </c>
      <c r="P29" s="17">
        <v>0.5</v>
      </c>
      <c r="V29" s="17">
        <v>0</v>
      </c>
      <c r="W29" s="1" t="s">
        <v>422</v>
      </c>
      <c r="X29" s="1" t="s">
        <v>117</v>
      </c>
      <c r="Y29" s="1" t="s">
        <v>33</v>
      </c>
      <c r="Z29" s="1" t="s">
        <v>87</v>
      </c>
      <c r="AA29" s="1" t="s">
        <v>18</v>
      </c>
      <c r="AB29" s="17">
        <v>0.5</v>
      </c>
      <c r="AE29" s="1" t="s">
        <v>557</v>
      </c>
    </row>
    <row r="30" spans="1:31" x14ac:dyDescent="0.25">
      <c r="A30" s="1" t="s">
        <v>883</v>
      </c>
      <c r="B30" s="8">
        <v>43104</v>
      </c>
      <c r="C30" s="1" t="s">
        <v>490</v>
      </c>
      <c r="D30" s="1" t="s">
        <v>173</v>
      </c>
      <c r="E30" s="1" t="s">
        <v>260</v>
      </c>
      <c r="F30" s="1" t="s">
        <v>104</v>
      </c>
      <c r="G30" s="1" t="s">
        <v>45</v>
      </c>
      <c r="H30" s="1" t="s">
        <v>99</v>
      </c>
      <c r="I30" s="1" t="s">
        <v>18</v>
      </c>
      <c r="J30" s="17">
        <v>1</v>
      </c>
      <c r="K30" s="1" t="s">
        <v>306</v>
      </c>
      <c r="L30" s="1" t="s">
        <v>97</v>
      </c>
      <c r="M30" s="1" t="s">
        <v>56</v>
      </c>
      <c r="N30" s="1" t="s">
        <v>40</v>
      </c>
      <c r="O30" s="1" t="s">
        <v>18</v>
      </c>
      <c r="P30" s="17">
        <v>0.5</v>
      </c>
      <c r="V30" s="17">
        <v>0</v>
      </c>
      <c r="W30" s="1" t="s">
        <v>426</v>
      </c>
      <c r="X30" s="1" t="s">
        <v>124</v>
      </c>
      <c r="Y30" s="1" t="s">
        <v>33</v>
      </c>
      <c r="Z30" s="1" t="s">
        <v>57</v>
      </c>
      <c r="AA30" s="1" t="s">
        <v>18</v>
      </c>
      <c r="AB30" s="17">
        <v>133</v>
      </c>
      <c r="AE30" s="1" t="s">
        <v>557</v>
      </c>
    </row>
    <row r="31" spans="1:31" x14ac:dyDescent="0.25">
      <c r="A31" s="1" t="s">
        <v>884</v>
      </c>
      <c r="B31" s="8">
        <v>43105</v>
      </c>
      <c r="C31" s="1" t="s">
        <v>490</v>
      </c>
      <c r="D31" s="1" t="s">
        <v>173</v>
      </c>
      <c r="E31" s="1" t="s">
        <v>260</v>
      </c>
      <c r="F31" s="1" t="s">
        <v>104</v>
      </c>
      <c r="G31" s="1" t="s">
        <v>45</v>
      </c>
      <c r="H31" s="1" t="s">
        <v>99</v>
      </c>
      <c r="I31" s="1" t="s">
        <v>18</v>
      </c>
      <c r="J31" s="17">
        <v>1</v>
      </c>
      <c r="K31" s="1" t="s">
        <v>328</v>
      </c>
      <c r="L31" s="1" t="s">
        <v>138</v>
      </c>
      <c r="M31" s="1" t="s">
        <v>80</v>
      </c>
      <c r="N31" s="1" t="s">
        <v>140</v>
      </c>
      <c r="O31" s="1" t="s">
        <v>18</v>
      </c>
      <c r="P31" s="17">
        <v>1</v>
      </c>
      <c r="V31" s="17">
        <v>0</v>
      </c>
      <c r="W31" s="1" t="s">
        <v>424</v>
      </c>
      <c r="X31" s="1" t="s">
        <v>120</v>
      </c>
      <c r="Y31" s="1" t="s">
        <v>33</v>
      </c>
      <c r="Z31" s="1" t="s">
        <v>91</v>
      </c>
      <c r="AA31" s="1" t="s">
        <v>18</v>
      </c>
      <c r="AB31" s="17">
        <v>0.5</v>
      </c>
      <c r="AE31" s="1" t="s">
        <v>557</v>
      </c>
    </row>
    <row r="32" spans="1:31" x14ac:dyDescent="0.25">
      <c r="A32" s="1" t="s">
        <v>885</v>
      </c>
      <c r="B32" s="8">
        <v>43106</v>
      </c>
      <c r="C32" s="1" t="s">
        <v>490</v>
      </c>
      <c r="D32" s="1" t="s">
        <v>173</v>
      </c>
      <c r="E32" s="1" t="s">
        <v>231</v>
      </c>
      <c r="F32" s="1" t="s">
        <v>41</v>
      </c>
      <c r="G32" s="1" t="s">
        <v>68</v>
      </c>
      <c r="H32" s="1" t="s">
        <v>152</v>
      </c>
      <c r="I32" s="1" t="s">
        <v>18</v>
      </c>
      <c r="J32" s="17">
        <v>8</v>
      </c>
      <c r="K32" s="1" t="s">
        <v>342</v>
      </c>
      <c r="L32" s="1" t="s">
        <v>158</v>
      </c>
      <c r="M32" s="1" t="s">
        <v>74</v>
      </c>
      <c r="N32" s="1" t="s">
        <v>131</v>
      </c>
      <c r="O32" s="1" t="s">
        <v>18</v>
      </c>
      <c r="P32" s="17">
        <v>10</v>
      </c>
      <c r="V32" s="17">
        <v>0</v>
      </c>
      <c r="W32" s="1" t="s">
        <v>426</v>
      </c>
      <c r="X32" s="1" t="s">
        <v>124</v>
      </c>
      <c r="Y32" s="1" t="s">
        <v>33</v>
      </c>
      <c r="Z32" s="1" t="s">
        <v>57</v>
      </c>
      <c r="AA32" s="1" t="s">
        <v>18</v>
      </c>
      <c r="AB32" s="17">
        <v>133</v>
      </c>
      <c r="AE32" s="1" t="s">
        <v>557</v>
      </c>
    </row>
    <row r="33" spans="1:31" x14ac:dyDescent="0.25">
      <c r="A33" s="1" t="s">
        <v>886</v>
      </c>
      <c r="B33" s="8">
        <v>43107</v>
      </c>
      <c r="C33" s="1" t="s">
        <v>490</v>
      </c>
      <c r="D33" s="1" t="s">
        <v>173</v>
      </c>
      <c r="E33" s="1" t="s">
        <v>231</v>
      </c>
      <c r="F33" s="1" t="s">
        <v>41</v>
      </c>
      <c r="G33" s="1" t="s">
        <v>68</v>
      </c>
      <c r="H33" s="1" t="s">
        <v>152</v>
      </c>
      <c r="I33" s="1" t="s">
        <v>18</v>
      </c>
      <c r="J33" s="17">
        <v>8</v>
      </c>
      <c r="K33" s="1" t="s">
        <v>346</v>
      </c>
      <c r="L33" s="1" t="s">
        <v>162</v>
      </c>
      <c r="M33" s="1" t="s">
        <v>12</v>
      </c>
      <c r="N33" s="1" t="s">
        <v>121</v>
      </c>
      <c r="O33" s="1" t="s">
        <v>18</v>
      </c>
      <c r="P33" s="17">
        <v>20</v>
      </c>
      <c r="Q33" s="1" t="s">
        <v>274</v>
      </c>
      <c r="R33" s="1" t="s">
        <v>15</v>
      </c>
      <c r="S33" s="1" t="s">
        <v>27</v>
      </c>
      <c r="T33" s="1" t="s">
        <v>13</v>
      </c>
      <c r="U33" s="1" t="s">
        <v>18</v>
      </c>
      <c r="V33" s="17">
        <v>1</v>
      </c>
      <c r="W33" s="1" t="s">
        <v>424</v>
      </c>
      <c r="X33" s="1" t="s">
        <v>120</v>
      </c>
      <c r="Y33" s="1" t="s">
        <v>33</v>
      </c>
      <c r="Z33" s="1" t="s">
        <v>91</v>
      </c>
      <c r="AA33" s="1" t="s">
        <v>18</v>
      </c>
      <c r="AB33" s="17">
        <v>0.5</v>
      </c>
      <c r="AE33" s="1" t="s">
        <v>557</v>
      </c>
    </row>
    <row r="34" spans="1:31" x14ac:dyDescent="0.25">
      <c r="A34" s="1" t="s">
        <v>887</v>
      </c>
      <c r="B34" s="8">
        <v>43108</v>
      </c>
      <c r="C34" s="1" t="s">
        <v>490</v>
      </c>
      <c r="D34" s="1" t="s">
        <v>173</v>
      </c>
      <c r="E34" s="1" t="s">
        <v>260</v>
      </c>
      <c r="F34" s="1" t="s">
        <v>104</v>
      </c>
      <c r="G34" s="1" t="s">
        <v>45</v>
      </c>
      <c r="H34" s="1" t="s">
        <v>99</v>
      </c>
      <c r="I34" s="1" t="s">
        <v>18</v>
      </c>
      <c r="J34" s="17">
        <v>1</v>
      </c>
      <c r="K34" s="1" t="s">
        <v>284</v>
      </c>
      <c r="L34" s="1" t="s">
        <v>42</v>
      </c>
      <c r="M34" s="1" t="s">
        <v>51</v>
      </c>
      <c r="N34" s="1" t="s">
        <v>125</v>
      </c>
      <c r="O34" s="1" t="s">
        <v>18</v>
      </c>
      <c r="P34" s="17">
        <v>25</v>
      </c>
      <c r="V34" s="17">
        <v>0</v>
      </c>
      <c r="W34" s="1" t="s">
        <v>426</v>
      </c>
      <c r="X34" s="1" t="s">
        <v>124</v>
      </c>
      <c r="Y34" s="1" t="s">
        <v>33</v>
      </c>
      <c r="Z34" s="1" t="s">
        <v>57</v>
      </c>
      <c r="AA34" s="1" t="s">
        <v>18</v>
      </c>
      <c r="AB34" s="17">
        <v>134</v>
      </c>
      <c r="AE34" s="1" t="s">
        <v>557</v>
      </c>
    </row>
    <row r="35" spans="1:31" x14ac:dyDescent="0.25">
      <c r="A35" s="1" t="s">
        <v>888</v>
      </c>
      <c r="B35" s="8">
        <v>43109</v>
      </c>
      <c r="C35" s="1" t="s">
        <v>490</v>
      </c>
      <c r="D35" s="1" t="s">
        <v>173</v>
      </c>
      <c r="E35" s="1" t="s">
        <v>260</v>
      </c>
      <c r="F35" s="1" t="s">
        <v>104</v>
      </c>
      <c r="G35" s="1" t="s">
        <v>45</v>
      </c>
      <c r="H35" s="1" t="s">
        <v>99</v>
      </c>
      <c r="I35" s="1" t="s">
        <v>18</v>
      </c>
      <c r="J35" s="17">
        <v>1</v>
      </c>
      <c r="K35" s="1" t="s">
        <v>284</v>
      </c>
      <c r="L35" s="1" t="s">
        <v>42</v>
      </c>
      <c r="M35" s="1" t="s">
        <v>51</v>
      </c>
      <c r="N35" s="1" t="s">
        <v>125</v>
      </c>
      <c r="O35" s="1" t="s">
        <v>18</v>
      </c>
      <c r="P35" s="17">
        <v>25</v>
      </c>
      <c r="V35" s="17">
        <v>0</v>
      </c>
      <c r="W35" s="1" t="s">
        <v>428</v>
      </c>
      <c r="X35" s="1" t="s">
        <v>127</v>
      </c>
      <c r="Y35" s="1" t="s">
        <v>33</v>
      </c>
      <c r="Z35" s="1" t="s">
        <v>114</v>
      </c>
      <c r="AA35" s="1" t="s">
        <v>18</v>
      </c>
      <c r="AB35" s="17">
        <v>0.5</v>
      </c>
      <c r="AE35" s="1" t="s">
        <v>557</v>
      </c>
    </row>
    <row r="36" spans="1:31" x14ac:dyDescent="0.25">
      <c r="A36" s="1" t="s">
        <v>889</v>
      </c>
      <c r="B36" s="8">
        <v>43110</v>
      </c>
      <c r="C36" s="1" t="s">
        <v>490</v>
      </c>
      <c r="D36" s="1" t="s">
        <v>173</v>
      </c>
      <c r="E36" s="1" t="s">
        <v>260</v>
      </c>
      <c r="F36" s="1" t="s">
        <v>104</v>
      </c>
      <c r="G36" s="1" t="s">
        <v>45</v>
      </c>
      <c r="H36" s="1" t="s">
        <v>99</v>
      </c>
      <c r="I36" s="1" t="s">
        <v>18</v>
      </c>
      <c r="J36" s="17">
        <v>1</v>
      </c>
      <c r="K36" s="1" t="s">
        <v>308</v>
      </c>
      <c r="L36" s="1" t="s">
        <v>101</v>
      </c>
      <c r="M36" s="1" t="s">
        <v>56</v>
      </c>
      <c r="N36" s="1" t="s">
        <v>40</v>
      </c>
      <c r="O36" s="1" t="s">
        <v>18</v>
      </c>
      <c r="P36" s="17">
        <v>0.5</v>
      </c>
      <c r="V36" s="17">
        <v>0</v>
      </c>
      <c r="W36" s="1" t="s">
        <v>426</v>
      </c>
      <c r="X36" s="1" t="s">
        <v>124</v>
      </c>
      <c r="Y36" s="1" t="s">
        <v>33</v>
      </c>
      <c r="Z36" s="1" t="s">
        <v>57</v>
      </c>
      <c r="AA36" s="1" t="s">
        <v>18</v>
      </c>
      <c r="AB36" s="17">
        <v>133</v>
      </c>
      <c r="AE36" s="1" t="s">
        <v>557</v>
      </c>
    </row>
    <row r="37" spans="1:31" x14ac:dyDescent="0.25">
      <c r="A37" s="1" t="s">
        <v>890</v>
      </c>
      <c r="B37" s="8">
        <v>43111</v>
      </c>
      <c r="C37" s="1" t="s">
        <v>490</v>
      </c>
      <c r="D37" s="1" t="s">
        <v>173</v>
      </c>
      <c r="E37" s="1" t="s">
        <v>260</v>
      </c>
      <c r="F37" s="1" t="s">
        <v>104</v>
      </c>
      <c r="G37" s="1" t="s">
        <v>45</v>
      </c>
      <c r="H37" s="1" t="s">
        <v>99</v>
      </c>
      <c r="I37" s="1" t="s">
        <v>18</v>
      </c>
      <c r="J37" s="17">
        <v>1</v>
      </c>
      <c r="K37" s="1" t="s">
        <v>308</v>
      </c>
      <c r="L37" s="1" t="s">
        <v>101</v>
      </c>
      <c r="M37" s="1" t="s">
        <v>56</v>
      </c>
      <c r="N37" s="1" t="s">
        <v>40</v>
      </c>
      <c r="O37" s="1" t="s">
        <v>18</v>
      </c>
      <c r="P37" s="17">
        <v>0.5</v>
      </c>
      <c r="V37" s="17">
        <v>0</v>
      </c>
      <c r="W37" s="1" t="s">
        <v>428</v>
      </c>
      <c r="X37" s="1" t="s">
        <v>127</v>
      </c>
      <c r="Y37" s="1" t="s">
        <v>33</v>
      </c>
      <c r="Z37" s="1" t="s">
        <v>114</v>
      </c>
      <c r="AA37" s="1" t="s">
        <v>18</v>
      </c>
      <c r="AB37" s="17">
        <v>0.5</v>
      </c>
      <c r="AE37" s="1" t="s">
        <v>557</v>
      </c>
    </row>
    <row r="38" spans="1:31" x14ac:dyDescent="0.25">
      <c r="A38" s="1" t="s">
        <v>891</v>
      </c>
      <c r="B38" s="8">
        <v>43112</v>
      </c>
      <c r="C38" s="1" t="s">
        <v>490</v>
      </c>
      <c r="D38" s="1" t="s">
        <v>173</v>
      </c>
      <c r="E38" s="1" t="s">
        <v>260</v>
      </c>
      <c r="F38" s="1" t="s">
        <v>104</v>
      </c>
      <c r="G38" s="1" t="s">
        <v>45</v>
      </c>
      <c r="H38" s="1" t="s">
        <v>99</v>
      </c>
      <c r="I38" s="1" t="s">
        <v>18</v>
      </c>
      <c r="J38" s="17">
        <v>1</v>
      </c>
      <c r="K38" s="1" t="s">
        <v>330</v>
      </c>
      <c r="L38" s="1" t="s">
        <v>141</v>
      </c>
      <c r="M38" s="1" t="s">
        <v>80</v>
      </c>
      <c r="N38" s="1" t="s">
        <v>46</v>
      </c>
      <c r="O38" s="1" t="s">
        <v>18</v>
      </c>
      <c r="P38" s="17">
        <v>1</v>
      </c>
      <c r="V38" s="17">
        <v>0</v>
      </c>
      <c r="W38" s="1" t="s">
        <v>426</v>
      </c>
      <c r="X38" s="1" t="s">
        <v>124</v>
      </c>
      <c r="Y38" s="1" t="s">
        <v>33</v>
      </c>
      <c r="Z38" s="1" t="s">
        <v>57</v>
      </c>
      <c r="AA38" s="1" t="s">
        <v>18</v>
      </c>
      <c r="AB38" s="17">
        <v>133</v>
      </c>
      <c r="AE38" s="1" t="s">
        <v>557</v>
      </c>
    </row>
    <row r="39" spans="1:31" x14ac:dyDescent="0.25">
      <c r="A39" s="1" t="s">
        <v>892</v>
      </c>
      <c r="B39" s="8">
        <v>43113</v>
      </c>
      <c r="C39" s="1" t="s">
        <v>490</v>
      </c>
      <c r="D39" s="1" t="s">
        <v>173</v>
      </c>
      <c r="E39" s="1" t="s">
        <v>238</v>
      </c>
      <c r="F39" s="1" t="s">
        <v>47</v>
      </c>
      <c r="G39" s="1" t="s">
        <v>68</v>
      </c>
      <c r="H39" s="1" t="s">
        <v>107</v>
      </c>
      <c r="I39" s="1" t="s">
        <v>18</v>
      </c>
      <c r="J39" s="17">
        <v>0.5</v>
      </c>
      <c r="K39" s="1" t="s">
        <v>338</v>
      </c>
      <c r="L39" s="1" t="s">
        <v>153</v>
      </c>
      <c r="M39" s="1" t="s">
        <v>74</v>
      </c>
      <c r="N39" s="1" t="s">
        <v>131</v>
      </c>
      <c r="O39" s="1" t="s">
        <v>18</v>
      </c>
      <c r="P39" s="17">
        <v>10</v>
      </c>
      <c r="V39" s="17">
        <v>0</v>
      </c>
      <c r="W39" s="1" t="s">
        <v>430</v>
      </c>
      <c r="X39" s="1" t="s">
        <v>130</v>
      </c>
      <c r="Y39" s="1" t="s">
        <v>33</v>
      </c>
      <c r="Z39" s="1" t="s">
        <v>114</v>
      </c>
      <c r="AA39" s="1" t="s">
        <v>18</v>
      </c>
      <c r="AB39" s="17">
        <v>0.5</v>
      </c>
      <c r="AE39" s="1" t="s">
        <v>557</v>
      </c>
    </row>
    <row r="40" spans="1:31" x14ac:dyDescent="0.25">
      <c r="A40" s="1" t="s">
        <v>893</v>
      </c>
      <c r="B40" s="8">
        <v>43114</v>
      </c>
      <c r="C40" s="1" t="s">
        <v>490</v>
      </c>
      <c r="D40" s="1" t="s">
        <v>173</v>
      </c>
      <c r="E40" s="1" t="s">
        <v>238</v>
      </c>
      <c r="F40" s="1" t="s">
        <v>47</v>
      </c>
      <c r="G40" s="1" t="s">
        <v>68</v>
      </c>
      <c r="H40" s="1" t="s">
        <v>107</v>
      </c>
      <c r="I40" s="1" t="s">
        <v>18</v>
      </c>
      <c r="J40" s="17">
        <v>0.5</v>
      </c>
      <c r="K40" s="1" t="s">
        <v>348</v>
      </c>
      <c r="L40" s="1" t="s">
        <v>53</v>
      </c>
      <c r="M40" s="1" t="s">
        <v>20</v>
      </c>
      <c r="N40" s="1" t="s">
        <v>40</v>
      </c>
      <c r="O40" s="1" t="s">
        <v>18</v>
      </c>
      <c r="P40" s="17">
        <v>1</v>
      </c>
      <c r="V40" s="17">
        <v>0</v>
      </c>
      <c r="W40" s="1" t="s">
        <v>426</v>
      </c>
      <c r="X40" s="1" t="s">
        <v>124</v>
      </c>
      <c r="Y40" s="1" t="s">
        <v>33</v>
      </c>
      <c r="Z40" s="1" t="s">
        <v>57</v>
      </c>
      <c r="AA40" s="1" t="s">
        <v>18</v>
      </c>
      <c r="AB40" s="17">
        <v>134</v>
      </c>
      <c r="AE40" s="1" t="s">
        <v>557</v>
      </c>
    </row>
    <row r="41" spans="1:31" x14ac:dyDescent="0.25">
      <c r="A41" s="1" t="s">
        <v>894</v>
      </c>
      <c r="B41" s="8">
        <v>43115</v>
      </c>
      <c r="C41" s="1" t="s">
        <v>490</v>
      </c>
      <c r="D41" s="1" t="s">
        <v>173</v>
      </c>
      <c r="E41" s="1" t="s">
        <v>260</v>
      </c>
      <c r="F41" s="1" t="s">
        <v>104</v>
      </c>
      <c r="G41" s="1" t="s">
        <v>45</v>
      </c>
      <c r="H41" s="1" t="s">
        <v>99</v>
      </c>
      <c r="I41" s="1" t="s">
        <v>18</v>
      </c>
      <c r="J41" s="17">
        <v>1</v>
      </c>
      <c r="K41" s="1" t="s">
        <v>286</v>
      </c>
      <c r="L41" s="1" t="s">
        <v>48</v>
      </c>
      <c r="M41" s="1" t="s">
        <v>51</v>
      </c>
      <c r="N41" s="1" t="s">
        <v>40</v>
      </c>
      <c r="O41" s="1" t="s">
        <v>18</v>
      </c>
      <c r="P41" s="17">
        <v>0.5</v>
      </c>
      <c r="V41" s="17">
        <v>0</v>
      </c>
      <c r="W41" s="1" t="s">
        <v>430</v>
      </c>
      <c r="X41" s="1" t="s">
        <v>130</v>
      </c>
      <c r="Y41" s="1" t="s">
        <v>33</v>
      </c>
      <c r="Z41" s="1" t="s">
        <v>114</v>
      </c>
      <c r="AA41" s="1" t="s">
        <v>18</v>
      </c>
      <c r="AB41" s="17">
        <v>0.5</v>
      </c>
      <c r="AE41" s="1" t="s">
        <v>557</v>
      </c>
    </row>
    <row r="42" spans="1:31" x14ac:dyDescent="0.25">
      <c r="A42" s="1" t="s">
        <v>895</v>
      </c>
      <c r="B42" s="8">
        <v>43116</v>
      </c>
      <c r="C42" s="1" t="s">
        <v>490</v>
      </c>
      <c r="D42" s="1" t="s">
        <v>173</v>
      </c>
      <c r="E42" s="1" t="s">
        <v>260</v>
      </c>
      <c r="F42" s="1" t="s">
        <v>104</v>
      </c>
      <c r="G42" s="1" t="s">
        <v>45</v>
      </c>
      <c r="H42" s="1" t="s">
        <v>99</v>
      </c>
      <c r="I42" s="1" t="s">
        <v>18</v>
      </c>
      <c r="J42" s="17">
        <v>1</v>
      </c>
      <c r="K42" s="1" t="s">
        <v>286</v>
      </c>
      <c r="L42" s="1" t="s">
        <v>48</v>
      </c>
      <c r="M42" s="1" t="s">
        <v>51</v>
      </c>
      <c r="N42" s="1" t="s">
        <v>40</v>
      </c>
      <c r="O42" s="1" t="s">
        <v>18</v>
      </c>
      <c r="P42" s="17">
        <v>0.5</v>
      </c>
      <c r="V42" s="17">
        <v>0</v>
      </c>
      <c r="W42" s="1" t="s">
        <v>426</v>
      </c>
      <c r="X42" s="1" t="s">
        <v>124</v>
      </c>
      <c r="Y42" s="1" t="s">
        <v>33</v>
      </c>
      <c r="Z42" s="1" t="s">
        <v>57</v>
      </c>
      <c r="AA42" s="1" t="s">
        <v>18</v>
      </c>
      <c r="AB42" s="17">
        <v>133</v>
      </c>
      <c r="AE42" s="1" t="s">
        <v>557</v>
      </c>
    </row>
    <row r="43" spans="1:31" x14ac:dyDescent="0.25">
      <c r="A43" s="1" t="s">
        <v>896</v>
      </c>
      <c r="B43" s="8">
        <v>43117</v>
      </c>
      <c r="C43" s="1" t="s">
        <v>490</v>
      </c>
      <c r="D43" s="1" t="s">
        <v>173</v>
      </c>
      <c r="E43" s="1" t="s">
        <v>260</v>
      </c>
      <c r="F43" s="1" t="s">
        <v>104</v>
      </c>
      <c r="G43" s="1" t="s">
        <v>45</v>
      </c>
      <c r="H43" s="1" t="s">
        <v>99</v>
      </c>
      <c r="I43" s="1" t="s">
        <v>18</v>
      </c>
      <c r="J43" s="17">
        <v>1</v>
      </c>
      <c r="K43" s="1" t="s">
        <v>310</v>
      </c>
      <c r="L43" s="1" t="s">
        <v>105</v>
      </c>
      <c r="M43" s="1" t="s">
        <v>56</v>
      </c>
      <c r="N43" s="1" t="s">
        <v>40</v>
      </c>
      <c r="O43" s="1" t="s">
        <v>18</v>
      </c>
      <c r="P43" s="17">
        <v>0.5</v>
      </c>
      <c r="V43" s="17">
        <v>0</v>
      </c>
      <c r="W43" s="1" t="s">
        <v>432</v>
      </c>
      <c r="X43" s="1" t="s">
        <v>133</v>
      </c>
      <c r="Y43" s="1" t="s">
        <v>33</v>
      </c>
      <c r="Z43" s="1" t="s">
        <v>34</v>
      </c>
      <c r="AA43" s="1" t="s">
        <v>18</v>
      </c>
      <c r="AB43" s="17">
        <v>1</v>
      </c>
      <c r="AE43" s="1" t="s">
        <v>557</v>
      </c>
    </row>
    <row r="44" spans="1:31" x14ac:dyDescent="0.25">
      <c r="A44" s="1" t="s">
        <v>897</v>
      </c>
      <c r="B44" s="8">
        <v>43118</v>
      </c>
      <c r="C44" s="1" t="s">
        <v>490</v>
      </c>
      <c r="D44" s="1" t="s">
        <v>173</v>
      </c>
      <c r="E44" s="1" t="s">
        <v>260</v>
      </c>
      <c r="F44" s="1" t="s">
        <v>104</v>
      </c>
      <c r="G44" s="1" t="s">
        <v>45</v>
      </c>
      <c r="H44" s="1" t="s">
        <v>99</v>
      </c>
      <c r="I44" s="1" t="s">
        <v>18</v>
      </c>
      <c r="J44" s="17">
        <v>1</v>
      </c>
      <c r="K44" s="1" t="s">
        <v>310</v>
      </c>
      <c r="L44" s="1" t="s">
        <v>105</v>
      </c>
      <c r="M44" s="1" t="s">
        <v>56</v>
      </c>
      <c r="N44" s="1" t="s">
        <v>40</v>
      </c>
      <c r="O44" s="1" t="s">
        <v>18</v>
      </c>
      <c r="P44" s="17">
        <v>0.5</v>
      </c>
      <c r="V44" s="17">
        <v>0</v>
      </c>
      <c r="W44" s="1" t="s">
        <v>426</v>
      </c>
      <c r="X44" s="1" t="s">
        <v>124</v>
      </c>
      <c r="Y44" s="1" t="s">
        <v>33</v>
      </c>
      <c r="Z44" s="1" t="s">
        <v>57</v>
      </c>
      <c r="AA44" s="1" t="s">
        <v>18</v>
      </c>
      <c r="AB44" s="17">
        <v>133</v>
      </c>
      <c r="AE44" s="1" t="s">
        <v>557</v>
      </c>
    </row>
    <row r="45" spans="1:31" x14ac:dyDescent="0.25">
      <c r="A45" s="1" t="s">
        <v>898</v>
      </c>
      <c r="B45" s="8">
        <v>43119</v>
      </c>
      <c r="C45" s="1" t="s">
        <v>490</v>
      </c>
      <c r="D45" s="1" t="s">
        <v>173</v>
      </c>
      <c r="E45" s="1" t="s">
        <v>260</v>
      </c>
      <c r="F45" s="1" t="s">
        <v>104</v>
      </c>
      <c r="G45" s="1" t="s">
        <v>45</v>
      </c>
      <c r="H45" s="1" t="s">
        <v>99</v>
      </c>
      <c r="I45" s="1" t="s">
        <v>18</v>
      </c>
      <c r="J45" s="17">
        <v>1</v>
      </c>
      <c r="K45" s="1" t="s">
        <v>332</v>
      </c>
      <c r="L45" s="1" t="s">
        <v>144</v>
      </c>
      <c r="M45" s="1" t="s">
        <v>80</v>
      </c>
      <c r="N45" s="1" t="s">
        <v>149</v>
      </c>
      <c r="O45" s="1" t="s">
        <v>18</v>
      </c>
      <c r="P45" s="17">
        <v>1</v>
      </c>
      <c r="V45" s="17">
        <v>0</v>
      </c>
      <c r="W45" s="1" t="s">
        <v>384</v>
      </c>
      <c r="X45" s="1" t="s">
        <v>17</v>
      </c>
      <c r="Y45" s="1" t="s">
        <v>33</v>
      </c>
      <c r="Z45" s="1" t="s">
        <v>87</v>
      </c>
      <c r="AA45" s="1" t="s">
        <v>18</v>
      </c>
      <c r="AB45" s="17">
        <v>1</v>
      </c>
      <c r="AE45" s="1" t="s">
        <v>557</v>
      </c>
    </row>
    <row r="46" spans="1:31" x14ac:dyDescent="0.25">
      <c r="A46" s="1" t="s">
        <v>899</v>
      </c>
      <c r="B46" s="8">
        <v>43120</v>
      </c>
      <c r="C46" s="1" t="s">
        <v>490</v>
      </c>
      <c r="D46" s="1" t="s">
        <v>173</v>
      </c>
      <c r="E46" s="1" t="s">
        <v>240</v>
      </c>
      <c r="F46" s="1" t="s">
        <v>52</v>
      </c>
      <c r="G46" s="1" t="s">
        <v>68</v>
      </c>
      <c r="H46" s="1" t="s">
        <v>95</v>
      </c>
      <c r="I46" s="1" t="s">
        <v>18</v>
      </c>
      <c r="J46" s="17">
        <v>0.5</v>
      </c>
      <c r="K46" s="1" t="s">
        <v>340</v>
      </c>
      <c r="L46" s="1" t="s">
        <v>156</v>
      </c>
      <c r="M46" s="1" t="s">
        <v>74</v>
      </c>
      <c r="N46" s="1" t="s">
        <v>131</v>
      </c>
      <c r="O46" s="1" t="s">
        <v>18</v>
      </c>
      <c r="P46" s="17">
        <v>10</v>
      </c>
      <c r="V46" s="17">
        <v>0</v>
      </c>
      <c r="W46" s="1" t="s">
        <v>426</v>
      </c>
      <c r="X46" s="1" t="s">
        <v>124</v>
      </c>
      <c r="Y46" s="1" t="s">
        <v>33</v>
      </c>
      <c r="Z46" s="1" t="s">
        <v>57</v>
      </c>
      <c r="AA46" s="1" t="s">
        <v>18</v>
      </c>
      <c r="AB46" s="17">
        <v>134</v>
      </c>
      <c r="AE46" s="1" t="s">
        <v>557</v>
      </c>
    </row>
    <row r="47" spans="1:31" x14ac:dyDescent="0.25">
      <c r="A47" s="1" t="s">
        <v>900</v>
      </c>
      <c r="B47" s="8">
        <v>43121</v>
      </c>
      <c r="C47" s="1" t="s">
        <v>490</v>
      </c>
      <c r="D47" s="1" t="s">
        <v>173</v>
      </c>
      <c r="E47" s="1" t="s">
        <v>240</v>
      </c>
      <c r="F47" s="1" t="s">
        <v>52</v>
      </c>
      <c r="G47" s="1" t="s">
        <v>68</v>
      </c>
      <c r="H47" s="1" t="s">
        <v>95</v>
      </c>
      <c r="I47" s="1" t="s">
        <v>18</v>
      </c>
      <c r="J47" s="17">
        <v>0.5</v>
      </c>
      <c r="K47" s="1" t="s">
        <v>344</v>
      </c>
      <c r="L47" s="1" t="s">
        <v>160</v>
      </c>
      <c r="M47" s="1" t="s">
        <v>20</v>
      </c>
      <c r="N47" s="1" t="s">
        <v>103</v>
      </c>
      <c r="O47" s="1" t="s">
        <v>18</v>
      </c>
      <c r="P47" s="17">
        <v>1</v>
      </c>
      <c r="V47" s="17">
        <v>0</v>
      </c>
      <c r="W47" s="1" t="s">
        <v>384</v>
      </c>
      <c r="X47" s="1" t="s">
        <v>17</v>
      </c>
      <c r="Y47" s="1" t="s">
        <v>33</v>
      </c>
      <c r="Z47" s="1" t="s">
        <v>87</v>
      </c>
      <c r="AA47" s="1" t="s">
        <v>18</v>
      </c>
      <c r="AB47" s="17">
        <v>1</v>
      </c>
      <c r="AE47" s="1" t="s">
        <v>557</v>
      </c>
    </row>
    <row r="48" spans="1:31" x14ac:dyDescent="0.25">
      <c r="A48" s="1" t="s">
        <v>901</v>
      </c>
      <c r="B48" s="8">
        <v>43122</v>
      </c>
      <c r="C48" s="1" t="s">
        <v>490</v>
      </c>
      <c r="D48" s="1" t="s">
        <v>173</v>
      </c>
      <c r="E48" s="1" t="s">
        <v>260</v>
      </c>
      <c r="F48" s="1" t="s">
        <v>104</v>
      </c>
      <c r="G48" s="1" t="s">
        <v>45</v>
      </c>
      <c r="H48" s="1" t="s">
        <v>99</v>
      </c>
      <c r="I48" s="1" t="s">
        <v>18</v>
      </c>
      <c r="J48" s="17">
        <v>1</v>
      </c>
      <c r="K48" s="1" t="s">
        <v>288</v>
      </c>
      <c r="L48" s="1" t="s">
        <v>53</v>
      </c>
      <c r="M48" s="1" t="s">
        <v>51</v>
      </c>
      <c r="N48" s="1" t="s">
        <v>40</v>
      </c>
      <c r="O48" s="1" t="s">
        <v>18</v>
      </c>
      <c r="P48" s="17">
        <v>0.5</v>
      </c>
      <c r="V48" s="17">
        <v>0</v>
      </c>
      <c r="W48" s="1" t="s">
        <v>426</v>
      </c>
      <c r="X48" s="1" t="s">
        <v>124</v>
      </c>
      <c r="Y48" s="1" t="s">
        <v>33</v>
      </c>
      <c r="Z48" s="1" t="s">
        <v>57</v>
      </c>
      <c r="AA48" s="1" t="s">
        <v>18</v>
      </c>
      <c r="AB48" s="17">
        <v>133</v>
      </c>
      <c r="AE48" s="1" t="s">
        <v>557</v>
      </c>
    </row>
    <row r="49" spans="1:31" x14ac:dyDescent="0.25">
      <c r="A49" s="1" t="s">
        <v>902</v>
      </c>
      <c r="B49" s="8">
        <v>43123</v>
      </c>
      <c r="C49" s="1" t="s">
        <v>490</v>
      </c>
      <c r="D49" s="1" t="s">
        <v>173</v>
      </c>
      <c r="E49" s="1" t="s">
        <v>260</v>
      </c>
      <c r="F49" s="1" t="s">
        <v>104</v>
      </c>
      <c r="G49" s="1" t="s">
        <v>45</v>
      </c>
      <c r="H49" s="1" t="s">
        <v>99</v>
      </c>
      <c r="I49" s="1" t="s">
        <v>18</v>
      </c>
      <c r="J49" s="17">
        <v>1</v>
      </c>
      <c r="K49" s="1" t="s">
        <v>288</v>
      </c>
      <c r="L49" s="1" t="s">
        <v>53</v>
      </c>
      <c r="M49" s="1" t="s">
        <v>51</v>
      </c>
      <c r="N49" s="1" t="s">
        <v>40</v>
      </c>
      <c r="O49" s="1" t="s">
        <v>18</v>
      </c>
      <c r="P49" s="17">
        <v>0.5</v>
      </c>
      <c r="V49" s="17">
        <v>0</v>
      </c>
      <c r="W49" s="1" t="s">
        <v>386</v>
      </c>
      <c r="X49" s="1" t="s">
        <v>24</v>
      </c>
      <c r="Y49" s="1" t="s">
        <v>33</v>
      </c>
      <c r="Z49" s="1" t="s">
        <v>118</v>
      </c>
      <c r="AA49" s="1" t="s">
        <v>18</v>
      </c>
      <c r="AB49" s="17">
        <v>125</v>
      </c>
      <c r="AE49" s="1" t="s">
        <v>557</v>
      </c>
    </row>
    <row r="50" spans="1:31" x14ac:dyDescent="0.25">
      <c r="A50" s="1" t="s">
        <v>903</v>
      </c>
      <c r="B50" s="8">
        <v>43124</v>
      </c>
      <c r="C50" s="1" t="s">
        <v>490</v>
      </c>
      <c r="D50" s="1" t="s">
        <v>173</v>
      </c>
      <c r="E50" s="1" t="s">
        <v>260</v>
      </c>
      <c r="F50" s="1" t="s">
        <v>104</v>
      </c>
      <c r="G50" s="1" t="s">
        <v>45</v>
      </c>
      <c r="H50" s="1" t="s">
        <v>99</v>
      </c>
      <c r="I50" s="1" t="s">
        <v>18</v>
      </c>
      <c r="J50" s="17">
        <v>1</v>
      </c>
      <c r="K50" s="1" t="s">
        <v>312</v>
      </c>
      <c r="L50" s="1" t="s">
        <v>109</v>
      </c>
      <c r="M50" s="1" t="s">
        <v>56</v>
      </c>
      <c r="N50" s="1" t="s">
        <v>40</v>
      </c>
      <c r="O50" s="1" t="s">
        <v>18</v>
      </c>
      <c r="P50" s="17">
        <v>0.5</v>
      </c>
      <c r="V50" s="17">
        <v>0</v>
      </c>
      <c r="W50" s="1" t="s">
        <v>426</v>
      </c>
      <c r="X50" s="1" t="s">
        <v>124</v>
      </c>
      <c r="Y50" s="1" t="s">
        <v>33</v>
      </c>
      <c r="Z50" s="1" t="s">
        <v>57</v>
      </c>
      <c r="AA50" s="1" t="s">
        <v>18</v>
      </c>
      <c r="AB50" s="17">
        <v>133</v>
      </c>
      <c r="AE50" s="1" t="s">
        <v>557</v>
      </c>
    </row>
    <row r="51" spans="1:31" x14ac:dyDescent="0.25">
      <c r="A51" s="1" t="s">
        <v>904</v>
      </c>
      <c r="B51" s="8">
        <v>43125</v>
      </c>
      <c r="C51" s="1" t="s">
        <v>490</v>
      </c>
      <c r="D51" s="1" t="s">
        <v>173</v>
      </c>
      <c r="E51" s="1" t="s">
        <v>260</v>
      </c>
      <c r="F51" s="1" t="s">
        <v>104</v>
      </c>
      <c r="G51" s="1" t="s">
        <v>45</v>
      </c>
      <c r="H51" s="1" t="s">
        <v>99</v>
      </c>
      <c r="I51" s="1" t="s">
        <v>18</v>
      </c>
      <c r="J51" s="17">
        <v>1</v>
      </c>
      <c r="K51" s="1" t="s">
        <v>312</v>
      </c>
      <c r="L51" s="1" t="s">
        <v>109</v>
      </c>
      <c r="M51" s="1" t="s">
        <v>56</v>
      </c>
      <c r="N51" s="1" t="s">
        <v>40</v>
      </c>
      <c r="O51" s="1" t="s">
        <v>18</v>
      </c>
      <c r="P51" s="17">
        <v>0.5</v>
      </c>
      <c r="V51" s="17">
        <v>0</v>
      </c>
      <c r="W51" s="1" t="s">
        <v>388</v>
      </c>
      <c r="X51" s="1" t="s">
        <v>31</v>
      </c>
      <c r="Y51" s="1" t="s">
        <v>33</v>
      </c>
      <c r="Z51" s="1" t="s">
        <v>87</v>
      </c>
      <c r="AA51" s="1" t="s">
        <v>18</v>
      </c>
      <c r="AB51" s="17">
        <v>1</v>
      </c>
      <c r="AE51" s="1" t="s">
        <v>557</v>
      </c>
    </row>
    <row r="52" spans="1:31" x14ac:dyDescent="0.25">
      <c r="A52" s="1" t="s">
        <v>905</v>
      </c>
      <c r="B52" s="8">
        <v>43126</v>
      </c>
      <c r="C52" s="1" t="s">
        <v>490</v>
      </c>
      <c r="D52" s="1" t="s">
        <v>173</v>
      </c>
      <c r="E52" s="1" t="s">
        <v>260</v>
      </c>
      <c r="F52" s="1" t="s">
        <v>104</v>
      </c>
      <c r="G52" s="1" t="s">
        <v>45</v>
      </c>
      <c r="H52" s="1" t="s">
        <v>99</v>
      </c>
      <c r="I52" s="1" t="s">
        <v>18</v>
      </c>
      <c r="J52" s="17">
        <v>1</v>
      </c>
      <c r="K52" s="1" t="s">
        <v>334</v>
      </c>
      <c r="L52" s="1" t="s">
        <v>147</v>
      </c>
      <c r="M52" s="1" t="s">
        <v>80</v>
      </c>
      <c r="N52" s="1" t="s">
        <v>34</v>
      </c>
      <c r="O52" s="1" t="s">
        <v>18</v>
      </c>
      <c r="P52" s="17">
        <v>1</v>
      </c>
      <c r="V52" s="17">
        <v>0</v>
      </c>
      <c r="W52" s="1" t="s">
        <v>426</v>
      </c>
      <c r="X52" s="1" t="s">
        <v>124</v>
      </c>
      <c r="Y52" s="1" t="s">
        <v>33</v>
      </c>
      <c r="Z52" s="1" t="s">
        <v>57</v>
      </c>
      <c r="AA52" s="1" t="s">
        <v>18</v>
      </c>
      <c r="AB52" s="17">
        <v>134</v>
      </c>
      <c r="AE52" s="1" t="s">
        <v>557</v>
      </c>
    </row>
    <row r="53" spans="1:31" x14ac:dyDescent="0.25">
      <c r="A53" s="1" t="s">
        <v>906</v>
      </c>
      <c r="B53" s="8">
        <v>43127</v>
      </c>
      <c r="C53" s="1" t="s">
        <v>490</v>
      </c>
      <c r="D53" s="1" t="s">
        <v>173</v>
      </c>
      <c r="E53" s="1" t="s">
        <v>242</v>
      </c>
      <c r="F53" s="1" t="s">
        <v>58</v>
      </c>
      <c r="G53" s="1" t="s">
        <v>68</v>
      </c>
      <c r="H53" s="1" t="s">
        <v>95</v>
      </c>
      <c r="I53" s="1" t="s">
        <v>18</v>
      </c>
      <c r="J53" s="17">
        <v>0.5</v>
      </c>
      <c r="K53" s="1" t="s">
        <v>342</v>
      </c>
      <c r="L53" s="1" t="s">
        <v>158</v>
      </c>
      <c r="M53" s="1" t="s">
        <v>74</v>
      </c>
      <c r="N53" s="1" t="s">
        <v>131</v>
      </c>
      <c r="O53" s="1" t="s">
        <v>18</v>
      </c>
      <c r="P53" s="17">
        <v>10</v>
      </c>
      <c r="V53" s="17">
        <v>0</v>
      </c>
      <c r="W53" s="1" t="s">
        <v>388</v>
      </c>
      <c r="X53" s="1" t="s">
        <v>31</v>
      </c>
      <c r="Y53" s="1" t="s">
        <v>33</v>
      </c>
      <c r="Z53" s="1" t="s">
        <v>87</v>
      </c>
      <c r="AA53" s="1" t="s">
        <v>18</v>
      </c>
      <c r="AB53" s="17">
        <v>1</v>
      </c>
      <c r="AE53" s="1" t="s">
        <v>557</v>
      </c>
    </row>
    <row r="54" spans="1:31" x14ac:dyDescent="0.25">
      <c r="A54" s="1" t="s">
        <v>907</v>
      </c>
      <c r="B54" s="8">
        <v>43128</v>
      </c>
      <c r="C54" s="1" t="s">
        <v>490</v>
      </c>
      <c r="D54" s="1" t="s">
        <v>173</v>
      </c>
      <c r="E54" s="1" t="s">
        <v>242</v>
      </c>
      <c r="F54" s="1" t="s">
        <v>58</v>
      </c>
      <c r="G54" s="1" t="s">
        <v>68</v>
      </c>
      <c r="H54" s="1" t="s">
        <v>95</v>
      </c>
      <c r="I54" s="1" t="s">
        <v>18</v>
      </c>
      <c r="J54" s="17">
        <v>0.5</v>
      </c>
      <c r="K54" s="1" t="s">
        <v>346</v>
      </c>
      <c r="L54" s="1" t="s">
        <v>162</v>
      </c>
      <c r="M54" s="1" t="s">
        <v>12</v>
      </c>
      <c r="N54" s="1" t="s">
        <v>121</v>
      </c>
      <c r="O54" s="1" t="s">
        <v>18</v>
      </c>
      <c r="P54" s="17">
        <v>20</v>
      </c>
      <c r="Q54" s="1" t="s">
        <v>274</v>
      </c>
      <c r="R54" s="1" t="s">
        <v>15</v>
      </c>
      <c r="S54" s="1" t="s">
        <v>27</v>
      </c>
      <c r="T54" s="1" t="s">
        <v>13</v>
      </c>
      <c r="U54" s="1" t="s">
        <v>18</v>
      </c>
      <c r="V54" s="17">
        <v>1</v>
      </c>
      <c r="W54" s="1" t="s">
        <v>426</v>
      </c>
      <c r="X54" s="1" t="s">
        <v>124</v>
      </c>
      <c r="Y54" s="1" t="s">
        <v>33</v>
      </c>
      <c r="Z54" s="1" t="s">
        <v>57</v>
      </c>
      <c r="AA54" s="1" t="s">
        <v>18</v>
      </c>
      <c r="AB54" s="17">
        <v>133</v>
      </c>
      <c r="AE54" s="1" t="s">
        <v>557</v>
      </c>
    </row>
    <row r="55" spans="1:31" x14ac:dyDescent="0.25">
      <c r="A55" s="1" t="s">
        <v>908</v>
      </c>
      <c r="B55" s="8">
        <v>43129</v>
      </c>
      <c r="C55" s="1" t="s">
        <v>490</v>
      </c>
      <c r="D55" s="1" t="s">
        <v>173</v>
      </c>
      <c r="E55" s="1" t="s">
        <v>260</v>
      </c>
      <c r="F55" s="1" t="s">
        <v>104</v>
      </c>
      <c r="G55" s="1" t="s">
        <v>45</v>
      </c>
      <c r="H55" s="1" t="s">
        <v>99</v>
      </c>
      <c r="I55" s="1" t="s">
        <v>18</v>
      </c>
      <c r="J55" s="17">
        <v>1</v>
      </c>
      <c r="K55" s="1" t="s">
        <v>290</v>
      </c>
      <c r="L55" s="1" t="s">
        <v>59</v>
      </c>
      <c r="M55" s="1" t="s">
        <v>51</v>
      </c>
      <c r="N55" s="1" t="s">
        <v>40</v>
      </c>
      <c r="O55" s="1" t="s">
        <v>18</v>
      </c>
      <c r="P55" s="17">
        <v>0.5</v>
      </c>
      <c r="V55" s="17">
        <v>0</v>
      </c>
      <c r="W55" s="1" t="s">
        <v>390</v>
      </c>
      <c r="X55" s="1" t="s">
        <v>37</v>
      </c>
      <c r="Y55" s="1" t="s">
        <v>33</v>
      </c>
      <c r="Z55" s="1" t="s">
        <v>40</v>
      </c>
      <c r="AA55" s="1" t="s">
        <v>18</v>
      </c>
      <c r="AB55" s="17">
        <v>1</v>
      </c>
      <c r="AE55" s="1" t="s">
        <v>557</v>
      </c>
    </row>
    <row r="56" spans="1:31" x14ac:dyDescent="0.25">
      <c r="A56" s="1" t="s">
        <v>909</v>
      </c>
      <c r="B56" s="8">
        <v>43130</v>
      </c>
      <c r="C56" s="1" t="s">
        <v>490</v>
      </c>
      <c r="D56" s="1" t="s">
        <v>173</v>
      </c>
      <c r="E56" s="1" t="s">
        <v>260</v>
      </c>
      <c r="F56" s="1" t="s">
        <v>104</v>
      </c>
      <c r="G56" s="1" t="s">
        <v>45</v>
      </c>
      <c r="H56" s="1" t="s">
        <v>99</v>
      </c>
      <c r="I56" s="1" t="s">
        <v>18</v>
      </c>
      <c r="J56" s="17">
        <v>1</v>
      </c>
      <c r="K56" s="1" t="s">
        <v>290</v>
      </c>
      <c r="L56" s="1" t="s">
        <v>59</v>
      </c>
      <c r="M56" s="1" t="s">
        <v>51</v>
      </c>
      <c r="N56" s="1" t="s">
        <v>40</v>
      </c>
      <c r="O56" s="1" t="s">
        <v>18</v>
      </c>
      <c r="P56" s="17">
        <v>0.5</v>
      </c>
      <c r="V56" s="17">
        <v>0</v>
      </c>
      <c r="W56" s="1" t="s">
        <v>426</v>
      </c>
      <c r="X56" s="1" t="s">
        <v>124</v>
      </c>
      <c r="Y56" s="1" t="s">
        <v>33</v>
      </c>
      <c r="Z56" s="1" t="s">
        <v>57</v>
      </c>
      <c r="AA56" s="1" t="s">
        <v>18</v>
      </c>
      <c r="AB56" s="17">
        <v>133</v>
      </c>
      <c r="AE56" s="1" t="s">
        <v>557</v>
      </c>
    </row>
    <row r="57" spans="1:31" x14ac:dyDescent="0.25">
      <c r="A57" s="1" t="s">
        <v>910</v>
      </c>
      <c r="B57" s="8">
        <v>43131</v>
      </c>
      <c r="C57" s="1" t="s">
        <v>490</v>
      </c>
      <c r="D57" s="1" t="s">
        <v>173</v>
      </c>
      <c r="E57" s="1" t="s">
        <v>260</v>
      </c>
      <c r="F57" s="1" t="s">
        <v>104</v>
      </c>
      <c r="G57" s="1" t="s">
        <v>45</v>
      </c>
      <c r="H57" s="1" t="s">
        <v>99</v>
      </c>
      <c r="I57" s="1" t="s">
        <v>18</v>
      </c>
      <c r="J57" s="17">
        <v>1</v>
      </c>
      <c r="K57" s="1" t="s">
        <v>314</v>
      </c>
      <c r="L57" s="1" t="s">
        <v>112</v>
      </c>
      <c r="M57" s="1" t="s">
        <v>56</v>
      </c>
      <c r="N57" s="1" t="s">
        <v>40</v>
      </c>
      <c r="O57" s="1" t="s">
        <v>18</v>
      </c>
      <c r="P57" s="17">
        <v>0.5</v>
      </c>
      <c r="V57" s="17">
        <v>0</v>
      </c>
      <c r="W57" s="1" t="s">
        <v>390</v>
      </c>
      <c r="X57" s="1" t="s">
        <v>37</v>
      </c>
      <c r="Y57" s="1" t="s">
        <v>33</v>
      </c>
      <c r="Z57" s="1" t="s">
        <v>40</v>
      </c>
      <c r="AA57" s="1" t="s">
        <v>18</v>
      </c>
      <c r="AB57" s="17">
        <v>1</v>
      </c>
      <c r="AE57" s="1" t="s">
        <v>557</v>
      </c>
    </row>
    <row r="58" spans="1:31" ht="12.75" x14ac:dyDescent="0.2">
      <c r="A58" s="1" t="s">
        <v>1255</v>
      </c>
      <c r="B58" s="8">
        <v>43106</v>
      </c>
      <c r="C58" s="1" t="s">
        <v>490</v>
      </c>
      <c r="D58" s="1" t="s">
        <v>173</v>
      </c>
      <c r="J58" s="17">
        <v>0</v>
      </c>
      <c r="P58" s="17">
        <v>0</v>
      </c>
      <c r="V58" s="17">
        <v>0</v>
      </c>
      <c r="W58" s="1" t="s">
        <v>446</v>
      </c>
      <c r="X58" s="1" t="s">
        <v>154</v>
      </c>
      <c r="Y58" s="1" t="s">
        <v>62</v>
      </c>
      <c r="Z58" s="1" t="s">
        <v>111</v>
      </c>
      <c r="AA58" s="1" t="s">
        <v>25</v>
      </c>
      <c r="AB58" s="17">
        <v>1</v>
      </c>
      <c r="AE58" s="1" t="s">
        <v>569</v>
      </c>
    </row>
    <row r="59" spans="1:31" x14ac:dyDescent="0.25">
      <c r="A59" s="1" t="s">
        <v>1256</v>
      </c>
      <c r="B59" s="8">
        <v>43107</v>
      </c>
      <c r="C59" s="1" t="s">
        <v>490</v>
      </c>
      <c r="D59" s="1" t="s">
        <v>173</v>
      </c>
      <c r="J59" s="17">
        <v>0</v>
      </c>
      <c r="P59" s="17">
        <v>0</v>
      </c>
      <c r="V59" s="17">
        <v>0</v>
      </c>
      <c r="W59" s="1" t="s">
        <v>448</v>
      </c>
      <c r="X59" s="1" t="s">
        <v>102</v>
      </c>
      <c r="Y59" s="1" t="s">
        <v>62</v>
      </c>
      <c r="Z59" s="1" t="s">
        <v>140</v>
      </c>
      <c r="AA59" s="1" t="s">
        <v>25</v>
      </c>
      <c r="AB59" s="17">
        <v>1</v>
      </c>
      <c r="AE59" s="1" t="s">
        <v>569</v>
      </c>
    </row>
    <row r="60" spans="1:31" ht="12.75" x14ac:dyDescent="0.2">
      <c r="A60" s="1" t="s">
        <v>1257</v>
      </c>
      <c r="B60" s="8">
        <v>43113</v>
      </c>
      <c r="C60" s="1" t="s">
        <v>490</v>
      </c>
      <c r="D60" s="1" t="s">
        <v>173</v>
      </c>
      <c r="J60" s="17">
        <v>0</v>
      </c>
      <c r="P60" s="17">
        <v>0</v>
      </c>
      <c r="V60" s="17">
        <v>0</v>
      </c>
      <c r="W60" s="1" t="s">
        <v>450</v>
      </c>
      <c r="X60" s="1" t="s">
        <v>157</v>
      </c>
      <c r="Y60" s="1" t="s">
        <v>62</v>
      </c>
      <c r="Z60" s="1" t="s">
        <v>111</v>
      </c>
      <c r="AA60" s="1" t="s">
        <v>25</v>
      </c>
      <c r="AB60" s="17">
        <v>1</v>
      </c>
      <c r="AE60" s="1" t="s">
        <v>569</v>
      </c>
    </row>
    <row r="61" spans="1:31" ht="12.75" x14ac:dyDescent="0.2">
      <c r="A61" s="1" t="s">
        <v>1258</v>
      </c>
      <c r="B61" s="8">
        <v>43114</v>
      </c>
      <c r="C61" s="1" t="s">
        <v>490</v>
      </c>
      <c r="D61" s="1" t="s">
        <v>173</v>
      </c>
      <c r="J61" s="17">
        <v>0</v>
      </c>
      <c r="P61" s="17">
        <v>0</v>
      </c>
      <c r="V61" s="17">
        <v>0</v>
      </c>
      <c r="W61" s="1" t="s">
        <v>452</v>
      </c>
      <c r="X61" s="1" t="s">
        <v>159</v>
      </c>
      <c r="Y61" s="1" t="s">
        <v>62</v>
      </c>
      <c r="Z61" s="1" t="s">
        <v>111</v>
      </c>
      <c r="AA61" s="1" t="s">
        <v>25</v>
      </c>
      <c r="AB61" s="17">
        <v>1</v>
      </c>
      <c r="AE61" s="1" t="s">
        <v>569</v>
      </c>
    </row>
    <row r="62" spans="1:31" ht="12.75" x14ac:dyDescent="0.2">
      <c r="A62" s="1" t="s">
        <v>1259</v>
      </c>
      <c r="B62" s="8">
        <v>43120</v>
      </c>
      <c r="C62" s="1" t="s">
        <v>490</v>
      </c>
      <c r="D62" s="1" t="s">
        <v>173</v>
      </c>
      <c r="J62" s="17">
        <v>0</v>
      </c>
      <c r="P62" s="17">
        <v>0</v>
      </c>
      <c r="V62" s="17">
        <v>0</v>
      </c>
      <c r="W62" s="1" t="s">
        <v>440</v>
      </c>
      <c r="X62" s="1" t="s">
        <v>145</v>
      </c>
      <c r="Y62" s="1" t="s">
        <v>62</v>
      </c>
      <c r="Z62" s="1" t="s">
        <v>111</v>
      </c>
      <c r="AA62" s="1" t="s">
        <v>25</v>
      </c>
      <c r="AB62" s="17">
        <v>1</v>
      </c>
      <c r="AE62" s="1" t="s">
        <v>569</v>
      </c>
    </row>
    <row r="63" spans="1:31" x14ac:dyDescent="0.25">
      <c r="A63" s="1" t="s">
        <v>1260</v>
      </c>
      <c r="B63" s="8">
        <v>43121</v>
      </c>
      <c r="C63" s="1" t="s">
        <v>490</v>
      </c>
      <c r="D63" s="1" t="s">
        <v>173</v>
      </c>
      <c r="J63" s="17">
        <v>0</v>
      </c>
      <c r="P63" s="17">
        <v>0</v>
      </c>
      <c r="V63" s="17">
        <v>0</v>
      </c>
      <c r="W63" s="1" t="s">
        <v>442</v>
      </c>
      <c r="X63" s="1" t="s">
        <v>148</v>
      </c>
      <c r="Y63" s="1" t="s">
        <v>62</v>
      </c>
      <c r="Z63" s="1" t="s">
        <v>111</v>
      </c>
      <c r="AA63" s="1" t="s">
        <v>25</v>
      </c>
      <c r="AB63" s="17">
        <v>1</v>
      </c>
      <c r="AE63" s="1" t="s">
        <v>569</v>
      </c>
    </row>
    <row r="64" spans="1:31" ht="12.75" x14ac:dyDescent="0.2">
      <c r="A64" s="1" t="s">
        <v>1262</v>
      </c>
      <c r="B64" s="8">
        <v>43127</v>
      </c>
      <c r="C64" s="1" t="s">
        <v>490</v>
      </c>
      <c r="D64" s="1" t="s">
        <v>173</v>
      </c>
      <c r="J64" s="17">
        <v>0</v>
      </c>
      <c r="P64" s="17">
        <v>0</v>
      </c>
      <c r="V64" s="17">
        <v>0</v>
      </c>
      <c r="W64" s="1" t="s">
        <v>444</v>
      </c>
      <c r="X64" s="1" t="s">
        <v>151</v>
      </c>
      <c r="Y64" s="1" t="s">
        <v>62</v>
      </c>
      <c r="Z64" s="1" t="s">
        <v>111</v>
      </c>
      <c r="AA64" s="1" t="s">
        <v>25</v>
      </c>
      <c r="AB64" s="17">
        <v>1</v>
      </c>
      <c r="AE64" s="1" t="s">
        <v>569</v>
      </c>
    </row>
    <row r="65" spans="1:31" ht="12.75" x14ac:dyDescent="0.2">
      <c r="A65" s="1" t="s">
        <v>1261</v>
      </c>
      <c r="B65" s="8">
        <v>43128</v>
      </c>
      <c r="C65" s="1" t="s">
        <v>490</v>
      </c>
      <c r="D65" s="1" t="s">
        <v>173</v>
      </c>
      <c r="J65" s="17">
        <v>0</v>
      </c>
      <c r="P65" s="17">
        <v>0</v>
      </c>
      <c r="V65" s="17">
        <v>0</v>
      </c>
      <c r="W65" s="1" t="s">
        <v>446</v>
      </c>
      <c r="X65" s="1" t="s">
        <v>154</v>
      </c>
      <c r="Y65" s="1" t="s">
        <v>62</v>
      </c>
      <c r="Z65" s="1" t="s">
        <v>111</v>
      </c>
      <c r="AA65" s="1" t="s">
        <v>25</v>
      </c>
      <c r="AB65" s="17">
        <v>1</v>
      </c>
      <c r="AE65" s="1" t="s">
        <v>569</v>
      </c>
    </row>
    <row r="66" spans="1:31" ht="12.75" x14ac:dyDescent="0.2">
      <c r="B66" s="8"/>
      <c r="J66" s="17"/>
      <c r="V66" s="17"/>
      <c r="AB66" s="17"/>
    </row>
    <row r="67" spans="1:31" ht="12.75" x14ac:dyDescent="0.2">
      <c r="B67" s="8"/>
      <c r="J67" s="17"/>
      <c r="V67" s="17"/>
      <c r="AB67" s="17"/>
    </row>
    <row r="68" spans="1:31" ht="12.75" x14ac:dyDescent="0.2">
      <c r="B68" s="8"/>
      <c r="J68" s="17"/>
      <c r="V68" s="17"/>
      <c r="AB68" s="17"/>
    </row>
    <row r="69" spans="1:31" ht="12.75" x14ac:dyDescent="0.2">
      <c r="B69" s="8"/>
      <c r="J69" s="17"/>
      <c r="V69" s="17"/>
      <c r="AB69" s="17"/>
    </row>
    <row r="70" spans="1:31" ht="12.75" x14ac:dyDescent="0.2">
      <c r="B70" s="8"/>
      <c r="J70" s="17"/>
      <c r="V70" s="17"/>
      <c r="AB70" s="17"/>
    </row>
    <row r="71" spans="1:31" ht="12.75" x14ac:dyDescent="0.2">
      <c r="B71" s="8"/>
      <c r="J71" s="17"/>
      <c r="V71" s="17"/>
      <c r="AB71" s="17"/>
    </row>
    <row r="72" spans="1:31" ht="12.75" x14ac:dyDescent="0.2">
      <c r="B72" s="8"/>
      <c r="J72" s="17"/>
      <c r="V72" s="17"/>
      <c r="AB72" s="17"/>
    </row>
    <row r="73" spans="1:31" ht="12.75" x14ac:dyDescent="0.2">
      <c r="B73" s="8"/>
      <c r="J73" s="17"/>
      <c r="V73" s="17"/>
      <c r="AB73" s="17"/>
    </row>
    <row r="74" spans="1:31" x14ac:dyDescent="0.25">
      <c r="B74" s="8"/>
      <c r="J74" s="17"/>
      <c r="V74" s="17"/>
      <c r="AB74" s="17"/>
    </row>
    <row r="75" spans="1:31" x14ac:dyDescent="0.25">
      <c r="B75" s="8"/>
      <c r="J75" s="17"/>
      <c r="V75" s="17"/>
      <c r="AB75" s="17"/>
    </row>
    <row r="76" spans="1:31" x14ac:dyDescent="0.25">
      <c r="B76" s="8"/>
      <c r="J76" s="17"/>
      <c r="V76" s="17"/>
      <c r="AB76" s="17"/>
    </row>
    <row r="77" spans="1:31" x14ac:dyDescent="0.25">
      <c r="B77" s="8"/>
      <c r="J77" s="17"/>
      <c r="V77" s="17"/>
      <c r="AB77" s="17"/>
    </row>
    <row r="78" spans="1:31" x14ac:dyDescent="0.25">
      <c r="B78" s="8"/>
      <c r="J78" s="17"/>
      <c r="V78" s="17"/>
      <c r="AB78" s="17"/>
    </row>
    <row r="79" spans="1:31" x14ac:dyDescent="0.25">
      <c r="B79" s="8"/>
      <c r="J79" s="17"/>
      <c r="V79" s="17"/>
      <c r="AB79" s="17"/>
    </row>
    <row r="80" spans="1:31" x14ac:dyDescent="0.25">
      <c r="B80" s="8"/>
      <c r="J80" s="17"/>
      <c r="V80" s="17"/>
      <c r="AB80" s="17"/>
    </row>
    <row r="81" spans="2:28" x14ac:dyDescent="0.25">
      <c r="B81" s="8"/>
      <c r="J81" s="17"/>
      <c r="V81" s="17"/>
      <c r="AB81" s="17"/>
    </row>
    <row r="82" spans="2:28" x14ac:dyDescent="0.25">
      <c r="B82" s="8"/>
      <c r="J82" s="17"/>
      <c r="V82" s="17"/>
      <c r="AB82" s="17"/>
    </row>
    <row r="83" spans="2:28" x14ac:dyDescent="0.25">
      <c r="B83" s="8"/>
      <c r="J83" s="17"/>
      <c r="V83" s="17"/>
      <c r="AB83" s="17"/>
    </row>
    <row r="84" spans="2:28" x14ac:dyDescent="0.25">
      <c r="B84" s="8"/>
      <c r="J84" s="17"/>
      <c r="V84" s="17"/>
      <c r="AB84" s="17"/>
    </row>
    <row r="85" spans="2:28" x14ac:dyDescent="0.25">
      <c r="B85" s="8"/>
      <c r="J85" s="17"/>
      <c r="V85" s="17"/>
      <c r="AB85" s="17"/>
    </row>
    <row r="86" spans="2:28" x14ac:dyDescent="0.25">
      <c r="B86" s="8"/>
      <c r="J86" s="17"/>
      <c r="V86" s="17"/>
      <c r="AB86" s="17"/>
    </row>
    <row r="87" spans="2:28" x14ac:dyDescent="0.25">
      <c r="B87" s="8"/>
      <c r="J87" s="17"/>
      <c r="V87" s="17"/>
      <c r="AB87" s="17"/>
    </row>
    <row r="88" spans="2:28" x14ac:dyDescent="0.25">
      <c r="B88" s="8"/>
      <c r="J88" s="17"/>
      <c r="V88" s="17"/>
      <c r="AB88" s="17"/>
    </row>
    <row r="89" spans="2:28" x14ac:dyDescent="0.25">
      <c r="B89" s="8"/>
      <c r="J89" s="17"/>
      <c r="V89" s="17"/>
      <c r="AB89" s="17"/>
    </row>
    <row r="90" spans="2:28" x14ac:dyDescent="0.25">
      <c r="B90" s="8"/>
      <c r="J90" s="17"/>
      <c r="V90" s="17"/>
      <c r="AB90" s="17"/>
    </row>
    <row r="91" spans="2:28" x14ac:dyDescent="0.25">
      <c r="B91" s="8"/>
      <c r="J91" s="17"/>
      <c r="V91" s="17"/>
      <c r="AB91" s="17"/>
    </row>
    <row r="92" spans="2:28" x14ac:dyDescent="0.25">
      <c r="B92" s="8"/>
      <c r="J92" s="17"/>
      <c r="V92" s="17"/>
      <c r="AB92" s="17"/>
    </row>
    <row r="93" spans="2:28" x14ac:dyDescent="0.25">
      <c r="B93" s="8"/>
      <c r="J93" s="17"/>
      <c r="V93" s="17"/>
      <c r="AB93" s="17"/>
    </row>
    <row r="94" spans="2:28" x14ac:dyDescent="0.25">
      <c r="B94" s="8"/>
      <c r="J94" s="17"/>
      <c r="V94" s="17"/>
      <c r="AB94" s="17"/>
    </row>
    <row r="95" spans="2:28" x14ac:dyDescent="0.25">
      <c r="B95" s="8"/>
      <c r="J95" s="17"/>
      <c r="V95" s="17"/>
      <c r="AB95" s="17"/>
    </row>
    <row r="96" spans="2:28" x14ac:dyDescent="0.25">
      <c r="B96" s="8"/>
      <c r="J96" s="17"/>
      <c r="V96" s="17"/>
      <c r="AB96" s="17"/>
    </row>
    <row r="97" spans="2:28" x14ac:dyDescent="0.25">
      <c r="B97" s="8"/>
      <c r="J97" s="17"/>
      <c r="V97" s="17"/>
      <c r="AB97" s="17"/>
    </row>
    <row r="98" spans="2:28" x14ac:dyDescent="0.25">
      <c r="B98" s="8"/>
      <c r="J98" s="17"/>
      <c r="V98" s="17"/>
      <c r="AB98" s="17"/>
    </row>
    <row r="99" spans="2:28" x14ac:dyDescent="0.25">
      <c r="B99" s="8"/>
      <c r="J99" s="17"/>
      <c r="V99" s="17"/>
      <c r="AB99" s="17"/>
    </row>
    <row r="100" spans="2:28" x14ac:dyDescent="0.25">
      <c r="B100" s="8"/>
      <c r="J100" s="17"/>
      <c r="V100" s="17"/>
      <c r="AB100" s="17"/>
    </row>
    <row r="101" spans="2:28" x14ac:dyDescent="0.25">
      <c r="B101" s="8"/>
      <c r="J101" s="17"/>
      <c r="V101" s="17"/>
      <c r="AB101" s="17"/>
    </row>
    <row r="102" spans="2:28" x14ac:dyDescent="0.25">
      <c r="B102" s="8"/>
      <c r="J102" s="17"/>
      <c r="V102" s="17"/>
      <c r="AB102" s="17"/>
    </row>
    <row r="103" spans="2:28" x14ac:dyDescent="0.25">
      <c r="B103" s="8"/>
      <c r="J103" s="17"/>
      <c r="V103" s="17"/>
      <c r="AB103" s="17"/>
    </row>
    <row r="104" spans="2:28" x14ac:dyDescent="0.25">
      <c r="B104" s="8"/>
      <c r="J104" s="17"/>
      <c r="V104" s="17"/>
      <c r="AB104" s="17"/>
    </row>
    <row r="105" spans="2:28" x14ac:dyDescent="0.25">
      <c r="B105" s="8"/>
      <c r="J105" s="17"/>
      <c r="V105" s="17"/>
      <c r="AB105" s="17"/>
    </row>
    <row r="106" spans="2:28" x14ac:dyDescent="0.25">
      <c r="B106" s="8"/>
      <c r="J106" s="17"/>
      <c r="V106" s="17"/>
      <c r="AB106" s="17"/>
    </row>
    <row r="107" spans="2:28" x14ac:dyDescent="0.25">
      <c r="B107" s="8"/>
      <c r="J107" s="17"/>
      <c r="V107" s="17"/>
      <c r="AB107" s="17"/>
    </row>
    <row r="108" spans="2:28" x14ac:dyDescent="0.25">
      <c r="B108" s="8"/>
      <c r="J108" s="17"/>
      <c r="V108" s="17"/>
      <c r="AB108" s="17"/>
    </row>
    <row r="109" spans="2:28" x14ac:dyDescent="0.25">
      <c r="B109" s="8"/>
      <c r="J109" s="17"/>
      <c r="V109" s="17"/>
      <c r="AB109" s="17"/>
    </row>
    <row r="110" spans="2:28" x14ac:dyDescent="0.25">
      <c r="B110" s="8"/>
      <c r="J110" s="17"/>
      <c r="V110" s="17"/>
      <c r="AB110" s="17"/>
    </row>
    <row r="111" spans="2:28" x14ac:dyDescent="0.25">
      <c r="B111" s="8"/>
      <c r="J111" s="17"/>
      <c r="V111" s="17"/>
      <c r="AB111" s="17"/>
    </row>
    <row r="112" spans="2:28" x14ac:dyDescent="0.25">
      <c r="B112" s="8"/>
      <c r="J112" s="17"/>
      <c r="V112" s="17"/>
      <c r="AB112" s="17"/>
    </row>
    <row r="113" spans="2:28" x14ac:dyDescent="0.25">
      <c r="B113" s="8"/>
      <c r="J113" s="17"/>
      <c r="V113" s="17"/>
      <c r="AB113" s="17"/>
    </row>
    <row r="114" spans="2:28" x14ac:dyDescent="0.25">
      <c r="B114" s="8"/>
      <c r="J114" s="17"/>
      <c r="V114" s="17"/>
      <c r="AB114" s="17"/>
    </row>
    <row r="115" spans="2:28" x14ac:dyDescent="0.25">
      <c r="B115" s="8"/>
      <c r="J115" s="17"/>
      <c r="V115" s="17"/>
      <c r="AB115" s="17"/>
    </row>
    <row r="116" spans="2:28" x14ac:dyDescent="0.25">
      <c r="B116" s="8"/>
      <c r="J116" s="17"/>
      <c r="V116" s="17"/>
      <c r="AB116" s="17"/>
    </row>
    <row r="117" spans="2:28" x14ac:dyDescent="0.25">
      <c r="B117" s="8"/>
      <c r="J117" s="17"/>
      <c r="V117" s="17"/>
      <c r="AB117" s="17"/>
    </row>
    <row r="118" spans="2:28" x14ac:dyDescent="0.25">
      <c r="B118" s="8"/>
      <c r="J118" s="17"/>
      <c r="V118" s="17"/>
      <c r="AB118" s="17"/>
    </row>
    <row r="119" spans="2:28" x14ac:dyDescent="0.25">
      <c r="B119" s="8"/>
      <c r="J119" s="17"/>
      <c r="V119" s="17"/>
      <c r="AB119" s="17"/>
    </row>
    <row r="120" spans="2:28" x14ac:dyDescent="0.25">
      <c r="B120" s="8"/>
      <c r="J120" s="17"/>
      <c r="V120" s="17"/>
      <c r="AB120" s="17"/>
    </row>
    <row r="121" spans="2:28" x14ac:dyDescent="0.25">
      <c r="B121" s="8"/>
      <c r="J121" s="17"/>
      <c r="V121" s="17"/>
      <c r="AB121" s="17"/>
    </row>
    <row r="122" spans="2:28" x14ac:dyDescent="0.25">
      <c r="B122" s="8"/>
      <c r="J122" s="17"/>
      <c r="V122" s="17"/>
      <c r="AB122" s="17"/>
    </row>
    <row r="123" spans="2:28" x14ac:dyDescent="0.25">
      <c r="B123" s="8"/>
      <c r="J123" s="17"/>
      <c r="V123" s="17"/>
      <c r="AB123" s="17"/>
    </row>
    <row r="124" spans="2:28" x14ac:dyDescent="0.25">
      <c r="B124" s="8"/>
      <c r="J124" s="17"/>
      <c r="V124" s="17"/>
      <c r="AB124" s="17"/>
    </row>
    <row r="125" spans="2:28" x14ac:dyDescent="0.25">
      <c r="B125" s="8"/>
      <c r="J125" s="17"/>
      <c r="V125" s="17"/>
      <c r="AB125" s="17"/>
    </row>
    <row r="126" spans="2:28" x14ac:dyDescent="0.25">
      <c r="B126" s="8"/>
      <c r="J126" s="17"/>
      <c r="V126" s="17"/>
      <c r="AB126" s="17"/>
    </row>
    <row r="127" spans="2:28" x14ac:dyDescent="0.25">
      <c r="B127" s="8"/>
      <c r="J127" s="17"/>
      <c r="V127" s="17"/>
      <c r="AB127" s="17"/>
    </row>
    <row r="128" spans="2:28" x14ac:dyDescent="0.25">
      <c r="B128" s="8"/>
      <c r="J128" s="17"/>
      <c r="V128" s="17"/>
      <c r="AB128" s="17"/>
    </row>
    <row r="129" spans="2:28" x14ac:dyDescent="0.25">
      <c r="B129" s="8"/>
      <c r="J129" s="17"/>
      <c r="V129" s="17"/>
      <c r="AB129" s="17"/>
    </row>
    <row r="130" spans="2:28" x14ac:dyDescent="0.25">
      <c r="B130" s="8"/>
      <c r="J130" s="17"/>
      <c r="V130" s="17"/>
      <c r="AB130" s="17"/>
    </row>
    <row r="131" spans="2:28" x14ac:dyDescent="0.25">
      <c r="B131" s="8"/>
      <c r="J131" s="17"/>
      <c r="V131" s="17"/>
      <c r="AB131" s="17"/>
    </row>
    <row r="132" spans="2:28" x14ac:dyDescent="0.25">
      <c r="B132" s="8"/>
      <c r="J132" s="17"/>
      <c r="V132" s="17"/>
      <c r="AB132" s="17"/>
    </row>
    <row r="133" spans="2:28" x14ac:dyDescent="0.25">
      <c r="B133" s="8"/>
      <c r="J133" s="17"/>
      <c r="V133" s="17"/>
      <c r="AB133" s="17"/>
    </row>
    <row r="134" spans="2:28" x14ac:dyDescent="0.25">
      <c r="B134" s="8"/>
      <c r="J134" s="17"/>
      <c r="V134" s="17"/>
      <c r="AB134" s="17"/>
    </row>
    <row r="135" spans="2:28" x14ac:dyDescent="0.25">
      <c r="B135" s="8"/>
      <c r="J135" s="17"/>
      <c r="V135" s="17"/>
      <c r="AB135" s="17"/>
    </row>
    <row r="136" spans="2:28" x14ac:dyDescent="0.25">
      <c r="B136" s="8"/>
      <c r="J136" s="17"/>
      <c r="V136" s="17"/>
      <c r="AB136" s="17"/>
    </row>
    <row r="137" spans="2:28" x14ac:dyDescent="0.25">
      <c r="B137" s="8"/>
      <c r="J137" s="17"/>
      <c r="V137" s="17"/>
      <c r="AB137" s="17"/>
    </row>
    <row r="138" spans="2:28" x14ac:dyDescent="0.25">
      <c r="B138" s="8"/>
      <c r="J138" s="17"/>
      <c r="V138" s="17"/>
      <c r="AB138" s="17"/>
    </row>
    <row r="139" spans="2:28" x14ac:dyDescent="0.25">
      <c r="B139" s="8"/>
      <c r="J139" s="17"/>
      <c r="V139" s="17"/>
      <c r="AB139" s="17"/>
    </row>
    <row r="140" spans="2:28" x14ac:dyDescent="0.25">
      <c r="B140" s="8"/>
      <c r="J140" s="17"/>
      <c r="V140" s="17"/>
      <c r="AB140" s="17"/>
    </row>
    <row r="141" spans="2:28" x14ac:dyDescent="0.25">
      <c r="B141" s="8"/>
      <c r="J141" s="17"/>
      <c r="V141" s="17"/>
      <c r="AB141" s="17"/>
    </row>
    <row r="142" spans="2:28" x14ac:dyDescent="0.25">
      <c r="B142" s="8"/>
      <c r="J142" s="17"/>
      <c r="V142" s="17"/>
      <c r="AB142" s="17"/>
    </row>
    <row r="143" spans="2:28" x14ac:dyDescent="0.25">
      <c r="B143" s="8"/>
      <c r="J143" s="17"/>
      <c r="V143" s="17"/>
      <c r="AB143" s="17"/>
    </row>
    <row r="144" spans="2:28" x14ac:dyDescent="0.25">
      <c r="B144" s="8"/>
      <c r="J144" s="17"/>
      <c r="V144" s="17"/>
      <c r="AB144" s="17"/>
    </row>
    <row r="145" spans="2:28" x14ac:dyDescent="0.25">
      <c r="B145" s="8"/>
      <c r="J145" s="17"/>
      <c r="V145" s="17"/>
      <c r="AB145" s="17"/>
    </row>
    <row r="146" spans="2:28" x14ac:dyDescent="0.25">
      <c r="B146" s="8"/>
      <c r="J146" s="17"/>
      <c r="V146" s="17"/>
      <c r="AB146" s="17"/>
    </row>
    <row r="147" spans="2:28" x14ac:dyDescent="0.25">
      <c r="B147" s="8"/>
      <c r="J147" s="17"/>
      <c r="V147" s="17"/>
      <c r="AB147" s="17"/>
    </row>
    <row r="148" spans="2:28" x14ac:dyDescent="0.25">
      <c r="B148" s="8"/>
      <c r="J148" s="17"/>
      <c r="V148" s="17"/>
      <c r="AB148" s="17"/>
    </row>
    <row r="149" spans="2:28" x14ac:dyDescent="0.25">
      <c r="B149" s="8"/>
      <c r="J149" s="17"/>
      <c r="V149" s="17"/>
      <c r="AB149" s="17"/>
    </row>
    <row r="150" spans="2:28" x14ac:dyDescent="0.25">
      <c r="B150" s="8"/>
      <c r="J150" s="17"/>
      <c r="V150" s="17"/>
      <c r="AB150" s="17"/>
    </row>
    <row r="151" spans="2:28" x14ac:dyDescent="0.25">
      <c r="B151" s="8"/>
      <c r="J151" s="17"/>
      <c r="V151" s="17"/>
      <c r="AB151" s="17"/>
    </row>
    <row r="152" spans="2:28" x14ac:dyDescent="0.25">
      <c r="B152" s="8"/>
      <c r="J152" s="17"/>
      <c r="V152" s="17"/>
      <c r="AB152" s="17"/>
    </row>
    <row r="153" spans="2:28" x14ac:dyDescent="0.25">
      <c r="B153" s="8"/>
      <c r="J153" s="17"/>
      <c r="V153" s="17"/>
      <c r="AB153" s="17"/>
    </row>
    <row r="154" spans="2:28" x14ac:dyDescent="0.25">
      <c r="B154" s="8"/>
      <c r="J154" s="17"/>
      <c r="V154" s="17"/>
      <c r="AB154" s="17"/>
    </row>
    <row r="155" spans="2:28" x14ac:dyDescent="0.25">
      <c r="B155" s="8"/>
      <c r="J155" s="17"/>
      <c r="V155" s="17"/>
      <c r="AB155" s="17"/>
    </row>
    <row r="156" spans="2:28" x14ac:dyDescent="0.25">
      <c r="B156" s="8"/>
      <c r="J156" s="17"/>
      <c r="V156" s="17"/>
      <c r="AB156" s="17"/>
    </row>
    <row r="157" spans="2:28" x14ac:dyDescent="0.25">
      <c r="B157" s="8"/>
      <c r="J157" s="17"/>
      <c r="V157" s="17"/>
      <c r="AB157" s="17"/>
    </row>
    <row r="158" spans="2:28" x14ac:dyDescent="0.25">
      <c r="B158" s="8"/>
      <c r="J158" s="17"/>
      <c r="V158" s="17"/>
      <c r="AB158" s="17"/>
    </row>
    <row r="159" spans="2:28" x14ac:dyDescent="0.25">
      <c r="B159" s="8"/>
      <c r="J159" s="17"/>
      <c r="V159" s="17"/>
      <c r="AB159" s="17"/>
    </row>
    <row r="160" spans="2:28" x14ac:dyDescent="0.25">
      <c r="B160" s="8"/>
      <c r="J160" s="17"/>
      <c r="V160" s="17"/>
      <c r="AB160" s="17"/>
    </row>
    <row r="161" spans="2:28" x14ac:dyDescent="0.25">
      <c r="B161" s="8"/>
      <c r="J161" s="17"/>
      <c r="V161" s="17"/>
      <c r="AB161" s="17"/>
    </row>
    <row r="162" spans="2:28" x14ac:dyDescent="0.25">
      <c r="B162" s="8"/>
      <c r="J162" s="17"/>
      <c r="V162" s="17"/>
      <c r="AB162" s="17"/>
    </row>
    <row r="163" spans="2:28" x14ac:dyDescent="0.25">
      <c r="B163" s="8"/>
      <c r="J163" s="17"/>
      <c r="V163" s="17"/>
      <c r="AB163" s="17"/>
    </row>
    <row r="164" spans="2:28" x14ac:dyDescent="0.25">
      <c r="B164" s="8"/>
      <c r="J164" s="17"/>
      <c r="V164" s="17"/>
      <c r="AB164" s="17"/>
    </row>
    <row r="165" spans="2:28" x14ac:dyDescent="0.25">
      <c r="B165" s="8"/>
      <c r="J165" s="17"/>
      <c r="V165" s="17"/>
      <c r="AB165" s="17"/>
    </row>
    <row r="166" spans="2:28" x14ac:dyDescent="0.25">
      <c r="B166" s="8"/>
      <c r="J166" s="17"/>
      <c r="V166" s="17"/>
      <c r="AB166" s="17"/>
    </row>
    <row r="167" spans="2:28" x14ac:dyDescent="0.25">
      <c r="B167" s="8"/>
      <c r="J167" s="17"/>
      <c r="V167" s="17"/>
      <c r="AB167" s="17"/>
    </row>
    <row r="168" spans="2:28" x14ac:dyDescent="0.25">
      <c r="B168" s="8"/>
      <c r="J168" s="17"/>
      <c r="V168" s="17"/>
      <c r="AB168" s="17"/>
    </row>
    <row r="169" spans="2:28" x14ac:dyDescent="0.25">
      <c r="B169" s="8"/>
      <c r="J169" s="17"/>
      <c r="V169" s="17"/>
      <c r="AB169" s="17"/>
    </row>
    <row r="170" spans="2:28" x14ac:dyDescent="0.25">
      <c r="B170" s="8"/>
      <c r="J170" s="17"/>
      <c r="V170" s="17"/>
      <c r="AB170" s="17"/>
    </row>
    <row r="171" spans="2:28" x14ac:dyDescent="0.25">
      <c r="B171" s="8"/>
      <c r="J171" s="17"/>
      <c r="V171" s="17"/>
      <c r="AB171" s="17"/>
    </row>
    <row r="172" spans="2:28" x14ac:dyDescent="0.25">
      <c r="B172" s="8"/>
      <c r="J172" s="17"/>
      <c r="V172" s="17"/>
      <c r="AB172" s="17"/>
    </row>
    <row r="173" spans="2:28" x14ac:dyDescent="0.25">
      <c r="B173" s="8"/>
      <c r="J173" s="17"/>
      <c r="V173" s="17"/>
      <c r="AB173" s="17"/>
    </row>
    <row r="174" spans="2:28" x14ac:dyDescent="0.25">
      <c r="B174" s="8"/>
      <c r="J174" s="17"/>
      <c r="V174" s="17"/>
      <c r="AB174" s="17"/>
    </row>
    <row r="175" spans="2:28" x14ac:dyDescent="0.25">
      <c r="B175" s="8"/>
      <c r="J175" s="17"/>
      <c r="V175" s="17"/>
      <c r="AB175" s="17"/>
    </row>
    <row r="176" spans="2:28" x14ac:dyDescent="0.25">
      <c r="B176" s="8"/>
      <c r="J176" s="17"/>
      <c r="V176" s="17"/>
      <c r="AB176" s="17"/>
    </row>
    <row r="177" spans="2:28" x14ac:dyDescent="0.25">
      <c r="B177" s="8"/>
      <c r="J177" s="17"/>
      <c r="V177" s="17"/>
      <c r="AB177" s="17"/>
    </row>
    <row r="178" spans="2:28" x14ac:dyDescent="0.25">
      <c r="B178" s="8"/>
      <c r="J178" s="17"/>
      <c r="V178" s="17"/>
      <c r="AB178" s="17"/>
    </row>
    <row r="179" spans="2:28" x14ac:dyDescent="0.25">
      <c r="B179" s="8"/>
      <c r="J179" s="17"/>
      <c r="V179" s="17"/>
      <c r="AB179" s="17"/>
    </row>
    <row r="180" spans="2:28" x14ac:dyDescent="0.25">
      <c r="B180" s="8"/>
      <c r="J180" s="17"/>
      <c r="V180" s="17"/>
      <c r="AB180" s="17"/>
    </row>
    <row r="181" spans="2:28" x14ac:dyDescent="0.25">
      <c r="B181" s="8"/>
      <c r="J181" s="17"/>
      <c r="V181" s="17"/>
      <c r="AB181" s="17"/>
    </row>
    <row r="182" spans="2:28" x14ac:dyDescent="0.25">
      <c r="B182" s="8"/>
      <c r="J182" s="17"/>
      <c r="V182" s="17"/>
      <c r="AB182" s="17"/>
    </row>
    <row r="183" spans="2:28" x14ac:dyDescent="0.25">
      <c r="B183" s="8"/>
      <c r="J183" s="17"/>
      <c r="V183" s="17"/>
      <c r="AB183" s="17"/>
    </row>
    <row r="184" spans="2:28" x14ac:dyDescent="0.25">
      <c r="B184" s="8"/>
      <c r="J184" s="17"/>
      <c r="V184" s="17"/>
      <c r="AB184" s="17"/>
    </row>
    <row r="185" spans="2:28" x14ac:dyDescent="0.25">
      <c r="B185" s="8"/>
      <c r="J185" s="17"/>
      <c r="V185" s="17"/>
      <c r="AB185" s="17"/>
    </row>
    <row r="186" spans="2:28" x14ac:dyDescent="0.25">
      <c r="B186" s="8"/>
      <c r="J186" s="17"/>
      <c r="V186" s="17"/>
      <c r="AB186" s="17"/>
    </row>
    <row r="187" spans="2:28" x14ac:dyDescent="0.25">
      <c r="B187" s="8"/>
      <c r="J187" s="17"/>
      <c r="V187" s="17"/>
      <c r="AB187" s="17"/>
    </row>
    <row r="188" spans="2:28" x14ac:dyDescent="0.25">
      <c r="B188" s="8"/>
      <c r="J188" s="17"/>
      <c r="V188" s="17"/>
      <c r="AB188" s="17"/>
    </row>
    <row r="189" spans="2:28" x14ac:dyDescent="0.25">
      <c r="B189" s="8"/>
      <c r="J189" s="17"/>
      <c r="V189" s="17"/>
      <c r="AB189" s="17"/>
    </row>
    <row r="190" spans="2:28" x14ac:dyDescent="0.25">
      <c r="B190" s="8"/>
      <c r="J190" s="17"/>
      <c r="V190" s="17"/>
      <c r="AB190" s="17"/>
    </row>
    <row r="191" spans="2:28" x14ac:dyDescent="0.25">
      <c r="B191" s="8"/>
      <c r="J191" s="17"/>
      <c r="V191" s="17"/>
      <c r="AB191" s="17"/>
    </row>
    <row r="192" spans="2:28" x14ac:dyDescent="0.25">
      <c r="B192" s="8"/>
      <c r="J192" s="17"/>
      <c r="V192" s="17"/>
      <c r="AB192" s="17"/>
    </row>
    <row r="193" spans="2:28" x14ac:dyDescent="0.25">
      <c r="B193" s="8"/>
      <c r="J193" s="17"/>
      <c r="V193" s="17"/>
      <c r="AB193" s="17"/>
    </row>
    <row r="194" spans="2:28" x14ac:dyDescent="0.25">
      <c r="B194" s="8"/>
      <c r="J194" s="17"/>
      <c r="V194" s="17"/>
      <c r="AB194" s="17"/>
    </row>
    <row r="195" spans="2:28" x14ac:dyDescent="0.25">
      <c r="B195" s="8"/>
      <c r="J195" s="17"/>
      <c r="V195" s="17"/>
      <c r="AB195" s="17"/>
    </row>
    <row r="196" spans="2:28" x14ac:dyDescent="0.25">
      <c r="B196" s="8"/>
      <c r="J196" s="17"/>
      <c r="V196" s="17"/>
      <c r="AB196" s="17"/>
    </row>
    <row r="197" spans="2:28" x14ac:dyDescent="0.25">
      <c r="B197" s="8"/>
      <c r="J197" s="17"/>
      <c r="V197" s="17"/>
      <c r="AB197" s="17"/>
    </row>
    <row r="198" spans="2:28" x14ac:dyDescent="0.25">
      <c r="B198" s="8"/>
      <c r="J198" s="17"/>
      <c r="V198" s="17"/>
      <c r="AB198" s="17"/>
    </row>
    <row r="199" spans="2:28" x14ac:dyDescent="0.25">
      <c r="B199" s="8"/>
      <c r="J199" s="17"/>
      <c r="V199" s="17"/>
      <c r="AB199" s="17"/>
    </row>
    <row r="200" spans="2:28" x14ac:dyDescent="0.25">
      <c r="B200" s="8"/>
      <c r="J200" s="17"/>
      <c r="V200" s="17"/>
      <c r="AB200" s="17"/>
    </row>
    <row r="201" spans="2:28" x14ac:dyDescent="0.25">
      <c r="B201" s="8"/>
      <c r="J201" s="17"/>
      <c r="V201" s="17"/>
      <c r="AB201" s="17"/>
    </row>
    <row r="202" spans="2:28" x14ac:dyDescent="0.25">
      <c r="B202" s="8"/>
      <c r="J202" s="17"/>
      <c r="V202" s="17"/>
      <c r="AB202" s="17"/>
    </row>
    <row r="203" spans="2:28" x14ac:dyDescent="0.25">
      <c r="B203" s="8"/>
      <c r="J203" s="17"/>
      <c r="V203" s="17"/>
      <c r="AB203" s="17"/>
    </row>
    <row r="204" spans="2:28" x14ac:dyDescent="0.25">
      <c r="B204" s="8"/>
      <c r="J204" s="17"/>
      <c r="V204" s="17"/>
      <c r="AB204" s="17"/>
    </row>
    <row r="205" spans="2:28" x14ac:dyDescent="0.25">
      <c r="B205" s="8"/>
      <c r="J205" s="17"/>
      <c r="V205" s="17"/>
      <c r="AB205" s="17"/>
    </row>
    <row r="206" spans="2:28" x14ac:dyDescent="0.25">
      <c r="B206" s="8"/>
      <c r="J206" s="17"/>
      <c r="V206" s="17"/>
      <c r="AB206" s="17"/>
    </row>
    <row r="207" spans="2:28" x14ac:dyDescent="0.25">
      <c r="B207" s="8"/>
      <c r="J207" s="17"/>
      <c r="V207" s="17"/>
      <c r="AB207" s="17"/>
    </row>
    <row r="208" spans="2:28" x14ac:dyDescent="0.25">
      <c r="B208" s="8"/>
      <c r="J208" s="17"/>
      <c r="V208" s="17"/>
      <c r="AB208" s="17"/>
    </row>
    <row r="209" spans="2:28" x14ac:dyDescent="0.25">
      <c r="B209" s="8"/>
      <c r="J209" s="17"/>
      <c r="V209" s="17"/>
      <c r="AB209" s="17"/>
    </row>
    <row r="210" spans="2:28" x14ac:dyDescent="0.25">
      <c r="B210" s="8"/>
      <c r="J210" s="17"/>
      <c r="V210" s="17"/>
      <c r="AB210" s="17"/>
    </row>
    <row r="211" spans="2:28" x14ac:dyDescent="0.25">
      <c r="B211" s="8"/>
      <c r="J211" s="17"/>
      <c r="V211" s="17"/>
      <c r="AB211" s="17"/>
    </row>
    <row r="212" spans="2:28" x14ac:dyDescent="0.25">
      <c r="B212" s="8"/>
      <c r="J212" s="17"/>
      <c r="V212" s="17"/>
      <c r="AB212" s="17"/>
    </row>
    <row r="213" spans="2:28" x14ac:dyDescent="0.25">
      <c r="B213" s="8"/>
      <c r="J213" s="17"/>
      <c r="V213" s="17"/>
      <c r="AB213" s="17"/>
    </row>
    <row r="214" spans="2:28" x14ac:dyDescent="0.25">
      <c r="B214" s="8"/>
      <c r="J214" s="17"/>
      <c r="V214" s="17"/>
      <c r="AB214" s="17"/>
    </row>
    <row r="215" spans="2:28" x14ac:dyDescent="0.25">
      <c r="B215" s="8"/>
      <c r="J215" s="17"/>
      <c r="V215" s="17"/>
      <c r="AB215" s="17"/>
    </row>
    <row r="216" spans="2:28" x14ac:dyDescent="0.25">
      <c r="B216" s="8"/>
      <c r="J216" s="17"/>
      <c r="V216" s="17"/>
      <c r="AB216" s="17"/>
    </row>
    <row r="217" spans="2:28" x14ac:dyDescent="0.25">
      <c r="B217" s="8"/>
      <c r="J217" s="17"/>
      <c r="V217" s="17"/>
      <c r="AB217" s="17"/>
    </row>
    <row r="218" spans="2:28" x14ac:dyDescent="0.25">
      <c r="B218" s="8"/>
      <c r="J218" s="17"/>
      <c r="V218" s="17"/>
      <c r="AB218" s="17"/>
    </row>
    <row r="219" spans="2:28" x14ac:dyDescent="0.25">
      <c r="B219" s="8"/>
      <c r="J219" s="17"/>
      <c r="V219" s="17"/>
      <c r="AB219" s="17"/>
    </row>
    <row r="220" spans="2:28" x14ac:dyDescent="0.25">
      <c r="B220" s="8"/>
      <c r="J220" s="17"/>
      <c r="V220" s="17"/>
      <c r="AB220" s="17"/>
    </row>
    <row r="221" spans="2:28" x14ac:dyDescent="0.25">
      <c r="B221" s="8"/>
      <c r="J221" s="17"/>
      <c r="V221" s="17"/>
      <c r="AB221" s="17"/>
    </row>
    <row r="222" spans="2:28" x14ac:dyDescent="0.25">
      <c r="B222" s="8"/>
      <c r="J222" s="17"/>
      <c r="V222" s="17"/>
      <c r="AB222" s="17"/>
    </row>
    <row r="223" spans="2:28" x14ac:dyDescent="0.25">
      <c r="B223" s="8"/>
      <c r="J223" s="17"/>
      <c r="V223" s="17"/>
      <c r="AB223" s="17"/>
    </row>
    <row r="224" spans="2:28" x14ac:dyDescent="0.25">
      <c r="B224" s="8"/>
      <c r="J224" s="17"/>
      <c r="V224" s="17"/>
      <c r="AB224" s="17"/>
    </row>
    <row r="225" spans="2:28" x14ac:dyDescent="0.25">
      <c r="B225" s="8"/>
      <c r="J225" s="17"/>
      <c r="V225" s="17"/>
      <c r="AB225" s="17"/>
    </row>
    <row r="226" spans="2:28" x14ac:dyDescent="0.25">
      <c r="B226" s="8"/>
      <c r="J226" s="17"/>
      <c r="V226" s="17"/>
      <c r="AB226" s="17"/>
    </row>
    <row r="227" spans="2:28" x14ac:dyDescent="0.25">
      <c r="B227" s="8"/>
      <c r="J227" s="17"/>
      <c r="V227" s="17"/>
      <c r="AB227" s="17"/>
    </row>
    <row r="228" spans="2:28" x14ac:dyDescent="0.25">
      <c r="B228" s="8"/>
      <c r="J228" s="17"/>
      <c r="V228" s="17"/>
      <c r="AB228" s="17"/>
    </row>
    <row r="229" spans="2:28" x14ac:dyDescent="0.25">
      <c r="B229" s="8"/>
      <c r="J229" s="17"/>
      <c r="V229" s="17"/>
      <c r="AB229" s="17"/>
    </row>
    <row r="230" spans="2:28" x14ac:dyDescent="0.25">
      <c r="B230" s="8"/>
      <c r="J230" s="17"/>
      <c r="V230" s="17"/>
      <c r="AB230" s="17"/>
    </row>
    <row r="231" spans="2:28" x14ac:dyDescent="0.25">
      <c r="B231" s="8"/>
      <c r="J231" s="17"/>
      <c r="V231" s="17"/>
      <c r="AB231" s="17"/>
    </row>
    <row r="232" spans="2:28" x14ac:dyDescent="0.25">
      <c r="B232" s="8"/>
      <c r="J232" s="17"/>
      <c r="V232" s="17"/>
      <c r="AB232" s="17"/>
    </row>
    <row r="233" spans="2:28" x14ac:dyDescent="0.25">
      <c r="B233" s="8"/>
      <c r="J233" s="17"/>
      <c r="V233" s="17"/>
      <c r="AB233" s="17"/>
    </row>
    <row r="234" spans="2:28" x14ac:dyDescent="0.25">
      <c r="B234" s="8"/>
      <c r="J234" s="17"/>
      <c r="V234" s="17"/>
      <c r="AB234" s="17"/>
    </row>
    <row r="235" spans="2:28" x14ac:dyDescent="0.25">
      <c r="B235" s="8"/>
      <c r="J235" s="17"/>
      <c r="V235" s="17"/>
      <c r="AB235" s="17"/>
    </row>
    <row r="236" spans="2:28" x14ac:dyDescent="0.25">
      <c r="B236" s="8"/>
      <c r="J236" s="17"/>
      <c r="V236" s="17"/>
      <c r="AB236" s="17"/>
    </row>
    <row r="237" spans="2:28" x14ac:dyDescent="0.25">
      <c r="B237" s="8"/>
      <c r="J237" s="17"/>
      <c r="V237" s="17"/>
      <c r="AB237" s="17"/>
    </row>
    <row r="238" spans="2:28" x14ac:dyDescent="0.25">
      <c r="B238" s="8"/>
      <c r="J238" s="17"/>
      <c r="V238" s="17"/>
      <c r="AB238" s="17"/>
    </row>
    <row r="239" spans="2:28" x14ac:dyDescent="0.25">
      <c r="B239" s="8"/>
      <c r="J239" s="17"/>
      <c r="V239" s="17"/>
      <c r="AB239" s="17"/>
    </row>
    <row r="240" spans="2:28" x14ac:dyDescent="0.25">
      <c r="B240" s="8"/>
      <c r="J240" s="17"/>
      <c r="V240" s="17"/>
      <c r="AB240" s="17"/>
    </row>
    <row r="241" spans="2:28" x14ac:dyDescent="0.25">
      <c r="B241" s="8"/>
      <c r="J241" s="17"/>
      <c r="V241" s="17"/>
      <c r="AB241" s="17"/>
    </row>
    <row r="242" spans="2:28" x14ac:dyDescent="0.25">
      <c r="B242" s="8"/>
      <c r="J242" s="17"/>
      <c r="V242" s="17"/>
      <c r="AB242" s="17"/>
    </row>
    <row r="243" spans="2:28" x14ac:dyDescent="0.25">
      <c r="B243" s="8"/>
      <c r="J243" s="17"/>
      <c r="V243" s="17"/>
      <c r="AB243" s="17"/>
    </row>
    <row r="244" spans="2:28" x14ac:dyDescent="0.25">
      <c r="B244" s="8"/>
      <c r="J244" s="17"/>
      <c r="V244" s="17"/>
      <c r="AB244" s="17"/>
    </row>
    <row r="245" spans="2:28" x14ac:dyDescent="0.25">
      <c r="B245" s="8"/>
      <c r="J245" s="17"/>
      <c r="V245" s="17"/>
      <c r="AB245" s="17"/>
    </row>
    <row r="246" spans="2:28" x14ac:dyDescent="0.25">
      <c r="B246" s="8"/>
      <c r="J246" s="17"/>
      <c r="V246" s="17"/>
      <c r="AB246" s="17"/>
    </row>
    <row r="247" spans="2:28" x14ac:dyDescent="0.25">
      <c r="B247" s="8"/>
      <c r="J247" s="17"/>
      <c r="V247" s="17"/>
      <c r="AB247" s="17"/>
    </row>
    <row r="248" spans="2:28" x14ac:dyDescent="0.25">
      <c r="B248" s="8"/>
      <c r="J248" s="17"/>
      <c r="V248" s="17"/>
      <c r="AB248" s="17"/>
    </row>
    <row r="249" spans="2:28" x14ac:dyDescent="0.25">
      <c r="B249" s="8"/>
      <c r="J249" s="17"/>
      <c r="V249" s="17"/>
      <c r="AB249" s="17"/>
    </row>
    <row r="250" spans="2:28" x14ac:dyDescent="0.25">
      <c r="B250" s="8"/>
      <c r="J250" s="17"/>
      <c r="V250" s="17"/>
      <c r="AB250" s="17"/>
    </row>
    <row r="251" spans="2:28" x14ac:dyDescent="0.25">
      <c r="B251" s="8"/>
      <c r="J251" s="17"/>
      <c r="V251" s="17"/>
      <c r="AB251" s="17"/>
    </row>
    <row r="252" spans="2:28" x14ac:dyDescent="0.25">
      <c r="B252" s="8"/>
      <c r="J252" s="17"/>
      <c r="V252" s="17"/>
      <c r="AB252" s="17"/>
    </row>
    <row r="253" spans="2:28" x14ac:dyDescent="0.25">
      <c r="B253" s="8"/>
      <c r="J253" s="17"/>
      <c r="V253" s="17"/>
      <c r="AB253" s="17"/>
    </row>
    <row r="254" spans="2:28" x14ac:dyDescent="0.25">
      <c r="B254" s="8"/>
      <c r="J254" s="17"/>
      <c r="V254" s="17"/>
      <c r="AB254" s="17"/>
    </row>
    <row r="255" spans="2:28" x14ac:dyDescent="0.25">
      <c r="B255" s="8"/>
      <c r="J255" s="17"/>
      <c r="V255" s="17"/>
      <c r="AB255" s="17"/>
    </row>
    <row r="256" spans="2:28" x14ac:dyDescent="0.25">
      <c r="B256" s="8"/>
      <c r="J256" s="17"/>
      <c r="V256" s="17"/>
      <c r="AB256" s="17"/>
    </row>
    <row r="257" spans="2:28" x14ac:dyDescent="0.25">
      <c r="B257" s="8"/>
      <c r="J257" s="17"/>
      <c r="V257" s="17"/>
      <c r="AB257" s="17"/>
    </row>
    <row r="258" spans="2:28" x14ac:dyDescent="0.25">
      <c r="B258" s="8"/>
      <c r="J258" s="17"/>
      <c r="V258" s="17"/>
      <c r="AB258" s="17"/>
    </row>
    <row r="259" spans="2:28" x14ac:dyDescent="0.25">
      <c r="B259" s="8"/>
      <c r="J259" s="17"/>
      <c r="V259" s="17"/>
      <c r="AB259" s="17"/>
    </row>
    <row r="260" spans="2:28" x14ac:dyDescent="0.25">
      <c r="B260" s="8"/>
      <c r="J260" s="17"/>
      <c r="V260" s="17"/>
      <c r="AB260" s="17"/>
    </row>
    <row r="261" spans="2:28" x14ac:dyDescent="0.25">
      <c r="B261" s="8"/>
      <c r="J261" s="17"/>
      <c r="V261" s="17"/>
      <c r="AB261" s="17"/>
    </row>
    <row r="262" spans="2:28" x14ac:dyDescent="0.25">
      <c r="B262" s="8"/>
      <c r="J262" s="17"/>
      <c r="V262" s="17"/>
      <c r="AB262" s="17"/>
    </row>
    <row r="263" spans="2:28" x14ac:dyDescent="0.25">
      <c r="B263" s="8"/>
      <c r="J263" s="17"/>
      <c r="V263" s="17"/>
      <c r="AB263" s="17"/>
    </row>
    <row r="264" spans="2:28" x14ac:dyDescent="0.25">
      <c r="B264" s="8"/>
      <c r="J264" s="17"/>
      <c r="V264" s="17"/>
      <c r="AB264" s="17"/>
    </row>
    <row r="265" spans="2:28" x14ac:dyDescent="0.25">
      <c r="B265" s="8"/>
      <c r="J265" s="17"/>
      <c r="V265" s="17"/>
      <c r="AB265" s="17"/>
    </row>
    <row r="266" spans="2:28" x14ac:dyDescent="0.25">
      <c r="B266" s="8"/>
      <c r="J266" s="17"/>
      <c r="V266" s="17"/>
      <c r="AB266" s="17"/>
    </row>
    <row r="267" spans="2:28" x14ac:dyDescent="0.25">
      <c r="B267" s="8"/>
      <c r="J267" s="17"/>
      <c r="V267" s="17"/>
      <c r="AB267" s="17"/>
    </row>
    <row r="268" spans="2:28" x14ac:dyDescent="0.25">
      <c r="B268" s="8"/>
      <c r="J268" s="17"/>
      <c r="V268" s="17"/>
      <c r="AB268" s="17"/>
    </row>
    <row r="269" spans="2:28" x14ac:dyDescent="0.25">
      <c r="B269" s="8"/>
      <c r="J269" s="17"/>
      <c r="V269" s="17"/>
      <c r="AB269" s="17"/>
    </row>
    <row r="270" spans="2:28" x14ac:dyDescent="0.25">
      <c r="B270" s="8"/>
      <c r="J270" s="17"/>
      <c r="V270" s="17"/>
      <c r="AB270" s="17"/>
    </row>
    <row r="271" spans="2:28" x14ac:dyDescent="0.25">
      <c r="B271" s="8"/>
      <c r="J271" s="17"/>
      <c r="V271" s="17"/>
      <c r="AB271" s="17"/>
    </row>
    <row r="272" spans="2:28" x14ac:dyDescent="0.25">
      <c r="B272" s="8"/>
      <c r="J272" s="17"/>
      <c r="V272" s="17"/>
      <c r="AB272" s="17"/>
    </row>
    <row r="273" spans="2:28" x14ac:dyDescent="0.25">
      <c r="B273" s="8"/>
      <c r="J273" s="17"/>
      <c r="V273" s="17"/>
      <c r="AB273" s="17"/>
    </row>
    <row r="274" spans="2:28" x14ac:dyDescent="0.25">
      <c r="B274" s="8"/>
      <c r="J274" s="17"/>
      <c r="V274" s="17"/>
      <c r="AB274" s="17"/>
    </row>
    <row r="275" spans="2:28" x14ac:dyDescent="0.25">
      <c r="B275" s="8"/>
      <c r="J275" s="17"/>
      <c r="V275" s="17"/>
      <c r="AB275" s="17"/>
    </row>
    <row r="276" spans="2:28" x14ac:dyDescent="0.25">
      <c r="B276" s="8"/>
      <c r="J276" s="17"/>
      <c r="V276" s="17"/>
      <c r="AB276" s="17"/>
    </row>
    <row r="277" spans="2:28" x14ac:dyDescent="0.25">
      <c r="B277" s="8"/>
      <c r="J277" s="17"/>
      <c r="V277" s="17"/>
      <c r="AB277" s="17"/>
    </row>
    <row r="278" spans="2:28" x14ac:dyDescent="0.25">
      <c r="B278" s="8"/>
      <c r="J278" s="17"/>
      <c r="V278" s="17"/>
      <c r="AB278" s="17"/>
    </row>
    <row r="279" spans="2:28" x14ac:dyDescent="0.25">
      <c r="B279" s="8"/>
      <c r="J279" s="17"/>
      <c r="V279" s="17"/>
      <c r="AB279" s="17"/>
    </row>
    <row r="280" spans="2:28" x14ac:dyDescent="0.25">
      <c r="B280" s="8"/>
      <c r="J280" s="17"/>
      <c r="V280" s="17"/>
      <c r="AB280" s="17"/>
    </row>
    <row r="281" spans="2:28" x14ac:dyDescent="0.25">
      <c r="B281" s="8"/>
      <c r="J281" s="17"/>
      <c r="V281" s="17"/>
      <c r="AB281" s="17"/>
    </row>
    <row r="282" spans="2:28" x14ac:dyDescent="0.25">
      <c r="B282" s="8"/>
      <c r="J282" s="17"/>
      <c r="V282" s="17"/>
      <c r="AB282" s="17"/>
    </row>
    <row r="283" spans="2:28" x14ac:dyDescent="0.25">
      <c r="B283" s="8"/>
      <c r="J283" s="17"/>
      <c r="V283" s="17"/>
      <c r="AB283" s="17"/>
    </row>
    <row r="284" spans="2:28" x14ac:dyDescent="0.25">
      <c r="B284" s="8"/>
      <c r="J284" s="17"/>
      <c r="V284" s="17"/>
      <c r="AB284" s="17"/>
    </row>
    <row r="285" spans="2:28" x14ac:dyDescent="0.25">
      <c r="B285" s="8"/>
      <c r="J285" s="17"/>
      <c r="V285" s="17"/>
      <c r="AB285" s="17"/>
    </row>
    <row r="286" spans="2:28" x14ac:dyDescent="0.25">
      <c r="B286" s="8"/>
      <c r="J286" s="17"/>
      <c r="V286" s="17"/>
      <c r="AB286" s="17"/>
    </row>
    <row r="287" spans="2:28" x14ac:dyDescent="0.25">
      <c r="B287" s="8"/>
      <c r="J287" s="17"/>
      <c r="V287" s="17"/>
      <c r="AB287" s="17"/>
    </row>
    <row r="288" spans="2:28" x14ac:dyDescent="0.25">
      <c r="B288" s="8"/>
      <c r="J288" s="17"/>
      <c r="V288" s="17"/>
      <c r="AB288" s="17"/>
    </row>
    <row r="289" spans="2:28" x14ac:dyDescent="0.25">
      <c r="B289" s="8"/>
      <c r="J289" s="17"/>
      <c r="V289" s="17"/>
      <c r="AB289" s="17"/>
    </row>
    <row r="290" spans="2:28" x14ac:dyDescent="0.25">
      <c r="B290" s="8"/>
      <c r="J290" s="17"/>
      <c r="V290" s="17"/>
      <c r="AB290" s="17"/>
    </row>
    <row r="291" spans="2:28" x14ac:dyDescent="0.25">
      <c r="B291" s="8"/>
      <c r="J291" s="17"/>
      <c r="V291" s="17"/>
      <c r="AB291" s="17"/>
    </row>
    <row r="292" spans="2:28" x14ac:dyDescent="0.25">
      <c r="B292" s="8"/>
      <c r="J292" s="17"/>
      <c r="V292" s="17"/>
      <c r="AB292" s="17"/>
    </row>
    <row r="293" spans="2:28" x14ac:dyDescent="0.25">
      <c r="B293" s="8"/>
      <c r="J293" s="17"/>
      <c r="V293" s="17"/>
      <c r="AB293" s="17"/>
    </row>
    <row r="294" spans="2:28" x14ac:dyDescent="0.25">
      <c r="B294" s="8"/>
      <c r="J294" s="17"/>
      <c r="V294" s="17"/>
      <c r="AB294" s="17"/>
    </row>
    <row r="295" spans="2:28" x14ac:dyDescent="0.25">
      <c r="B295" s="8"/>
      <c r="J295" s="17"/>
      <c r="V295" s="17"/>
      <c r="AB295" s="17"/>
    </row>
    <row r="296" spans="2:28" x14ac:dyDescent="0.25">
      <c r="B296" s="8"/>
      <c r="J296" s="17"/>
      <c r="V296" s="17"/>
      <c r="AB296" s="17"/>
    </row>
    <row r="297" spans="2:28" x14ac:dyDescent="0.25">
      <c r="B297" s="8"/>
      <c r="J297" s="17"/>
      <c r="V297" s="17"/>
      <c r="AB297" s="17"/>
    </row>
    <row r="298" spans="2:28" x14ac:dyDescent="0.25">
      <c r="B298" s="8"/>
      <c r="J298" s="17"/>
      <c r="V298" s="17"/>
      <c r="AB298" s="17"/>
    </row>
    <row r="299" spans="2:28" x14ac:dyDescent="0.25">
      <c r="B299" s="8"/>
      <c r="J299" s="17"/>
      <c r="V299" s="17"/>
      <c r="AB299" s="17"/>
    </row>
    <row r="300" spans="2:28" x14ac:dyDescent="0.25">
      <c r="B300" s="8"/>
      <c r="J300" s="17"/>
      <c r="V300" s="17"/>
      <c r="AB300" s="17"/>
    </row>
    <row r="301" spans="2:28" x14ac:dyDescent="0.25">
      <c r="B301" s="8"/>
      <c r="J301" s="17"/>
      <c r="V301" s="17"/>
      <c r="AB301" s="17"/>
    </row>
    <row r="302" spans="2:28" x14ac:dyDescent="0.25">
      <c r="B302" s="8"/>
      <c r="J302" s="17"/>
      <c r="V302" s="17"/>
      <c r="AB302" s="17"/>
    </row>
    <row r="303" spans="2:28" x14ac:dyDescent="0.25">
      <c r="B303" s="8"/>
      <c r="J303" s="17"/>
      <c r="V303" s="17"/>
      <c r="AB303" s="17"/>
    </row>
    <row r="304" spans="2:28" x14ac:dyDescent="0.25">
      <c r="B304" s="8"/>
      <c r="J304" s="17"/>
      <c r="V304" s="17"/>
      <c r="AB304" s="17"/>
    </row>
    <row r="305" spans="2:28" x14ac:dyDescent="0.25">
      <c r="B305" s="8"/>
      <c r="J305" s="17"/>
      <c r="V305" s="17"/>
      <c r="AB305" s="17"/>
    </row>
    <row r="306" spans="2:28" x14ac:dyDescent="0.25">
      <c r="B306" s="8"/>
      <c r="J306" s="17"/>
      <c r="V306" s="17"/>
      <c r="AB306" s="17"/>
    </row>
    <row r="307" spans="2:28" x14ac:dyDescent="0.25">
      <c r="B307" s="8"/>
      <c r="J307" s="17"/>
      <c r="V307" s="17"/>
      <c r="AB307" s="17"/>
    </row>
    <row r="308" spans="2:28" x14ac:dyDescent="0.25">
      <c r="B308" s="8"/>
      <c r="J308" s="17"/>
      <c r="V308" s="17"/>
      <c r="AB308" s="17"/>
    </row>
    <row r="309" spans="2:28" x14ac:dyDescent="0.25">
      <c r="B309" s="8"/>
      <c r="J309" s="17"/>
      <c r="V309" s="17"/>
      <c r="AB309" s="17"/>
    </row>
    <row r="310" spans="2:28" x14ac:dyDescent="0.25">
      <c r="B310" s="8"/>
      <c r="J310" s="17"/>
      <c r="V310" s="17"/>
      <c r="AB310" s="17"/>
    </row>
    <row r="311" spans="2:28" x14ac:dyDescent="0.25">
      <c r="B311" s="8"/>
      <c r="J311" s="17"/>
      <c r="V311" s="17"/>
      <c r="AB311" s="17"/>
    </row>
    <row r="312" spans="2:28" x14ac:dyDescent="0.25">
      <c r="B312" s="8"/>
      <c r="J312" s="17"/>
      <c r="V312" s="17"/>
      <c r="AB312" s="17"/>
    </row>
    <row r="313" spans="2:28" x14ac:dyDescent="0.25">
      <c r="B313" s="8"/>
      <c r="J313" s="17"/>
      <c r="V313" s="17"/>
      <c r="AB313" s="17"/>
    </row>
    <row r="314" spans="2:28" x14ac:dyDescent="0.25">
      <c r="B314" s="8"/>
      <c r="J314" s="17"/>
      <c r="V314" s="17"/>
      <c r="AB314" s="17"/>
    </row>
    <row r="315" spans="2:28" x14ac:dyDescent="0.25">
      <c r="B315" s="8"/>
      <c r="J315" s="17"/>
      <c r="V315" s="17"/>
      <c r="AB315" s="17"/>
    </row>
    <row r="316" spans="2:28" x14ac:dyDescent="0.25">
      <c r="B316" s="8"/>
      <c r="J316" s="17"/>
      <c r="V316" s="17"/>
      <c r="AB316" s="17"/>
    </row>
    <row r="317" spans="2:28" x14ac:dyDescent="0.25">
      <c r="B317" s="8"/>
      <c r="J317" s="17"/>
      <c r="V317" s="17"/>
      <c r="AB317" s="17"/>
    </row>
    <row r="318" spans="2:28" x14ac:dyDescent="0.25">
      <c r="B318" s="8"/>
      <c r="J318" s="17"/>
      <c r="V318" s="17"/>
      <c r="AB318" s="17"/>
    </row>
    <row r="319" spans="2:28" x14ac:dyDescent="0.25">
      <c r="B319" s="8"/>
      <c r="J319" s="17"/>
      <c r="V319" s="17"/>
      <c r="AB319" s="17"/>
    </row>
    <row r="320" spans="2:28" x14ac:dyDescent="0.25">
      <c r="B320" s="8"/>
      <c r="J320" s="17"/>
      <c r="V320" s="17"/>
      <c r="AB320" s="17"/>
    </row>
    <row r="321" spans="2:28" x14ac:dyDescent="0.25">
      <c r="B321" s="8"/>
      <c r="J321" s="17"/>
      <c r="V321" s="17"/>
      <c r="AB321" s="17"/>
    </row>
    <row r="322" spans="2:28" x14ac:dyDescent="0.25">
      <c r="B322" s="8"/>
      <c r="J322" s="17"/>
      <c r="V322" s="17"/>
      <c r="AB322" s="17"/>
    </row>
    <row r="323" spans="2:28" x14ac:dyDescent="0.25">
      <c r="B323" s="8"/>
      <c r="J323" s="17"/>
      <c r="V323" s="17"/>
      <c r="AB323" s="17"/>
    </row>
    <row r="324" spans="2:28" x14ac:dyDescent="0.25">
      <c r="B324" s="8"/>
      <c r="J324" s="17"/>
      <c r="V324" s="17"/>
      <c r="AB324" s="17"/>
    </row>
    <row r="325" spans="2:28" x14ac:dyDescent="0.25">
      <c r="B325" s="8"/>
      <c r="J325" s="17"/>
      <c r="V325" s="17"/>
      <c r="AB325" s="17"/>
    </row>
    <row r="326" spans="2:28" x14ac:dyDescent="0.25">
      <c r="B326" s="8"/>
      <c r="J326" s="17"/>
      <c r="V326" s="17"/>
      <c r="AB326" s="17"/>
    </row>
    <row r="327" spans="2:28" x14ac:dyDescent="0.25">
      <c r="B327" s="8"/>
      <c r="J327" s="17"/>
      <c r="V327" s="17"/>
      <c r="AB327" s="17"/>
    </row>
    <row r="328" spans="2:28" x14ac:dyDescent="0.25">
      <c r="B328" s="8"/>
      <c r="J328" s="17"/>
      <c r="V328" s="17"/>
      <c r="AB328" s="17"/>
    </row>
    <row r="329" spans="2:28" x14ac:dyDescent="0.25">
      <c r="B329" s="8"/>
      <c r="J329" s="17"/>
      <c r="V329" s="17"/>
      <c r="AB329" s="17"/>
    </row>
    <row r="330" spans="2:28" x14ac:dyDescent="0.25">
      <c r="B330" s="8"/>
      <c r="J330" s="17"/>
      <c r="V330" s="17"/>
      <c r="AB330" s="17"/>
    </row>
    <row r="331" spans="2:28" x14ac:dyDescent="0.25">
      <c r="B331" s="8"/>
      <c r="J331" s="17"/>
      <c r="V331" s="17"/>
      <c r="AB331" s="17"/>
    </row>
    <row r="332" spans="2:28" x14ac:dyDescent="0.25">
      <c r="B332" s="8"/>
      <c r="J332" s="17"/>
      <c r="V332" s="17"/>
      <c r="AB332" s="17"/>
    </row>
    <row r="333" spans="2:28" x14ac:dyDescent="0.25">
      <c r="B333" s="8"/>
      <c r="J333" s="17"/>
      <c r="V333" s="17"/>
      <c r="AB333" s="17"/>
    </row>
    <row r="334" spans="2:28" x14ac:dyDescent="0.25">
      <c r="B334" s="8"/>
      <c r="J334" s="17"/>
      <c r="V334" s="17"/>
      <c r="AB334" s="17"/>
    </row>
    <row r="335" spans="2:28" x14ac:dyDescent="0.25">
      <c r="B335" s="8"/>
      <c r="J335" s="17"/>
      <c r="V335" s="17"/>
      <c r="AB335" s="17"/>
    </row>
    <row r="336" spans="2:28" x14ac:dyDescent="0.25">
      <c r="B336" s="8"/>
      <c r="J336" s="17"/>
      <c r="V336" s="17"/>
      <c r="AB336" s="17"/>
    </row>
    <row r="337" spans="2:28" x14ac:dyDescent="0.25">
      <c r="B337" s="8"/>
      <c r="J337" s="17"/>
      <c r="V337" s="17"/>
      <c r="AB337" s="17"/>
    </row>
    <row r="338" spans="2:28" x14ac:dyDescent="0.25">
      <c r="B338" s="8"/>
      <c r="J338" s="17"/>
      <c r="V338" s="17"/>
      <c r="AB338" s="17"/>
    </row>
    <row r="339" spans="2:28" x14ac:dyDescent="0.25">
      <c r="B339" s="8"/>
      <c r="J339" s="17"/>
      <c r="V339" s="17"/>
      <c r="AB339" s="17"/>
    </row>
    <row r="340" spans="2:28" x14ac:dyDescent="0.25">
      <c r="B340" s="8"/>
      <c r="J340" s="17"/>
      <c r="V340" s="17"/>
      <c r="AB340" s="17"/>
    </row>
    <row r="341" spans="2:28" x14ac:dyDescent="0.25">
      <c r="B341" s="8"/>
      <c r="J341" s="17"/>
      <c r="V341" s="17"/>
      <c r="AB341" s="17"/>
    </row>
    <row r="342" spans="2:28" x14ac:dyDescent="0.25">
      <c r="B342" s="8"/>
      <c r="J342" s="17"/>
      <c r="V342" s="17"/>
      <c r="AB342" s="17"/>
    </row>
    <row r="343" spans="2:28" x14ac:dyDescent="0.25">
      <c r="B343" s="8"/>
      <c r="J343" s="17"/>
      <c r="V343" s="17"/>
      <c r="AB343" s="17"/>
    </row>
    <row r="344" spans="2:28" x14ac:dyDescent="0.25">
      <c r="B344" s="8"/>
      <c r="J344" s="17"/>
      <c r="V344" s="17"/>
      <c r="AB344" s="17"/>
    </row>
    <row r="345" spans="2:28" x14ac:dyDescent="0.25">
      <c r="B345" s="8"/>
      <c r="J345" s="17"/>
      <c r="V345" s="17"/>
      <c r="AB345" s="17"/>
    </row>
    <row r="346" spans="2:28" x14ac:dyDescent="0.25">
      <c r="B346" s="8"/>
      <c r="J346" s="17"/>
      <c r="V346" s="17"/>
      <c r="AB346" s="17"/>
    </row>
    <row r="347" spans="2:28" x14ac:dyDescent="0.25">
      <c r="B347" s="8"/>
      <c r="J347" s="17"/>
      <c r="V347" s="17"/>
      <c r="AB347" s="17"/>
    </row>
    <row r="348" spans="2:28" x14ac:dyDescent="0.25">
      <c r="B348" s="8"/>
      <c r="J348" s="17"/>
      <c r="V348" s="17"/>
      <c r="AB348" s="17"/>
    </row>
    <row r="349" spans="2:28" x14ac:dyDescent="0.25">
      <c r="B349" s="8"/>
      <c r="J349" s="17"/>
      <c r="V349" s="17"/>
      <c r="AB349" s="17"/>
    </row>
    <row r="350" spans="2:28" x14ac:dyDescent="0.25">
      <c r="B350" s="8"/>
      <c r="J350" s="17"/>
      <c r="V350" s="17"/>
      <c r="AB350" s="17"/>
    </row>
    <row r="351" spans="2:28" x14ac:dyDescent="0.25">
      <c r="B351" s="8"/>
      <c r="J351" s="17"/>
      <c r="V351" s="17"/>
      <c r="AB351" s="17"/>
    </row>
    <row r="352" spans="2:28" x14ac:dyDescent="0.25">
      <c r="B352" s="8"/>
      <c r="J352" s="17"/>
      <c r="V352" s="17"/>
      <c r="AB352" s="17"/>
    </row>
    <row r="353" spans="2:28" x14ac:dyDescent="0.25">
      <c r="B353" s="8"/>
      <c r="J353" s="17"/>
      <c r="V353" s="17"/>
      <c r="AB353" s="17"/>
    </row>
    <row r="354" spans="2:28" x14ac:dyDescent="0.25">
      <c r="B354" s="8"/>
      <c r="J354" s="17"/>
      <c r="V354" s="17"/>
      <c r="AB354" s="17"/>
    </row>
    <row r="355" spans="2:28" x14ac:dyDescent="0.25">
      <c r="B355" s="8"/>
      <c r="J355" s="17"/>
      <c r="V355" s="17"/>
      <c r="AB355" s="17"/>
    </row>
    <row r="356" spans="2:28" x14ac:dyDescent="0.25">
      <c r="B356" s="8"/>
      <c r="J356" s="17"/>
      <c r="V356" s="17"/>
      <c r="AB356" s="17"/>
    </row>
    <row r="357" spans="2:28" x14ac:dyDescent="0.25">
      <c r="B357" s="8"/>
      <c r="J357" s="17"/>
      <c r="V357" s="17"/>
      <c r="AB357" s="17"/>
    </row>
    <row r="358" spans="2:28" x14ac:dyDescent="0.25">
      <c r="B358" s="8"/>
      <c r="J358" s="17"/>
      <c r="V358" s="17"/>
      <c r="AB358" s="17"/>
    </row>
    <row r="359" spans="2:28" x14ac:dyDescent="0.25">
      <c r="B359" s="8"/>
      <c r="J359" s="17"/>
      <c r="V359" s="17"/>
      <c r="AB359" s="17"/>
    </row>
    <row r="360" spans="2:28" x14ac:dyDescent="0.25">
      <c r="B360" s="8"/>
      <c r="J360" s="17"/>
      <c r="V360" s="17"/>
      <c r="AB360" s="17"/>
    </row>
    <row r="361" spans="2:28" x14ac:dyDescent="0.25">
      <c r="B361" s="8"/>
      <c r="J361" s="17"/>
      <c r="V361" s="17"/>
      <c r="AB361" s="17"/>
    </row>
    <row r="362" spans="2:28" x14ac:dyDescent="0.25">
      <c r="B362" s="8"/>
      <c r="J362" s="17"/>
      <c r="V362" s="17"/>
      <c r="AB362" s="17"/>
    </row>
    <row r="363" spans="2:28" x14ac:dyDescent="0.25">
      <c r="B363" s="8"/>
      <c r="J363" s="17"/>
      <c r="V363" s="17"/>
      <c r="AB363" s="17"/>
    </row>
    <row r="364" spans="2:28" x14ac:dyDescent="0.25">
      <c r="B364" s="8"/>
      <c r="J364" s="17"/>
      <c r="V364" s="17"/>
      <c r="AB364" s="17"/>
    </row>
    <row r="365" spans="2:28" x14ac:dyDescent="0.25">
      <c r="B365" s="8"/>
      <c r="J365" s="17"/>
      <c r="V365" s="17"/>
      <c r="AB365" s="17"/>
    </row>
    <row r="366" spans="2:28" x14ac:dyDescent="0.25">
      <c r="B366" s="8"/>
      <c r="J366" s="17"/>
      <c r="V366" s="17"/>
      <c r="AB366" s="17"/>
    </row>
    <row r="367" spans="2:28" x14ac:dyDescent="0.25">
      <c r="B367" s="8"/>
      <c r="J367" s="17"/>
      <c r="V367" s="17"/>
      <c r="AB367" s="17"/>
    </row>
    <row r="368" spans="2:28" x14ac:dyDescent="0.25">
      <c r="B368" s="8"/>
      <c r="J368" s="17"/>
      <c r="V368" s="17"/>
      <c r="AB368" s="17"/>
    </row>
    <row r="369" spans="2:28" x14ac:dyDescent="0.25">
      <c r="B369" s="8"/>
      <c r="J369" s="17"/>
      <c r="V369" s="17"/>
      <c r="AB369" s="17"/>
    </row>
    <row r="370" spans="2:28" x14ac:dyDescent="0.25">
      <c r="B370" s="8"/>
      <c r="J370" s="17"/>
      <c r="V370" s="17"/>
      <c r="AB370" s="17"/>
    </row>
    <row r="371" spans="2:28" x14ac:dyDescent="0.25">
      <c r="B371" s="8"/>
      <c r="J371" s="17"/>
      <c r="V371" s="17"/>
      <c r="AB371" s="17"/>
    </row>
    <row r="372" spans="2:28" x14ac:dyDescent="0.25">
      <c r="B372" s="8"/>
      <c r="J372" s="17"/>
      <c r="V372" s="17"/>
      <c r="AB372" s="17"/>
    </row>
    <row r="373" spans="2:28" x14ac:dyDescent="0.25">
      <c r="B373" s="8"/>
      <c r="J373" s="17"/>
      <c r="V373" s="17"/>
      <c r="AB373" s="17"/>
    </row>
    <row r="374" spans="2:28" x14ac:dyDescent="0.25">
      <c r="B374" s="8"/>
      <c r="J374" s="17"/>
      <c r="V374" s="17"/>
      <c r="AB374" s="17"/>
    </row>
    <row r="375" spans="2:28" x14ac:dyDescent="0.25">
      <c r="B375" s="8"/>
      <c r="J375" s="17"/>
      <c r="V375" s="17"/>
      <c r="AB375" s="17"/>
    </row>
    <row r="376" spans="2:28" x14ac:dyDescent="0.25">
      <c r="B376" s="8"/>
      <c r="J376" s="17"/>
      <c r="V376" s="17"/>
      <c r="AB376" s="17"/>
    </row>
    <row r="377" spans="2:28" x14ac:dyDescent="0.25">
      <c r="B377" s="8"/>
      <c r="J377" s="17"/>
      <c r="V377" s="17"/>
      <c r="AB377" s="17"/>
    </row>
    <row r="378" spans="2:28" x14ac:dyDescent="0.25">
      <c r="B378" s="8"/>
      <c r="J378" s="17"/>
      <c r="V378" s="17"/>
      <c r="AB378" s="17"/>
    </row>
    <row r="379" spans="2:28" x14ac:dyDescent="0.25">
      <c r="B379" s="8"/>
      <c r="J379" s="17"/>
      <c r="V379" s="17"/>
      <c r="AB379" s="17"/>
    </row>
    <row r="380" spans="2:28" x14ac:dyDescent="0.25">
      <c r="B380" s="8"/>
      <c r="J380" s="17"/>
      <c r="V380" s="17"/>
      <c r="AB380" s="17"/>
    </row>
    <row r="381" spans="2:28" x14ac:dyDescent="0.25">
      <c r="B381" s="8"/>
      <c r="J381" s="17"/>
      <c r="V381" s="17"/>
      <c r="AB381" s="17"/>
    </row>
    <row r="382" spans="2:28" x14ac:dyDescent="0.25">
      <c r="B382" s="8"/>
      <c r="J382" s="17"/>
      <c r="V382" s="17"/>
      <c r="AB382" s="17"/>
    </row>
    <row r="383" spans="2:28" x14ac:dyDescent="0.25">
      <c r="B383" s="8"/>
      <c r="J383" s="17"/>
      <c r="V383" s="17"/>
      <c r="AB383" s="17"/>
    </row>
    <row r="384" spans="2:28" x14ac:dyDescent="0.25">
      <c r="B384" s="8"/>
      <c r="J384" s="17"/>
      <c r="V384" s="17"/>
      <c r="AB384" s="17"/>
    </row>
    <row r="385" spans="2:28" x14ac:dyDescent="0.25">
      <c r="B385" s="8"/>
      <c r="J385" s="17"/>
      <c r="V385" s="17"/>
      <c r="AB385" s="17"/>
    </row>
    <row r="386" spans="2:28" x14ac:dyDescent="0.25">
      <c r="B386" s="8"/>
      <c r="J386" s="17"/>
      <c r="V386" s="17"/>
      <c r="AB386" s="17"/>
    </row>
    <row r="387" spans="2:28" x14ac:dyDescent="0.25">
      <c r="B387" s="8"/>
      <c r="J387" s="17"/>
      <c r="V387" s="17"/>
      <c r="AB387" s="17"/>
    </row>
    <row r="388" spans="2:28" x14ac:dyDescent="0.25">
      <c r="B388" s="8"/>
      <c r="J388" s="17"/>
      <c r="V388" s="17"/>
      <c r="AB388" s="17"/>
    </row>
    <row r="389" spans="2:28" x14ac:dyDescent="0.25">
      <c r="B389" s="8"/>
      <c r="J389" s="17"/>
      <c r="V389" s="17"/>
      <c r="AB389" s="17"/>
    </row>
    <row r="390" spans="2:28" x14ac:dyDescent="0.25">
      <c r="B390" s="8"/>
      <c r="J390" s="17"/>
      <c r="V390" s="17"/>
      <c r="AB390" s="17"/>
    </row>
    <row r="391" spans="2:28" x14ac:dyDescent="0.25">
      <c r="B391" s="8"/>
      <c r="J391" s="17"/>
      <c r="V391" s="17"/>
      <c r="AB391" s="17"/>
    </row>
    <row r="392" spans="2:28" x14ac:dyDescent="0.25">
      <c r="B392" s="8"/>
      <c r="J392" s="17"/>
      <c r="V392" s="17"/>
      <c r="AB392" s="17"/>
    </row>
    <row r="393" spans="2:28" x14ac:dyDescent="0.25">
      <c r="B393" s="8"/>
      <c r="J393" s="17"/>
      <c r="V393" s="17"/>
      <c r="AB393" s="17"/>
    </row>
    <row r="394" spans="2:28" x14ac:dyDescent="0.25">
      <c r="B394" s="8"/>
      <c r="J394" s="17"/>
      <c r="V394" s="17"/>
      <c r="AB394" s="17"/>
    </row>
    <row r="395" spans="2:28" x14ac:dyDescent="0.25">
      <c r="B395" s="8"/>
      <c r="J395" s="17"/>
      <c r="V395" s="17"/>
      <c r="AB395" s="17"/>
    </row>
    <row r="396" spans="2:28" x14ac:dyDescent="0.25">
      <c r="B396" s="8"/>
      <c r="J396" s="17"/>
      <c r="V396" s="17"/>
      <c r="AB396" s="17"/>
    </row>
    <row r="397" spans="2:28" x14ac:dyDescent="0.25">
      <c r="B397" s="8"/>
      <c r="J397" s="17"/>
      <c r="V397" s="17"/>
      <c r="AB397" s="17"/>
    </row>
    <row r="398" spans="2:28" x14ac:dyDescent="0.25">
      <c r="B398" s="8"/>
      <c r="J398" s="17"/>
      <c r="V398" s="17"/>
      <c r="AB398" s="17"/>
    </row>
    <row r="399" spans="2:28" x14ac:dyDescent="0.25">
      <c r="B399" s="8"/>
      <c r="J399" s="17"/>
      <c r="V399" s="17"/>
      <c r="AB399" s="17"/>
    </row>
    <row r="400" spans="2:28" x14ac:dyDescent="0.25">
      <c r="B400" s="8"/>
      <c r="J400" s="17"/>
      <c r="V400" s="17"/>
      <c r="AB400" s="17"/>
    </row>
    <row r="401" spans="2:28" x14ac:dyDescent="0.25">
      <c r="B401" s="8"/>
      <c r="J401" s="17"/>
      <c r="V401" s="17"/>
      <c r="AB401" s="17"/>
    </row>
    <row r="402" spans="2:28" x14ac:dyDescent="0.25">
      <c r="B402" s="8"/>
      <c r="J402" s="17"/>
      <c r="V402" s="17"/>
      <c r="AB402" s="17"/>
    </row>
    <row r="403" spans="2:28" x14ac:dyDescent="0.25">
      <c r="B403" s="8"/>
      <c r="J403" s="17"/>
      <c r="V403" s="17"/>
      <c r="AB403" s="17"/>
    </row>
    <row r="404" spans="2:28" x14ac:dyDescent="0.25">
      <c r="B404" s="8"/>
      <c r="J404" s="17"/>
      <c r="V404" s="17"/>
      <c r="AB404" s="17"/>
    </row>
    <row r="405" spans="2:28" x14ac:dyDescent="0.25">
      <c r="B405" s="8"/>
      <c r="J405" s="17"/>
      <c r="V405" s="17"/>
      <c r="AB405" s="17"/>
    </row>
    <row r="406" spans="2:28" x14ac:dyDescent="0.25">
      <c r="B406" s="8"/>
      <c r="J406" s="17"/>
      <c r="V406" s="17"/>
      <c r="AB406" s="17"/>
    </row>
    <row r="407" spans="2:28" x14ac:dyDescent="0.25">
      <c r="B407" s="8"/>
      <c r="J407" s="17"/>
      <c r="V407" s="17"/>
      <c r="AB407" s="17"/>
    </row>
    <row r="408" spans="2:28" x14ac:dyDescent="0.25">
      <c r="B408" s="8"/>
      <c r="J408" s="17"/>
      <c r="V408" s="17"/>
      <c r="AB408" s="17"/>
    </row>
    <row r="409" spans="2:28" x14ac:dyDescent="0.25">
      <c r="B409" s="8"/>
      <c r="J409" s="17"/>
      <c r="V409" s="17"/>
      <c r="AB409" s="17"/>
    </row>
    <row r="410" spans="2:28" x14ac:dyDescent="0.25">
      <c r="B410" s="8"/>
      <c r="J410" s="17"/>
      <c r="V410" s="17"/>
      <c r="AB410" s="17"/>
    </row>
    <row r="411" spans="2:28" x14ac:dyDescent="0.25">
      <c r="B411" s="8"/>
      <c r="J411" s="17"/>
      <c r="V411" s="17"/>
      <c r="AB411" s="17"/>
    </row>
    <row r="412" spans="2:28" x14ac:dyDescent="0.25">
      <c r="B412" s="8"/>
      <c r="J412" s="17"/>
      <c r="V412" s="17"/>
      <c r="AB412" s="17"/>
    </row>
    <row r="413" spans="2:28" x14ac:dyDescent="0.25">
      <c r="B413" s="8"/>
      <c r="J413" s="17"/>
      <c r="V413" s="17"/>
      <c r="AB413" s="17"/>
    </row>
    <row r="414" spans="2:28" x14ac:dyDescent="0.25">
      <c r="B414" s="8"/>
      <c r="J414" s="17"/>
      <c r="V414" s="17"/>
      <c r="AB414" s="17"/>
    </row>
    <row r="415" spans="2:28" x14ac:dyDescent="0.25">
      <c r="B415" s="8"/>
      <c r="J415" s="17"/>
      <c r="V415" s="17"/>
      <c r="AB415" s="17"/>
    </row>
    <row r="416" spans="2:28" x14ac:dyDescent="0.25">
      <c r="B416" s="8"/>
      <c r="J416" s="17"/>
      <c r="V416" s="17"/>
      <c r="AB416" s="17"/>
    </row>
    <row r="417" spans="2:28" x14ac:dyDescent="0.25">
      <c r="B417" s="8"/>
      <c r="J417" s="17"/>
      <c r="V417" s="17"/>
      <c r="AB417" s="17"/>
    </row>
    <row r="418" spans="2:28" x14ac:dyDescent="0.25">
      <c r="B418" s="8"/>
      <c r="J418" s="17"/>
      <c r="V418" s="17"/>
      <c r="AB418" s="17"/>
    </row>
    <row r="419" spans="2:28" x14ac:dyDescent="0.25">
      <c r="B419" s="8"/>
      <c r="J419" s="17"/>
      <c r="V419" s="17"/>
      <c r="AB419" s="17"/>
    </row>
    <row r="420" spans="2:28" x14ac:dyDescent="0.25">
      <c r="B420" s="8"/>
      <c r="J420" s="17"/>
      <c r="V420" s="17"/>
      <c r="AB420" s="17"/>
    </row>
    <row r="421" spans="2:28" x14ac:dyDescent="0.25">
      <c r="B421" s="8"/>
      <c r="J421" s="17"/>
      <c r="V421" s="17"/>
      <c r="AB421" s="17"/>
    </row>
    <row r="422" spans="2:28" x14ac:dyDescent="0.25">
      <c r="B422" s="8"/>
      <c r="J422" s="17"/>
      <c r="V422" s="17"/>
      <c r="AB422" s="17"/>
    </row>
    <row r="423" spans="2:28" x14ac:dyDescent="0.25">
      <c r="B423" s="8"/>
      <c r="J423" s="17"/>
      <c r="V423" s="17"/>
      <c r="AB423" s="17"/>
    </row>
    <row r="424" spans="2:28" x14ac:dyDescent="0.25">
      <c r="B424" s="8"/>
      <c r="J424" s="17"/>
      <c r="V424" s="17"/>
      <c r="AB424" s="17"/>
    </row>
    <row r="425" spans="2:28" x14ac:dyDescent="0.25">
      <c r="B425" s="8"/>
      <c r="J425" s="17"/>
      <c r="V425" s="17"/>
      <c r="AB425" s="17"/>
    </row>
    <row r="426" spans="2:28" x14ac:dyDescent="0.25">
      <c r="B426" s="8"/>
      <c r="J426" s="17"/>
      <c r="V426" s="17"/>
      <c r="AB426" s="17"/>
    </row>
    <row r="427" spans="2:28" x14ac:dyDescent="0.25">
      <c r="B427" s="8"/>
      <c r="J427" s="17"/>
      <c r="V427" s="17"/>
      <c r="AB427" s="17"/>
    </row>
    <row r="428" spans="2:28" x14ac:dyDescent="0.25">
      <c r="B428" s="8"/>
      <c r="J428" s="17"/>
      <c r="V428" s="17"/>
      <c r="AB428" s="17"/>
    </row>
    <row r="429" spans="2:28" x14ac:dyDescent="0.25">
      <c r="B429" s="8"/>
      <c r="J429" s="17"/>
      <c r="V429" s="17"/>
      <c r="AB429" s="17"/>
    </row>
    <row r="430" spans="2:28" x14ac:dyDescent="0.25">
      <c r="B430" s="8"/>
      <c r="J430" s="17"/>
      <c r="V430" s="17"/>
      <c r="AB430" s="17"/>
    </row>
    <row r="431" spans="2:28" x14ac:dyDescent="0.25">
      <c r="B431" s="8"/>
      <c r="J431" s="17"/>
      <c r="V431" s="17"/>
      <c r="AB431" s="17"/>
    </row>
    <row r="432" spans="2:28" x14ac:dyDescent="0.25">
      <c r="B432" s="8"/>
      <c r="J432" s="17"/>
      <c r="V432" s="17"/>
      <c r="AB432" s="17"/>
    </row>
    <row r="433" spans="2:28" x14ac:dyDescent="0.25">
      <c r="B433" s="8"/>
      <c r="J433" s="17"/>
      <c r="V433" s="17"/>
      <c r="AB433" s="17"/>
    </row>
    <row r="434" spans="2:28" x14ac:dyDescent="0.25">
      <c r="B434" s="8"/>
      <c r="J434" s="17"/>
      <c r="V434" s="17"/>
      <c r="AB434" s="17"/>
    </row>
    <row r="435" spans="2:28" x14ac:dyDescent="0.25">
      <c r="B435" s="8"/>
      <c r="J435" s="17"/>
      <c r="V435" s="17"/>
      <c r="AB435" s="17"/>
    </row>
    <row r="436" spans="2:28" x14ac:dyDescent="0.25">
      <c r="B436" s="8"/>
      <c r="J436" s="17"/>
      <c r="V436" s="17"/>
      <c r="AB436" s="17"/>
    </row>
    <row r="437" spans="2:28" x14ac:dyDescent="0.25">
      <c r="B437" s="8"/>
      <c r="J437" s="17"/>
      <c r="V437" s="17"/>
      <c r="AB437" s="17"/>
    </row>
    <row r="438" spans="2:28" x14ac:dyDescent="0.25">
      <c r="B438" s="8"/>
      <c r="J438" s="17"/>
      <c r="V438" s="17"/>
      <c r="AB438" s="17"/>
    </row>
    <row r="439" spans="2:28" x14ac:dyDescent="0.25">
      <c r="B439" s="8"/>
      <c r="J439" s="17"/>
      <c r="V439" s="17"/>
      <c r="AB439" s="17"/>
    </row>
    <row r="440" spans="2:28" x14ac:dyDescent="0.25">
      <c r="B440" s="8"/>
      <c r="J440" s="17"/>
      <c r="V440" s="17"/>
      <c r="AB440" s="17"/>
    </row>
    <row r="441" spans="2:28" x14ac:dyDescent="0.25">
      <c r="B441" s="8"/>
      <c r="J441" s="17"/>
      <c r="V441" s="17"/>
      <c r="AB441" s="17"/>
    </row>
    <row r="442" spans="2:28" x14ac:dyDescent="0.25">
      <c r="B442" s="8"/>
      <c r="J442" s="17"/>
      <c r="V442" s="17"/>
      <c r="AB442" s="17"/>
    </row>
    <row r="443" spans="2:28" x14ac:dyDescent="0.25">
      <c r="B443" s="8"/>
      <c r="J443" s="17"/>
      <c r="V443" s="17"/>
      <c r="AB443" s="17"/>
    </row>
    <row r="444" spans="2:28" x14ac:dyDescent="0.25">
      <c r="B444" s="8"/>
      <c r="J444" s="17"/>
      <c r="V444" s="17"/>
      <c r="AB444" s="17"/>
    </row>
    <row r="445" spans="2:28" x14ac:dyDescent="0.25">
      <c r="B445" s="8"/>
      <c r="J445" s="17"/>
      <c r="V445" s="17"/>
      <c r="AB445" s="17"/>
    </row>
    <row r="446" spans="2:28" x14ac:dyDescent="0.25">
      <c r="B446" s="8"/>
      <c r="J446" s="17"/>
      <c r="V446" s="17"/>
      <c r="AB446" s="17"/>
    </row>
    <row r="447" spans="2:28" x14ac:dyDescent="0.25">
      <c r="B447" s="8"/>
      <c r="J447" s="17"/>
      <c r="V447" s="17"/>
      <c r="AB447" s="17"/>
    </row>
    <row r="448" spans="2:28" x14ac:dyDescent="0.25">
      <c r="B448" s="8"/>
      <c r="J448" s="17"/>
      <c r="V448" s="17"/>
      <c r="AB448" s="17"/>
    </row>
    <row r="449" spans="2:28" x14ac:dyDescent="0.25">
      <c r="B449" s="8"/>
      <c r="J449" s="17"/>
      <c r="V449" s="17"/>
      <c r="AB449" s="17"/>
    </row>
    <row r="450" spans="2:28" x14ac:dyDescent="0.25">
      <c r="B450" s="8"/>
      <c r="J450" s="17"/>
      <c r="V450" s="17"/>
      <c r="AB450" s="17"/>
    </row>
    <row r="451" spans="2:28" x14ac:dyDescent="0.25">
      <c r="B451" s="8"/>
      <c r="J451" s="17"/>
      <c r="V451" s="17"/>
      <c r="AB451" s="17"/>
    </row>
    <row r="452" spans="2:28" x14ac:dyDescent="0.25">
      <c r="B452" s="8"/>
      <c r="J452" s="17"/>
      <c r="V452" s="17"/>
      <c r="AB452" s="17"/>
    </row>
    <row r="453" spans="2:28" x14ac:dyDescent="0.25">
      <c r="B453" s="8"/>
      <c r="J453" s="17"/>
      <c r="V453" s="17"/>
      <c r="AB453" s="17"/>
    </row>
    <row r="454" spans="2:28" x14ac:dyDescent="0.25">
      <c r="B454" s="8"/>
      <c r="J454" s="17"/>
      <c r="V454" s="17"/>
      <c r="AB454" s="17"/>
    </row>
    <row r="455" spans="2:28" x14ac:dyDescent="0.25">
      <c r="B455" s="8"/>
      <c r="J455" s="17"/>
      <c r="V455" s="17"/>
      <c r="AB455" s="17"/>
    </row>
    <row r="456" spans="2:28" x14ac:dyDescent="0.25">
      <c r="B456" s="8"/>
      <c r="J456" s="17"/>
      <c r="V456" s="17"/>
      <c r="AB456" s="17"/>
    </row>
    <row r="457" spans="2:28" x14ac:dyDescent="0.25">
      <c r="B457" s="8"/>
      <c r="J457" s="17"/>
      <c r="V457" s="17"/>
      <c r="AB457" s="17"/>
    </row>
    <row r="458" spans="2:28" x14ac:dyDescent="0.25">
      <c r="B458" s="8"/>
      <c r="J458" s="17"/>
      <c r="V458" s="17"/>
      <c r="AB458" s="17"/>
    </row>
    <row r="459" spans="2:28" x14ac:dyDescent="0.25">
      <c r="B459" s="8"/>
      <c r="J459" s="17"/>
      <c r="V459" s="17"/>
      <c r="AB459" s="17"/>
    </row>
    <row r="460" spans="2:28" x14ac:dyDescent="0.25">
      <c r="B460" s="8"/>
      <c r="J460" s="17"/>
      <c r="V460" s="17"/>
      <c r="AB460" s="17"/>
    </row>
    <row r="461" spans="2:28" x14ac:dyDescent="0.25">
      <c r="B461" s="8"/>
      <c r="J461" s="17"/>
      <c r="V461" s="17"/>
      <c r="AB461" s="17"/>
    </row>
    <row r="462" spans="2:28" x14ac:dyDescent="0.25">
      <c r="B462" s="8"/>
      <c r="J462" s="17"/>
      <c r="V462" s="17"/>
      <c r="AB462" s="17"/>
    </row>
    <row r="463" spans="2:28" x14ac:dyDescent="0.25">
      <c r="B463" s="8"/>
      <c r="J463" s="17"/>
      <c r="V463" s="17"/>
      <c r="AB463" s="17"/>
    </row>
    <row r="464" spans="2:28" x14ac:dyDescent="0.25">
      <c r="B464" s="8"/>
      <c r="J464" s="17"/>
      <c r="V464" s="17"/>
      <c r="AB464" s="17"/>
    </row>
    <row r="465" spans="2:28" x14ac:dyDescent="0.25">
      <c r="B465" s="8"/>
      <c r="J465" s="17"/>
      <c r="V465" s="17"/>
      <c r="AB465" s="17"/>
    </row>
    <row r="466" spans="2:28" x14ac:dyDescent="0.25">
      <c r="B466" s="8"/>
      <c r="J466" s="17"/>
      <c r="V466" s="17"/>
      <c r="AB466" s="17"/>
    </row>
    <row r="467" spans="2:28" x14ac:dyDescent="0.25">
      <c r="B467" s="8"/>
      <c r="J467" s="17"/>
      <c r="V467" s="17"/>
      <c r="AB467" s="17"/>
    </row>
    <row r="468" spans="2:28" x14ac:dyDescent="0.25">
      <c r="B468" s="8"/>
      <c r="J468" s="17"/>
      <c r="V468" s="17"/>
      <c r="AB468" s="17"/>
    </row>
    <row r="469" spans="2:28" x14ac:dyDescent="0.25">
      <c r="B469" s="8"/>
      <c r="J469" s="17"/>
      <c r="V469" s="17"/>
      <c r="AB469" s="17"/>
    </row>
    <row r="470" spans="2:28" x14ac:dyDescent="0.25">
      <c r="B470" s="8"/>
      <c r="J470" s="17"/>
      <c r="V470" s="17"/>
      <c r="AB470" s="17"/>
    </row>
    <row r="471" spans="2:28" x14ac:dyDescent="0.25">
      <c r="B471" s="8"/>
      <c r="J471" s="17"/>
      <c r="V471" s="17"/>
      <c r="AB471" s="17"/>
    </row>
    <row r="472" spans="2:28" x14ac:dyDescent="0.25">
      <c r="B472" s="8"/>
      <c r="J472" s="17"/>
      <c r="V472" s="17"/>
      <c r="AB472" s="17"/>
    </row>
    <row r="473" spans="2:28" x14ac:dyDescent="0.25">
      <c r="B473" s="8"/>
      <c r="J473" s="17"/>
      <c r="V473" s="17"/>
      <c r="AB473" s="17"/>
    </row>
    <row r="474" spans="2:28" x14ac:dyDescent="0.25">
      <c r="B474" s="8"/>
      <c r="J474" s="17"/>
      <c r="V474" s="17"/>
      <c r="AB474" s="17"/>
    </row>
    <row r="475" spans="2:28" x14ac:dyDescent="0.25">
      <c r="B475" s="8"/>
      <c r="J475" s="17"/>
      <c r="V475" s="17"/>
      <c r="AB475" s="17"/>
    </row>
    <row r="476" spans="2:28" x14ac:dyDescent="0.25">
      <c r="B476" s="8"/>
      <c r="J476" s="17"/>
      <c r="V476" s="17"/>
      <c r="AB476" s="17"/>
    </row>
    <row r="477" spans="2:28" x14ac:dyDescent="0.25">
      <c r="B477" s="8"/>
      <c r="J477" s="17"/>
      <c r="V477" s="17"/>
      <c r="AB477" s="17"/>
    </row>
    <row r="478" spans="2:28" x14ac:dyDescent="0.25">
      <c r="B478" s="8"/>
      <c r="J478" s="17"/>
      <c r="V478" s="17"/>
      <c r="AB478" s="17"/>
    </row>
    <row r="479" spans="2:28" x14ac:dyDescent="0.25">
      <c r="B479" s="8"/>
      <c r="J479" s="17"/>
      <c r="V479" s="17"/>
      <c r="AB479" s="17"/>
    </row>
    <row r="480" spans="2:28" x14ac:dyDescent="0.25">
      <c r="B480" s="8"/>
      <c r="J480" s="17"/>
      <c r="V480" s="17"/>
      <c r="AB480" s="17"/>
    </row>
    <row r="481" spans="2:28" x14ac:dyDescent="0.25">
      <c r="B481" s="8"/>
      <c r="J481" s="17"/>
      <c r="V481" s="17"/>
      <c r="AB481" s="17"/>
    </row>
    <row r="482" spans="2:28" x14ac:dyDescent="0.25">
      <c r="B482" s="8"/>
      <c r="J482" s="17"/>
      <c r="V482" s="17"/>
      <c r="AB482" s="17"/>
    </row>
    <row r="483" spans="2:28" x14ac:dyDescent="0.25">
      <c r="B483" s="8"/>
      <c r="J483" s="17"/>
      <c r="V483" s="17"/>
      <c r="AB483" s="17"/>
    </row>
    <row r="484" spans="2:28" x14ac:dyDescent="0.25">
      <c r="B484" s="8"/>
      <c r="J484" s="17"/>
      <c r="V484" s="17"/>
      <c r="AB484" s="17"/>
    </row>
    <row r="485" spans="2:28" x14ac:dyDescent="0.25">
      <c r="B485" s="8"/>
      <c r="J485" s="17"/>
      <c r="V485" s="17"/>
      <c r="AB485" s="17"/>
    </row>
    <row r="486" spans="2:28" x14ac:dyDescent="0.25">
      <c r="B486" s="8"/>
      <c r="J486" s="17"/>
      <c r="V486" s="17"/>
      <c r="AB486" s="17"/>
    </row>
    <row r="487" spans="2:28" x14ac:dyDescent="0.25">
      <c r="B487" s="8"/>
      <c r="J487" s="17"/>
      <c r="V487" s="17"/>
      <c r="AB487" s="17"/>
    </row>
    <row r="488" spans="2:28" x14ac:dyDescent="0.25">
      <c r="B488" s="8"/>
      <c r="J488" s="17"/>
      <c r="V488" s="17"/>
      <c r="AB488" s="17"/>
    </row>
    <row r="489" spans="2:28" x14ac:dyDescent="0.25">
      <c r="B489" s="8"/>
      <c r="J489" s="17"/>
      <c r="V489" s="17"/>
      <c r="AB489" s="17"/>
    </row>
    <row r="490" spans="2:28" x14ac:dyDescent="0.25">
      <c r="B490" s="8"/>
      <c r="J490" s="17"/>
      <c r="V490" s="17"/>
      <c r="AB490" s="17"/>
    </row>
    <row r="491" spans="2:28" x14ac:dyDescent="0.25">
      <c r="B491" s="8"/>
      <c r="J491" s="17"/>
      <c r="V491" s="17"/>
      <c r="AB491" s="17"/>
    </row>
    <row r="492" spans="2:28" x14ac:dyDescent="0.25">
      <c r="B492" s="8"/>
      <c r="J492" s="17"/>
      <c r="V492" s="17"/>
      <c r="AB492" s="17"/>
    </row>
    <row r="493" spans="2:28" x14ac:dyDescent="0.25">
      <c r="B493" s="8"/>
      <c r="J493" s="17"/>
      <c r="V493" s="17"/>
      <c r="AB493" s="17"/>
    </row>
    <row r="494" spans="2:28" x14ac:dyDescent="0.25">
      <c r="B494" s="8"/>
      <c r="J494" s="17"/>
      <c r="V494" s="17"/>
      <c r="AB494" s="17"/>
    </row>
    <row r="495" spans="2:28" x14ac:dyDescent="0.25">
      <c r="B495" s="8"/>
      <c r="J495" s="17"/>
      <c r="V495" s="17"/>
      <c r="AB495" s="17"/>
    </row>
    <row r="496" spans="2:28" x14ac:dyDescent="0.25">
      <c r="B496" s="8"/>
      <c r="J496" s="17"/>
      <c r="V496" s="17"/>
      <c r="AB496" s="17"/>
    </row>
    <row r="497" spans="2:28" x14ac:dyDescent="0.25">
      <c r="B497" s="8"/>
      <c r="J497" s="17"/>
      <c r="V497" s="17"/>
      <c r="AB497" s="17"/>
    </row>
    <row r="498" spans="2:28" x14ac:dyDescent="0.25">
      <c r="B498" s="8"/>
      <c r="J498" s="17"/>
      <c r="V498" s="17"/>
      <c r="AB498" s="17"/>
    </row>
    <row r="499" spans="2:28" x14ac:dyDescent="0.25">
      <c r="B499" s="8"/>
      <c r="J499" s="17"/>
      <c r="V499" s="17"/>
      <c r="AB499" s="17"/>
    </row>
    <row r="500" spans="2:28" x14ac:dyDescent="0.25">
      <c r="B500" s="8"/>
      <c r="J500" s="17"/>
      <c r="V500" s="17"/>
      <c r="AB500" s="17"/>
    </row>
    <row r="501" spans="2:28" x14ac:dyDescent="0.25">
      <c r="B501" s="8"/>
      <c r="J501" s="17"/>
      <c r="V501" s="17"/>
      <c r="AB501" s="17"/>
    </row>
    <row r="502" spans="2:28" x14ac:dyDescent="0.25">
      <c r="B502" s="8"/>
      <c r="J502" s="17"/>
      <c r="V502" s="17"/>
      <c r="AB502" s="17"/>
    </row>
    <row r="503" spans="2:28" x14ac:dyDescent="0.25">
      <c r="B503" s="8"/>
      <c r="J503" s="17"/>
      <c r="V503" s="17"/>
      <c r="AB503" s="17"/>
    </row>
    <row r="504" spans="2:28" x14ac:dyDescent="0.25">
      <c r="B504" s="8"/>
      <c r="J504" s="17"/>
      <c r="V504" s="17"/>
      <c r="AB504" s="17"/>
    </row>
    <row r="505" spans="2:28" x14ac:dyDescent="0.25">
      <c r="B505" s="8"/>
      <c r="J505" s="17"/>
      <c r="V505" s="17"/>
      <c r="AB505" s="17"/>
    </row>
    <row r="506" spans="2:28" x14ac:dyDescent="0.25">
      <c r="B506" s="8"/>
      <c r="J506" s="17"/>
      <c r="V506" s="17"/>
      <c r="AB506" s="17"/>
    </row>
    <row r="507" spans="2:28" x14ac:dyDescent="0.25">
      <c r="B507" s="8"/>
      <c r="J507" s="17"/>
      <c r="V507" s="17"/>
      <c r="AB507" s="17"/>
    </row>
    <row r="508" spans="2:28" x14ac:dyDescent="0.25">
      <c r="B508" s="8"/>
      <c r="J508" s="17"/>
      <c r="V508" s="17"/>
      <c r="AB508" s="17"/>
    </row>
    <row r="509" spans="2:28" x14ac:dyDescent="0.25">
      <c r="B509" s="8"/>
      <c r="J509" s="17"/>
      <c r="V509" s="17"/>
      <c r="AB509" s="17"/>
    </row>
    <row r="510" spans="2:28" x14ac:dyDescent="0.25">
      <c r="B510" s="8"/>
      <c r="J510" s="17"/>
      <c r="V510" s="17"/>
      <c r="AB510" s="17"/>
    </row>
    <row r="511" spans="2:28" x14ac:dyDescent="0.25">
      <c r="B511" s="8"/>
      <c r="J511" s="17"/>
      <c r="V511" s="17"/>
      <c r="AB511" s="17"/>
    </row>
    <row r="512" spans="2:28" x14ac:dyDescent="0.25">
      <c r="B512" s="8"/>
      <c r="J512" s="17"/>
      <c r="V512" s="17"/>
      <c r="AB512" s="17"/>
    </row>
    <row r="513" spans="2:28" x14ac:dyDescent="0.25">
      <c r="B513" s="8"/>
      <c r="J513" s="17"/>
      <c r="V513" s="17"/>
      <c r="AB513" s="17"/>
    </row>
    <row r="514" spans="2:28" x14ac:dyDescent="0.25">
      <c r="B514" s="8"/>
      <c r="J514" s="17"/>
      <c r="V514" s="17"/>
      <c r="AB514" s="17"/>
    </row>
    <row r="515" spans="2:28" x14ac:dyDescent="0.25">
      <c r="B515" s="8"/>
      <c r="J515" s="17"/>
      <c r="V515" s="17"/>
      <c r="AB515" s="17"/>
    </row>
    <row r="516" spans="2:28" x14ac:dyDescent="0.25">
      <c r="B516" s="8"/>
      <c r="J516" s="17"/>
      <c r="V516" s="17"/>
      <c r="AB516" s="17"/>
    </row>
    <row r="517" spans="2:28" x14ac:dyDescent="0.25">
      <c r="B517" s="8"/>
      <c r="J517" s="17"/>
      <c r="V517" s="17"/>
      <c r="AB517" s="17"/>
    </row>
    <row r="518" spans="2:28" x14ac:dyDescent="0.25">
      <c r="B518" s="8"/>
      <c r="J518" s="17"/>
      <c r="V518" s="17"/>
      <c r="AB518" s="17"/>
    </row>
    <row r="519" spans="2:28" x14ac:dyDescent="0.25">
      <c r="B519" s="8"/>
      <c r="J519" s="17"/>
      <c r="V519" s="17"/>
      <c r="AB519" s="17"/>
    </row>
    <row r="520" spans="2:28" x14ac:dyDescent="0.25">
      <c r="B520" s="8"/>
      <c r="J520" s="17"/>
      <c r="V520" s="17"/>
      <c r="AB520" s="17"/>
    </row>
    <row r="521" spans="2:28" x14ac:dyDescent="0.25">
      <c r="B521" s="8"/>
      <c r="J521" s="17"/>
      <c r="V521" s="17"/>
      <c r="AB521" s="17"/>
    </row>
    <row r="522" spans="2:28" x14ac:dyDescent="0.25">
      <c r="B522" s="8"/>
      <c r="J522" s="17"/>
      <c r="V522" s="17"/>
      <c r="AB522" s="17"/>
    </row>
    <row r="523" spans="2:28" x14ac:dyDescent="0.25">
      <c r="B523" s="8"/>
      <c r="J523" s="17"/>
      <c r="V523" s="17"/>
      <c r="AB523" s="17"/>
    </row>
    <row r="524" spans="2:28" x14ac:dyDescent="0.25">
      <c r="B524" s="8"/>
      <c r="J524" s="17"/>
      <c r="V524" s="17"/>
      <c r="AB524" s="17"/>
    </row>
    <row r="525" spans="2:28" x14ac:dyDescent="0.25">
      <c r="B525" s="8"/>
      <c r="J525" s="17"/>
      <c r="V525" s="17"/>
      <c r="AB525" s="17"/>
    </row>
    <row r="526" spans="2:28" x14ac:dyDescent="0.25">
      <c r="B526" s="8"/>
      <c r="J526" s="17"/>
      <c r="V526" s="17"/>
      <c r="AB526" s="17"/>
    </row>
    <row r="527" spans="2:28" x14ac:dyDescent="0.25">
      <c r="B527" s="8"/>
      <c r="J527" s="17"/>
      <c r="V527" s="17"/>
      <c r="AB527" s="17"/>
    </row>
    <row r="528" spans="2:28" x14ac:dyDescent="0.25">
      <c r="B528" s="8"/>
      <c r="J528" s="17"/>
      <c r="V528" s="17"/>
      <c r="AB528" s="17"/>
    </row>
    <row r="529" spans="2:28" x14ac:dyDescent="0.25">
      <c r="B529" s="8"/>
      <c r="J529" s="17"/>
      <c r="V529" s="17"/>
      <c r="AB529" s="17"/>
    </row>
    <row r="530" spans="2:28" x14ac:dyDescent="0.25">
      <c r="B530" s="8"/>
      <c r="J530" s="17"/>
      <c r="V530" s="17"/>
      <c r="AB530" s="17"/>
    </row>
    <row r="531" spans="2:28" x14ac:dyDescent="0.25">
      <c r="B531" s="8"/>
      <c r="J531" s="17"/>
      <c r="V531" s="17"/>
      <c r="AB531" s="17"/>
    </row>
    <row r="532" spans="2:28" x14ac:dyDescent="0.25">
      <c r="B532" s="8"/>
      <c r="J532" s="17"/>
      <c r="V532" s="17"/>
      <c r="AB532" s="17"/>
    </row>
    <row r="533" spans="2:28" x14ac:dyDescent="0.25">
      <c r="B533" s="8"/>
      <c r="J533" s="17"/>
      <c r="V533" s="17"/>
      <c r="AB533" s="17"/>
    </row>
    <row r="534" spans="2:28" x14ac:dyDescent="0.25">
      <c r="B534" s="8"/>
      <c r="J534" s="17"/>
      <c r="V534" s="17"/>
      <c r="AB534" s="17"/>
    </row>
    <row r="535" spans="2:28" x14ac:dyDescent="0.25">
      <c r="B535" s="8"/>
      <c r="J535" s="17"/>
      <c r="V535" s="17"/>
      <c r="AB535" s="17"/>
    </row>
    <row r="536" spans="2:28" x14ac:dyDescent="0.25">
      <c r="B536" s="8"/>
      <c r="J536" s="17"/>
      <c r="V536" s="17"/>
      <c r="AB536" s="17"/>
    </row>
    <row r="537" spans="2:28" x14ac:dyDescent="0.25">
      <c r="B537" s="8"/>
      <c r="J537" s="17"/>
      <c r="V537" s="17"/>
      <c r="AB537" s="17"/>
    </row>
    <row r="538" spans="2:28" x14ac:dyDescent="0.25">
      <c r="B538" s="8"/>
      <c r="J538" s="17"/>
      <c r="V538" s="17"/>
      <c r="AB538" s="17"/>
    </row>
    <row r="539" spans="2:28" x14ac:dyDescent="0.25">
      <c r="B539" s="8"/>
      <c r="J539" s="17"/>
      <c r="V539" s="17"/>
      <c r="AB539" s="17"/>
    </row>
    <row r="540" spans="2:28" x14ac:dyDescent="0.25">
      <c r="B540" s="8"/>
      <c r="J540" s="17"/>
      <c r="V540" s="17"/>
      <c r="AB540" s="17"/>
    </row>
    <row r="541" spans="2:28" x14ac:dyDescent="0.25">
      <c r="B541" s="8"/>
      <c r="J541" s="17"/>
      <c r="V541" s="17"/>
      <c r="AB541" s="17"/>
    </row>
    <row r="542" spans="2:28" x14ac:dyDescent="0.25">
      <c r="B542" s="8"/>
      <c r="J542" s="17"/>
      <c r="V542" s="17"/>
      <c r="AB542" s="17"/>
    </row>
    <row r="543" spans="2:28" x14ac:dyDescent="0.25">
      <c r="B543" s="8"/>
      <c r="J543" s="17"/>
      <c r="V543" s="17"/>
      <c r="AB543" s="17"/>
    </row>
    <row r="544" spans="2:28" x14ac:dyDescent="0.25">
      <c r="B544" s="8"/>
      <c r="J544" s="17"/>
      <c r="V544" s="17"/>
      <c r="AB544" s="17"/>
    </row>
    <row r="545" spans="2:28" x14ac:dyDescent="0.25">
      <c r="B545" s="8"/>
      <c r="J545" s="17"/>
      <c r="V545" s="17"/>
      <c r="AB545" s="17"/>
    </row>
    <row r="546" spans="2:28" x14ac:dyDescent="0.25">
      <c r="B546" s="8"/>
      <c r="J546" s="17"/>
      <c r="V546" s="17"/>
      <c r="AB546" s="17"/>
    </row>
    <row r="547" spans="2:28" x14ac:dyDescent="0.25">
      <c r="B547" s="8"/>
      <c r="J547" s="17"/>
      <c r="V547" s="17"/>
      <c r="AB547" s="17"/>
    </row>
    <row r="548" spans="2:28" x14ac:dyDescent="0.25">
      <c r="B548" s="8"/>
      <c r="J548" s="17"/>
      <c r="V548" s="17"/>
      <c r="AB548" s="17"/>
    </row>
    <row r="549" spans="2:28" x14ac:dyDescent="0.25">
      <c r="B549" s="8"/>
      <c r="J549" s="17"/>
      <c r="V549" s="17"/>
      <c r="AB549" s="17"/>
    </row>
    <row r="550" spans="2:28" x14ac:dyDescent="0.25">
      <c r="B550" s="8"/>
      <c r="J550" s="17"/>
      <c r="V550" s="17"/>
      <c r="AB550" s="17"/>
    </row>
    <row r="551" spans="2:28" x14ac:dyDescent="0.25">
      <c r="B551" s="8"/>
      <c r="J551" s="17"/>
      <c r="V551" s="17"/>
      <c r="AB551" s="17"/>
    </row>
    <row r="552" spans="2:28" x14ac:dyDescent="0.25">
      <c r="B552" s="8"/>
      <c r="J552" s="17"/>
      <c r="V552" s="17"/>
      <c r="AB552" s="17"/>
    </row>
    <row r="553" spans="2:28" x14ac:dyDescent="0.25">
      <c r="B553" s="8"/>
      <c r="J553" s="17"/>
      <c r="V553" s="17"/>
      <c r="AB553" s="17"/>
    </row>
    <row r="554" spans="2:28" x14ac:dyDescent="0.25">
      <c r="B554" s="8"/>
      <c r="J554" s="17"/>
      <c r="V554" s="17"/>
      <c r="AB554" s="17"/>
    </row>
    <row r="555" spans="2:28" x14ac:dyDescent="0.25">
      <c r="B555" s="8"/>
      <c r="J555" s="17"/>
      <c r="V555" s="17"/>
      <c r="AB555" s="17"/>
    </row>
    <row r="556" spans="2:28" x14ac:dyDescent="0.25">
      <c r="B556" s="8"/>
      <c r="J556" s="17"/>
      <c r="V556" s="17"/>
      <c r="AB556" s="17"/>
    </row>
    <row r="557" spans="2:28" x14ac:dyDescent="0.25">
      <c r="B557" s="8"/>
      <c r="J557" s="17"/>
      <c r="V557" s="17"/>
      <c r="AB557" s="17"/>
    </row>
    <row r="558" spans="2:28" x14ac:dyDescent="0.25">
      <c r="B558" s="8"/>
      <c r="J558" s="17"/>
      <c r="V558" s="17"/>
      <c r="AB558" s="17"/>
    </row>
    <row r="559" spans="2:28" x14ac:dyDescent="0.25">
      <c r="B559" s="8"/>
      <c r="J559" s="17"/>
      <c r="V559" s="17"/>
      <c r="AB559" s="17"/>
    </row>
    <row r="560" spans="2:28" x14ac:dyDescent="0.25">
      <c r="B560" s="8"/>
      <c r="J560" s="17"/>
      <c r="V560" s="17"/>
      <c r="AB560" s="17"/>
    </row>
    <row r="561" spans="2:28" x14ac:dyDescent="0.25">
      <c r="B561" s="8"/>
      <c r="J561" s="17"/>
      <c r="V561" s="17"/>
      <c r="AB561" s="17"/>
    </row>
    <row r="562" spans="2:28" x14ac:dyDescent="0.25">
      <c r="B562" s="8"/>
      <c r="J562" s="17"/>
      <c r="V562" s="17"/>
      <c r="AB562" s="17"/>
    </row>
    <row r="563" spans="2:28" x14ac:dyDescent="0.25">
      <c r="B563" s="8"/>
      <c r="J563" s="17"/>
      <c r="V563" s="17"/>
      <c r="AB563" s="17"/>
    </row>
    <row r="564" spans="2:28" x14ac:dyDescent="0.25">
      <c r="B564" s="8"/>
      <c r="J564" s="17"/>
      <c r="V564" s="17"/>
      <c r="AB564" s="17"/>
    </row>
    <row r="565" spans="2:28" x14ac:dyDescent="0.25">
      <c r="B565" s="8"/>
      <c r="J565" s="17"/>
      <c r="V565" s="17"/>
      <c r="AB565" s="17"/>
    </row>
    <row r="566" spans="2:28" x14ac:dyDescent="0.25">
      <c r="B566" s="8"/>
      <c r="J566" s="17"/>
      <c r="V566" s="17"/>
      <c r="AB566" s="17"/>
    </row>
    <row r="567" spans="2:28" x14ac:dyDescent="0.25">
      <c r="B567" s="8"/>
      <c r="J567" s="17"/>
      <c r="V567" s="17"/>
      <c r="AB567" s="17"/>
    </row>
    <row r="568" spans="2:28" x14ac:dyDescent="0.25">
      <c r="B568" s="8"/>
      <c r="J568" s="17"/>
      <c r="V568" s="17"/>
      <c r="AB568" s="17"/>
    </row>
    <row r="569" spans="2:28" x14ac:dyDescent="0.25">
      <c r="B569" s="8"/>
      <c r="J569" s="17"/>
      <c r="V569" s="17"/>
      <c r="AB569" s="17"/>
    </row>
    <row r="570" spans="2:28" x14ac:dyDescent="0.25">
      <c r="B570" s="8"/>
      <c r="J570" s="17"/>
      <c r="V570" s="17"/>
      <c r="AB570" s="17"/>
    </row>
    <row r="571" spans="2:28" x14ac:dyDescent="0.25">
      <c r="B571" s="8"/>
      <c r="J571" s="17"/>
      <c r="V571" s="17"/>
      <c r="AB571" s="17"/>
    </row>
    <row r="572" spans="2:28" x14ac:dyDescent="0.25">
      <c r="B572" s="8"/>
      <c r="J572" s="17"/>
      <c r="V572" s="17"/>
      <c r="AB572" s="17"/>
    </row>
    <row r="573" spans="2:28" x14ac:dyDescent="0.25">
      <c r="B573" s="8"/>
      <c r="J573" s="17"/>
      <c r="V573" s="17"/>
      <c r="AB573" s="17"/>
    </row>
    <row r="574" spans="2:28" x14ac:dyDescent="0.25">
      <c r="B574" s="8"/>
      <c r="J574" s="17"/>
      <c r="V574" s="17"/>
      <c r="AB574" s="17"/>
    </row>
    <row r="575" spans="2:28" x14ac:dyDescent="0.25">
      <c r="B575" s="8"/>
      <c r="J575" s="17"/>
      <c r="V575" s="17"/>
      <c r="AB575" s="17"/>
    </row>
    <row r="576" spans="2:28" x14ac:dyDescent="0.25">
      <c r="B576" s="8"/>
      <c r="J576" s="17"/>
      <c r="V576" s="17"/>
      <c r="AB576" s="17"/>
    </row>
    <row r="577" spans="2:28" x14ac:dyDescent="0.25">
      <c r="B577" s="8"/>
      <c r="J577" s="17"/>
      <c r="V577" s="17"/>
      <c r="AB577" s="17"/>
    </row>
    <row r="578" spans="2:28" x14ac:dyDescent="0.25">
      <c r="B578" s="8"/>
      <c r="J578" s="17"/>
      <c r="V578" s="17"/>
      <c r="AB578" s="17"/>
    </row>
    <row r="579" spans="2:28" x14ac:dyDescent="0.25">
      <c r="B579" s="8"/>
      <c r="J579" s="17"/>
      <c r="V579" s="17"/>
      <c r="AB579" s="17"/>
    </row>
    <row r="580" spans="2:28" x14ac:dyDescent="0.25">
      <c r="B580" s="8"/>
      <c r="J580" s="17"/>
      <c r="V580" s="17"/>
      <c r="AB580" s="17"/>
    </row>
    <row r="581" spans="2:28" x14ac:dyDescent="0.25">
      <c r="B581" s="8"/>
      <c r="J581" s="17"/>
      <c r="V581" s="17"/>
      <c r="AB581" s="17"/>
    </row>
    <row r="582" spans="2:28" x14ac:dyDescent="0.25">
      <c r="B582" s="8"/>
      <c r="J582" s="17"/>
      <c r="V582" s="17"/>
      <c r="AB582" s="17"/>
    </row>
    <row r="583" spans="2:28" x14ac:dyDescent="0.25">
      <c r="B583" s="8"/>
      <c r="J583" s="17"/>
      <c r="V583" s="17"/>
      <c r="AB583" s="17"/>
    </row>
    <row r="584" spans="2:28" x14ac:dyDescent="0.25">
      <c r="B584" s="8"/>
      <c r="J584" s="17"/>
      <c r="V584" s="17"/>
      <c r="AB584" s="17"/>
    </row>
    <row r="585" spans="2:28" x14ac:dyDescent="0.25">
      <c r="B585" s="8"/>
      <c r="J585" s="17"/>
      <c r="V585" s="17"/>
      <c r="AB585" s="17"/>
    </row>
    <row r="586" spans="2:28" x14ac:dyDescent="0.25">
      <c r="B586" s="8"/>
      <c r="J586" s="17"/>
      <c r="V586" s="17"/>
      <c r="AB586" s="17"/>
    </row>
    <row r="587" spans="2:28" x14ac:dyDescent="0.25">
      <c r="B587" s="8"/>
      <c r="J587" s="17"/>
      <c r="V587" s="17"/>
      <c r="AB587" s="17"/>
    </row>
    <row r="588" spans="2:28" x14ac:dyDescent="0.25">
      <c r="B588" s="8"/>
      <c r="J588" s="17"/>
      <c r="V588" s="17"/>
      <c r="AB588" s="17"/>
    </row>
    <row r="589" spans="2:28" x14ac:dyDescent="0.25">
      <c r="B589" s="8"/>
      <c r="J589" s="17"/>
      <c r="V589" s="17"/>
      <c r="AB589" s="17"/>
    </row>
    <row r="590" spans="2:28" x14ac:dyDescent="0.25">
      <c r="B590" s="8"/>
      <c r="J590" s="17"/>
      <c r="V590" s="17"/>
      <c r="AB590" s="17"/>
    </row>
    <row r="591" spans="2:28" x14ac:dyDescent="0.25">
      <c r="B591" s="8"/>
      <c r="J591" s="17"/>
      <c r="V591" s="17"/>
      <c r="AB591" s="17"/>
    </row>
    <row r="592" spans="2:28" x14ac:dyDescent="0.25">
      <c r="B592" s="8"/>
      <c r="J592" s="17"/>
      <c r="V592" s="17"/>
      <c r="AB592" s="17"/>
    </row>
    <row r="593" spans="2:28" x14ac:dyDescent="0.25">
      <c r="B593" s="8"/>
      <c r="J593" s="17"/>
      <c r="V593" s="17"/>
      <c r="AB593" s="17"/>
    </row>
    <row r="594" spans="2:28" x14ac:dyDescent="0.25">
      <c r="B594" s="8"/>
      <c r="J594" s="17"/>
      <c r="V594" s="17"/>
      <c r="AB594" s="17"/>
    </row>
    <row r="595" spans="2:28" x14ac:dyDescent="0.25">
      <c r="B595" s="8"/>
      <c r="J595" s="17"/>
      <c r="V595" s="17"/>
      <c r="AB595" s="17"/>
    </row>
    <row r="596" spans="2:28" x14ac:dyDescent="0.25">
      <c r="B596" s="8"/>
      <c r="J596" s="17"/>
      <c r="V596" s="17"/>
      <c r="AB596" s="17"/>
    </row>
    <row r="597" spans="2:28" x14ac:dyDescent="0.25">
      <c r="B597" s="8"/>
      <c r="J597" s="17"/>
      <c r="V597" s="17"/>
      <c r="AB597" s="17"/>
    </row>
    <row r="598" spans="2:28" x14ac:dyDescent="0.25">
      <c r="B598" s="8"/>
      <c r="J598" s="17"/>
      <c r="V598" s="17"/>
      <c r="AB598" s="17"/>
    </row>
    <row r="599" spans="2:28" x14ac:dyDescent="0.25">
      <c r="B599" s="8"/>
      <c r="J599" s="17"/>
      <c r="V599" s="17"/>
      <c r="AB599" s="17"/>
    </row>
    <row r="600" spans="2:28" x14ac:dyDescent="0.25">
      <c r="B600" s="8"/>
      <c r="J600" s="17"/>
      <c r="V600" s="17"/>
      <c r="AB600" s="17"/>
    </row>
    <row r="601" spans="2:28" x14ac:dyDescent="0.25">
      <c r="B601" s="8"/>
      <c r="J601" s="17"/>
      <c r="V601" s="17"/>
      <c r="AB601" s="17"/>
    </row>
    <row r="602" spans="2:28" x14ac:dyDescent="0.25">
      <c r="B602" s="8"/>
      <c r="J602" s="17"/>
      <c r="V602" s="17"/>
      <c r="AB602" s="17"/>
    </row>
    <row r="603" spans="2:28" x14ac:dyDescent="0.25">
      <c r="B603" s="8"/>
      <c r="J603" s="17"/>
      <c r="V603" s="17"/>
      <c r="AB603" s="17"/>
    </row>
    <row r="604" spans="2:28" x14ac:dyDescent="0.25">
      <c r="B604" s="8"/>
      <c r="J604" s="17"/>
      <c r="V604" s="17"/>
      <c r="AB604" s="17"/>
    </row>
    <row r="605" spans="2:28" x14ac:dyDescent="0.25">
      <c r="B605" s="8"/>
      <c r="J605" s="17"/>
      <c r="V605" s="17"/>
      <c r="AB605" s="17"/>
    </row>
    <row r="606" spans="2:28" x14ac:dyDescent="0.25">
      <c r="B606" s="8"/>
      <c r="J606" s="17"/>
      <c r="V606" s="17"/>
      <c r="AB606" s="17"/>
    </row>
    <row r="607" spans="2:28" x14ac:dyDescent="0.25">
      <c r="B607" s="8"/>
      <c r="J607" s="17"/>
      <c r="V607" s="17"/>
      <c r="AB607" s="17"/>
    </row>
    <row r="608" spans="2:28" x14ac:dyDescent="0.25">
      <c r="B608" s="8"/>
      <c r="J608" s="17"/>
      <c r="V608" s="17"/>
      <c r="AB608" s="17"/>
    </row>
    <row r="609" spans="2:28" x14ac:dyDescent="0.25">
      <c r="B609" s="8"/>
      <c r="J609" s="17"/>
      <c r="V609" s="17"/>
      <c r="AB609" s="17"/>
    </row>
    <row r="610" spans="2:28" x14ac:dyDescent="0.25">
      <c r="B610" s="8"/>
      <c r="J610" s="17"/>
      <c r="V610" s="17"/>
      <c r="AB610" s="17"/>
    </row>
    <row r="611" spans="2:28" x14ac:dyDescent="0.25">
      <c r="B611" s="8"/>
      <c r="J611" s="17"/>
      <c r="V611" s="17"/>
      <c r="AB611" s="17"/>
    </row>
    <row r="612" spans="2:28" x14ac:dyDescent="0.25">
      <c r="B612" s="8"/>
      <c r="J612" s="17"/>
      <c r="V612" s="17"/>
      <c r="AB612" s="17"/>
    </row>
    <row r="613" spans="2:28" x14ac:dyDescent="0.25">
      <c r="B613" s="8"/>
      <c r="J613" s="17"/>
      <c r="V613" s="17"/>
      <c r="AB613" s="17"/>
    </row>
    <row r="614" spans="2:28" x14ac:dyDescent="0.25">
      <c r="B614" s="8"/>
      <c r="J614" s="17"/>
      <c r="V614" s="17"/>
      <c r="AB614" s="17"/>
    </row>
    <row r="615" spans="2:28" x14ac:dyDescent="0.25">
      <c r="B615" s="8"/>
      <c r="J615" s="17"/>
      <c r="V615" s="17"/>
      <c r="AB615" s="17"/>
    </row>
    <row r="616" spans="2:28" x14ac:dyDescent="0.25">
      <c r="B616" s="8"/>
      <c r="J616" s="17"/>
      <c r="V616" s="17"/>
      <c r="AB616" s="17"/>
    </row>
    <row r="617" spans="2:28" x14ac:dyDescent="0.25">
      <c r="B617" s="8"/>
      <c r="J617" s="17"/>
      <c r="V617" s="17"/>
      <c r="AB617" s="17"/>
    </row>
    <row r="618" spans="2:28" x14ac:dyDescent="0.25">
      <c r="B618" s="8"/>
      <c r="J618" s="17"/>
      <c r="V618" s="17"/>
      <c r="AB618" s="17"/>
    </row>
    <row r="619" spans="2:28" x14ac:dyDescent="0.25">
      <c r="B619" s="8"/>
      <c r="J619" s="17"/>
      <c r="V619" s="17"/>
      <c r="AB619" s="17"/>
    </row>
    <row r="620" spans="2:28" x14ac:dyDescent="0.25">
      <c r="B620" s="8"/>
      <c r="J620" s="17"/>
      <c r="V620" s="17"/>
      <c r="AB620" s="17"/>
    </row>
    <row r="621" spans="2:28" x14ac:dyDescent="0.25">
      <c r="B621" s="8"/>
      <c r="J621" s="17"/>
      <c r="V621" s="17"/>
      <c r="AB621" s="17"/>
    </row>
    <row r="622" spans="2:28" x14ac:dyDescent="0.25">
      <c r="B622" s="8"/>
      <c r="J622" s="17"/>
      <c r="V622" s="17"/>
      <c r="AB622" s="17"/>
    </row>
    <row r="623" spans="2:28" x14ac:dyDescent="0.25">
      <c r="B623" s="8"/>
      <c r="J623" s="17"/>
      <c r="V623" s="17"/>
      <c r="AB623" s="17"/>
    </row>
    <row r="624" spans="2:28" x14ac:dyDescent="0.25">
      <c r="B624" s="8"/>
      <c r="J624" s="17"/>
      <c r="V624" s="17"/>
      <c r="AB624" s="17"/>
    </row>
    <row r="625" spans="2:28" x14ac:dyDescent="0.25">
      <c r="B625" s="8"/>
      <c r="J625" s="17"/>
      <c r="V625" s="17"/>
      <c r="AB625" s="17"/>
    </row>
    <row r="626" spans="2:28" x14ac:dyDescent="0.25">
      <c r="B626" s="8"/>
      <c r="J626" s="17"/>
      <c r="V626" s="17"/>
      <c r="AB626" s="17"/>
    </row>
    <row r="627" spans="2:28" x14ac:dyDescent="0.25">
      <c r="B627" s="8"/>
      <c r="J627" s="17"/>
      <c r="V627" s="17"/>
      <c r="AB627" s="17"/>
    </row>
    <row r="628" spans="2:28" x14ac:dyDescent="0.25">
      <c r="B628" s="8"/>
      <c r="J628" s="17"/>
      <c r="V628" s="17"/>
      <c r="AB628" s="17"/>
    </row>
    <row r="629" spans="2:28" x14ac:dyDescent="0.25">
      <c r="B629" s="8"/>
      <c r="J629" s="17"/>
      <c r="V629" s="17"/>
      <c r="AB629" s="17"/>
    </row>
    <row r="630" spans="2:28" x14ac:dyDescent="0.25">
      <c r="B630" s="8"/>
      <c r="J630" s="17"/>
      <c r="V630" s="17"/>
      <c r="AB630" s="17"/>
    </row>
    <row r="631" spans="2:28" x14ac:dyDescent="0.25">
      <c r="B631" s="8"/>
      <c r="J631" s="17"/>
      <c r="V631" s="17"/>
      <c r="AB631" s="17"/>
    </row>
    <row r="632" spans="2:28" x14ac:dyDescent="0.25">
      <c r="B632" s="8"/>
      <c r="J632" s="17"/>
      <c r="V632" s="17"/>
      <c r="AB632" s="17"/>
    </row>
    <row r="633" spans="2:28" x14ac:dyDescent="0.25">
      <c r="B633" s="8"/>
      <c r="J633" s="17"/>
      <c r="V633" s="17"/>
      <c r="AB633" s="17"/>
    </row>
    <row r="634" spans="2:28" x14ac:dyDescent="0.25">
      <c r="B634" s="8"/>
      <c r="J634" s="17"/>
      <c r="V634" s="17"/>
      <c r="AB634" s="17"/>
    </row>
    <row r="635" spans="2:28" x14ac:dyDescent="0.25">
      <c r="B635" s="8"/>
      <c r="J635" s="17"/>
      <c r="V635" s="17"/>
      <c r="AB635" s="17"/>
    </row>
    <row r="636" spans="2:28" x14ac:dyDescent="0.25">
      <c r="B636" s="8"/>
      <c r="J636" s="17"/>
      <c r="V636" s="17"/>
      <c r="AB636" s="17"/>
    </row>
    <row r="637" spans="2:28" x14ac:dyDescent="0.25">
      <c r="B637" s="8"/>
      <c r="J637" s="17"/>
      <c r="V637" s="17"/>
      <c r="AB637" s="17"/>
    </row>
    <row r="638" spans="2:28" x14ac:dyDescent="0.25">
      <c r="B638" s="8"/>
      <c r="J638" s="17"/>
      <c r="V638" s="17"/>
      <c r="AB638" s="17"/>
    </row>
    <row r="639" spans="2:28" x14ac:dyDescent="0.25">
      <c r="B639" s="8"/>
      <c r="J639" s="17"/>
      <c r="V639" s="17"/>
      <c r="AB639" s="17"/>
    </row>
    <row r="640" spans="2:28" x14ac:dyDescent="0.25">
      <c r="B640" s="8"/>
      <c r="J640" s="17"/>
      <c r="V640" s="17"/>
      <c r="AB640" s="17"/>
    </row>
    <row r="641" spans="2:28" x14ac:dyDescent="0.25">
      <c r="B641" s="8"/>
      <c r="J641" s="17"/>
      <c r="V641" s="17"/>
      <c r="AB641" s="17"/>
    </row>
    <row r="642" spans="2:28" x14ac:dyDescent="0.25">
      <c r="B642" s="8"/>
      <c r="J642" s="17"/>
      <c r="V642" s="17"/>
      <c r="AB642" s="17"/>
    </row>
    <row r="643" spans="2:28" x14ac:dyDescent="0.25">
      <c r="B643" s="8"/>
      <c r="J643" s="17"/>
      <c r="V643" s="17"/>
      <c r="AB643" s="17"/>
    </row>
    <row r="644" spans="2:28" x14ac:dyDescent="0.25">
      <c r="B644" s="8"/>
      <c r="J644" s="17"/>
      <c r="V644" s="17"/>
      <c r="AB644" s="17"/>
    </row>
    <row r="645" spans="2:28" x14ac:dyDescent="0.25">
      <c r="B645" s="8"/>
      <c r="J645" s="17"/>
      <c r="V645" s="17"/>
      <c r="AB645" s="17"/>
    </row>
    <row r="646" spans="2:28" x14ac:dyDescent="0.25">
      <c r="B646" s="8"/>
      <c r="J646" s="17"/>
      <c r="V646" s="17"/>
      <c r="AB646" s="17"/>
    </row>
    <row r="647" spans="2:28" x14ac:dyDescent="0.25">
      <c r="B647" s="8"/>
      <c r="J647" s="17"/>
      <c r="V647" s="17"/>
      <c r="AB647" s="17"/>
    </row>
    <row r="648" spans="2:28" x14ac:dyDescent="0.25">
      <c r="B648" s="8"/>
      <c r="J648" s="17"/>
      <c r="V648" s="17"/>
      <c r="AB648" s="17"/>
    </row>
    <row r="649" spans="2:28" x14ac:dyDescent="0.25">
      <c r="B649" s="8"/>
      <c r="J649" s="17"/>
      <c r="V649" s="17"/>
      <c r="AB649" s="17"/>
    </row>
    <row r="650" spans="2:28" x14ac:dyDescent="0.25">
      <c r="B650" s="8"/>
      <c r="J650" s="17"/>
      <c r="V650" s="17"/>
      <c r="AB650" s="17"/>
    </row>
    <row r="651" spans="2:28" x14ac:dyDescent="0.25">
      <c r="B651" s="8"/>
      <c r="J651" s="17"/>
      <c r="V651" s="17"/>
      <c r="AB651" s="17"/>
    </row>
    <row r="652" spans="2:28" x14ac:dyDescent="0.25">
      <c r="B652" s="8"/>
      <c r="J652" s="17"/>
      <c r="V652" s="17"/>
      <c r="AB652" s="17"/>
    </row>
    <row r="653" spans="2:28" x14ac:dyDescent="0.25">
      <c r="B653" s="8"/>
      <c r="J653" s="17"/>
      <c r="V653" s="17"/>
      <c r="AB653" s="17"/>
    </row>
    <row r="654" spans="2:28" x14ac:dyDescent="0.25">
      <c r="B654" s="8"/>
      <c r="J654" s="17"/>
      <c r="V654" s="17"/>
      <c r="AB654" s="17"/>
    </row>
    <row r="655" spans="2:28" x14ac:dyDescent="0.25">
      <c r="B655" s="8"/>
      <c r="J655" s="17"/>
      <c r="V655" s="17"/>
      <c r="AB655" s="17"/>
    </row>
    <row r="656" spans="2:28" x14ac:dyDescent="0.25">
      <c r="B656" s="8"/>
      <c r="J656" s="17"/>
      <c r="V656" s="17"/>
      <c r="AB656" s="17"/>
    </row>
    <row r="657" spans="2:28" x14ac:dyDescent="0.25">
      <c r="B657" s="8"/>
      <c r="J657" s="17"/>
      <c r="V657" s="17"/>
      <c r="AB657" s="17"/>
    </row>
    <row r="658" spans="2:28" x14ac:dyDescent="0.25">
      <c r="B658" s="8"/>
      <c r="J658" s="17"/>
      <c r="V658" s="17"/>
      <c r="AB658" s="17"/>
    </row>
    <row r="659" spans="2:28" x14ac:dyDescent="0.25">
      <c r="B659" s="8"/>
      <c r="J659" s="17"/>
      <c r="V659" s="17"/>
      <c r="AB659" s="17"/>
    </row>
    <row r="660" spans="2:28" x14ac:dyDescent="0.25">
      <c r="B660" s="8"/>
      <c r="J660" s="17"/>
      <c r="V660" s="17"/>
      <c r="AB660" s="17"/>
    </row>
    <row r="661" spans="2:28" x14ac:dyDescent="0.25">
      <c r="B661" s="8"/>
      <c r="J661" s="17"/>
      <c r="V661" s="17"/>
      <c r="AB661" s="17"/>
    </row>
    <row r="662" spans="2:28" x14ac:dyDescent="0.25">
      <c r="B662" s="8"/>
      <c r="J662" s="17"/>
      <c r="V662" s="17"/>
      <c r="AB662" s="17"/>
    </row>
    <row r="663" spans="2:28" x14ac:dyDescent="0.25">
      <c r="B663" s="8"/>
      <c r="J663" s="17"/>
      <c r="V663" s="17"/>
      <c r="AB663" s="17"/>
    </row>
    <row r="664" spans="2:28" x14ac:dyDescent="0.25">
      <c r="B664" s="8"/>
      <c r="J664" s="17"/>
      <c r="V664" s="17"/>
      <c r="AB664" s="17"/>
    </row>
    <row r="665" spans="2:28" x14ac:dyDescent="0.25">
      <c r="B665" s="8"/>
      <c r="J665" s="17"/>
      <c r="V665" s="17"/>
      <c r="AB665" s="17"/>
    </row>
    <row r="666" spans="2:28" x14ac:dyDescent="0.25">
      <c r="B666" s="8"/>
      <c r="J666" s="17"/>
      <c r="V666" s="17"/>
      <c r="AB666" s="17"/>
    </row>
    <row r="667" spans="2:28" x14ac:dyDescent="0.25">
      <c r="B667" s="8"/>
      <c r="J667" s="17"/>
      <c r="V667" s="17"/>
      <c r="AB667" s="17"/>
    </row>
    <row r="668" spans="2:28" x14ac:dyDescent="0.25">
      <c r="B668" s="8"/>
      <c r="J668" s="17"/>
      <c r="V668" s="17"/>
      <c r="AB668" s="17"/>
    </row>
    <row r="669" spans="2:28" x14ac:dyDescent="0.25">
      <c r="B669" s="8"/>
      <c r="J669" s="17"/>
      <c r="V669" s="17"/>
      <c r="AB669" s="17"/>
    </row>
    <row r="670" spans="2:28" x14ac:dyDescent="0.25">
      <c r="B670" s="8"/>
      <c r="J670" s="17"/>
      <c r="V670" s="17"/>
      <c r="AB670" s="17"/>
    </row>
    <row r="671" spans="2:28" x14ac:dyDescent="0.25">
      <c r="B671" s="8"/>
      <c r="J671" s="17"/>
      <c r="V671" s="17"/>
      <c r="AB671" s="17"/>
    </row>
    <row r="672" spans="2:28" x14ac:dyDescent="0.25">
      <c r="B672" s="8"/>
      <c r="J672" s="17"/>
      <c r="V672" s="17"/>
      <c r="AB672" s="17"/>
    </row>
    <row r="673" spans="2:28" x14ac:dyDescent="0.25">
      <c r="B673" s="8"/>
      <c r="J673" s="17"/>
      <c r="V673" s="17"/>
      <c r="AB673" s="17"/>
    </row>
    <row r="674" spans="2:28" x14ac:dyDescent="0.25">
      <c r="B674" s="8"/>
      <c r="J674" s="17"/>
      <c r="V674" s="17"/>
      <c r="AB674" s="17"/>
    </row>
    <row r="675" spans="2:28" x14ac:dyDescent="0.25">
      <c r="B675" s="8"/>
      <c r="J675" s="17"/>
      <c r="V675" s="17"/>
      <c r="AB675" s="17"/>
    </row>
    <row r="676" spans="2:28" x14ac:dyDescent="0.25">
      <c r="B676" s="8"/>
      <c r="J676" s="17"/>
      <c r="V676" s="17"/>
      <c r="AB676" s="17"/>
    </row>
    <row r="677" spans="2:28" x14ac:dyDescent="0.25">
      <c r="B677" s="8"/>
      <c r="J677" s="17"/>
      <c r="V677" s="17"/>
      <c r="AB677" s="17"/>
    </row>
    <row r="678" spans="2:28" x14ac:dyDescent="0.25">
      <c r="B678" s="8"/>
      <c r="J678" s="17"/>
      <c r="V678" s="17"/>
      <c r="AB678" s="17"/>
    </row>
    <row r="679" spans="2:28" x14ac:dyDescent="0.25">
      <c r="B679" s="8"/>
      <c r="J679" s="17"/>
      <c r="V679" s="17"/>
      <c r="AB679" s="17"/>
    </row>
    <row r="680" spans="2:28" x14ac:dyDescent="0.25">
      <c r="B680" s="8"/>
      <c r="J680" s="17"/>
      <c r="V680" s="17"/>
      <c r="AB680" s="17"/>
    </row>
    <row r="681" spans="2:28" x14ac:dyDescent="0.25">
      <c r="B681" s="8"/>
      <c r="J681" s="17"/>
      <c r="V681" s="17"/>
      <c r="AB681" s="17"/>
    </row>
    <row r="682" spans="2:28" x14ac:dyDescent="0.25">
      <c r="B682" s="8"/>
      <c r="J682" s="17"/>
      <c r="V682" s="17"/>
      <c r="AB682" s="17"/>
    </row>
    <row r="683" spans="2:28" x14ac:dyDescent="0.25">
      <c r="B683" s="8"/>
      <c r="J683" s="17"/>
      <c r="V683" s="17"/>
      <c r="AB683" s="17"/>
    </row>
    <row r="684" spans="2:28" x14ac:dyDescent="0.25">
      <c r="B684" s="8"/>
      <c r="J684" s="17"/>
      <c r="V684" s="17"/>
      <c r="AB684" s="17"/>
    </row>
    <row r="685" spans="2:28" x14ac:dyDescent="0.25">
      <c r="B685" s="8"/>
      <c r="J685" s="17"/>
      <c r="V685" s="17"/>
      <c r="AB685" s="17"/>
    </row>
    <row r="686" spans="2:28" x14ac:dyDescent="0.25">
      <c r="B686" s="8"/>
      <c r="J686" s="17"/>
      <c r="V686" s="17"/>
      <c r="AB686" s="17"/>
    </row>
    <row r="687" spans="2:28" x14ac:dyDescent="0.25">
      <c r="B687" s="8"/>
      <c r="J687" s="17"/>
      <c r="V687" s="17"/>
      <c r="AB687" s="17"/>
    </row>
    <row r="688" spans="2:28" x14ac:dyDescent="0.25">
      <c r="B688" s="8"/>
      <c r="J688" s="17"/>
      <c r="V688" s="17"/>
      <c r="AB688" s="17"/>
    </row>
    <row r="689" spans="2:28" x14ac:dyDescent="0.25">
      <c r="B689" s="8"/>
      <c r="J689" s="17"/>
      <c r="V689" s="17"/>
      <c r="AB689" s="17"/>
    </row>
    <row r="690" spans="2:28" x14ac:dyDescent="0.25">
      <c r="B690" s="8"/>
      <c r="J690" s="17"/>
      <c r="V690" s="17"/>
      <c r="AB690" s="17"/>
    </row>
    <row r="691" spans="2:28" x14ac:dyDescent="0.25">
      <c r="B691" s="8"/>
      <c r="J691" s="17"/>
      <c r="V691" s="17"/>
      <c r="AB691" s="17"/>
    </row>
    <row r="692" spans="2:28" x14ac:dyDescent="0.25">
      <c r="B692" s="8"/>
      <c r="J692" s="17"/>
      <c r="V692" s="17"/>
      <c r="AB692" s="17"/>
    </row>
    <row r="693" spans="2:28" x14ac:dyDescent="0.25">
      <c r="B693" s="8"/>
      <c r="J693" s="17"/>
      <c r="V693" s="17"/>
      <c r="AB693" s="17"/>
    </row>
    <row r="694" spans="2:28" x14ac:dyDescent="0.25">
      <c r="B694" s="8"/>
      <c r="J694" s="17"/>
      <c r="V694" s="17"/>
      <c r="AB694" s="17"/>
    </row>
    <row r="695" spans="2:28" x14ac:dyDescent="0.25">
      <c r="B695" s="8"/>
      <c r="J695" s="17"/>
      <c r="V695" s="17"/>
      <c r="AB695" s="17"/>
    </row>
    <row r="696" spans="2:28" x14ac:dyDescent="0.25">
      <c r="B696" s="8"/>
      <c r="J696" s="17"/>
      <c r="V696" s="17"/>
      <c r="AB696" s="17"/>
    </row>
    <row r="697" spans="2:28" x14ac:dyDescent="0.25">
      <c r="B697" s="8"/>
      <c r="J697" s="17"/>
      <c r="V697" s="17"/>
      <c r="AB697" s="17"/>
    </row>
    <row r="698" spans="2:28" x14ac:dyDescent="0.25">
      <c r="B698" s="8"/>
      <c r="J698" s="17"/>
      <c r="V698" s="17"/>
      <c r="AB698" s="17"/>
    </row>
    <row r="699" spans="2:28" x14ac:dyDescent="0.25">
      <c r="B699" s="8"/>
      <c r="J699" s="17"/>
      <c r="V699" s="17"/>
      <c r="AB699" s="17"/>
    </row>
    <row r="700" spans="2:28" x14ac:dyDescent="0.25">
      <c r="B700" s="8"/>
      <c r="J700" s="17"/>
      <c r="V700" s="17"/>
      <c r="AB700" s="17"/>
    </row>
    <row r="701" spans="2:28" x14ac:dyDescent="0.25">
      <c r="B701" s="8"/>
      <c r="J701" s="17"/>
      <c r="V701" s="17"/>
      <c r="AB701" s="17"/>
    </row>
    <row r="702" spans="2:28" x14ac:dyDescent="0.25">
      <c r="B702" s="8"/>
      <c r="J702" s="17"/>
      <c r="V702" s="17"/>
      <c r="AB702" s="17"/>
    </row>
    <row r="703" spans="2:28" x14ac:dyDescent="0.25">
      <c r="B703" s="8"/>
      <c r="J703" s="17"/>
      <c r="V703" s="17"/>
      <c r="AB703" s="17"/>
    </row>
    <row r="704" spans="2:28" x14ac:dyDescent="0.25">
      <c r="B704" s="8"/>
      <c r="J704" s="17"/>
      <c r="V704" s="17"/>
      <c r="AB704" s="17"/>
    </row>
    <row r="705" spans="2:28" x14ac:dyDescent="0.25">
      <c r="B705" s="8"/>
      <c r="J705" s="17"/>
      <c r="V705" s="17"/>
      <c r="AB705" s="17"/>
    </row>
    <row r="706" spans="2:28" x14ac:dyDescent="0.25">
      <c r="B706" s="8"/>
      <c r="J706" s="17"/>
      <c r="V706" s="17"/>
      <c r="AB706" s="17"/>
    </row>
    <row r="707" spans="2:28" x14ac:dyDescent="0.25">
      <c r="B707" s="8"/>
      <c r="J707" s="17"/>
      <c r="V707" s="17"/>
      <c r="AB707" s="17"/>
    </row>
    <row r="708" spans="2:28" x14ac:dyDescent="0.25">
      <c r="B708" s="8"/>
      <c r="J708" s="17"/>
      <c r="V708" s="17"/>
      <c r="AB708" s="17"/>
    </row>
    <row r="709" spans="2:28" x14ac:dyDescent="0.25">
      <c r="B709" s="8"/>
      <c r="J709" s="17"/>
      <c r="V709" s="17"/>
      <c r="AB709" s="17"/>
    </row>
    <row r="710" spans="2:28" x14ac:dyDescent="0.25">
      <c r="B710" s="8"/>
      <c r="J710" s="17"/>
      <c r="V710" s="17"/>
      <c r="AB710" s="17"/>
    </row>
    <row r="711" spans="2:28" x14ac:dyDescent="0.25">
      <c r="B711" s="8"/>
      <c r="J711" s="17"/>
      <c r="V711" s="17"/>
      <c r="AB711" s="17"/>
    </row>
    <row r="712" spans="2:28" x14ac:dyDescent="0.25">
      <c r="B712" s="8"/>
      <c r="J712" s="17"/>
      <c r="V712" s="17"/>
      <c r="AB712" s="17"/>
    </row>
    <row r="713" spans="2:28" x14ac:dyDescent="0.25">
      <c r="B713" s="8"/>
      <c r="J713" s="17"/>
      <c r="V713" s="17"/>
      <c r="AB713" s="17"/>
    </row>
    <row r="714" spans="2:28" x14ac:dyDescent="0.25">
      <c r="B714" s="8"/>
      <c r="J714" s="17"/>
      <c r="V714" s="17"/>
      <c r="AB714" s="17"/>
    </row>
    <row r="715" spans="2:28" x14ac:dyDescent="0.25">
      <c r="B715" s="8"/>
      <c r="J715" s="17"/>
      <c r="V715" s="17"/>
      <c r="AB715" s="17"/>
    </row>
    <row r="716" spans="2:28" x14ac:dyDescent="0.25">
      <c r="B716" s="8"/>
      <c r="J716" s="17"/>
      <c r="V716" s="17"/>
      <c r="AB716" s="17"/>
    </row>
    <row r="717" spans="2:28" x14ac:dyDescent="0.25">
      <c r="B717" s="8"/>
      <c r="J717" s="17"/>
      <c r="V717" s="17"/>
      <c r="AB717" s="17"/>
    </row>
    <row r="718" spans="2:28" x14ac:dyDescent="0.25">
      <c r="B718" s="8"/>
      <c r="J718" s="17"/>
      <c r="V718" s="17"/>
      <c r="AB718" s="17"/>
    </row>
    <row r="719" spans="2:28" x14ac:dyDescent="0.25">
      <c r="B719" s="8"/>
      <c r="J719" s="17"/>
      <c r="V719" s="17"/>
      <c r="AB719" s="17"/>
    </row>
    <row r="720" spans="2:28" x14ac:dyDescent="0.25">
      <c r="B720" s="8"/>
      <c r="J720" s="17"/>
      <c r="V720" s="17"/>
      <c r="AB720" s="17"/>
    </row>
    <row r="721" spans="2:28" x14ac:dyDescent="0.25">
      <c r="B721" s="8"/>
      <c r="J721" s="17"/>
      <c r="V721" s="17"/>
      <c r="AB721" s="17"/>
    </row>
    <row r="722" spans="2:28" x14ac:dyDescent="0.25">
      <c r="B722" s="8"/>
      <c r="J722" s="17"/>
      <c r="V722" s="17"/>
      <c r="AB722" s="17"/>
    </row>
    <row r="723" spans="2:28" x14ac:dyDescent="0.25">
      <c r="B723" s="8"/>
      <c r="J723" s="17"/>
      <c r="V723" s="17"/>
      <c r="AB723" s="17"/>
    </row>
    <row r="724" spans="2:28" x14ac:dyDescent="0.25">
      <c r="B724" s="8"/>
      <c r="J724" s="17"/>
      <c r="V724" s="17"/>
      <c r="AB724" s="17"/>
    </row>
    <row r="725" spans="2:28" x14ac:dyDescent="0.25">
      <c r="B725" s="8"/>
      <c r="J725" s="17"/>
      <c r="V725" s="17"/>
      <c r="AB725" s="17"/>
    </row>
    <row r="726" spans="2:28" x14ac:dyDescent="0.25">
      <c r="B726" s="8"/>
      <c r="J726" s="17"/>
      <c r="V726" s="17"/>
      <c r="AB726" s="17"/>
    </row>
    <row r="727" spans="2:28" x14ac:dyDescent="0.25">
      <c r="B727" s="8"/>
      <c r="J727" s="17"/>
      <c r="V727" s="17"/>
      <c r="AB727" s="17"/>
    </row>
    <row r="728" spans="2:28" x14ac:dyDescent="0.25">
      <c r="B728" s="8"/>
      <c r="J728" s="17"/>
      <c r="V728" s="17"/>
      <c r="AB728" s="17"/>
    </row>
    <row r="729" spans="2:28" x14ac:dyDescent="0.25">
      <c r="B729" s="8"/>
      <c r="J729" s="17"/>
      <c r="V729" s="17"/>
      <c r="AB729" s="17"/>
    </row>
    <row r="730" spans="2:28" x14ac:dyDescent="0.25">
      <c r="B730" s="8"/>
      <c r="J730" s="17"/>
      <c r="V730" s="17"/>
      <c r="AB730" s="17"/>
    </row>
    <row r="731" spans="2:28" x14ac:dyDescent="0.25">
      <c r="B731" s="8"/>
      <c r="J731" s="17"/>
      <c r="V731" s="17"/>
      <c r="AB731" s="17"/>
    </row>
    <row r="732" spans="2:28" x14ac:dyDescent="0.25">
      <c r="B732" s="8"/>
      <c r="J732" s="17"/>
      <c r="V732" s="17"/>
      <c r="AB732" s="17"/>
    </row>
    <row r="733" spans="2:28" x14ac:dyDescent="0.25">
      <c r="B733" s="8"/>
      <c r="J733" s="17"/>
      <c r="V733" s="17"/>
      <c r="AB733" s="17"/>
    </row>
    <row r="734" spans="2:28" x14ac:dyDescent="0.25">
      <c r="B734" s="8"/>
      <c r="J734" s="17"/>
      <c r="V734" s="17"/>
      <c r="AB734" s="17"/>
    </row>
    <row r="735" spans="2:28" x14ac:dyDescent="0.25">
      <c r="B735" s="8"/>
      <c r="J735" s="17"/>
      <c r="V735" s="17"/>
      <c r="AB735" s="17"/>
    </row>
    <row r="736" spans="2:28" x14ac:dyDescent="0.25">
      <c r="B736" s="8"/>
      <c r="J736" s="17"/>
      <c r="V736" s="17"/>
      <c r="AB736" s="17"/>
    </row>
    <row r="737" spans="10:10" x14ac:dyDescent="0.25">
      <c r="J737" s="17"/>
    </row>
    <row r="738" spans="10:10" x14ac:dyDescent="0.25">
      <c r="J738" s="17"/>
    </row>
    <row r="739" spans="10:10" x14ac:dyDescent="0.25">
      <c r="J739" s="17"/>
    </row>
    <row r="740" spans="10:10" x14ac:dyDescent="0.25">
      <c r="J740" s="17"/>
    </row>
    <row r="741" spans="10:10" x14ac:dyDescent="0.25">
      <c r="J741" s="17"/>
    </row>
    <row r="742" spans="10:10" x14ac:dyDescent="0.25">
      <c r="J742" s="17"/>
    </row>
    <row r="743" spans="10:10" x14ac:dyDescent="0.25">
      <c r="J743" s="17"/>
    </row>
    <row r="744" spans="10:10" x14ac:dyDescent="0.25">
      <c r="J744" s="17"/>
    </row>
    <row r="745" spans="10:10" x14ac:dyDescent="0.25">
      <c r="J745" s="17"/>
    </row>
    <row r="746" spans="10:10" x14ac:dyDescent="0.25">
      <c r="J746" s="17"/>
    </row>
    <row r="747" spans="10:10" x14ac:dyDescent="0.25">
      <c r="J747" s="17"/>
    </row>
    <row r="748" spans="10:10" x14ac:dyDescent="0.25">
      <c r="J748" s="17"/>
    </row>
    <row r="749" spans="10:10" x14ac:dyDescent="0.25">
      <c r="J749" s="17"/>
    </row>
    <row r="750" spans="10:10" x14ac:dyDescent="0.25">
      <c r="J750" s="17"/>
    </row>
  </sheetData>
  <mergeCells count="1">
    <mergeCell ref="A1:A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Février"/>
  <dimension ref="A1:AE59"/>
  <sheetViews>
    <sheetView topLeftCell="A28" workbookViewId="0">
      <selection activeCell="A59" sqref="A59"/>
    </sheetView>
  </sheetViews>
  <sheetFormatPr baseColWidth="10" defaultColWidth="11.07421875" defaultRowHeight="13.2" x14ac:dyDescent="0.25"/>
  <cols>
    <col min="1" max="1" width="11.07421875" style="15"/>
    <col min="2" max="2" width="9.07421875" style="15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9.6132812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7.15234375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0.53515625" style="15" bestFit="1" customWidth="1"/>
    <col min="25" max="25" width="7.6914062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2.07421875" style="15" bestFit="1" customWidth="1"/>
    <col min="30" max="30" width="8.07421875" style="15" bestFit="1" customWidth="1"/>
    <col min="31" max="31" width="25.4609375" style="15" bestFit="1" customWidth="1"/>
    <col min="32" max="16384" width="11.07421875" style="15"/>
  </cols>
  <sheetData>
    <row r="1" spans="1:31" x14ac:dyDescent="0.25">
      <c r="A1" s="69" t="s">
        <v>633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1" t="s">
        <v>515</v>
      </c>
      <c r="C3" s="1" t="s">
        <v>221</v>
      </c>
      <c r="D3" s="1" t="s">
        <v>9</v>
      </c>
      <c r="E3" s="1" t="s">
        <v>516</v>
      </c>
      <c r="F3" s="46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46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37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634</v>
      </c>
      <c r="B4" s="19">
        <v>43132</v>
      </c>
      <c r="C4" s="15" t="s">
        <v>492</v>
      </c>
      <c r="D4" s="15" t="s">
        <v>174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364</v>
      </c>
      <c r="L4" s="15" t="s">
        <v>59</v>
      </c>
      <c r="M4" s="15" t="s">
        <v>39</v>
      </c>
      <c r="N4" s="15" t="s">
        <v>40</v>
      </c>
      <c r="O4" s="15" t="s">
        <v>10</v>
      </c>
      <c r="P4" s="36">
        <v>0.5</v>
      </c>
      <c r="V4" s="36">
        <v>0</v>
      </c>
      <c r="W4" s="15" t="s">
        <v>462</v>
      </c>
      <c r="X4" s="15" t="s">
        <v>166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546</v>
      </c>
    </row>
    <row r="5" spans="1:31" x14ac:dyDescent="0.25">
      <c r="A5" s="15" t="s">
        <v>635</v>
      </c>
      <c r="B5" s="19">
        <v>43133</v>
      </c>
      <c r="C5" s="15" t="s">
        <v>492</v>
      </c>
      <c r="D5" s="15" t="s">
        <v>174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364</v>
      </c>
      <c r="L5" s="15" t="s">
        <v>59</v>
      </c>
      <c r="M5" s="15" t="s">
        <v>39</v>
      </c>
      <c r="N5" s="15" t="s">
        <v>40</v>
      </c>
      <c r="O5" s="15" t="s">
        <v>10</v>
      </c>
      <c r="P5" s="36">
        <v>0.5</v>
      </c>
      <c r="V5" s="36">
        <v>0</v>
      </c>
      <c r="W5" s="15" t="s">
        <v>462</v>
      </c>
      <c r="X5" s="15" t="s">
        <v>166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546</v>
      </c>
    </row>
    <row r="6" spans="1:31" x14ac:dyDescent="0.25">
      <c r="A6" s="15" t="s">
        <v>625</v>
      </c>
      <c r="B6" s="19">
        <v>43136</v>
      </c>
      <c r="C6" s="15" t="s">
        <v>492</v>
      </c>
      <c r="D6" s="15" t="s">
        <v>174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366</v>
      </c>
      <c r="L6" s="15" t="s">
        <v>153</v>
      </c>
      <c r="M6" s="15" t="s">
        <v>39</v>
      </c>
      <c r="N6" s="15" t="s">
        <v>131</v>
      </c>
      <c r="O6" s="15" t="s">
        <v>10</v>
      </c>
      <c r="P6" s="36">
        <v>5</v>
      </c>
      <c r="V6" s="36">
        <v>0</v>
      </c>
      <c r="W6" s="15" t="s">
        <v>454</v>
      </c>
      <c r="X6" s="15" t="s">
        <v>161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546</v>
      </c>
    </row>
    <row r="7" spans="1:31" x14ac:dyDescent="0.25">
      <c r="A7" s="15" t="s">
        <v>636</v>
      </c>
      <c r="B7" s="19">
        <v>43137</v>
      </c>
      <c r="C7" s="15" t="s">
        <v>492</v>
      </c>
      <c r="D7" s="15" t="s">
        <v>174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368</v>
      </c>
      <c r="L7" s="15" t="s">
        <v>156</v>
      </c>
      <c r="M7" s="15" t="s">
        <v>39</v>
      </c>
      <c r="N7" s="15" t="s">
        <v>131</v>
      </c>
      <c r="O7" s="15" t="s">
        <v>10</v>
      </c>
      <c r="P7" s="36">
        <v>5</v>
      </c>
      <c r="V7" s="36">
        <v>0</v>
      </c>
      <c r="W7" s="15" t="s">
        <v>454</v>
      </c>
      <c r="X7" s="15" t="s">
        <v>161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546</v>
      </c>
    </row>
    <row r="8" spans="1:31" x14ac:dyDescent="0.25">
      <c r="A8" s="15" t="s">
        <v>637</v>
      </c>
      <c r="B8" s="19">
        <v>43138</v>
      </c>
      <c r="C8" s="15" t="s">
        <v>492</v>
      </c>
      <c r="D8" s="15" t="s">
        <v>174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370</v>
      </c>
      <c r="L8" s="15" t="s">
        <v>71</v>
      </c>
      <c r="M8" s="15" t="s">
        <v>39</v>
      </c>
      <c r="N8" s="15" t="s">
        <v>140</v>
      </c>
      <c r="O8" s="15" t="s">
        <v>10</v>
      </c>
      <c r="P8" s="36">
        <v>5</v>
      </c>
      <c r="V8" s="36">
        <v>0</v>
      </c>
      <c r="W8" s="15" t="s">
        <v>454</v>
      </c>
      <c r="X8" s="15" t="s">
        <v>161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546</v>
      </c>
    </row>
    <row r="9" spans="1:31" x14ac:dyDescent="0.25">
      <c r="A9" s="15" t="s">
        <v>638</v>
      </c>
      <c r="B9" s="19">
        <v>43139</v>
      </c>
      <c r="C9" s="15" t="s">
        <v>492</v>
      </c>
      <c r="D9" s="15" t="s">
        <v>174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372</v>
      </c>
      <c r="L9" s="15" t="s">
        <v>77</v>
      </c>
      <c r="M9" s="15" t="s">
        <v>39</v>
      </c>
      <c r="N9" s="15" t="s">
        <v>140</v>
      </c>
      <c r="O9" s="15" t="s">
        <v>10</v>
      </c>
      <c r="P9" s="36">
        <v>5</v>
      </c>
      <c r="V9" s="36">
        <v>0</v>
      </c>
      <c r="W9" s="15" t="s">
        <v>454</v>
      </c>
      <c r="X9" s="15" t="s">
        <v>161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546</v>
      </c>
    </row>
    <row r="10" spans="1:31" x14ac:dyDescent="0.25">
      <c r="A10" s="15" t="s">
        <v>639</v>
      </c>
      <c r="B10" s="19">
        <v>43140</v>
      </c>
      <c r="C10" s="15" t="s">
        <v>492</v>
      </c>
      <c r="D10" s="15" t="s">
        <v>174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374</v>
      </c>
      <c r="L10" s="15" t="s">
        <v>83</v>
      </c>
      <c r="M10" s="15" t="s">
        <v>39</v>
      </c>
      <c r="N10" s="15" t="s">
        <v>125</v>
      </c>
      <c r="O10" s="15" t="s">
        <v>10</v>
      </c>
      <c r="P10" s="36">
        <v>25</v>
      </c>
      <c r="V10" s="36">
        <v>0</v>
      </c>
      <c r="W10" s="15" t="s">
        <v>454</v>
      </c>
      <c r="X10" s="15" t="s">
        <v>161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546</v>
      </c>
    </row>
    <row r="11" spans="1:31" x14ac:dyDescent="0.25">
      <c r="A11" s="15" t="s">
        <v>640</v>
      </c>
      <c r="B11" s="19">
        <v>43143</v>
      </c>
      <c r="C11" s="15" t="s">
        <v>492</v>
      </c>
      <c r="D11" s="15" t="s">
        <v>174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376</v>
      </c>
      <c r="L11" s="15" t="s">
        <v>141</v>
      </c>
      <c r="M11" s="15" t="s">
        <v>39</v>
      </c>
      <c r="N11" s="15" t="s">
        <v>224</v>
      </c>
      <c r="O11" s="15" t="s">
        <v>10</v>
      </c>
      <c r="P11" s="36">
        <v>0.5</v>
      </c>
      <c r="V11" s="36">
        <v>0</v>
      </c>
      <c r="W11" s="15" t="s">
        <v>456</v>
      </c>
      <c r="X11" s="15" t="s">
        <v>163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546</v>
      </c>
    </row>
    <row r="12" spans="1:31" x14ac:dyDescent="0.25">
      <c r="A12" s="15" t="s">
        <v>641</v>
      </c>
      <c r="B12" s="19">
        <v>43144</v>
      </c>
      <c r="C12" s="15" t="s">
        <v>492</v>
      </c>
      <c r="D12" s="15" t="s">
        <v>174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376</v>
      </c>
      <c r="L12" s="15" t="s">
        <v>141</v>
      </c>
      <c r="M12" s="15" t="s">
        <v>39</v>
      </c>
      <c r="N12" s="15" t="s">
        <v>224</v>
      </c>
      <c r="O12" s="15" t="s">
        <v>10</v>
      </c>
      <c r="P12" s="36">
        <v>0.5</v>
      </c>
      <c r="V12" s="36">
        <v>0</v>
      </c>
      <c r="W12" s="15" t="s">
        <v>456</v>
      </c>
      <c r="X12" s="15" t="s">
        <v>163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546</v>
      </c>
    </row>
    <row r="13" spans="1:31" x14ac:dyDescent="0.25">
      <c r="A13" s="15" t="s">
        <v>642</v>
      </c>
      <c r="B13" s="19">
        <v>43145</v>
      </c>
      <c r="C13" s="15" t="s">
        <v>492</v>
      </c>
      <c r="D13" s="15" t="s">
        <v>174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378</v>
      </c>
      <c r="L13" s="15" t="s">
        <v>93</v>
      </c>
      <c r="M13" s="15" t="s">
        <v>39</v>
      </c>
      <c r="N13" s="15" t="s">
        <v>125</v>
      </c>
      <c r="O13" s="15" t="s">
        <v>10</v>
      </c>
      <c r="P13" s="36">
        <v>25</v>
      </c>
      <c r="V13" s="36">
        <v>0</v>
      </c>
      <c r="W13" s="15" t="s">
        <v>456</v>
      </c>
      <c r="X13" s="15" t="s">
        <v>163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546</v>
      </c>
    </row>
    <row r="14" spans="1:31" x14ac:dyDescent="0.25">
      <c r="A14" s="15" t="s">
        <v>643</v>
      </c>
      <c r="B14" s="19">
        <v>43146</v>
      </c>
      <c r="C14" s="15" t="s">
        <v>492</v>
      </c>
      <c r="D14" s="15" t="s">
        <v>174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380</v>
      </c>
      <c r="L14" s="15" t="s">
        <v>144</v>
      </c>
      <c r="M14" s="15" t="s">
        <v>39</v>
      </c>
      <c r="N14" s="15" t="s">
        <v>149</v>
      </c>
      <c r="O14" s="15" t="s">
        <v>10</v>
      </c>
      <c r="P14" s="36">
        <v>1</v>
      </c>
      <c r="V14" s="36">
        <v>0</v>
      </c>
      <c r="W14" s="15" t="s">
        <v>456</v>
      </c>
      <c r="X14" s="15" t="s">
        <v>163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546</v>
      </c>
    </row>
    <row r="15" spans="1:31" x14ac:dyDescent="0.25">
      <c r="A15" s="15" t="s">
        <v>644</v>
      </c>
      <c r="B15" s="19">
        <v>43147</v>
      </c>
      <c r="C15" s="15" t="s">
        <v>492</v>
      </c>
      <c r="D15" s="15" t="s">
        <v>174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382</v>
      </c>
      <c r="L15" s="15" t="s">
        <v>150</v>
      </c>
      <c r="M15" s="15" t="s">
        <v>39</v>
      </c>
      <c r="N15" s="15" t="s">
        <v>155</v>
      </c>
      <c r="O15" s="15" t="s">
        <v>10</v>
      </c>
      <c r="P15" s="36">
        <v>2</v>
      </c>
      <c r="V15" s="36">
        <v>0</v>
      </c>
      <c r="W15" s="15" t="s">
        <v>456</v>
      </c>
      <c r="X15" s="15" t="s">
        <v>163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546</v>
      </c>
    </row>
    <row r="16" spans="1:31" x14ac:dyDescent="0.25">
      <c r="A16" s="15" t="s">
        <v>645</v>
      </c>
      <c r="B16" s="19">
        <v>43150</v>
      </c>
      <c r="C16" s="15" t="s">
        <v>492</v>
      </c>
      <c r="D16" s="15" t="s">
        <v>174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350</v>
      </c>
      <c r="L16" s="15" t="s">
        <v>15</v>
      </c>
      <c r="M16" s="15" t="s">
        <v>39</v>
      </c>
      <c r="N16" s="15" t="s">
        <v>34</v>
      </c>
      <c r="O16" s="15" t="s">
        <v>10</v>
      </c>
      <c r="P16" s="36">
        <v>1</v>
      </c>
      <c r="V16" s="36">
        <v>0</v>
      </c>
      <c r="W16" s="15" t="s">
        <v>457</v>
      </c>
      <c r="X16" s="15" t="s">
        <v>164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546</v>
      </c>
    </row>
    <row r="17" spans="1:31" x14ac:dyDescent="0.25">
      <c r="A17" s="15" t="s">
        <v>646</v>
      </c>
      <c r="B17" s="19">
        <v>43151</v>
      </c>
      <c r="C17" s="15" t="s">
        <v>492</v>
      </c>
      <c r="D17" s="15" t="s">
        <v>174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352</v>
      </c>
      <c r="L17" s="15" t="s">
        <v>123</v>
      </c>
      <c r="M17" s="15" t="s">
        <v>39</v>
      </c>
      <c r="N17" s="15" t="s">
        <v>140</v>
      </c>
      <c r="O17" s="15" t="s">
        <v>10</v>
      </c>
      <c r="P17" s="36">
        <v>1</v>
      </c>
      <c r="V17" s="36">
        <v>0</v>
      </c>
      <c r="W17" s="15" t="s">
        <v>457</v>
      </c>
      <c r="X17" s="15" t="s">
        <v>164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546</v>
      </c>
    </row>
    <row r="18" spans="1:31" x14ac:dyDescent="0.25">
      <c r="A18" s="15" t="s">
        <v>647</v>
      </c>
      <c r="B18" s="19">
        <v>43152</v>
      </c>
      <c r="C18" s="15" t="s">
        <v>492</v>
      </c>
      <c r="D18" s="15" t="s">
        <v>174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354</v>
      </c>
      <c r="L18" s="15" t="s">
        <v>129</v>
      </c>
      <c r="M18" s="15" t="s">
        <v>39</v>
      </c>
      <c r="N18" s="15" t="s">
        <v>155</v>
      </c>
      <c r="O18" s="15" t="s">
        <v>10</v>
      </c>
      <c r="P18" s="36">
        <v>1</v>
      </c>
      <c r="V18" s="36">
        <v>0</v>
      </c>
      <c r="W18" s="15" t="s">
        <v>457</v>
      </c>
      <c r="X18" s="15" t="s">
        <v>164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546</v>
      </c>
    </row>
    <row r="19" spans="1:31" x14ac:dyDescent="0.25">
      <c r="A19" s="15" t="s">
        <v>648</v>
      </c>
      <c r="B19" s="19">
        <v>43153</v>
      </c>
      <c r="C19" s="15" t="s">
        <v>492</v>
      </c>
      <c r="D19" s="15" t="s">
        <v>174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356</v>
      </c>
      <c r="L19" s="15" t="s">
        <v>132</v>
      </c>
      <c r="M19" s="15" t="s">
        <v>39</v>
      </c>
      <c r="N19" s="15" t="s">
        <v>134</v>
      </c>
      <c r="O19" s="15" t="s">
        <v>10</v>
      </c>
      <c r="P19" s="36">
        <v>1</v>
      </c>
      <c r="V19" s="36">
        <v>0</v>
      </c>
      <c r="W19" s="15" t="s">
        <v>457</v>
      </c>
      <c r="X19" s="15" t="s">
        <v>164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546</v>
      </c>
    </row>
    <row r="20" spans="1:31" x14ac:dyDescent="0.25">
      <c r="A20" s="15" t="s">
        <v>649</v>
      </c>
      <c r="B20" s="19">
        <v>43154</v>
      </c>
      <c r="C20" s="15" t="s">
        <v>492</v>
      </c>
      <c r="D20" s="15" t="s">
        <v>174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358</v>
      </c>
      <c r="L20" s="15" t="s">
        <v>135</v>
      </c>
      <c r="M20" s="15" t="s">
        <v>39</v>
      </c>
      <c r="N20" s="15" t="s">
        <v>34</v>
      </c>
      <c r="O20" s="15" t="s">
        <v>10</v>
      </c>
      <c r="P20" s="36">
        <v>1</v>
      </c>
      <c r="V20" s="36">
        <v>0</v>
      </c>
      <c r="W20" s="15" t="s">
        <v>457</v>
      </c>
      <c r="X20" s="15" t="s">
        <v>164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546</v>
      </c>
    </row>
    <row r="21" spans="1:31" x14ac:dyDescent="0.25">
      <c r="A21" s="15" t="s">
        <v>650</v>
      </c>
      <c r="B21" s="19">
        <v>43157</v>
      </c>
      <c r="C21" s="15" t="s">
        <v>492</v>
      </c>
      <c r="D21" s="15" t="s">
        <v>174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360</v>
      </c>
      <c r="L21" s="15" t="s">
        <v>138</v>
      </c>
      <c r="M21" s="15" t="s">
        <v>39</v>
      </c>
      <c r="N21" s="15" t="s">
        <v>140</v>
      </c>
      <c r="O21" s="15" t="s">
        <v>10</v>
      </c>
      <c r="P21" s="36">
        <v>1</v>
      </c>
      <c r="V21" s="36">
        <v>0</v>
      </c>
      <c r="W21" s="15" t="s">
        <v>459</v>
      </c>
      <c r="X21" s="15" t="s">
        <v>165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546</v>
      </c>
    </row>
    <row r="22" spans="1:31" x14ac:dyDescent="0.25">
      <c r="A22" s="15" t="s">
        <v>651</v>
      </c>
      <c r="B22" s="19">
        <v>43158</v>
      </c>
      <c r="C22" s="15" t="s">
        <v>492</v>
      </c>
      <c r="D22" s="15" t="s">
        <v>174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362</v>
      </c>
      <c r="L22" s="15" t="s">
        <v>42</v>
      </c>
      <c r="M22" s="15" t="s">
        <v>39</v>
      </c>
      <c r="N22" s="15" t="s">
        <v>125</v>
      </c>
      <c r="O22" s="15" t="s">
        <v>10</v>
      </c>
      <c r="P22" s="36">
        <v>25</v>
      </c>
      <c r="V22" s="36">
        <v>0</v>
      </c>
      <c r="W22" s="15" t="s">
        <v>459</v>
      </c>
      <c r="X22" s="15" t="s">
        <v>165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546</v>
      </c>
    </row>
    <row r="23" spans="1:31" x14ac:dyDescent="0.25">
      <c r="A23" s="15" t="s">
        <v>652</v>
      </c>
      <c r="B23" s="19">
        <v>43159</v>
      </c>
      <c r="C23" s="15" t="s">
        <v>492</v>
      </c>
      <c r="D23" s="15" t="s">
        <v>174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364</v>
      </c>
      <c r="L23" s="15" t="s">
        <v>59</v>
      </c>
      <c r="M23" s="15" t="s">
        <v>39</v>
      </c>
      <c r="N23" s="15" t="s">
        <v>40</v>
      </c>
      <c r="O23" s="15" t="s">
        <v>10</v>
      </c>
      <c r="P23" s="36">
        <v>0.5</v>
      </c>
      <c r="V23" s="36">
        <v>0</v>
      </c>
      <c r="W23" s="15" t="s">
        <v>459</v>
      </c>
      <c r="X23" s="15" t="s">
        <v>165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546</v>
      </c>
    </row>
    <row r="24" spans="1:31" x14ac:dyDescent="0.25">
      <c r="A24" s="15" t="s">
        <v>912</v>
      </c>
      <c r="B24" s="19">
        <v>43132</v>
      </c>
      <c r="C24" s="15" t="s">
        <v>492</v>
      </c>
      <c r="D24" s="15" t="s">
        <v>174</v>
      </c>
      <c r="E24" s="15" t="s">
        <v>260</v>
      </c>
      <c r="F24" s="15" t="s">
        <v>104</v>
      </c>
      <c r="G24" s="15" t="s">
        <v>45</v>
      </c>
      <c r="H24" s="15" t="s">
        <v>99</v>
      </c>
      <c r="I24" s="15" t="s">
        <v>18</v>
      </c>
      <c r="J24" s="36">
        <v>1</v>
      </c>
      <c r="K24" s="15" t="s">
        <v>314</v>
      </c>
      <c r="L24" s="15" t="s">
        <v>112</v>
      </c>
      <c r="M24" s="15" t="s">
        <v>56</v>
      </c>
      <c r="N24" s="15" t="s">
        <v>40</v>
      </c>
      <c r="O24" s="15" t="s">
        <v>18</v>
      </c>
      <c r="P24" s="36">
        <v>0.5</v>
      </c>
      <c r="V24" s="36">
        <v>0</v>
      </c>
      <c r="W24" s="15" t="s">
        <v>426</v>
      </c>
      <c r="X24" s="15" t="s">
        <v>124</v>
      </c>
      <c r="Y24" s="15" t="s">
        <v>33</v>
      </c>
      <c r="Z24" s="15" t="s">
        <v>57</v>
      </c>
      <c r="AA24" s="15" t="s">
        <v>18</v>
      </c>
      <c r="AB24" s="36">
        <v>134</v>
      </c>
      <c r="AE24" s="15" t="s">
        <v>558</v>
      </c>
    </row>
    <row r="25" spans="1:31" x14ac:dyDescent="0.25">
      <c r="A25" s="15" t="s">
        <v>913</v>
      </c>
      <c r="B25" s="19">
        <v>43133</v>
      </c>
      <c r="C25" s="15" t="s">
        <v>492</v>
      </c>
      <c r="D25" s="15" t="s">
        <v>174</v>
      </c>
      <c r="E25" s="15" t="s">
        <v>260</v>
      </c>
      <c r="F25" s="15" t="s">
        <v>104</v>
      </c>
      <c r="G25" s="15" t="s">
        <v>45</v>
      </c>
      <c r="H25" s="15" t="s">
        <v>99</v>
      </c>
      <c r="I25" s="15" t="s">
        <v>18</v>
      </c>
      <c r="J25" s="36">
        <v>1</v>
      </c>
      <c r="K25" s="15" t="s">
        <v>336</v>
      </c>
      <c r="L25" s="15" t="s">
        <v>150</v>
      </c>
      <c r="M25" s="15" t="s">
        <v>80</v>
      </c>
      <c r="N25" s="15" t="s">
        <v>155</v>
      </c>
      <c r="O25" s="15" t="s">
        <v>18</v>
      </c>
      <c r="P25" s="36">
        <v>2</v>
      </c>
      <c r="V25" s="36">
        <v>0</v>
      </c>
      <c r="W25" s="15" t="s">
        <v>392</v>
      </c>
      <c r="X25" s="15" t="s">
        <v>43</v>
      </c>
      <c r="Y25" s="15" t="s">
        <v>33</v>
      </c>
      <c r="Z25" s="15" t="s">
        <v>87</v>
      </c>
      <c r="AA25" s="15" t="s">
        <v>18</v>
      </c>
      <c r="AB25" s="36">
        <v>0.5</v>
      </c>
      <c r="AE25" s="15" t="s">
        <v>558</v>
      </c>
    </row>
    <row r="26" spans="1:31" x14ac:dyDescent="0.25">
      <c r="A26" s="15" t="s">
        <v>914</v>
      </c>
      <c r="B26" s="19">
        <v>43134</v>
      </c>
      <c r="C26" s="15" t="s">
        <v>492</v>
      </c>
      <c r="D26" s="15" t="s">
        <v>174</v>
      </c>
      <c r="E26" s="15" t="s">
        <v>244</v>
      </c>
      <c r="F26" s="15" t="s">
        <v>64</v>
      </c>
      <c r="G26" s="15" t="s">
        <v>68</v>
      </c>
      <c r="H26" s="15" t="s">
        <v>69</v>
      </c>
      <c r="I26" s="15" t="s">
        <v>18</v>
      </c>
      <c r="J26" s="36">
        <v>2</v>
      </c>
      <c r="K26" s="15" t="s">
        <v>338</v>
      </c>
      <c r="L26" s="15" t="s">
        <v>153</v>
      </c>
      <c r="M26" s="15" t="s">
        <v>74</v>
      </c>
      <c r="N26" s="15" t="s">
        <v>131</v>
      </c>
      <c r="O26" s="15" t="s">
        <v>18</v>
      </c>
      <c r="P26" s="36">
        <v>10</v>
      </c>
      <c r="V26" s="36">
        <v>0</v>
      </c>
      <c r="W26" s="15" t="s">
        <v>426</v>
      </c>
      <c r="X26" s="15" t="s">
        <v>124</v>
      </c>
      <c r="Y26" s="15" t="s">
        <v>33</v>
      </c>
      <c r="Z26" s="15" t="s">
        <v>57</v>
      </c>
      <c r="AA26" s="15" t="s">
        <v>18</v>
      </c>
      <c r="AB26" s="36">
        <v>133</v>
      </c>
      <c r="AE26" s="15" t="s">
        <v>558</v>
      </c>
    </row>
    <row r="27" spans="1:31" x14ac:dyDescent="0.25">
      <c r="A27" s="15" t="s">
        <v>915</v>
      </c>
      <c r="B27" s="19">
        <v>43135</v>
      </c>
      <c r="C27" s="15" t="s">
        <v>492</v>
      </c>
      <c r="D27" s="15" t="s">
        <v>174</v>
      </c>
      <c r="E27" s="15" t="s">
        <v>244</v>
      </c>
      <c r="F27" s="15" t="s">
        <v>64</v>
      </c>
      <c r="G27" s="15" t="s">
        <v>68</v>
      </c>
      <c r="H27" s="15" t="s">
        <v>69</v>
      </c>
      <c r="I27" s="15" t="s">
        <v>18</v>
      </c>
      <c r="J27" s="36">
        <v>2</v>
      </c>
      <c r="K27" s="15" t="s">
        <v>348</v>
      </c>
      <c r="L27" s="15" t="s">
        <v>53</v>
      </c>
      <c r="M27" s="15" t="s">
        <v>20</v>
      </c>
      <c r="N27" s="15" t="s">
        <v>40</v>
      </c>
      <c r="O27" s="15" t="s">
        <v>18</v>
      </c>
      <c r="P27" s="36">
        <v>1</v>
      </c>
      <c r="V27" s="36">
        <v>0</v>
      </c>
      <c r="W27" s="15" t="s">
        <v>392</v>
      </c>
      <c r="X27" s="15" t="s">
        <v>43</v>
      </c>
      <c r="Y27" s="15" t="s">
        <v>33</v>
      </c>
      <c r="Z27" s="15" t="s">
        <v>87</v>
      </c>
      <c r="AA27" s="15" t="s">
        <v>18</v>
      </c>
      <c r="AB27" s="36">
        <v>0.5</v>
      </c>
      <c r="AE27" s="15" t="s">
        <v>558</v>
      </c>
    </row>
    <row r="28" spans="1:31" x14ac:dyDescent="0.25">
      <c r="A28" s="15" t="s">
        <v>916</v>
      </c>
      <c r="B28" s="19">
        <v>43136</v>
      </c>
      <c r="C28" s="15" t="s">
        <v>492</v>
      </c>
      <c r="D28" s="15" t="s">
        <v>174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291</v>
      </c>
      <c r="L28" s="15" t="s">
        <v>65</v>
      </c>
      <c r="M28" s="15" t="s">
        <v>51</v>
      </c>
      <c r="N28" s="15" t="s">
        <v>40</v>
      </c>
      <c r="O28" s="15" t="s">
        <v>18</v>
      </c>
      <c r="P28" s="36">
        <v>0.5</v>
      </c>
      <c r="V28" s="36">
        <v>0</v>
      </c>
      <c r="W28" s="15" t="s">
        <v>438</v>
      </c>
      <c r="X28" s="15" t="s">
        <v>142</v>
      </c>
      <c r="Y28" s="15" t="s">
        <v>51</v>
      </c>
      <c r="Z28" s="15" t="s">
        <v>40</v>
      </c>
      <c r="AA28" s="15" t="s">
        <v>18</v>
      </c>
      <c r="AB28" s="36">
        <v>0.5</v>
      </c>
      <c r="AE28" s="15" t="s">
        <v>558</v>
      </c>
    </row>
    <row r="29" spans="1:31" x14ac:dyDescent="0.25">
      <c r="A29" s="15" t="s">
        <v>917</v>
      </c>
      <c r="B29" s="19">
        <v>43137</v>
      </c>
      <c r="C29" s="15" t="s">
        <v>492</v>
      </c>
      <c r="D29" s="15" t="s">
        <v>174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291</v>
      </c>
      <c r="L29" s="15" t="s">
        <v>65</v>
      </c>
      <c r="M29" s="15" t="s">
        <v>51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438</v>
      </c>
      <c r="X29" s="15" t="s">
        <v>142</v>
      </c>
      <c r="Y29" s="15" t="s">
        <v>51</v>
      </c>
      <c r="Z29" s="15" t="s">
        <v>40</v>
      </c>
      <c r="AA29" s="15" t="s">
        <v>18</v>
      </c>
      <c r="AB29" s="36">
        <v>0.5</v>
      </c>
      <c r="AE29" s="15" t="s">
        <v>558</v>
      </c>
    </row>
    <row r="30" spans="1:31" x14ac:dyDescent="0.25">
      <c r="A30" s="15" t="s">
        <v>918</v>
      </c>
      <c r="B30" s="19">
        <v>43138</v>
      </c>
      <c r="C30" s="15" t="s">
        <v>492</v>
      </c>
      <c r="D30" s="15" t="s">
        <v>174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316</v>
      </c>
      <c r="L30" s="15" t="s">
        <v>116</v>
      </c>
      <c r="M30" s="15" t="s">
        <v>56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133</v>
      </c>
      <c r="AE30" s="15" t="s">
        <v>558</v>
      </c>
    </row>
    <row r="31" spans="1:31" x14ac:dyDescent="0.25">
      <c r="A31" s="15" t="s">
        <v>919</v>
      </c>
      <c r="B31" s="19">
        <v>43139</v>
      </c>
      <c r="C31" s="15" t="s">
        <v>492</v>
      </c>
      <c r="D31" s="15" t="s">
        <v>174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316</v>
      </c>
      <c r="L31" s="15" t="s">
        <v>116</v>
      </c>
      <c r="M31" s="15" t="s">
        <v>56</v>
      </c>
      <c r="N31" s="15" t="s">
        <v>40</v>
      </c>
      <c r="O31" s="15" t="s">
        <v>18</v>
      </c>
      <c r="P31" s="36">
        <v>0.5</v>
      </c>
      <c r="V31" s="36">
        <v>0</v>
      </c>
      <c r="W31" s="15" t="s">
        <v>394</v>
      </c>
      <c r="X31" s="15" t="s">
        <v>49</v>
      </c>
      <c r="Y31" s="15" t="s">
        <v>33</v>
      </c>
      <c r="Z31" s="15" t="s">
        <v>87</v>
      </c>
      <c r="AA31" s="15" t="s">
        <v>18</v>
      </c>
      <c r="AB31" s="36">
        <v>0.5</v>
      </c>
      <c r="AE31" s="15" t="s">
        <v>558</v>
      </c>
    </row>
    <row r="32" spans="1:31" x14ac:dyDescent="0.25">
      <c r="A32" s="15" t="s">
        <v>920</v>
      </c>
      <c r="B32" s="19">
        <v>43140</v>
      </c>
      <c r="C32" s="15" t="s">
        <v>492</v>
      </c>
      <c r="D32" s="15" t="s">
        <v>174</v>
      </c>
      <c r="E32" s="15" t="s">
        <v>260</v>
      </c>
      <c r="F32" s="15" t="s">
        <v>104</v>
      </c>
      <c r="G32" s="15" t="s">
        <v>45</v>
      </c>
      <c r="H32" s="15" t="s">
        <v>99</v>
      </c>
      <c r="I32" s="15" t="s">
        <v>18</v>
      </c>
      <c r="J32" s="36">
        <v>1</v>
      </c>
      <c r="K32" s="15" t="s">
        <v>304</v>
      </c>
      <c r="L32" s="15" t="s">
        <v>15</v>
      </c>
      <c r="M32" s="15" t="s">
        <v>80</v>
      </c>
      <c r="N32" s="15" t="s">
        <v>13</v>
      </c>
      <c r="O32" s="15" t="s">
        <v>18</v>
      </c>
      <c r="P32" s="36">
        <v>1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134</v>
      </c>
      <c r="AE32" s="15" t="s">
        <v>558</v>
      </c>
    </row>
    <row r="33" spans="1:31" x14ac:dyDescent="0.25">
      <c r="A33" s="15" t="s">
        <v>921</v>
      </c>
      <c r="B33" s="19">
        <v>43141</v>
      </c>
      <c r="C33" s="15" t="s">
        <v>492</v>
      </c>
      <c r="D33" s="15" t="s">
        <v>174</v>
      </c>
      <c r="E33" s="15" t="s">
        <v>246</v>
      </c>
      <c r="F33" s="15" t="s">
        <v>70</v>
      </c>
      <c r="G33" s="15" t="s">
        <v>68</v>
      </c>
      <c r="H33" s="15" t="s">
        <v>40</v>
      </c>
      <c r="I33" s="15" t="s">
        <v>18</v>
      </c>
      <c r="J33" s="36">
        <v>1</v>
      </c>
      <c r="K33" s="15" t="s">
        <v>340</v>
      </c>
      <c r="L33" s="15" t="s">
        <v>156</v>
      </c>
      <c r="M33" s="15" t="s">
        <v>74</v>
      </c>
      <c r="N33" s="15" t="s">
        <v>131</v>
      </c>
      <c r="O33" s="15" t="s">
        <v>18</v>
      </c>
      <c r="P33" s="36">
        <v>10</v>
      </c>
      <c r="V33" s="36">
        <v>0</v>
      </c>
      <c r="W33" s="15" t="s">
        <v>394</v>
      </c>
      <c r="X33" s="15" t="s">
        <v>49</v>
      </c>
      <c r="Y33" s="15" t="s">
        <v>33</v>
      </c>
      <c r="Z33" s="15" t="s">
        <v>87</v>
      </c>
      <c r="AA33" s="15" t="s">
        <v>18</v>
      </c>
      <c r="AB33" s="36">
        <v>0.5</v>
      </c>
      <c r="AE33" s="15" t="s">
        <v>558</v>
      </c>
    </row>
    <row r="34" spans="1:31" x14ac:dyDescent="0.25">
      <c r="A34" s="15" t="s">
        <v>922</v>
      </c>
      <c r="B34" s="19">
        <v>43142</v>
      </c>
      <c r="C34" s="15" t="s">
        <v>492</v>
      </c>
      <c r="D34" s="15" t="s">
        <v>174</v>
      </c>
      <c r="E34" s="15" t="s">
        <v>246</v>
      </c>
      <c r="F34" s="15" t="s">
        <v>70</v>
      </c>
      <c r="G34" s="15" t="s">
        <v>68</v>
      </c>
      <c r="H34" s="15" t="s">
        <v>40</v>
      </c>
      <c r="I34" s="15" t="s">
        <v>18</v>
      </c>
      <c r="J34" s="36">
        <v>1</v>
      </c>
      <c r="K34" s="15" t="s">
        <v>344</v>
      </c>
      <c r="L34" s="15" t="s">
        <v>160</v>
      </c>
      <c r="M34" s="15" t="s">
        <v>20</v>
      </c>
      <c r="N34" s="15" t="s">
        <v>103</v>
      </c>
      <c r="O34" s="15" t="s">
        <v>18</v>
      </c>
      <c r="P34" s="36">
        <v>1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558</v>
      </c>
    </row>
    <row r="35" spans="1:31" x14ac:dyDescent="0.25">
      <c r="A35" s="15" t="s">
        <v>923</v>
      </c>
      <c r="B35" s="19">
        <v>43143</v>
      </c>
      <c r="C35" s="15" t="s">
        <v>492</v>
      </c>
      <c r="D35" s="15" t="s">
        <v>174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294</v>
      </c>
      <c r="L35" s="15" t="s">
        <v>71</v>
      </c>
      <c r="M35" s="15" t="s">
        <v>51</v>
      </c>
      <c r="N35" s="15" t="s">
        <v>140</v>
      </c>
      <c r="O35" s="15" t="s">
        <v>18</v>
      </c>
      <c r="P35" s="36">
        <v>1</v>
      </c>
      <c r="V35" s="36">
        <v>0</v>
      </c>
      <c r="W35" s="15" t="s">
        <v>396</v>
      </c>
      <c r="X35" s="15" t="s">
        <v>54</v>
      </c>
      <c r="Y35" s="15" t="s">
        <v>33</v>
      </c>
      <c r="Z35" s="15" t="s">
        <v>87</v>
      </c>
      <c r="AA35" s="15" t="s">
        <v>18</v>
      </c>
      <c r="AB35" s="36">
        <v>1</v>
      </c>
      <c r="AE35" s="15" t="s">
        <v>558</v>
      </c>
    </row>
    <row r="36" spans="1:31" x14ac:dyDescent="0.25">
      <c r="A36" s="15" t="s">
        <v>924</v>
      </c>
      <c r="B36" s="19">
        <v>43144</v>
      </c>
      <c r="C36" s="15" t="s">
        <v>492</v>
      </c>
      <c r="D36" s="15" t="s">
        <v>174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294</v>
      </c>
      <c r="L36" s="15" t="s">
        <v>71</v>
      </c>
      <c r="M36" s="15" t="s">
        <v>51</v>
      </c>
      <c r="N36" s="15" t="s">
        <v>140</v>
      </c>
      <c r="O36" s="15" t="s">
        <v>18</v>
      </c>
      <c r="P36" s="36">
        <v>1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133</v>
      </c>
      <c r="AE36" s="15" t="s">
        <v>558</v>
      </c>
    </row>
    <row r="37" spans="1:31" x14ac:dyDescent="0.25">
      <c r="A37" s="15" t="s">
        <v>925</v>
      </c>
      <c r="B37" s="19">
        <v>43145</v>
      </c>
      <c r="C37" s="15" t="s">
        <v>492</v>
      </c>
      <c r="D37" s="15" t="s">
        <v>174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306</v>
      </c>
      <c r="L37" s="15" t="s">
        <v>97</v>
      </c>
      <c r="M37" s="15" t="s">
        <v>56</v>
      </c>
      <c r="N37" s="15" t="s">
        <v>40</v>
      </c>
      <c r="O37" s="15" t="s">
        <v>18</v>
      </c>
      <c r="P37" s="36">
        <v>0.5</v>
      </c>
      <c r="V37" s="36">
        <v>0</v>
      </c>
      <c r="W37" s="15" t="s">
        <v>396</v>
      </c>
      <c r="X37" s="15" t="s">
        <v>54</v>
      </c>
      <c r="Y37" s="15" t="s">
        <v>33</v>
      </c>
      <c r="Z37" s="15" t="s">
        <v>87</v>
      </c>
      <c r="AA37" s="15" t="s">
        <v>18</v>
      </c>
      <c r="AB37" s="36">
        <v>1</v>
      </c>
      <c r="AE37" s="15" t="s">
        <v>558</v>
      </c>
    </row>
    <row r="38" spans="1:31" x14ac:dyDescent="0.25">
      <c r="A38" s="15" t="s">
        <v>926</v>
      </c>
      <c r="B38" s="19">
        <v>43146</v>
      </c>
      <c r="C38" s="15" t="s">
        <v>492</v>
      </c>
      <c r="D38" s="15" t="s">
        <v>174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306</v>
      </c>
      <c r="L38" s="15" t="s">
        <v>97</v>
      </c>
      <c r="M38" s="15" t="s">
        <v>56</v>
      </c>
      <c r="N38" s="15" t="s">
        <v>40</v>
      </c>
      <c r="O38" s="15" t="s">
        <v>18</v>
      </c>
      <c r="P38" s="36">
        <v>0.5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134</v>
      </c>
      <c r="AE38" s="15" t="s">
        <v>558</v>
      </c>
    </row>
    <row r="39" spans="1:31" x14ac:dyDescent="0.25">
      <c r="A39" s="15" t="s">
        <v>927</v>
      </c>
      <c r="B39" s="19">
        <v>43147</v>
      </c>
      <c r="C39" s="15" t="s">
        <v>492</v>
      </c>
      <c r="D39" s="15" t="s">
        <v>174</v>
      </c>
      <c r="E39" s="15" t="s">
        <v>260</v>
      </c>
      <c r="F39" s="15" t="s">
        <v>104</v>
      </c>
      <c r="G39" s="15" t="s">
        <v>45</v>
      </c>
      <c r="H39" s="15" t="s">
        <v>99</v>
      </c>
      <c r="I39" s="15" t="s">
        <v>18</v>
      </c>
      <c r="J39" s="36">
        <v>1</v>
      </c>
      <c r="K39" s="15" t="s">
        <v>318</v>
      </c>
      <c r="L39" s="15" t="s">
        <v>123</v>
      </c>
      <c r="M39" s="15" t="s">
        <v>80</v>
      </c>
      <c r="N39" s="15" t="s">
        <v>140</v>
      </c>
      <c r="O39" s="15" t="s">
        <v>18</v>
      </c>
      <c r="P39" s="36">
        <v>1</v>
      </c>
      <c r="V39" s="36">
        <v>0</v>
      </c>
      <c r="W39" s="15" t="s">
        <v>398</v>
      </c>
      <c r="X39" s="15" t="s">
        <v>60</v>
      </c>
      <c r="Y39" s="15" t="s">
        <v>33</v>
      </c>
      <c r="Z39" s="15" t="s">
        <v>87</v>
      </c>
      <c r="AA39" s="15" t="s">
        <v>18</v>
      </c>
      <c r="AB39" s="36">
        <v>1</v>
      </c>
      <c r="AE39" s="15" t="s">
        <v>558</v>
      </c>
    </row>
    <row r="40" spans="1:31" x14ac:dyDescent="0.25">
      <c r="A40" s="15" t="s">
        <v>928</v>
      </c>
      <c r="B40" s="19">
        <v>43148</v>
      </c>
      <c r="C40" s="15" t="s">
        <v>492</v>
      </c>
      <c r="D40" s="15" t="s">
        <v>174</v>
      </c>
      <c r="E40" s="15" t="s">
        <v>248</v>
      </c>
      <c r="F40" s="15" t="s">
        <v>76</v>
      </c>
      <c r="G40" s="15" t="s">
        <v>68</v>
      </c>
      <c r="H40" s="15" t="s">
        <v>152</v>
      </c>
      <c r="I40" s="15" t="s">
        <v>18</v>
      </c>
      <c r="J40" s="36">
        <v>8</v>
      </c>
      <c r="K40" s="15" t="s">
        <v>342</v>
      </c>
      <c r="L40" s="15" t="s">
        <v>158</v>
      </c>
      <c r="M40" s="15" t="s">
        <v>74</v>
      </c>
      <c r="N40" s="15" t="s">
        <v>131</v>
      </c>
      <c r="O40" s="15" t="s">
        <v>18</v>
      </c>
      <c r="P40" s="36">
        <v>10</v>
      </c>
      <c r="V40" s="36">
        <v>0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558</v>
      </c>
    </row>
    <row r="41" spans="1:31" x14ac:dyDescent="0.25">
      <c r="A41" s="15" t="s">
        <v>929</v>
      </c>
      <c r="B41" s="19">
        <v>43149</v>
      </c>
      <c r="C41" s="15" t="s">
        <v>492</v>
      </c>
      <c r="D41" s="15" t="s">
        <v>174</v>
      </c>
      <c r="E41" s="15" t="s">
        <v>248</v>
      </c>
      <c r="F41" s="15" t="s">
        <v>76</v>
      </c>
      <c r="G41" s="15" t="s">
        <v>68</v>
      </c>
      <c r="H41" s="15" t="s">
        <v>152</v>
      </c>
      <c r="I41" s="15" t="s">
        <v>18</v>
      </c>
      <c r="J41" s="36">
        <v>8</v>
      </c>
      <c r="K41" s="15" t="s">
        <v>346</v>
      </c>
      <c r="L41" s="15" t="s">
        <v>162</v>
      </c>
      <c r="M41" s="15" t="s">
        <v>12</v>
      </c>
      <c r="N41" s="15" t="s">
        <v>121</v>
      </c>
      <c r="O41" s="15" t="s">
        <v>18</v>
      </c>
      <c r="P41" s="36">
        <v>20</v>
      </c>
      <c r="Q41" s="15" t="s">
        <v>274</v>
      </c>
      <c r="R41" s="15" t="s">
        <v>15</v>
      </c>
      <c r="S41" s="15" t="s">
        <v>27</v>
      </c>
      <c r="T41" s="15" t="s">
        <v>13</v>
      </c>
      <c r="U41" s="15" t="s">
        <v>18</v>
      </c>
      <c r="V41" s="36">
        <v>1</v>
      </c>
      <c r="W41" s="15" t="s">
        <v>398</v>
      </c>
      <c r="X41" s="15" t="s">
        <v>60</v>
      </c>
      <c r="Y41" s="15" t="s">
        <v>33</v>
      </c>
      <c r="Z41" s="15" t="s">
        <v>87</v>
      </c>
      <c r="AA41" s="15" t="s">
        <v>18</v>
      </c>
      <c r="AB41" s="36">
        <v>1</v>
      </c>
      <c r="AE41" s="15" t="s">
        <v>558</v>
      </c>
    </row>
    <row r="42" spans="1:31" x14ac:dyDescent="0.25">
      <c r="A42" s="15" t="s">
        <v>930</v>
      </c>
      <c r="B42" s="19">
        <v>43150</v>
      </c>
      <c r="C42" s="15" t="s">
        <v>492</v>
      </c>
      <c r="D42" s="15" t="s">
        <v>174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296</v>
      </c>
      <c r="L42" s="15" t="s">
        <v>77</v>
      </c>
      <c r="M42" s="15" t="s">
        <v>51</v>
      </c>
      <c r="N42" s="15" t="s">
        <v>140</v>
      </c>
      <c r="O42" s="15" t="s">
        <v>18</v>
      </c>
      <c r="P42" s="36">
        <v>1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133</v>
      </c>
      <c r="AE42" s="15" t="s">
        <v>558</v>
      </c>
    </row>
    <row r="43" spans="1:31" x14ac:dyDescent="0.25">
      <c r="A43" s="15" t="s">
        <v>931</v>
      </c>
      <c r="B43" s="19">
        <v>43151</v>
      </c>
      <c r="C43" s="15" t="s">
        <v>492</v>
      </c>
      <c r="D43" s="15" t="s">
        <v>174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296</v>
      </c>
      <c r="L43" s="15" t="s">
        <v>77</v>
      </c>
      <c r="M43" s="15" t="s">
        <v>51</v>
      </c>
      <c r="N43" s="15" t="s">
        <v>140</v>
      </c>
      <c r="O43" s="15" t="s">
        <v>18</v>
      </c>
      <c r="P43" s="36">
        <v>1</v>
      </c>
      <c r="V43" s="36">
        <v>0</v>
      </c>
      <c r="W43" s="15" t="s">
        <v>400</v>
      </c>
      <c r="X43" s="15" t="s">
        <v>66</v>
      </c>
      <c r="Y43" s="15" t="s">
        <v>33</v>
      </c>
      <c r="Z43" s="15" t="s">
        <v>87</v>
      </c>
      <c r="AA43" s="15" t="s">
        <v>18</v>
      </c>
      <c r="AB43" s="36">
        <v>1</v>
      </c>
      <c r="AE43" s="15" t="s">
        <v>558</v>
      </c>
    </row>
    <row r="44" spans="1:31" x14ac:dyDescent="0.25">
      <c r="A44" s="15" t="s">
        <v>932</v>
      </c>
      <c r="B44" s="19">
        <v>43152</v>
      </c>
      <c r="C44" s="15" t="s">
        <v>492</v>
      </c>
      <c r="D44" s="15" t="s">
        <v>174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308</v>
      </c>
      <c r="L44" s="15" t="s">
        <v>101</v>
      </c>
      <c r="M44" s="15" t="s">
        <v>56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134</v>
      </c>
      <c r="AE44" s="15" t="s">
        <v>558</v>
      </c>
    </row>
    <row r="45" spans="1:31" x14ac:dyDescent="0.25">
      <c r="A45" s="15" t="s">
        <v>933</v>
      </c>
      <c r="B45" s="19">
        <v>43153</v>
      </c>
      <c r="C45" s="15" t="s">
        <v>492</v>
      </c>
      <c r="D45" s="15" t="s">
        <v>174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308</v>
      </c>
      <c r="L45" s="15" t="s">
        <v>101</v>
      </c>
      <c r="M45" s="15" t="s">
        <v>56</v>
      </c>
      <c r="N45" s="15" t="s">
        <v>40</v>
      </c>
      <c r="O45" s="15" t="s">
        <v>18</v>
      </c>
      <c r="P45" s="36">
        <v>0.5</v>
      </c>
      <c r="V45" s="36">
        <v>0</v>
      </c>
      <c r="W45" s="15" t="s">
        <v>400</v>
      </c>
      <c r="X45" s="15" t="s">
        <v>66</v>
      </c>
      <c r="Y45" s="15" t="s">
        <v>33</v>
      </c>
      <c r="Z45" s="15" t="s">
        <v>87</v>
      </c>
      <c r="AA45" s="15" t="s">
        <v>18</v>
      </c>
      <c r="AB45" s="36">
        <v>1</v>
      </c>
      <c r="AE45" s="15" t="s">
        <v>558</v>
      </c>
    </row>
    <row r="46" spans="1:31" x14ac:dyDescent="0.25">
      <c r="A46" s="15" t="s">
        <v>934</v>
      </c>
      <c r="B46" s="19">
        <v>43154</v>
      </c>
      <c r="C46" s="15" t="s">
        <v>492</v>
      </c>
      <c r="D46" s="15" t="s">
        <v>174</v>
      </c>
      <c r="E46" s="15" t="s">
        <v>260</v>
      </c>
      <c r="F46" s="15" t="s">
        <v>104</v>
      </c>
      <c r="G46" s="15" t="s">
        <v>45</v>
      </c>
      <c r="H46" s="15" t="s">
        <v>99</v>
      </c>
      <c r="I46" s="15" t="s">
        <v>18</v>
      </c>
      <c r="J46" s="36">
        <v>1</v>
      </c>
      <c r="K46" s="15" t="s">
        <v>320</v>
      </c>
      <c r="L46" s="15" t="s">
        <v>126</v>
      </c>
      <c r="M46" s="15" t="s">
        <v>80</v>
      </c>
      <c r="N46" s="15" t="s">
        <v>140</v>
      </c>
      <c r="O46" s="15" t="s">
        <v>18</v>
      </c>
      <c r="P46" s="36">
        <v>1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558</v>
      </c>
    </row>
    <row r="47" spans="1:31" x14ac:dyDescent="0.25">
      <c r="A47" s="15" t="s">
        <v>935</v>
      </c>
      <c r="B47" s="19">
        <v>43155</v>
      </c>
      <c r="C47" s="15" t="s">
        <v>492</v>
      </c>
      <c r="D47" s="15" t="s">
        <v>174</v>
      </c>
      <c r="E47" s="15" t="s">
        <v>250</v>
      </c>
      <c r="F47" s="15" t="s">
        <v>82</v>
      </c>
      <c r="G47" s="15" t="s">
        <v>68</v>
      </c>
      <c r="H47" s="15" t="s">
        <v>69</v>
      </c>
      <c r="I47" s="15" t="s">
        <v>18</v>
      </c>
      <c r="J47" s="36">
        <v>2</v>
      </c>
      <c r="K47" s="15" t="s">
        <v>338</v>
      </c>
      <c r="L47" s="15" t="s">
        <v>153</v>
      </c>
      <c r="M47" s="15" t="s">
        <v>74</v>
      </c>
      <c r="N47" s="15" t="s">
        <v>131</v>
      </c>
      <c r="O47" s="15" t="s">
        <v>18</v>
      </c>
      <c r="P47" s="36">
        <v>10</v>
      </c>
      <c r="V47" s="36">
        <v>0</v>
      </c>
      <c r="W47" s="15" t="s">
        <v>402</v>
      </c>
      <c r="X47" s="15" t="s">
        <v>72</v>
      </c>
      <c r="Y47" s="15" t="s">
        <v>33</v>
      </c>
      <c r="Z47" s="15" t="s">
        <v>114</v>
      </c>
      <c r="AA47" s="15" t="s">
        <v>18</v>
      </c>
      <c r="AB47" s="36">
        <v>0.5</v>
      </c>
      <c r="AE47" s="15" t="s">
        <v>558</v>
      </c>
    </row>
    <row r="48" spans="1:31" x14ac:dyDescent="0.25">
      <c r="A48" s="15" t="s">
        <v>936</v>
      </c>
      <c r="B48" s="19">
        <v>43156</v>
      </c>
      <c r="C48" s="15" t="s">
        <v>492</v>
      </c>
      <c r="D48" s="15" t="s">
        <v>174</v>
      </c>
      <c r="E48" s="15" t="s">
        <v>250</v>
      </c>
      <c r="F48" s="15" t="s">
        <v>82</v>
      </c>
      <c r="G48" s="15" t="s">
        <v>68</v>
      </c>
      <c r="H48" s="15" t="s">
        <v>69</v>
      </c>
      <c r="I48" s="15" t="s">
        <v>18</v>
      </c>
      <c r="J48" s="36">
        <v>2</v>
      </c>
      <c r="K48" s="15" t="s">
        <v>348</v>
      </c>
      <c r="L48" s="15" t="s">
        <v>53</v>
      </c>
      <c r="M48" s="15" t="s">
        <v>20</v>
      </c>
      <c r="N48" s="15" t="s">
        <v>40</v>
      </c>
      <c r="O48" s="15" t="s">
        <v>18</v>
      </c>
      <c r="P48" s="36">
        <v>1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133</v>
      </c>
      <c r="AE48" s="15" t="s">
        <v>558</v>
      </c>
    </row>
    <row r="49" spans="1:31" x14ac:dyDescent="0.25">
      <c r="A49" s="15" t="s">
        <v>937</v>
      </c>
      <c r="B49" s="19">
        <v>43157</v>
      </c>
      <c r="C49" s="15" t="s">
        <v>492</v>
      </c>
      <c r="D49" s="15" t="s">
        <v>174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298</v>
      </c>
      <c r="L49" s="15" t="s">
        <v>83</v>
      </c>
      <c r="M49" s="15" t="s">
        <v>51</v>
      </c>
      <c r="N49" s="15" t="s">
        <v>125</v>
      </c>
      <c r="O49" s="15" t="s">
        <v>18</v>
      </c>
      <c r="P49" s="36">
        <v>25</v>
      </c>
      <c r="V49" s="36">
        <v>0</v>
      </c>
      <c r="W49" s="15" t="s">
        <v>402</v>
      </c>
      <c r="X49" s="15" t="s">
        <v>72</v>
      </c>
      <c r="Y49" s="15" t="s">
        <v>33</v>
      </c>
      <c r="Z49" s="15" t="s">
        <v>114</v>
      </c>
      <c r="AA49" s="15" t="s">
        <v>18</v>
      </c>
      <c r="AB49" s="36">
        <v>0.5</v>
      </c>
      <c r="AE49" s="15" t="s">
        <v>558</v>
      </c>
    </row>
    <row r="50" spans="1:31" x14ac:dyDescent="0.25">
      <c r="A50" s="15" t="s">
        <v>938</v>
      </c>
      <c r="B50" s="19">
        <v>43158</v>
      </c>
      <c r="C50" s="15" t="s">
        <v>492</v>
      </c>
      <c r="D50" s="15" t="s">
        <v>174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298</v>
      </c>
      <c r="L50" s="15" t="s">
        <v>83</v>
      </c>
      <c r="M50" s="15" t="s">
        <v>51</v>
      </c>
      <c r="N50" s="15" t="s">
        <v>125</v>
      </c>
      <c r="O50" s="15" t="s">
        <v>18</v>
      </c>
      <c r="P50" s="36">
        <v>25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134</v>
      </c>
      <c r="AE50" s="15" t="s">
        <v>558</v>
      </c>
    </row>
    <row r="51" spans="1:31" x14ac:dyDescent="0.25">
      <c r="A51" s="15" t="s">
        <v>939</v>
      </c>
      <c r="B51" s="19">
        <v>43159</v>
      </c>
      <c r="C51" s="15" t="s">
        <v>492</v>
      </c>
      <c r="D51" s="15" t="s">
        <v>174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310</v>
      </c>
      <c r="L51" s="15" t="s">
        <v>105</v>
      </c>
      <c r="M51" s="15" t="s">
        <v>56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404</v>
      </c>
      <c r="X51" s="15" t="s">
        <v>78</v>
      </c>
      <c r="Y51" s="15" t="s">
        <v>33</v>
      </c>
      <c r="Z51" s="15" t="s">
        <v>87</v>
      </c>
      <c r="AA51" s="15" t="s">
        <v>18</v>
      </c>
      <c r="AB51" s="36">
        <v>0.5</v>
      </c>
      <c r="AE51" s="15" t="s">
        <v>558</v>
      </c>
    </row>
    <row r="52" spans="1:31" x14ac:dyDescent="0.25">
      <c r="A52" s="15" t="s">
        <v>1263</v>
      </c>
      <c r="B52" s="19">
        <v>43134</v>
      </c>
      <c r="C52" s="15" t="s">
        <v>492</v>
      </c>
      <c r="D52" s="15" t="s">
        <v>174</v>
      </c>
      <c r="J52" s="36">
        <v>0</v>
      </c>
      <c r="P52" s="36">
        <v>0</v>
      </c>
      <c r="V52" s="36">
        <v>0</v>
      </c>
      <c r="W52" s="15" t="s">
        <v>448</v>
      </c>
      <c r="X52" s="15" t="s">
        <v>102</v>
      </c>
      <c r="Y52" s="15" t="s">
        <v>62</v>
      </c>
      <c r="Z52" s="15" t="s">
        <v>140</v>
      </c>
      <c r="AA52" s="15" t="s">
        <v>25</v>
      </c>
      <c r="AB52" s="36">
        <v>1</v>
      </c>
      <c r="AE52" s="15" t="s">
        <v>569</v>
      </c>
    </row>
    <row r="53" spans="1:31" x14ac:dyDescent="0.25">
      <c r="A53" s="15" t="s">
        <v>1264</v>
      </c>
      <c r="B53" s="19">
        <v>43135</v>
      </c>
      <c r="C53" s="15" t="s">
        <v>492</v>
      </c>
      <c r="D53" s="15" t="s">
        <v>174</v>
      </c>
      <c r="J53" s="36">
        <v>0</v>
      </c>
      <c r="P53" s="36">
        <v>0</v>
      </c>
      <c r="V53" s="36">
        <v>0</v>
      </c>
      <c r="W53" s="15" t="s">
        <v>450</v>
      </c>
      <c r="X53" s="15" t="s">
        <v>157</v>
      </c>
      <c r="Y53" s="15" t="s">
        <v>62</v>
      </c>
      <c r="Z53" s="15" t="s">
        <v>111</v>
      </c>
      <c r="AA53" s="15" t="s">
        <v>25</v>
      </c>
      <c r="AB53" s="36">
        <v>1</v>
      </c>
      <c r="AE53" s="15" t="s">
        <v>569</v>
      </c>
    </row>
    <row r="54" spans="1:31" x14ac:dyDescent="0.25">
      <c r="A54" s="15" t="s">
        <v>1265</v>
      </c>
      <c r="B54" s="19">
        <v>43141</v>
      </c>
      <c r="C54" s="15" t="s">
        <v>492</v>
      </c>
      <c r="D54" s="15" t="s">
        <v>174</v>
      </c>
      <c r="J54" s="36">
        <v>0</v>
      </c>
      <c r="P54" s="36">
        <v>0</v>
      </c>
      <c r="V54" s="36">
        <v>0</v>
      </c>
      <c r="W54" s="15" t="s">
        <v>452</v>
      </c>
      <c r="X54" s="15" t="s">
        <v>159</v>
      </c>
      <c r="Y54" s="15" t="s">
        <v>62</v>
      </c>
      <c r="Z54" s="15" t="s">
        <v>111</v>
      </c>
      <c r="AA54" s="15" t="s">
        <v>25</v>
      </c>
      <c r="AB54" s="36">
        <v>1</v>
      </c>
      <c r="AE54" s="15" t="s">
        <v>569</v>
      </c>
    </row>
    <row r="55" spans="1:31" x14ac:dyDescent="0.25">
      <c r="A55" s="15" t="s">
        <v>1266</v>
      </c>
      <c r="B55" s="19">
        <v>43142</v>
      </c>
      <c r="C55" s="15" t="s">
        <v>492</v>
      </c>
      <c r="D55" s="15" t="s">
        <v>174</v>
      </c>
      <c r="J55" s="36">
        <v>0</v>
      </c>
      <c r="P55" s="36">
        <v>0</v>
      </c>
      <c r="V55" s="36">
        <v>0</v>
      </c>
      <c r="W55" s="15" t="s">
        <v>440</v>
      </c>
      <c r="X55" s="15" t="s">
        <v>145</v>
      </c>
      <c r="Y55" s="15" t="s">
        <v>62</v>
      </c>
      <c r="Z55" s="15" t="s">
        <v>111</v>
      </c>
      <c r="AA55" s="15" t="s">
        <v>25</v>
      </c>
      <c r="AB55" s="36">
        <v>1</v>
      </c>
      <c r="AE55" s="15" t="s">
        <v>569</v>
      </c>
    </row>
    <row r="56" spans="1:31" x14ac:dyDescent="0.25">
      <c r="A56" s="15" t="s">
        <v>1267</v>
      </c>
      <c r="B56" s="19">
        <v>43148</v>
      </c>
      <c r="C56" s="15" t="s">
        <v>492</v>
      </c>
      <c r="D56" s="15" t="s">
        <v>174</v>
      </c>
      <c r="J56" s="36">
        <v>0</v>
      </c>
      <c r="P56" s="36">
        <v>0</v>
      </c>
      <c r="V56" s="36">
        <v>0</v>
      </c>
      <c r="W56" s="15" t="s">
        <v>442</v>
      </c>
      <c r="X56" s="15" t="s">
        <v>148</v>
      </c>
      <c r="Y56" s="15" t="s">
        <v>62</v>
      </c>
      <c r="Z56" s="15" t="s">
        <v>111</v>
      </c>
      <c r="AA56" s="15" t="s">
        <v>25</v>
      </c>
      <c r="AB56" s="36">
        <v>1</v>
      </c>
      <c r="AE56" s="15" t="s">
        <v>569</v>
      </c>
    </row>
    <row r="57" spans="1:31" x14ac:dyDescent="0.25">
      <c r="A57" s="15" t="s">
        <v>1268</v>
      </c>
      <c r="B57" s="19">
        <v>43149</v>
      </c>
      <c r="C57" s="15" t="s">
        <v>492</v>
      </c>
      <c r="D57" s="15" t="s">
        <v>174</v>
      </c>
      <c r="J57" s="36">
        <v>0</v>
      </c>
      <c r="P57" s="36">
        <v>0</v>
      </c>
      <c r="V57" s="36">
        <v>0</v>
      </c>
      <c r="W57" s="15" t="s">
        <v>444</v>
      </c>
      <c r="X57" s="15" t="s">
        <v>151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569</v>
      </c>
    </row>
    <row r="58" spans="1:31" x14ac:dyDescent="0.25">
      <c r="A58" s="15" t="s">
        <v>1269</v>
      </c>
      <c r="B58" s="19">
        <v>43155</v>
      </c>
      <c r="C58" s="15" t="s">
        <v>492</v>
      </c>
      <c r="D58" s="15" t="s">
        <v>174</v>
      </c>
      <c r="J58" s="36">
        <v>0</v>
      </c>
      <c r="P58" s="36">
        <v>0</v>
      </c>
      <c r="V58" s="36">
        <v>0</v>
      </c>
      <c r="W58" s="15" t="s">
        <v>446</v>
      </c>
      <c r="X58" s="15" t="s">
        <v>154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569</v>
      </c>
    </row>
    <row r="59" spans="1:31" x14ac:dyDescent="0.25">
      <c r="A59" s="15" t="s">
        <v>1270</v>
      </c>
      <c r="B59" s="19">
        <v>43156</v>
      </c>
      <c r="C59" s="15" t="s">
        <v>492</v>
      </c>
      <c r="D59" s="15" t="s">
        <v>174</v>
      </c>
      <c r="J59" s="36">
        <v>0</v>
      </c>
      <c r="P59" s="36">
        <v>0</v>
      </c>
      <c r="V59" s="36">
        <v>0</v>
      </c>
      <c r="W59" s="15" t="s">
        <v>448</v>
      </c>
      <c r="X59" s="15" t="s">
        <v>102</v>
      </c>
      <c r="Y59" s="15" t="s">
        <v>62</v>
      </c>
      <c r="Z59" s="15" t="s">
        <v>140</v>
      </c>
      <c r="AA59" s="15" t="s">
        <v>25</v>
      </c>
      <c r="AB59" s="36">
        <v>1</v>
      </c>
      <c r="AE59" s="15" t="s">
        <v>569</v>
      </c>
    </row>
  </sheetData>
  <mergeCells count="1">
    <mergeCell ref="A1:A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ars"/>
  <dimension ref="A1:AE65"/>
  <sheetViews>
    <sheetView workbookViewId="0">
      <selection activeCell="A65" sqref="A65"/>
    </sheetView>
  </sheetViews>
  <sheetFormatPr baseColWidth="10" defaultColWidth="11.07421875" defaultRowHeight="13.2" x14ac:dyDescent="0.25"/>
  <cols>
    <col min="1" max="1" width="11.07421875" style="15"/>
    <col min="2" max="2" width="14.07421875" style="38" bestFit="1" customWidth="1"/>
    <col min="3" max="3" width="15.4609375" style="15" bestFit="1" customWidth="1"/>
    <col min="4" max="4" width="11.61328125" style="15" bestFit="1" customWidth="1"/>
    <col min="5" max="5" width="8.07421875" style="15" customWidth="1"/>
    <col min="6" max="6" width="17.6914062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7.15234375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0.4609375" style="15" bestFit="1" customWidth="1"/>
    <col min="25" max="25" width="14.07421875" style="15" bestFit="1" customWidth="1"/>
    <col min="26" max="26" width="29.69140625" style="15" bestFit="1" customWidth="1"/>
    <col min="27" max="27" width="11.84375" style="15" bestFit="1" customWidth="1"/>
    <col min="28" max="28" width="9.84375" style="36" customWidth="1"/>
    <col min="29" max="29" width="12.07421875" style="15" bestFit="1" customWidth="1"/>
    <col min="30" max="30" width="8.07421875" style="15" bestFit="1" customWidth="1"/>
    <col min="31" max="31" width="15" style="15" bestFit="1" customWidth="1"/>
    <col min="32" max="16384" width="11.07421875" style="15"/>
  </cols>
  <sheetData>
    <row r="1" spans="1:31" ht="12.75" x14ac:dyDescent="0.2">
      <c r="A1" s="69" t="s">
        <v>654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47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34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37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655</v>
      </c>
      <c r="B4" s="38">
        <v>43160</v>
      </c>
      <c r="C4" s="15" t="s">
        <v>494</v>
      </c>
      <c r="D4" s="15" t="s">
        <v>175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364</v>
      </c>
      <c r="L4" s="15" t="s">
        <v>59</v>
      </c>
      <c r="M4" s="15" t="s">
        <v>39</v>
      </c>
      <c r="N4" s="15" t="s">
        <v>40</v>
      </c>
      <c r="O4" s="15" t="s">
        <v>10</v>
      </c>
      <c r="P4" s="36">
        <v>0.5</v>
      </c>
      <c r="V4" s="36">
        <v>0</v>
      </c>
      <c r="W4" s="15" t="s">
        <v>459</v>
      </c>
      <c r="X4" s="15" t="s">
        <v>165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547</v>
      </c>
    </row>
    <row r="5" spans="1:31" x14ac:dyDescent="0.25">
      <c r="A5" s="15" t="s">
        <v>656</v>
      </c>
      <c r="B5" s="38">
        <v>43161</v>
      </c>
      <c r="C5" s="15" t="s">
        <v>494</v>
      </c>
      <c r="D5" s="15" t="s">
        <v>175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366</v>
      </c>
      <c r="L5" s="15" t="s">
        <v>153</v>
      </c>
      <c r="M5" s="15" t="s">
        <v>39</v>
      </c>
      <c r="N5" s="15" t="s">
        <v>131</v>
      </c>
      <c r="O5" s="15" t="s">
        <v>10</v>
      </c>
      <c r="P5" s="36">
        <v>5</v>
      </c>
      <c r="V5" s="36">
        <v>0</v>
      </c>
      <c r="W5" s="15" t="s">
        <v>459</v>
      </c>
      <c r="X5" s="15" t="s">
        <v>165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547</v>
      </c>
    </row>
    <row r="6" spans="1:31" x14ac:dyDescent="0.25">
      <c r="A6" s="15" t="s">
        <v>657</v>
      </c>
      <c r="B6" s="38">
        <v>43164</v>
      </c>
      <c r="C6" s="15" t="s">
        <v>494</v>
      </c>
      <c r="D6" s="15" t="s">
        <v>175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368</v>
      </c>
      <c r="L6" s="15" t="s">
        <v>156</v>
      </c>
      <c r="M6" s="15" t="s">
        <v>39</v>
      </c>
      <c r="N6" s="15" t="s">
        <v>131</v>
      </c>
      <c r="O6" s="15" t="s">
        <v>10</v>
      </c>
      <c r="P6" s="36">
        <v>5</v>
      </c>
      <c r="V6" s="36">
        <v>0</v>
      </c>
      <c r="W6" s="15" t="s">
        <v>462</v>
      </c>
      <c r="X6" s="15" t="s">
        <v>166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547</v>
      </c>
    </row>
    <row r="7" spans="1:31" x14ac:dyDescent="0.25">
      <c r="A7" s="15" t="s">
        <v>658</v>
      </c>
      <c r="B7" s="38">
        <v>43165</v>
      </c>
      <c r="C7" s="15" t="s">
        <v>494</v>
      </c>
      <c r="D7" s="15" t="s">
        <v>175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370</v>
      </c>
      <c r="L7" s="15" t="s">
        <v>71</v>
      </c>
      <c r="M7" s="15" t="s">
        <v>39</v>
      </c>
      <c r="N7" s="15" t="s">
        <v>140</v>
      </c>
      <c r="O7" s="15" t="s">
        <v>10</v>
      </c>
      <c r="P7" s="36">
        <v>1</v>
      </c>
      <c r="V7" s="36">
        <v>0</v>
      </c>
      <c r="W7" s="15" t="s">
        <v>462</v>
      </c>
      <c r="X7" s="15" t="s">
        <v>166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547</v>
      </c>
    </row>
    <row r="8" spans="1:31" x14ac:dyDescent="0.25">
      <c r="A8" s="15" t="s">
        <v>659</v>
      </c>
      <c r="B8" s="38">
        <v>43166</v>
      </c>
      <c r="C8" s="15" t="s">
        <v>494</v>
      </c>
      <c r="D8" s="15" t="s">
        <v>175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372</v>
      </c>
      <c r="L8" s="15" t="s">
        <v>77</v>
      </c>
      <c r="M8" s="15" t="s">
        <v>39</v>
      </c>
      <c r="N8" s="15" t="s">
        <v>140</v>
      </c>
      <c r="O8" s="15" t="s">
        <v>10</v>
      </c>
      <c r="P8" s="36">
        <v>1</v>
      </c>
      <c r="V8" s="36">
        <v>0</v>
      </c>
      <c r="W8" s="15" t="s">
        <v>462</v>
      </c>
      <c r="X8" s="15" t="s">
        <v>166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547</v>
      </c>
    </row>
    <row r="9" spans="1:31" x14ac:dyDescent="0.25">
      <c r="A9" s="15" t="s">
        <v>660</v>
      </c>
      <c r="B9" s="38">
        <v>43167</v>
      </c>
      <c r="C9" s="15" t="s">
        <v>494</v>
      </c>
      <c r="D9" s="15" t="s">
        <v>175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374</v>
      </c>
      <c r="L9" s="15" t="s">
        <v>83</v>
      </c>
      <c r="M9" s="15" t="s">
        <v>39</v>
      </c>
      <c r="N9" s="15" t="s">
        <v>125</v>
      </c>
      <c r="O9" s="15" t="s">
        <v>10</v>
      </c>
      <c r="P9" s="36">
        <v>25</v>
      </c>
      <c r="V9" s="36">
        <v>0</v>
      </c>
      <c r="W9" s="15" t="s">
        <v>462</v>
      </c>
      <c r="X9" s="15" t="s">
        <v>166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547</v>
      </c>
    </row>
    <row r="10" spans="1:31" x14ac:dyDescent="0.25">
      <c r="A10" s="15" t="s">
        <v>661</v>
      </c>
      <c r="B10" s="38">
        <v>43168</v>
      </c>
      <c r="C10" s="15" t="s">
        <v>494</v>
      </c>
      <c r="D10" s="15" t="s">
        <v>175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376</v>
      </c>
      <c r="L10" s="15" t="s">
        <v>141</v>
      </c>
      <c r="M10" s="15" t="s">
        <v>39</v>
      </c>
      <c r="N10" s="15" t="s">
        <v>224</v>
      </c>
      <c r="O10" s="15" t="s">
        <v>10</v>
      </c>
      <c r="P10" s="36">
        <v>0.5</v>
      </c>
      <c r="V10" s="36">
        <v>0</v>
      </c>
      <c r="W10" s="15" t="s">
        <v>462</v>
      </c>
      <c r="X10" s="15" t="s">
        <v>166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547</v>
      </c>
    </row>
    <row r="11" spans="1:31" x14ac:dyDescent="0.25">
      <c r="A11" s="15" t="s">
        <v>662</v>
      </c>
      <c r="B11" s="38">
        <v>43171</v>
      </c>
      <c r="C11" s="15" t="s">
        <v>494</v>
      </c>
      <c r="D11" s="15" t="s">
        <v>175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376</v>
      </c>
      <c r="L11" s="15" t="s">
        <v>141</v>
      </c>
      <c r="M11" s="15" t="s">
        <v>39</v>
      </c>
      <c r="N11" s="15" t="s">
        <v>224</v>
      </c>
      <c r="O11" s="15" t="s">
        <v>10</v>
      </c>
      <c r="P11" s="36">
        <v>0.5</v>
      </c>
      <c r="V11" s="36">
        <v>0</v>
      </c>
      <c r="W11" s="15" t="s">
        <v>454</v>
      </c>
      <c r="X11" s="15" t="s">
        <v>161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547</v>
      </c>
    </row>
    <row r="12" spans="1:31" x14ac:dyDescent="0.25">
      <c r="A12" s="15" t="s">
        <v>663</v>
      </c>
      <c r="B12" s="38">
        <v>43172</v>
      </c>
      <c r="C12" s="15" t="s">
        <v>494</v>
      </c>
      <c r="D12" s="15" t="s">
        <v>175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378</v>
      </c>
      <c r="L12" s="15" t="s">
        <v>93</v>
      </c>
      <c r="M12" s="15" t="s">
        <v>39</v>
      </c>
      <c r="N12" s="15" t="s">
        <v>125</v>
      </c>
      <c r="O12" s="15" t="s">
        <v>10</v>
      </c>
      <c r="P12" s="36">
        <v>25</v>
      </c>
      <c r="V12" s="36">
        <v>0</v>
      </c>
      <c r="W12" s="15" t="s">
        <v>454</v>
      </c>
      <c r="X12" s="15" t="s">
        <v>161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547</v>
      </c>
    </row>
    <row r="13" spans="1:31" x14ac:dyDescent="0.25">
      <c r="A13" s="15" t="s">
        <v>664</v>
      </c>
      <c r="B13" s="38">
        <v>43173</v>
      </c>
      <c r="C13" s="15" t="s">
        <v>494</v>
      </c>
      <c r="D13" s="15" t="s">
        <v>175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380</v>
      </c>
      <c r="L13" s="15" t="s">
        <v>144</v>
      </c>
      <c r="M13" s="15" t="s">
        <v>39</v>
      </c>
      <c r="N13" s="15" t="s">
        <v>149</v>
      </c>
      <c r="O13" s="15" t="s">
        <v>10</v>
      </c>
      <c r="P13" s="36">
        <v>1</v>
      </c>
      <c r="V13" s="36">
        <v>0</v>
      </c>
      <c r="W13" s="15" t="s">
        <v>454</v>
      </c>
      <c r="X13" s="15" t="s">
        <v>161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547</v>
      </c>
    </row>
    <row r="14" spans="1:31" x14ac:dyDescent="0.25">
      <c r="A14" s="15" t="s">
        <v>665</v>
      </c>
      <c r="B14" s="38">
        <v>43174</v>
      </c>
      <c r="C14" s="15" t="s">
        <v>494</v>
      </c>
      <c r="D14" s="15" t="s">
        <v>175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382</v>
      </c>
      <c r="L14" s="15" t="s">
        <v>150</v>
      </c>
      <c r="M14" s="15" t="s">
        <v>39</v>
      </c>
      <c r="N14" s="15" t="s">
        <v>155</v>
      </c>
      <c r="O14" s="15" t="s">
        <v>10</v>
      </c>
      <c r="P14" s="36">
        <v>2</v>
      </c>
      <c r="V14" s="36">
        <v>0</v>
      </c>
      <c r="W14" s="15" t="s">
        <v>454</v>
      </c>
      <c r="X14" s="15" t="s">
        <v>161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547</v>
      </c>
    </row>
    <row r="15" spans="1:31" x14ac:dyDescent="0.25">
      <c r="A15" s="15" t="s">
        <v>666</v>
      </c>
      <c r="B15" s="38">
        <v>42810</v>
      </c>
      <c r="C15" s="15" t="s">
        <v>494</v>
      </c>
      <c r="D15" s="15" t="s">
        <v>175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350</v>
      </c>
      <c r="L15" s="15" t="s">
        <v>15</v>
      </c>
      <c r="M15" s="15" t="s">
        <v>39</v>
      </c>
      <c r="N15" s="15" t="s">
        <v>34</v>
      </c>
      <c r="O15" s="15" t="s">
        <v>10</v>
      </c>
      <c r="P15" s="36">
        <v>1</v>
      </c>
      <c r="V15" s="36">
        <v>0</v>
      </c>
      <c r="W15" s="15" t="s">
        <v>454</v>
      </c>
      <c r="X15" s="15" t="s">
        <v>161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547</v>
      </c>
    </row>
    <row r="16" spans="1:31" x14ac:dyDescent="0.25">
      <c r="A16" s="15" t="s">
        <v>667</v>
      </c>
      <c r="B16" s="38">
        <v>43178</v>
      </c>
      <c r="C16" s="15" t="s">
        <v>494</v>
      </c>
      <c r="D16" s="15" t="s">
        <v>175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352</v>
      </c>
      <c r="L16" s="15" t="s">
        <v>123</v>
      </c>
      <c r="M16" s="15" t="s">
        <v>39</v>
      </c>
      <c r="N16" s="15" t="s">
        <v>140</v>
      </c>
      <c r="O16" s="15" t="s">
        <v>10</v>
      </c>
      <c r="P16" s="36">
        <v>1</v>
      </c>
      <c r="V16" s="36">
        <v>0</v>
      </c>
      <c r="W16" s="15" t="s">
        <v>456</v>
      </c>
      <c r="X16" s="15" t="s">
        <v>163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547</v>
      </c>
    </row>
    <row r="17" spans="1:31" x14ac:dyDescent="0.25">
      <c r="A17" s="15" t="s">
        <v>668</v>
      </c>
      <c r="B17" s="38">
        <v>43179</v>
      </c>
      <c r="C17" s="15" t="s">
        <v>494</v>
      </c>
      <c r="D17" s="15" t="s">
        <v>175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354</v>
      </c>
      <c r="L17" s="15" t="s">
        <v>129</v>
      </c>
      <c r="M17" s="15" t="s">
        <v>39</v>
      </c>
      <c r="N17" s="15" t="s">
        <v>155</v>
      </c>
      <c r="O17" s="15" t="s">
        <v>10</v>
      </c>
      <c r="P17" s="36">
        <v>1</v>
      </c>
      <c r="V17" s="36">
        <v>0</v>
      </c>
      <c r="W17" s="15" t="s">
        <v>456</v>
      </c>
      <c r="X17" s="15" t="s">
        <v>163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547</v>
      </c>
    </row>
    <row r="18" spans="1:31" x14ac:dyDescent="0.25">
      <c r="A18" s="15" t="s">
        <v>669</v>
      </c>
      <c r="B18" s="38">
        <v>43180</v>
      </c>
      <c r="C18" s="15" t="s">
        <v>494</v>
      </c>
      <c r="D18" s="15" t="s">
        <v>175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356</v>
      </c>
      <c r="L18" s="15" t="s">
        <v>132</v>
      </c>
      <c r="M18" s="15" t="s">
        <v>39</v>
      </c>
      <c r="N18" s="15" t="s">
        <v>134</v>
      </c>
      <c r="O18" s="15" t="s">
        <v>10</v>
      </c>
      <c r="P18" s="36">
        <v>1</v>
      </c>
      <c r="V18" s="36">
        <v>0</v>
      </c>
      <c r="W18" s="15" t="s">
        <v>456</v>
      </c>
      <c r="X18" s="15" t="s">
        <v>163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547</v>
      </c>
    </row>
    <row r="19" spans="1:31" x14ac:dyDescent="0.25">
      <c r="A19" s="15" t="s">
        <v>670</v>
      </c>
      <c r="B19" s="38">
        <v>43181</v>
      </c>
      <c r="C19" s="15" t="s">
        <v>494</v>
      </c>
      <c r="D19" s="15" t="s">
        <v>175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358</v>
      </c>
      <c r="L19" s="15" t="s">
        <v>135</v>
      </c>
      <c r="M19" s="15" t="s">
        <v>39</v>
      </c>
      <c r="N19" s="15" t="s">
        <v>34</v>
      </c>
      <c r="O19" s="15" t="s">
        <v>10</v>
      </c>
      <c r="P19" s="36">
        <v>1</v>
      </c>
      <c r="V19" s="36">
        <v>0</v>
      </c>
      <c r="W19" s="15" t="s">
        <v>456</v>
      </c>
      <c r="X19" s="15" t="s">
        <v>163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547</v>
      </c>
    </row>
    <row r="20" spans="1:31" x14ac:dyDescent="0.25">
      <c r="A20" s="15" t="s">
        <v>671</v>
      </c>
      <c r="B20" s="38">
        <v>43182</v>
      </c>
      <c r="C20" s="15" t="s">
        <v>494</v>
      </c>
      <c r="D20" s="15" t="s">
        <v>175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360</v>
      </c>
      <c r="L20" s="15" t="s">
        <v>138</v>
      </c>
      <c r="M20" s="15" t="s">
        <v>39</v>
      </c>
      <c r="N20" s="15" t="s">
        <v>140</v>
      </c>
      <c r="O20" s="15" t="s">
        <v>10</v>
      </c>
      <c r="P20" s="36">
        <v>1</v>
      </c>
      <c r="V20" s="36">
        <v>0</v>
      </c>
      <c r="W20" s="15" t="s">
        <v>456</v>
      </c>
      <c r="X20" s="15" t="s">
        <v>163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547</v>
      </c>
    </row>
    <row r="21" spans="1:31" x14ac:dyDescent="0.25">
      <c r="A21" s="15" t="s">
        <v>673</v>
      </c>
      <c r="B21" s="38">
        <v>43185</v>
      </c>
      <c r="C21" s="15" t="s">
        <v>494</v>
      </c>
      <c r="D21" s="15" t="s">
        <v>175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362</v>
      </c>
      <c r="L21" s="15" t="s">
        <v>42</v>
      </c>
      <c r="M21" s="15" t="s">
        <v>39</v>
      </c>
      <c r="N21" s="15" t="s">
        <v>125</v>
      </c>
      <c r="O21" s="15" t="s">
        <v>10</v>
      </c>
      <c r="P21" s="36">
        <v>25</v>
      </c>
      <c r="V21" s="36">
        <v>0</v>
      </c>
      <c r="W21" s="15" t="s">
        <v>457</v>
      </c>
      <c r="X21" s="15" t="s">
        <v>164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547</v>
      </c>
    </row>
    <row r="22" spans="1:31" x14ac:dyDescent="0.25">
      <c r="A22" s="15" t="s">
        <v>672</v>
      </c>
      <c r="B22" s="38">
        <v>43186</v>
      </c>
      <c r="C22" s="15" t="s">
        <v>494</v>
      </c>
      <c r="D22" s="15" t="s">
        <v>175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364</v>
      </c>
      <c r="L22" s="15" t="s">
        <v>59</v>
      </c>
      <c r="M22" s="15" t="s">
        <v>39</v>
      </c>
      <c r="N22" s="15" t="s">
        <v>40</v>
      </c>
      <c r="O22" s="15" t="s">
        <v>10</v>
      </c>
      <c r="P22" s="36">
        <v>0.5</v>
      </c>
      <c r="V22" s="36">
        <v>0</v>
      </c>
      <c r="W22" s="15" t="s">
        <v>457</v>
      </c>
      <c r="X22" s="15" t="s">
        <v>164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547</v>
      </c>
    </row>
    <row r="23" spans="1:31" x14ac:dyDescent="0.25">
      <c r="A23" s="15" t="s">
        <v>674</v>
      </c>
      <c r="B23" s="38">
        <v>43187</v>
      </c>
      <c r="C23" s="15" t="s">
        <v>494</v>
      </c>
      <c r="D23" s="15" t="s">
        <v>175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364</v>
      </c>
      <c r="L23" s="15" t="s">
        <v>59</v>
      </c>
      <c r="M23" s="15" t="s">
        <v>39</v>
      </c>
      <c r="N23" s="15" t="s">
        <v>40</v>
      </c>
      <c r="O23" s="15" t="s">
        <v>10</v>
      </c>
      <c r="P23" s="36">
        <v>0.5</v>
      </c>
      <c r="V23" s="36">
        <v>0</v>
      </c>
      <c r="W23" s="15" t="s">
        <v>457</v>
      </c>
      <c r="X23" s="15" t="s">
        <v>164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547</v>
      </c>
    </row>
    <row r="24" spans="1:31" x14ac:dyDescent="0.25">
      <c r="A24" s="15" t="s">
        <v>675</v>
      </c>
      <c r="B24" s="38">
        <v>43188</v>
      </c>
      <c r="C24" s="15" t="s">
        <v>494</v>
      </c>
      <c r="D24" s="15" t="s">
        <v>175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366</v>
      </c>
      <c r="L24" s="15" t="s">
        <v>153</v>
      </c>
      <c r="M24" s="15" t="s">
        <v>39</v>
      </c>
      <c r="N24" s="15" t="s">
        <v>131</v>
      </c>
      <c r="O24" s="15" t="s">
        <v>10</v>
      </c>
      <c r="P24" s="36">
        <v>5</v>
      </c>
      <c r="V24" s="36">
        <v>0</v>
      </c>
      <c r="W24" s="15" t="s">
        <v>457</v>
      </c>
      <c r="X24" s="15" t="s">
        <v>164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547</v>
      </c>
    </row>
    <row r="25" spans="1:31" x14ac:dyDescent="0.25">
      <c r="A25" s="15" t="s">
        <v>676</v>
      </c>
      <c r="B25" s="38">
        <v>43189</v>
      </c>
      <c r="C25" s="15" t="s">
        <v>494</v>
      </c>
      <c r="D25" s="15" t="s">
        <v>175</v>
      </c>
      <c r="E25" s="15" t="s">
        <v>272</v>
      </c>
      <c r="F25" s="15" t="s">
        <v>104</v>
      </c>
      <c r="G25" s="15" t="s">
        <v>39</v>
      </c>
      <c r="H25" s="15" t="s">
        <v>99</v>
      </c>
      <c r="I25" s="15" t="s">
        <v>10</v>
      </c>
      <c r="J25" s="36">
        <v>1</v>
      </c>
      <c r="K25" s="15" t="s">
        <v>368</v>
      </c>
      <c r="L25" s="15" t="s">
        <v>156</v>
      </c>
      <c r="M25" s="15" t="s">
        <v>39</v>
      </c>
      <c r="N25" s="15" t="s">
        <v>131</v>
      </c>
      <c r="O25" s="15" t="s">
        <v>10</v>
      </c>
      <c r="P25" s="36">
        <v>5</v>
      </c>
      <c r="V25" s="36">
        <v>0</v>
      </c>
      <c r="W25" s="15" t="s">
        <v>457</v>
      </c>
      <c r="X25" s="15" t="s">
        <v>164</v>
      </c>
      <c r="Y25" s="15" t="s">
        <v>39</v>
      </c>
      <c r="Z25" s="15" t="s">
        <v>63</v>
      </c>
      <c r="AA25" s="15" t="s">
        <v>10</v>
      </c>
      <c r="AB25" s="36">
        <v>100</v>
      </c>
      <c r="AE25" s="15" t="s">
        <v>547</v>
      </c>
    </row>
    <row r="26" spans="1:31" x14ac:dyDescent="0.25">
      <c r="A26" s="15" t="s">
        <v>940</v>
      </c>
      <c r="B26" s="38">
        <v>43160</v>
      </c>
      <c r="C26" s="15" t="s">
        <v>494</v>
      </c>
      <c r="D26" s="15" t="s">
        <v>175</v>
      </c>
      <c r="E26" s="15" t="s">
        <v>260</v>
      </c>
      <c r="F26" s="15" t="s">
        <v>104</v>
      </c>
      <c r="G26" s="15" t="s">
        <v>45</v>
      </c>
      <c r="H26" s="15" t="s">
        <v>99</v>
      </c>
      <c r="I26" s="15" t="s">
        <v>18</v>
      </c>
      <c r="J26" s="36">
        <v>1</v>
      </c>
      <c r="K26" s="15" t="s">
        <v>310</v>
      </c>
      <c r="L26" s="15" t="s">
        <v>105</v>
      </c>
      <c r="M26" s="15" t="s">
        <v>56</v>
      </c>
      <c r="N26" s="15" t="s">
        <v>40</v>
      </c>
      <c r="O26" s="15" t="s">
        <v>18</v>
      </c>
      <c r="P26" s="36">
        <v>0.5</v>
      </c>
      <c r="V26" s="36">
        <v>0</v>
      </c>
      <c r="W26" s="15" t="s">
        <v>426</v>
      </c>
      <c r="X26" s="15" t="s">
        <v>124</v>
      </c>
      <c r="Y26" s="15" t="s">
        <v>33</v>
      </c>
      <c r="Z26" s="15" t="s">
        <v>57</v>
      </c>
      <c r="AA26" s="15" t="s">
        <v>18</v>
      </c>
      <c r="AB26" s="36">
        <v>133</v>
      </c>
      <c r="AE26" s="15" t="s">
        <v>559</v>
      </c>
    </row>
    <row r="27" spans="1:31" x14ac:dyDescent="0.25">
      <c r="A27" s="15" t="s">
        <v>942</v>
      </c>
      <c r="B27" s="38">
        <v>43161</v>
      </c>
      <c r="C27" s="15" t="s">
        <v>494</v>
      </c>
      <c r="D27" s="15" t="s">
        <v>175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322</v>
      </c>
      <c r="L27" s="15" t="s">
        <v>129</v>
      </c>
      <c r="M27" s="15" t="s">
        <v>80</v>
      </c>
      <c r="N27" s="15" t="s">
        <v>155</v>
      </c>
      <c r="O27" s="15" t="s">
        <v>18</v>
      </c>
      <c r="P27" s="36">
        <v>2</v>
      </c>
      <c r="V27" s="36">
        <v>0</v>
      </c>
      <c r="W27" s="15" t="s">
        <v>404</v>
      </c>
      <c r="X27" s="15" t="s">
        <v>78</v>
      </c>
      <c r="Y27" s="15" t="s">
        <v>33</v>
      </c>
      <c r="Z27" s="15" t="s">
        <v>87</v>
      </c>
      <c r="AA27" s="15" t="s">
        <v>18</v>
      </c>
      <c r="AB27" s="36">
        <v>0.5</v>
      </c>
      <c r="AE27" s="15" t="s">
        <v>559</v>
      </c>
    </row>
    <row r="28" spans="1:31" x14ac:dyDescent="0.25">
      <c r="A28" s="15" t="s">
        <v>943</v>
      </c>
      <c r="B28" s="38">
        <v>43162</v>
      </c>
      <c r="C28" s="15" t="s">
        <v>494</v>
      </c>
      <c r="D28" s="15" t="s">
        <v>175</v>
      </c>
      <c r="E28" s="15" t="s">
        <v>252</v>
      </c>
      <c r="F28" s="15" t="s">
        <v>88</v>
      </c>
      <c r="G28" s="15" t="s">
        <v>68</v>
      </c>
      <c r="H28" s="15" t="s">
        <v>40</v>
      </c>
      <c r="I28" s="15" t="s">
        <v>18</v>
      </c>
      <c r="J28" s="36">
        <v>2</v>
      </c>
      <c r="K28" s="15" t="s">
        <v>340</v>
      </c>
      <c r="L28" s="15" t="s">
        <v>156</v>
      </c>
      <c r="M28" s="15" t="s">
        <v>74</v>
      </c>
      <c r="N28" s="15" t="s">
        <v>131</v>
      </c>
      <c r="O28" s="15" t="s">
        <v>18</v>
      </c>
      <c r="P28" s="36">
        <v>10</v>
      </c>
      <c r="V28" s="36">
        <v>0</v>
      </c>
      <c r="W28" s="15" t="s">
        <v>426</v>
      </c>
      <c r="X28" s="15" t="s">
        <v>124</v>
      </c>
      <c r="Y28" s="15" t="s">
        <v>33</v>
      </c>
      <c r="Z28" s="15" t="s">
        <v>57</v>
      </c>
      <c r="AA28" s="15" t="s">
        <v>18</v>
      </c>
      <c r="AB28" s="36">
        <v>133</v>
      </c>
      <c r="AE28" s="15" t="s">
        <v>559</v>
      </c>
    </row>
    <row r="29" spans="1:31" x14ac:dyDescent="0.25">
      <c r="A29" s="15" t="s">
        <v>944</v>
      </c>
      <c r="B29" s="38">
        <v>43163</v>
      </c>
      <c r="C29" s="15" t="s">
        <v>494</v>
      </c>
      <c r="D29" s="15" t="s">
        <v>175</v>
      </c>
      <c r="E29" s="15" t="s">
        <v>252</v>
      </c>
      <c r="F29" s="15" t="s">
        <v>88</v>
      </c>
      <c r="G29" s="15" t="s">
        <v>68</v>
      </c>
      <c r="H29" s="15" t="s">
        <v>40</v>
      </c>
      <c r="I29" s="15" t="s">
        <v>18</v>
      </c>
      <c r="J29" s="36">
        <v>2</v>
      </c>
      <c r="K29" s="15" t="s">
        <v>344</v>
      </c>
      <c r="L29" s="15" t="s">
        <v>160</v>
      </c>
      <c r="M29" s="15" t="s">
        <v>20</v>
      </c>
      <c r="N29" s="15" t="s">
        <v>103</v>
      </c>
      <c r="O29" s="15" t="s">
        <v>18</v>
      </c>
      <c r="P29" s="36">
        <v>1</v>
      </c>
      <c r="V29" s="36">
        <v>0</v>
      </c>
      <c r="W29" s="15" t="s">
        <v>406</v>
      </c>
      <c r="X29" s="15" t="s">
        <v>84</v>
      </c>
      <c r="Y29" s="15" t="s">
        <v>33</v>
      </c>
      <c r="Z29" s="15" t="s">
        <v>87</v>
      </c>
      <c r="AA29" s="15" t="s">
        <v>18</v>
      </c>
      <c r="AB29" s="36">
        <v>0.5</v>
      </c>
      <c r="AE29" s="15" t="s">
        <v>559</v>
      </c>
    </row>
    <row r="30" spans="1:31" x14ac:dyDescent="0.25">
      <c r="A30" s="15" t="s">
        <v>966</v>
      </c>
      <c r="B30" s="38">
        <v>43164</v>
      </c>
      <c r="C30" s="15" t="s">
        <v>494</v>
      </c>
      <c r="D30" s="15" t="s">
        <v>175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300</v>
      </c>
      <c r="L30" s="15" t="s">
        <v>89</v>
      </c>
      <c r="M30" s="15" t="s">
        <v>51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134</v>
      </c>
      <c r="AE30" s="15" t="s">
        <v>559</v>
      </c>
    </row>
    <row r="31" spans="1:31" x14ac:dyDescent="0.25">
      <c r="A31" s="15" t="s">
        <v>945</v>
      </c>
      <c r="B31" s="38">
        <v>43165</v>
      </c>
      <c r="C31" s="15" t="s">
        <v>494</v>
      </c>
      <c r="D31" s="15" t="s">
        <v>175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300</v>
      </c>
      <c r="L31" s="15" t="s">
        <v>89</v>
      </c>
      <c r="M31" s="15" t="s">
        <v>51</v>
      </c>
      <c r="N31" s="15" t="s">
        <v>40</v>
      </c>
      <c r="O31" s="15" t="s">
        <v>18</v>
      </c>
      <c r="P31" s="36">
        <v>0.5</v>
      </c>
      <c r="V31" s="36">
        <v>0</v>
      </c>
      <c r="W31" s="15" t="s">
        <v>406</v>
      </c>
      <c r="X31" s="15" t="s">
        <v>84</v>
      </c>
      <c r="Y31" s="15" t="s">
        <v>33</v>
      </c>
      <c r="Z31" s="15" t="s">
        <v>87</v>
      </c>
      <c r="AA31" s="15" t="s">
        <v>18</v>
      </c>
      <c r="AB31" s="36">
        <v>0.5</v>
      </c>
      <c r="AE31" s="15" t="s">
        <v>559</v>
      </c>
    </row>
    <row r="32" spans="1:31" x14ac:dyDescent="0.25">
      <c r="A32" s="15" t="s">
        <v>946</v>
      </c>
      <c r="B32" s="38">
        <v>43166</v>
      </c>
      <c r="C32" s="15" t="s">
        <v>494</v>
      </c>
      <c r="D32" s="15" t="s">
        <v>175</v>
      </c>
      <c r="E32" s="15" t="s">
        <v>260</v>
      </c>
      <c r="F32" s="15" t="s">
        <v>104</v>
      </c>
      <c r="G32" s="15" t="s">
        <v>45</v>
      </c>
      <c r="H32" s="15" t="s">
        <v>99</v>
      </c>
      <c r="I32" s="15" t="s">
        <v>18</v>
      </c>
      <c r="J32" s="36">
        <v>1</v>
      </c>
      <c r="K32" s="15" t="s">
        <v>312</v>
      </c>
      <c r="L32" s="15" t="s">
        <v>109</v>
      </c>
      <c r="M32" s="15" t="s">
        <v>56</v>
      </c>
      <c r="N32" s="15" t="s">
        <v>40</v>
      </c>
      <c r="O32" s="15" t="s">
        <v>18</v>
      </c>
      <c r="P32" s="36">
        <v>0.5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133</v>
      </c>
      <c r="AE32" s="15" t="s">
        <v>559</v>
      </c>
    </row>
    <row r="33" spans="1:31" x14ac:dyDescent="0.25">
      <c r="A33" s="15" t="s">
        <v>947</v>
      </c>
      <c r="B33" s="38">
        <v>43167</v>
      </c>
      <c r="C33" s="15" t="s">
        <v>494</v>
      </c>
      <c r="D33" s="15" t="s">
        <v>175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312</v>
      </c>
      <c r="L33" s="15" t="s">
        <v>109</v>
      </c>
      <c r="M33" s="15" t="s">
        <v>56</v>
      </c>
      <c r="N33" s="15" t="s">
        <v>40</v>
      </c>
      <c r="O33" s="15" t="s">
        <v>18</v>
      </c>
      <c r="P33" s="36">
        <v>0.5</v>
      </c>
      <c r="V33" s="36">
        <v>0</v>
      </c>
      <c r="W33" s="15" t="s">
        <v>408</v>
      </c>
      <c r="X33" s="15" t="s">
        <v>90</v>
      </c>
      <c r="Y33" s="15" t="s">
        <v>33</v>
      </c>
      <c r="Z33" s="15" t="s">
        <v>87</v>
      </c>
      <c r="AA33" s="15" t="s">
        <v>18</v>
      </c>
      <c r="AB33" s="36">
        <v>0.5</v>
      </c>
      <c r="AE33" s="15" t="s">
        <v>559</v>
      </c>
    </row>
    <row r="34" spans="1:31" x14ac:dyDescent="0.25">
      <c r="A34" s="15" t="s">
        <v>948</v>
      </c>
      <c r="B34" s="38">
        <v>43168</v>
      </c>
      <c r="C34" s="15" t="s">
        <v>494</v>
      </c>
      <c r="D34" s="15" t="s">
        <v>175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324</v>
      </c>
      <c r="L34" s="15" t="s">
        <v>132</v>
      </c>
      <c r="M34" s="15" t="s">
        <v>80</v>
      </c>
      <c r="N34" s="15" t="s">
        <v>134</v>
      </c>
      <c r="O34" s="15" t="s">
        <v>18</v>
      </c>
      <c r="P34" s="36">
        <v>0.5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559</v>
      </c>
    </row>
    <row r="35" spans="1:31" x14ac:dyDescent="0.25">
      <c r="A35" s="15" t="s">
        <v>949</v>
      </c>
      <c r="B35" s="38">
        <v>43169</v>
      </c>
      <c r="C35" s="15" t="s">
        <v>494</v>
      </c>
      <c r="D35" s="15" t="s">
        <v>175</v>
      </c>
      <c r="E35" s="15" t="s">
        <v>254</v>
      </c>
      <c r="F35" s="15" t="s">
        <v>92</v>
      </c>
      <c r="G35" s="15" t="s">
        <v>68</v>
      </c>
      <c r="H35" s="15" t="s">
        <v>69</v>
      </c>
      <c r="I35" s="15" t="s">
        <v>18</v>
      </c>
      <c r="J35" s="36">
        <v>2</v>
      </c>
      <c r="K35" s="15" t="s">
        <v>342</v>
      </c>
      <c r="L35" s="15" t="s">
        <v>158</v>
      </c>
      <c r="M35" s="15" t="s">
        <v>74</v>
      </c>
      <c r="N35" s="15" t="s">
        <v>131</v>
      </c>
      <c r="O35" s="15" t="s">
        <v>18</v>
      </c>
      <c r="P35" s="36">
        <v>10</v>
      </c>
      <c r="V35" s="36">
        <v>0</v>
      </c>
      <c r="W35" s="15" t="s">
        <v>408</v>
      </c>
      <c r="X35" s="15" t="s">
        <v>90</v>
      </c>
      <c r="Y35" s="15" t="s">
        <v>33</v>
      </c>
      <c r="Z35" s="15" t="s">
        <v>87</v>
      </c>
      <c r="AA35" s="15" t="s">
        <v>18</v>
      </c>
      <c r="AB35" s="36">
        <v>0.5</v>
      </c>
      <c r="AE35" s="15" t="s">
        <v>559</v>
      </c>
    </row>
    <row r="36" spans="1:31" x14ac:dyDescent="0.25">
      <c r="A36" s="15" t="s">
        <v>950</v>
      </c>
      <c r="B36" s="38">
        <v>43170</v>
      </c>
      <c r="C36" s="15" t="s">
        <v>494</v>
      </c>
      <c r="D36" s="15" t="s">
        <v>175</v>
      </c>
      <c r="E36" s="15" t="s">
        <v>254</v>
      </c>
      <c r="F36" s="15" t="s">
        <v>92</v>
      </c>
      <c r="G36" s="15" t="s">
        <v>68</v>
      </c>
      <c r="H36" s="15" t="s">
        <v>69</v>
      </c>
      <c r="I36" s="15" t="s">
        <v>18</v>
      </c>
      <c r="J36" s="36">
        <v>2</v>
      </c>
      <c r="K36" s="15" t="s">
        <v>346</v>
      </c>
      <c r="L36" s="15" t="s">
        <v>162</v>
      </c>
      <c r="M36" s="15" t="s">
        <v>12</v>
      </c>
      <c r="N36" s="15" t="s">
        <v>121</v>
      </c>
      <c r="O36" s="15" t="s">
        <v>18</v>
      </c>
      <c r="P36" s="36">
        <v>20</v>
      </c>
      <c r="Q36" s="15" t="s">
        <v>274</v>
      </c>
      <c r="R36" s="15" t="s">
        <v>15</v>
      </c>
      <c r="S36" s="15" t="s">
        <v>27</v>
      </c>
      <c r="T36" s="15" t="s">
        <v>13</v>
      </c>
      <c r="U36" s="15" t="s">
        <v>18</v>
      </c>
      <c r="V36" s="36">
        <v>1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134</v>
      </c>
      <c r="AE36" s="15" t="s">
        <v>559</v>
      </c>
    </row>
    <row r="37" spans="1:31" x14ac:dyDescent="0.25">
      <c r="A37" s="15" t="s">
        <v>951</v>
      </c>
      <c r="B37" s="38">
        <v>43171</v>
      </c>
      <c r="C37" s="15" t="s">
        <v>494</v>
      </c>
      <c r="D37" s="15" t="s">
        <v>175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302</v>
      </c>
      <c r="L37" s="15" t="s">
        <v>93</v>
      </c>
      <c r="M37" s="15" t="s">
        <v>51</v>
      </c>
      <c r="N37" s="15" t="s">
        <v>125</v>
      </c>
      <c r="O37" s="15" t="s">
        <v>18</v>
      </c>
      <c r="P37" s="36">
        <v>25</v>
      </c>
      <c r="V37" s="36">
        <v>0</v>
      </c>
      <c r="W37" s="15" t="s">
        <v>410</v>
      </c>
      <c r="X37" s="15" t="s">
        <v>94</v>
      </c>
      <c r="Y37" s="15" t="s">
        <v>33</v>
      </c>
      <c r="Z37" s="15" t="s">
        <v>21</v>
      </c>
      <c r="AA37" s="15" t="s">
        <v>18</v>
      </c>
      <c r="AB37" s="36">
        <v>3</v>
      </c>
      <c r="AE37" s="15" t="s">
        <v>559</v>
      </c>
    </row>
    <row r="38" spans="1:31" x14ac:dyDescent="0.25">
      <c r="A38" s="15" t="s">
        <v>952</v>
      </c>
      <c r="B38" s="38">
        <v>43172</v>
      </c>
      <c r="C38" s="15" t="s">
        <v>494</v>
      </c>
      <c r="D38" s="15" t="s">
        <v>175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302</v>
      </c>
      <c r="L38" s="15" t="s">
        <v>93</v>
      </c>
      <c r="M38" s="15" t="s">
        <v>51</v>
      </c>
      <c r="N38" s="15" t="s">
        <v>125</v>
      </c>
      <c r="O38" s="15" t="s">
        <v>18</v>
      </c>
      <c r="P38" s="36">
        <v>25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133</v>
      </c>
      <c r="AE38" s="15" t="s">
        <v>559</v>
      </c>
    </row>
    <row r="39" spans="1:31" x14ac:dyDescent="0.25">
      <c r="A39" s="15" t="s">
        <v>953</v>
      </c>
      <c r="B39" s="38">
        <v>43173</v>
      </c>
      <c r="C39" s="15" t="s">
        <v>494</v>
      </c>
      <c r="D39" s="15" t="s">
        <v>175</v>
      </c>
      <c r="E39" s="15" t="s">
        <v>260</v>
      </c>
      <c r="F39" s="15" t="s">
        <v>104</v>
      </c>
      <c r="G39" s="15" t="s">
        <v>45</v>
      </c>
      <c r="H39" s="15" t="s">
        <v>99</v>
      </c>
      <c r="I39" s="15" t="s">
        <v>18</v>
      </c>
      <c r="J39" s="36">
        <v>1</v>
      </c>
      <c r="K39" s="15" t="s">
        <v>314</v>
      </c>
      <c r="L39" s="15" t="s">
        <v>112</v>
      </c>
      <c r="M39" s="15" t="s">
        <v>56</v>
      </c>
      <c r="N39" s="15" t="s">
        <v>40</v>
      </c>
      <c r="O39" s="15" t="s">
        <v>18</v>
      </c>
      <c r="P39" s="36">
        <v>0.5</v>
      </c>
      <c r="V39" s="36">
        <v>0</v>
      </c>
      <c r="W39" s="15" t="s">
        <v>410</v>
      </c>
      <c r="X39" s="15" t="s">
        <v>94</v>
      </c>
      <c r="Y39" s="15" t="s">
        <v>33</v>
      </c>
      <c r="Z39" s="15" t="s">
        <v>21</v>
      </c>
      <c r="AA39" s="15" t="s">
        <v>18</v>
      </c>
      <c r="AB39" s="36">
        <v>3</v>
      </c>
      <c r="AE39" s="15" t="s">
        <v>559</v>
      </c>
    </row>
    <row r="40" spans="1:31" x14ac:dyDescent="0.25">
      <c r="A40" s="15" t="s">
        <v>954</v>
      </c>
      <c r="B40" s="38">
        <v>43174</v>
      </c>
      <c r="C40" s="15" t="s">
        <v>494</v>
      </c>
      <c r="D40" s="15" t="s">
        <v>175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314</v>
      </c>
      <c r="L40" s="15" t="s">
        <v>112</v>
      </c>
      <c r="M40" s="15" t="s">
        <v>56</v>
      </c>
      <c r="N40" s="15" t="s">
        <v>40</v>
      </c>
      <c r="O40" s="15" t="s">
        <v>18</v>
      </c>
      <c r="P40" s="36">
        <v>0.5</v>
      </c>
      <c r="V40" s="36">
        <v>0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559</v>
      </c>
    </row>
    <row r="41" spans="1:31" x14ac:dyDescent="0.25">
      <c r="A41" s="15" t="s">
        <v>955</v>
      </c>
      <c r="B41" s="38">
        <v>43175</v>
      </c>
      <c r="C41" s="15" t="s">
        <v>494</v>
      </c>
      <c r="D41" s="15" t="s">
        <v>175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326</v>
      </c>
      <c r="L41" s="15" t="s">
        <v>135</v>
      </c>
      <c r="M41" s="15" t="s">
        <v>80</v>
      </c>
      <c r="N41" s="15" t="s">
        <v>34</v>
      </c>
      <c r="O41" s="15" t="s">
        <v>18</v>
      </c>
      <c r="P41" s="36">
        <v>1</v>
      </c>
      <c r="V41" s="36">
        <v>0</v>
      </c>
      <c r="W41" s="15" t="s">
        <v>412</v>
      </c>
      <c r="X41" s="15" t="s">
        <v>98</v>
      </c>
      <c r="Y41" s="15" t="s">
        <v>33</v>
      </c>
      <c r="Z41" s="15" t="s">
        <v>87</v>
      </c>
      <c r="AA41" s="15" t="s">
        <v>18</v>
      </c>
      <c r="AB41" s="36">
        <v>0.5</v>
      </c>
      <c r="AE41" s="15" t="s">
        <v>559</v>
      </c>
    </row>
    <row r="42" spans="1:31" x14ac:dyDescent="0.25">
      <c r="A42" s="15" t="s">
        <v>956</v>
      </c>
      <c r="B42" s="38">
        <v>43176</v>
      </c>
      <c r="C42" s="15" t="s">
        <v>494</v>
      </c>
      <c r="D42" s="15" t="s">
        <v>175</v>
      </c>
      <c r="E42" s="15" t="s">
        <v>256</v>
      </c>
      <c r="F42" s="15" t="s">
        <v>96</v>
      </c>
      <c r="G42" s="15" t="s">
        <v>68</v>
      </c>
      <c r="H42" s="15" t="s">
        <v>140</v>
      </c>
      <c r="I42" s="15" t="s">
        <v>18</v>
      </c>
      <c r="J42" s="36">
        <v>2</v>
      </c>
      <c r="K42" s="15" t="s">
        <v>338</v>
      </c>
      <c r="L42" s="15" t="s">
        <v>153</v>
      </c>
      <c r="M42" s="15" t="s">
        <v>74</v>
      </c>
      <c r="N42" s="15" t="s">
        <v>131</v>
      </c>
      <c r="O42" s="15" t="s">
        <v>18</v>
      </c>
      <c r="P42" s="36">
        <v>10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134</v>
      </c>
      <c r="AE42" s="15" t="s">
        <v>559</v>
      </c>
    </row>
    <row r="43" spans="1:31" x14ac:dyDescent="0.25">
      <c r="A43" s="15" t="s">
        <v>957</v>
      </c>
      <c r="B43" s="38">
        <v>43177</v>
      </c>
      <c r="C43" s="15" t="s">
        <v>494</v>
      </c>
      <c r="D43" s="15" t="s">
        <v>175</v>
      </c>
      <c r="E43" s="15" t="s">
        <v>256</v>
      </c>
      <c r="F43" s="15" t="s">
        <v>96</v>
      </c>
      <c r="G43" s="15" t="s">
        <v>68</v>
      </c>
      <c r="H43" s="15" t="s">
        <v>140</v>
      </c>
      <c r="I43" s="15" t="s">
        <v>18</v>
      </c>
      <c r="J43" s="36">
        <v>2</v>
      </c>
      <c r="K43" s="15" t="s">
        <v>348</v>
      </c>
      <c r="L43" s="15" t="s">
        <v>53</v>
      </c>
      <c r="M43" s="15" t="s">
        <v>20</v>
      </c>
      <c r="N43" s="15" t="s">
        <v>40</v>
      </c>
      <c r="O43" s="15" t="s">
        <v>18</v>
      </c>
      <c r="P43" s="36">
        <v>1</v>
      </c>
      <c r="V43" s="36">
        <v>0</v>
      </c>
      <c r="W43" s="15" t="s">
        <v>412</v>
      </c>
      <c r="X43" s="15" t="s">
        <v>98</v>
      </c>
      <c r="Y43" s="15" t="s">
        <v>33</v>
      </c>
      <c r="Z43" s="15" t="s">
        <v>87</v>
      </c>
      <c r="AA43" s="15" t="s">
        <v>18</v>
      </c>
      <c r="AB43" s="36">
        <v>0.5</v>
      </c>
      <c r="AE43" s="15" t="s">
        <v>559</v>
      </c>
    </row>
    <row r="44" spans="1:31" x14ac:dyDescent="0.25">
      <c r="A44" s="15" t="s">
        <v>958</v>
      </c>
      <c r="B44" s="38">
        <v>43178</v>
      </c>
      <c r="C44" s="15" t="s">
        <v>494</v>
      </c>
      <c r="D44" s="15" t="s">
        <v>175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275</v>
      </c>
      <c r="L44" s="15" t="s">
        <v>16</v>
      </c>
      <c r="M44" s="15" t="s">
        <v>51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434</v>
      </c>
      <c r="X44" s="15" t="s">
        <v>136</v>
      </c>
      <c r="Y44" s="15" t="s">
        <v>51</v>
      </c>
      <c r="Z44" s="15" t="s">
        <v>40</v>
      </c>
      <c r="AA44" s="15" t="s">
        <v>18</v>
      </c>
      <c r="AB44" s="36">
        <v>0.5</v>
      </c>
      <c r="AE44" s="15" t="s">
        <v>559</v>
      </c>
    </row>
    <row r="45" spans="1:31" x14ac:dyDescent="0.25">
      <c r="A45" s="15" t="s">
        <v>959</v>
      </c>
      <c r="B45" s="38">
        <v>43179</v>
      </c>
      <c r="C45" s="15" t="s">
        <v>494</v>
      </c>
      <c r="D45" s="15" t="s">
        <v>175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275</v>
      </c>
      <c r="L45" s="15" t="s">
        <v>16</v>
      </c>
      <c r="M45" s="15" t="s">
        <v>51</v>
      </c>
      <c r="N45" s="15" t="s">
        <v>40</v>
      </c>
      <c r="O45" s="15" t="s">
        <v>18</v>
      </c>
      <c r="P45" s="36">
        <v>0.5</v>
      </c>
      <c r="V45" s="36">
        <v>0</v>
      </c>
      <c r="W45" s="15" t="s">
        <v>434</v>
      </c>
      <c r="X45" s="15" t="s">
        <v>136</v>
      </c>
      <c r="Y45" s="15" t="s">
        <v>51</v>
      </c>
      <c r="Z45" s="15" t="s">
        <v>40</v>
      </c>
      <c r="AA45" s="15" t="s">
        <v>18</v>
      </c>
      <c r="AB45" s="36">
        <v>0.5</v>
      </c>
      <c r="AE45" s="15" t="s">
        <v>559</v>
      </c>
    </row>
    <row r="46" spans="1:31" x14ac:dyDescent="0.25">
      <c r="A46" s="15" t="s">
        <v>960</v>
      </c>
      <c r="B46" s="38">
        <v>43180</v>
      </c>
      <c r="C46" s="15" t="s">
        <v>494</v>
      </c>
      <c r="D46" s="15" t="s">
        <v>175</v>
      </c>
      <c r="E46" s="15" t="s">
        <v>260</v>
      </c>
      <c r="F46" s="15" t="s">
        <v>104</v>
      </c>
      <c r="G46" s="15" t="s">
        <v>45</v>
      </c>
      <c r="H46" s="15" t="s">
        <v>99</v>
      </c>
      <c r="I46" s="15" t="s">
        <v>18</v>
      </c>
      <c r="J46" s="36">
        <v>1</v>
      </c>
      <c r="K46" s="15" t="s">
        <v>316</v>
      </c>
      <c r="L46" s="15" t="s">
        <v>116</v>
      </c>
      <c r="M46" s="15" t="s">
        <v>56</v>
      </c>
      <c r="N46" s="15" t="s">
        <v>40</v>
      </c>
      <c r="O46" s="15" t="s">
        <v>18</v>
      </c>
      <c r="P46" s="36">
        <v>0.5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559</v>
      </c>
    </row>
    <row r="47" spans="1:31" x14ac:dyDescent="0.25">
      <c r="A47" s="15" t="s">
        <v>961</v>
      </c>
      <c r="B47" s="38">
        <v>43181</v>
      </c>
      <c r="C47" s="15" t="s">
        <v>494</v>
      </c>
      <c r="D47" s="15" t="s">
        <v>175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316</v>
      </c>
      <c r="L47" s="15" t="s">
        <v>116</v>
      </c>
      <c r="M47" s="15" t="s">
        <v>56</v>
      </c>
      <c r="N47" s="15" t="s">
        <v>40</v>
      </c>
      <c r="O47" s="15" t="s">
        <v>18</v>
      </c>
      <c r="P47" s="36">
        <v>0.5</v>
      </c>
      <c r="V47" s="36">
        <v>0</v>
      </c>
      <c r="W47" s="15" t="s">
        <v>414</v>
      </c>
      <c r="X47" s="15" t="s">
        <v>102</v>
      </c>
      <c r="Y47" s="15" t="s">
        <v>33</v>
      </c>
      <c r="Z47" s="15" t="s">
        <v>140</v>
      </c>
      <c r="AA47" s="15" t="s">
        <v>18</v>
      </c>
      <c r="AB47" s="36">
        <v>1</v>
      </c>
      <c r="AE47" s="15" t="s">
        <v>559</v>
      </c>
    </row>
    <row r="48" spans="1:31" x14ac:dyDescent="0.25">
      <c r="A48" s="15" t="s">
        <v>962</v>
      </c>
      <c r="B48" s="38">
        <v>43182</v>
      </c>
      <c r="C48" s="15" t="s">
        <v>494</v>
      </c>
      <c r="D48" s="15" t="s">
        <v>175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328</v>
      </c>
      <c r="L48" s="15" t="s">
        <v>138</v>
      </c>
      <c r="M48" s="15" t="s">
        <v>80</v>
      </c>
      <c r="N48" s="15" t="s">
        <v>140</v>
      </c>
      <c r="O48" s="15" t="s">
        <v>18</v>
      </c>
      <c r="P48" s="36">
        <v>1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133</v>
      </c>
      <c r="AE48" s="15" t="s">
        <v>559</v>
      </c>
    </row>
    <row r="49" spans="1:31" x14ac:dyDescent="0.25">
      <c r="A49" s="15" t="s">
        <v>963</v>
      </c>
      <c r="B49" s="38">
        <v>43183</v>
      </c>
      <c r="C49" s="15" t="s">
        <v>494</v>
      </c>
      <c r="D49" s="15" t="s">
        <v>175</v>
      </c>
      <c r="E49" s="15" t="s">
        <v>258</v>
      </c>
      <c r="F49" s="15" t="s">
        <v>100</v>
      </c>
      <c r="G49" s="15" t="s">
        <v>68</v>
      </c>
      <c r="H49" s="15" t="s">
        <v>75</v>
      </c>
      <c r="I49" s="15" t="s">
        <v>18</v>
      </c>
      <c r="J49" s="36">
        <v>6</v>
      </c>
      <c r="K49" s="15" t="s">
        <v>340</v>
      </c>
      <c r="L49" s="15" t="s">
        <v>156</v>
      </c>
      <c r="M49" s="15" t="s">
        <v>74</v>
      </c>
      <c r="N49" s="15" t="s">
        <v>131</v>
      </c>
      <c r="O49" s="15" t="s">
        <v>18</v>
      </c>
      <c r="P49" s="36">
        <v>10</v>
      </c>
      <c r="V49" s="36">
        <v>0</v>
      </c>
      <c r="W49" s="15" t="s">
        <v>416</v>
      </c>
      <c r="X49" s="15" t="s">
        <v>106</v>
      </c>
      <c r="Y49" s="15" t="s">
        <v>33</v>
      </c>
      <c r="Z49" s="15" t="s">
        <v>40</v>
      </c>
      <c r="AA49" s="15" t="s">
        <v>18</v>
      </c>
      <c r="AB49" s="36">
        <v>1</v>
      </c>
      <c r="AE49" s="15" t="s">
        <v>559</v>
      </c>
    </row>
    <row r="50" spans="1:31" x14ac:dyDescent="0.25">
      <c r="A50" s="15" t="s">
        <v>964</v>
      </c>
      <c r="B50" s="38">
        <v>43184</v>
      </c>
      <c r="C50" s="15" t="s">
        <v>494</v>
      </c>
      <c r="D50" s="15" t="s">
        <v>175</v>
      </c>
      <c r="E50" s="15" t="s">
        <v>258</v>
      </c>
      <c r="F50" s="15" t="s">
        <v>100</v>
      </c>
      <c r="G50" s="15" t="s">
        <v>68</v>
      </c>
      <c r="H50" s="15" t="s">
        <v>75</v>
      </c>
      <c r="I50" s="15" t="s">
        <v>18</v>
      </c>
      <c r="J50" s="36">
        <v>6</v>
      </c>
      <c r="K50" s="15" t="s">
        <v>344</v>
      </c>
      <c r="L50" s="15" t="s">
        <v>160</v>
      </c>
      <c r="M50" s="15" t="s">
        <v>20</v>
      </c>
      <c r="N50" s="15" t="s">
        <v>103</v>
      </c>
      <c r="O50" s="15" t="s">
        <v>18</v>
      </c>
      <c r="P50" s="36">
        <v>1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134</v>
      </c>
      <c r="AE50" s="15" t="s">
        <v>559</v>
      </c>
    </row>
    <row r="51" spans="1:31" x14ac:dyDescent="0.25">
      <c r="A51" s="15" t="s">
        <v>965</v>
      </c>
      <c r="B51" s="38">
        <v>43185</v>
      </c>
      <c r="C51" s="15" t="s">
        <v>494</v>
      </c>
      <c r="D51" s="15" t="s">
        <v>175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278</v>
      </c>
      <c r="L51" s="15" t="s">
        <v>23</v>
      </c>
      <c r="M51" s="15" t="s">
        <v>51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436</v>
      </c>
      <c r="X51" s="15" t="s">
        <v>139</v>
      </c>
      <c r="Y51" s="15" t="s">
        <v>51</v>
      </c>
      <c r="Z51" s="15" t="s">
        <v>40</v>
      </c>
      <c r="AA51" s="15" t="s">
        <v>18</v>
      </c>
      <c r="AB51" s="36">
        <v>0.5</v>
      </c>
      <c r="AE51" s="15" t="s">
        <v>559</v>
      </c>
    </row>
    <row r="52" spans="1:31" x14ac:dyDescent="0.25">
      <c r="A52" s="15" t="s">
        <v>968</v>
      </c>
      <c r="B52" s="38">
        <v>43186</v>
      </c>
      <c r="C52" s="15" t="s">
        <v>494</v>
      </c>
      <c r="D52" s="15" t="s">
        <v>175</v>
      </c>
      <c r="E52" s="15" t="s">
        <v>260</v>
      </c>
      <c r="F52" s="15" t="s">
        <v>104</v>
      </c>
      <c r="G52" s="15" t="s">
        <v>45</v>
      </c>
      <c r="H52" s="15" t="s">
        <v>99</v>
      </c>
      <c r="I52" s="15" t="s">
        <v>18</v>
      </c>
      <c r="J52" s="36">
        <v>1</v>
      </c>
      <c r="K52" s="15" t="s">
        <v>278</v>
      </c>
      <c r="L52" s="15" t="s">
        <v>23</v>
      </c>
      <c r="M52" s="15" t="s">
        <v>51</v>
      </c>
      <c r="N52" s="15" t="s">
        <v>40</v>
      </c>
      <c r="O52" s="15" t="s">
        <v>18</v>
      </c>
      <c r="P52" s="36">
        <v>0.5</v>
      </c>
      <c r="V52" s="36">
        <v>0</v>
      </c>
      <c r="W52" s="15" t="s">
        <v>436</v>
      </c>
      <c r="X52" s="15" t="s">
        <v>139</v>
      </c>
      <c r="Y52" s="15" t="s">
        <v>51</v>
      </c>
      <c r="Z52" s="15" t="s">
        <v>40</v>
      </c>
      <c r="AA52" s="15" t="s">
        <v>18</v>
      </c>
      <c r="AB52" s="36">
        <v>0.5</v>
      </c>
      <c r="AE52" s="15" t="s">
        <v>559</v>
      </c>
    </row>
    <row r="53" spans="1:31" x14ac:dyDescent="0.25">
      <c r="A53" s="15" t="s">
        <v>969</v>
      </c>
      <c r="B53" s="38">
        <v>43187</v>
      </c>
      <c r="C53" s="15" t="s">
        <v>494</v>
      </c>
      <c r="D53" s="15" t="s">
        <v>175</v>
      </c>
      <c r="E53" s="15" t="s">
        <v>260</v>
      </c>
      <c r="F53" s="15" t="s">
        <v>104</v>
      </c>
      <c r="G53" s="15" t="s">
        <v>45</v>
      </c>
      <c r="H53" s="15" t="s">
        <v>99</v>
      </c>
      <c r="I53" s="15" t="s">
        <v>18</v>
      </c>
      <c r="J53" s="36">
        <v>1</v>
      </c>
      <c r="K53" s="15" t="s">
        <v>306</v>
      </c>
      <c r="L53" s="15" t="s">
        <v>97</v>
      </c>
      <c r="M53" s="15" t="s">
        <v>56</v>
      </c>
      <c r="N53" s="15" t="s">
        <v>40</v>
      </c>
      <c r="O53" s="15" t="s">
        <v>18</v>
      </c>
      <c r="P53" s="36">
        <v>0.5</v>
      </c>
      <c r="V53" s="36">
        <v>0</v>
      </c>
      <c r="W53" s="15" t="s">
        <v>416</v>
      </c>
      <c r="X53" s="15" t="s">
        <v>106</v>
      </c>
      <c r="Y53" s="15" t="s">
        <v>33</v>
      </c>
      <c r="Z53" s="15" t="s">
        <v>40</v>
      </c>
      <c r="AA53" s="15" t="s">
        <v>18</v>
      </c>
      <c r="AB53" s="36">
        <v>1</v>
      </c>
      <c r="AE53" s="15" t="s">
        <v>559</v>
      </c>
    </row>
    <row r="54" spans="1:31" x14ac:dyDescent="0.25">
      <c r="A54" s="15" t="s">
        <v>970</v>
      </c>
      <c r="B54" s="38">
        <v>43188</v>
      </c>
      <c r="C54" s="15" t="s">
        <v>494</v>
      </c>
      <c r="D54" s="15" t="s">
        <v>175</v>
      </c>
      <c r="E54" s="15" t="s">
        <v>260</v>
      </c>
      <c r="F54" s="15" t="s">
        <v>104</v>
      </c>
      <c r="G54" s="15" t="s">
        <v>45</v>
      </c>
      <c r="H54" s="15" t="s">
        <v>99</v>
      </c>
      <c r="I54" s="15" t="s">
        <v>18</v>
      </c>
      <c r="J54" s="36">
        <v>1</v>
      </c>
      <c r="K54" s="15" t="s">
        <v>306</v>
      </c>
      <c r="L54" s="15" t="s">
        <v>97</v>
      </c>
      <c r="M54" s="15" t="s">
        <v>56</v>
      </c>
      <c r="N54" s="15" t="s">
        <v>40</v>
      </c>
      <c r="O54" s="15" t="s">
        <v>18</v>
      </c>
      <c r="P54" s="36">
        <v>0.5</v>
      </c>
      <c r="V54" s="36">
        <v>0</v>
      </c>
      <c r="W54" s="15" t="s">
        <v>426</v>
      </c>
      <c r="X54" s="15" t="s">
        <v>124</v>
      </c>
      <c r="Y54" s="15" t="s">
        <v>33</v>
      </c>
      <c r="Z54" s="15" t="s">
        <v>57</v>
      </c>
      <c r="AA54" s="15" t="s">
        <v>18</v>
      </c>
      <c r="AB54" s="36">
        <v>133</v>
      </c>
      <c r="AE54" s="15" t="s">
        <v>559</v>
      </c>
    </row>
    <row r="55" spans="1:31" x14ac:dyDescent="0.25">
      <c r="A55" s="15" t="s">
        <v>971</v>
      </c>
      <c r="B55" s="38">
        <v>43189</v>
      </c>
      <c r="C55" s="15" t="s">
        <v>494</v>
      </c>
      <c r="D55" s="15" t="s">
        <v>175</v>
      </c>
      <c r="E55" s="15" t="s">
        <v>260</v>
      </c>
      <c r="F55" s="15" t="s">
        <v>104</v>
      </c>
      <c r="G55" s="15" t="s">
        <v>45</v>
      </c>
      <c r="H55" s="15" t="s">
        <v>99</v>
      </c>
      <c r="I55" s="15" t="s">
        <v>18</v>
      </c>
      <c r="J55" s="36">
        <v>1</v>
      </c>
      <c r="K55" s="15" t="s">
        <v>330</v>
      </c>
      <c r="L55" s="15" t="s">
        <v>141</v>
      </c>
      <c r="M55" s="15" t="s">
        <v>80</v>
      </c>
      <c r="N55" s="15" t="s">
        <v>46</v>
      </c>
      <c r="O55" s="15" t="s">
        <v>18</v>
      </c>
      <c r="P55" s="36">
        <v>0.5</v>
      </c>
      <c r="V55" s="36">
        <v>0</v>
      </c>
      <c r="W55" s="15" t="s">
        <v>418</v>
      </c>
      <c r="X55" s="15" t="s">
        <v>110</v>
      </c>
      <c r="Y55" s="15" t="s">
        <v>33</v>
      </c>
      <c r="Z55" s="15" t="s">
        <v>128</v>
      </c>
      <c r="AA55" s="15" t="s">
        <v>18</v>
      </c>
      <c r="AB55" s="36">
        <v>3</v>
      </c>
      <c r="AE55" s="15" t="s">
        <v>559</v>
      </c>
    </row>
    <row r="56" spans="1:31" x14ac:dyDescent="0.25">
      <c r="A56" s="15" t="s">
        <v>972</v>
      </c>
      <c r="B56" s="38">
        <v>43190</v>
      </c>
      <c r="C56" s="15" t="s">
        <v>494</v>
      </c>
      <c r="D56" s="15" t="s">
        <v>175</v>
      </c>
      <c r="E56" s="15" t="s">
        <v>262</v>
      </c>
      <c r="F56" s="15" t="s">
        <v>108</v>
      </c>
      <c r="G56" s="15" t="s">
        <v>68</v>
      </c>
      <c r="H56" s="15" t="s">
        <v>95</v>
      </c>
      <c r="I56" s="15" t="s">
        <v>18</v>
      </c>
      <c r="J56" s="36">
        <v>0.5</v>
      </c>
      <c r="K56" s="15" t="s">
        <v>342</v>
      </c>
      <c r="L56" s="15" t="s">
        <v>158</v>
      </c>
      <c r="M56" s="15" t="s">
        <v>74</v>
      </c>
      <c r="N56" s="15" t="s">
        <v>131</v>
      </c>
      <c r="O56" s="15" t="s">
        <v>18</v>
      </c>
      <c r="P56" s="36">
        <v>10</v>
      </c>
      <c r="V56" s="36">
        <v>0</v>
      </c>
      <c r="W56" s="15" t="s">
        <v>426</v>
      </c>
      <c r="X56" s="15" t="s">
        <v>124</v>
      </c>
      <c r="Y56" s="15" t="s">
        <v>33</v>
      </c>
      <c r="Z56" s="15" t="s">
        <v>57</v>
      </c>
      <c r="AA56" s="15" t="s">
        <v>18</v>
      </c>
      <c r="AB56" s="36">
        <v>133</v>
      </c>
      <c r="AE56" s="15" t="s">
        <v>559</v>
      </c>
    </row>
    <row r="57" spans="1:31" x14ac:dyDescent="0.25">
      <c r="A57" s="15" t="s">
        <v>1271</v>
      </c>
      <c r="B57" s="38">
        <v>43162</v>
      </c>
      <c r="C57" s="15" t="s">
        <v>494</v>
      </c>
      <c r="D57" s="15" t="s">
        <v>175</v>
      </c>
      <c r="J57" s="36">
        <v>0</v>
      </c>
      <c r="P57" s="36">
        <v>0</v>
      </c>
      <c r="V57" s="36">
        <v>0</v>
      </c>
      <c r="W57" s="15" t="s">
        <v>450</v>
      </c>
      <c r="X57" s="15" t="s">
        <v>157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569</v>
      </c>
    </row>
    <row r="58" spans="1:31" x14ac:dyDescent="0.25">
      <c r="A58" s="15" t="s">
        <v>1272</v>
      </c>
      <c r="B58" s="38">
        <v>43163</v>
      </c>
      <c r="C58" s="15" t="s">
        <v>494</v>
      </c>
      <c r="D58" s="15" t="s">
        <v>175</v>
      </c>
      <c r="J58" s="36">
        <v>0</v>
      </c>
      <c r="P58" s="36">
        <v>0</v>
      </c>
      <c r="V58" s="36">
        <v>0</v>
      </c>
      <c r="W58" s="15" t="s">
        <v>452</v>
      </c>
      <c r="X58" s="15" t="s">
        <v>159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569</v>
      </c>
    </row>
    <row r="59" spans="1:31" x14ac:dyDescent="0.25">
      <c r="A59" s="15" t="s">
        <v>1273</v>
      </c>
      <c r="B59" s="38">
        <v>43169</v>
      </c>
      <c r="C59" s="15" t="s">
        <v>494</v>
      </c>
      <c r="D59" s="15" t="s">
        <v>175</v>
      </c>
      <c r="J59" s="36">
        <v>0</v>
      </c>
      <c r="P59" s="36">
        <v>0</v>
      </c>
      <c r="V59" s="36">
        <v>0</v>
      </c>
      <c r="W59" s="15" t="s">
        <v>440</v>
      </c>
      <c r="X59" s="15" t="s">
        <v>145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569</v>
      </c>
    </row>
    <row r="60" spans="1:31" x14ac:dyDescent="0.25">
      <c r="A60" s="15" t="s">
        <v>1274</v>
      </c>
      <c r="B60" s="38">
        <v>43170</v>
      </c>
      <c r="C60" s="15" t="s">
        <v>494</v>
      </c>
      <c r="D60" s="15" t="s">
        <v>175</v>
      </c>
      <c r="J60" s="36">
        <v>0</v>
      </c>
      <c r="P60" s="36">
        <v>0</v>
      </c>
      <c r="V60" s="36">
        <v>0</v>
      </c>
      <c r="W60" s="15" t="s">
        <v>442</v>
      </c>
      <c r="X60" s="15" t="s">
        <v>148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569</v>
      </c>
    </row>
    <row r="61" spans="1:31" x14ac:dyDescent="0.25">
      <c r="A61" s="15" t="s">
        <v>1275</v>
      </c>
      <c r="B61" s="38">
        <v>43176</v>
      </c>
      <c r="C61" s="15" t="s">
        <v>494</v>
      </c>
      <c r="D61" s="15" t="s">
        <v>175</v>
      </c>
      <c r="J61" s="36">
        <v>0</v>
      </c>
      <c r="P61" s="36">
        <v>0</v>
      </c>
      <c r="V61" s="36">
        <v>0</v>
      </c>
      <c r="W61" s="15" t="s">
        <v>444</v>
      </c>
      <c r="X61" s="15" t="s">
        <v>151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569</v>
      </c>
    </row>
    <row r="62" spans="1:31" x14ac:dyDescent="0.25">
      <c r="A62" s="15" t="s">
        <v>1276</v>
      </c>
      <c r="B62" s="38">
        <v>43177</v>
      </c>
      <c r="C62" s="15" t="s">
        <v>494</v>
      </c>
      <c r="D62" s="15" t="s">
        <v>175</v>
      </c>
      <c r="J62" s="36">
        <v>0</v>
      </c>
      <c r="P62" s="36">
        <v>0</v>
      </c>
      <c r="V62" s="36">
        <v>0</v>
      </c>
      <c r="W62" s="15" t="s">
        <v>446</v>
      </c>
      <c r="X62" s="15" t="s">
        <v>154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569</v>
      </c>
    </row>
    <row r="63" spans="1:31" x14ac:dyDescent="0.25">
      <c r="A63" s="15" t="s">
        <v>1277</v>
      </c>
      <c r="B63" s="38">
        <v>43183</v>
      </c>
      <c r="C63" s="15" t="s">
        <v>494</v>
      </c>
      <c r="D63" s="15" t="s">
        <v>175</v>
      </c>
      <c r="J63" s="36">
        <v>0</v>
      </c>
      <c r="P63" s="36">
        <v>0</v>
      </c>
      <c r="V63" s="36">
        <v>0</v>
      </c>
      <c r="W63" s="15" t="s">
        <v>448</v>
      </c>
      <c r="X63" s="15" t="s">
        <v>102</v>
      </c>
      <c r="Y63" s="15" t="s">
        <v>62</v>
      </c>
      <c r="Z63" s="15" t="s">
        <v>140</v>
      </c>
      <c r="AA63" s="15" t="s">
        <v>25</v>
      </c>
      <c r="AB63" s="36">
        <v>1</v>
      </c>
      <c r="AE63" s="15" t="s">
        <v>569</v>
      </c>
    </row>
    <row r="64" spans="1:31" x14ac:dyDescent="0.25">
      <c r="A64" s="15" t="s">
        <v>1278</v>
      </c>
      <c r="B64" s="38">
        <v>43184</v>
      </c>
      <c r="C64" s="15" t="s">
        <v>494</v>
      </c>
      <c r="D64" s="15" t="s">
        <v>175</v>
      </c>
      <c r="J64" s="36">
        <v>0</v>
      </c>
      <c r="P64" s="36">
        <v>0</v>
      </c>
      <c r="V64" s="36">
        <v>0</v>
      </c>
      <c r="W64" s="15" t="s">
        <v>450</v>
      </c>
      <c r="X64" s="15" t="s">
        <v>157</v>
      </c>
      <c r="Y64" s="15" t="s">
        <v>62</v>
      </c>
      <c r="Z64" s="15" t="s">
        <v>111</v>
      </c>
      <c r="AA64" s="15" t="s">
        <v>25</v>
      </c>
      <c r="AB64" s="36">
        <v>1</v>
      </c>
      <c r="AE64" s="15" t="s">
        <v>569</v>
      </c>
    </row>
    <row r="65" spans="1:31" x14ac:dyDescent="0.25">
      <c r="A65" s="15" t="s">
        <v>1279</v>
      </c>
      <c r="B65" s="38">
        <v>43190</v>
      </c>
      <c r="C65" s="15" t="s">
        <v>494</v>
      </c>
      <c r="D65" s="15" t="s">
        <v>175</v>
      </c>
      <c r="J65" s="36">
        <v>0</v>
      </c>
      <c r="P65" s="36">
        <v>0</v>
      </c>
      <c r="V65" s="36">
        <v>0</v>
      </c>
      <c r="W65" s="15" t="s">
        <v>452</v>
      </c>
      <c r="X65" s="15" t="s">
        <v>159</v>
      </c>
      <c r="Y65" s="15" t="s">
        <v>62</v>
      </c>
      <c r="Z65" s="15" t="s">
        <v>111</v>
      </c>
      <c r="AA65" s="15" t="s">
        <v>25</v>
      </c>
      <c r="AB65" s="36">
        <v>1</v>
      </c>
      <c r="AE65" s="15" t="s">
        <v>569</v>
      </c>
    </row>
  </sheetData>
  <mergeCells count="1">
    <mergeCell ref="A1:A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Avril"/>
  <dimension ref="A1:AE63"/>
  <sheetViews>
    <sheetView topLeftCell="A30" workbookViewId="0">
      <selection activeCell="A63" sqref="A63"/>
    </sheetView>
  </sheetViews>
  <sheetFormatPr baseColWidth="10" defaultColWidth="11.07421875" defaultRowHeight="13.2" x14ac:dyDescent="0.25"/>
  <cols>
    <col min="1" max="1" width="11.07421875" style="15"/>
    <col min="2" max="2" width="13.84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6.2304687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7.15234375" style="15" bestFit="1" customWidth="1"/>
    <col min="13" max="13" width="13.921875" style="15" bestFit="1" customWidth="1"/>
    <col min="14" max="14" width="15.6914062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4.4609375" style="15" bestFit="1" customWidth="1"/>
    <col min="25" max="25" width="13.921875" style="15" bestFit="1" customWidth="1"/>
    <col min="26" max="26" width="31" style="15" bestFit="1" customWidth="1"/>
    <col min="27" max="27" width="15.15234375" style="15" bestFit="1" customWidth="1"/>
    <col min="28" max="28" width="9.84375" style="36" customWidth="1"/>
    <col min="29" max="29" width="12.07421875" style="15" bestFit="1" customWidth="1"/>
    <col min="30" max="30" width="10.3828125" style="15" bestFit="1" customWidth="1"/>
    <col min="31" max="31" width="25.4609375" style="15" bestFit="1" customWidth="1"/>
    <col min="32" max="16384" width="11.07421875" style="15"/>
  </cols>
  <sheetData>
    <row r="1" spans="1:31" ht="12.75" x14ac:dyDescent="0.2">
      <c r="A1" s="69" t="s">
        <v>680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47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37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35" t="s">
        <v>533</v>
      </c>
      <c r="AE3" s="16" t="s">
        <v>185</v>
      </c>
    </row>
    <row r="4" spans="1:31" x14ac:dyDescent="0.25">
      <c r="A4" s="15" t="s">
        <v>678</v>
      </c>
      <c r="B4" s="38">
        <v>43192</v>
      </c>
      <c r="C4" s="15" t="s">
        <v>496</v>
      </c>
      <c r="D4" s="15" t="s">
        <v>176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370</v>
      </c>
      <c r="L4" s="15" t="s">
        <v>71</v>
      </c>
      <c r="M4" s="15" t="s">
        <v>39</v>
      </c>
      <c r="N4" s="15" t="s">
        <v>140</v>
      </c>
      <c r="O4" s="15" t="s">
        <v>10</v>
      </c>
      <c r="P4" s="36">
        <v>1</v>
      </c>
      <c r="V4" s="36">
        <v>0</v>
      </c>
      <c r="W4" s="15" t="s">
        <v>459</v>
      </c>
      <c r="X4" s="15" t="s">
        <v>165</v>
      </c>
      <c r="Y4" s="15" t="s">
        <v>39</v>
      </c>
      <c r="Z4" s="15" t="s">
        <v>63</v>
      </c>
      <c r="AA4" s="15" t="s">
        <v>10</v>
      </c>
      <c r="AB4" s="36">
        <v>100</v>
      </c>
      <c r="AC4" s="15" t="s">
        <v>476</v>
      </c>
      <c r="AD4" s="15" t="s">
        <v>50</v>
      </c>
      <c r="AE4" s="15" t="s">
        <v>548</v>
      </c>
    </row>
    <row r="5" spans="1:31" x14ac:dyDescent="0.25">
      <c r="A5" s="15" t="s">
        <v>679</v>
      </c>
      <c r="B5" s="38">
        <v>43193</v>
      </c>
      <c r="C5" s="15" t="s">
        <v>496</v>
      </c>
      <c r="D5" s="15" t="s">
        <v>176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372</v>
      </c>
      <c r="L5" s="15" t="s">
        <v>77</v>
      </c>
      <c r="M5" s="15" t="s">
        <v>39</v>
      </c>
      <c r="N5" s="15" t="s">
        <v>140</v>
      </c>
      <c r="O5" s="15" t="s">
        <v>10</v>
      </c>
      <c r="P5" s="36">
        <v>1</v>
      </c>
      <c r="V5" s="36">
        <v>0</v>
      </c>
      <c r="W5" s="15" t="s">
        <v>459</v>
      </c>
      <c r="X5" s="15" t="s">
        <v>165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548</v>
      </c>
    </row>
    <row r="6" spans="1:31" x14ac:dyDescent="0.25">
      <c r="A6" s="15" t="s">
        <v>681</v>
      </c>
      <c r="B6" s="38">
        <v>43194</v>
      </c>
      <c r="C6" s="15" t="s">
        <v>496</v>
      </c>
      <c r="D6" s="15" t="s">
        <v>176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374</v>
      </c>
      <c r="L6" s="15" t="s">
        <v>83</v>
      </c>
      <c r="M6" s="15" t="s">
        <v>39</v>
      </c>
      <c r="N6" s="15" t="s">
        <v>125</v>
      </c>
      <c r="O6" s="15" t="s">
        <v>10</v>
      </c>
      <c r="P6" s="36">
        <v>25</v>
      </c>
      <c r="V6" s="36">
        <v>0</v>
      </c>
      <c r="W6" s="15" t="s">
        <v>459</v>
      </c>
      <c r="X6" s="15" t="s">
        <v>165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548</v>
      </c>
    </row>
    <row r="7" spans="1:31" x14ac:dyDescent="0.25">
      <c r="A7" s="15" t="s">
        <v>682</v>
      </c>
      <c r="B7" s="38">
        <v>43195</v>
      </c>
      <c r="C7" s="15" t="s">
        <v>496</v>
      </c>
      <c r="D7" s="15" t="s">
        <v>176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376</v>
      </c>
      <c r="L7" s="15" t="s">
        <v>141</v>
      </c>
      <c r="M7" s="15" t="s">
        <v>39</v>
      </c>
      <c r="N7" s="15" t="s">
        <v>224</v>
      </c>
      <c r="O7" s="15" t="s">
        <v>10</v>
      </c>
      <c r="P7" s="36">
        <v>0.5</v>
      </c>
      <c r="V7" s="36">
        <v>0</v>
      </c>
      <c r="W7" s="15" t="s">
        <v>459</v>
      </c>
      <c r="X7" s="15" t="s">
        <v>165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548</v>
      </c>
    </row>
    <row r="8" spans="1:31" x14ac:dyDescent="0.25">
      <c r="A8" s="15" t="s">
        <v>683</v>
      </c>
      <c r="B8" s="38">
        <v>43196</v>
      </c>
      <c r="C8" s="15" t="s">
        <v>496</v>
      </c>
      <c r="D8" s="15" t="s">
        <v>176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376</v>
      </c>
      <c r="L8" s="15" t="s">
        <v>141</v>
      </c>
      <c r="M8" s="15" t="s">
        <v>39</v>
      </c>
      <c r="N8" s="15" t="s">
        <v>224</v>
      </c>
      <c r="O8" s="15" t="s">
        <v>10</v>
      </c>
      <c r="P8" s="36">
        <v>0.5</v>
      </c>
      <c r="V8" s="36">
        <v>0</v>
      </c>
      <c r="W8" s="15" t="s">
        <v>459</v>
      </c>
      <c r="X8" s="15" t="s">
        <v>165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548</v>
      </c>
    </row>
    <row r="9" spans="1:31" x14ac:dyDescent="0.25">
      <c r="A9" s="15" t="s">
        <v>684</v>
      </c>
      <c r="B9" s="38">
        <v>43199</v>
      </c>
      <c r="C9" s="15" t="s">
        <v>496</v>
      </c>
      <c r="D9" s="15" t="s">
        <v>176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378</v>
      </c>
      <c r="L9" s="15" t="s">
        <v>93</v>
      </c>
      <c r="M9" s="15" t="s">
        <v>39</v>
      </c>
      <c r="N9" s="15" t="s">
        <v>125</v>
      </c>
      <c r="O9" s="15" t="s">
        <v>10</v>
      </c>
      <c r="P9" s="36">
        <v>0.5</v>
      </c>
      <c r="V9" s="36">
        <v>0</v>
      </c>
      <c r="W9" s="15" t="s">
        <v>462</v>
      </c>
      <c r="X9" s="15" t="s">
        <v>166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548</v>
      </c>
    </row>
    <row r="10" spans="1:31" x14ac:dyDescent="0.25">
      <c r="A10" s="15" t="s">
        <v>685</v>
      </c>
      <c r="B10" s="38">
        <v>43200</v>
      </c>
      <c r="C10" s="15" t="s">
        <v>496</v>
      </c>
      <c r="D10" s="15" t="s">
        <v>176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380</v>
      </c>
      <c r="L10" s="15" t="s">
        <v>144</v>
      </c>
      <c r="M10" s="15" t="s">
        <v>39</v>
      </c>
      <c r="N10" s="15" t="s">
        <v>149</v>
      </c>
      <c r="O10" s="15" t="s">
        <v>10</v>
      </c>
      <c r="P10" s="36">
        <v>1</v>
      </c>
      <c r="V10" s="36">
        <v>0</v>
      </c>
      <c r="W10" s="15" t="s">
        <v>462</v>
      </c>
      <c r="X10" s="15" t="s">
        <v>166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548</v>
      </c>
    </row>
    <row r="11" spans="1:31" x14ac:dyDescent="0.25">
      <c r="A11" s="15" t="s">
        <v>686</v>
      </c>
      <c r="B11" s="38">
        <v>43201</v>
      </c>
      <c r="C11" s="15" t="s">
        <v>496</v>
      </c>
      <c r="D11" s="15" t="s">
        <v>176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382</v>
      </c>
      <c r="L11" s="15" t="s">
        <v>150</v>
      </c>
      <c r="M11" s="15" t="s">
        <v>39</v>
      </c>
      <c r="N11" s="15" t="s">
        <v>155</v>
      </c>
      <c r="O11" s="15" t="s">
        <v>10</v>
      </c>
      <c r="P11" s="36">
        <v>2</v>
      </c>
      <c r="V11" s="36">
        <v>0</v>
      </c>
      <c r="W11" s="15" t="s">
        <v>462</v>
      </c>
      <c r="X11" s="15" t="s">
        <v>166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548</v>
      </c>
    </row>
    <row r="12" spans="1:31" x14ac:dyDescent="0.25">
      <c r="A12" s="15" t="s">
        <v>687</v>
      </c>
      <c r="B12" s="38">
        <v>43202</v>
      </c>
      <c r="C12" s="15" t="s">
        <v>496</v>
      </c>
      <c r="D12" s="15" t="s">
        <v>176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350</v>
      </c>
      <c r="L12" s="15" t="s">
        <v>15</v>
      </c>
      <c r="M12" s="15" t="s">
        <v>39</v>
      </c>
      <c r="N12" s="15" t="s">
        <v>34</v>
      </c>
      <c r="O12" s="15" t="s">
        <v>10</v>
      </c>
      <c r="P12" s="36">
        <v>1</v>
      </c>
      <c r="V12" s="36">
        <v>0</v>
      </c>
      <c r="W12" s="15" t="s">
        <v>462</v>
      </c>
      <c r="X12" s="15" t="s">
        <v>166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548</v>
      </c>
    </row>
    <row r="13" spans="1:31" x14ac:dyDescent="0.25">
      <c r="A13" s="15" t="s">
        <v>688</v>
      </c>
      <c r="B13" s="38">
        <v>43203</v>
      </c>
      <c r="C13" s="15" t="s">
        <v>496</v>
      </c>
      <c r="D13" s="15" t="s">
        <v>176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352</v>
      </c>
      <c r="L13" s="15" t="s">
        <v>123</v>
      </c>
      <c r="M13" s="15" t="s">
        <v>39</v>
      </c>
      <c r="N13" s="15" t="s">
        <v>140</v>
      </c>
      <c r="O13" s="15" t="s">
        <v>10</v>
      </c>
      <c r="P13" s="36">
        <v>1</v>
      </c>
      <c r="V13" s="36">
        <v>0</v>
      </c>
      <c r="W13" s="15" t="s">
        <v>462</v>
      </c>
      <c r="X13" s="15" t="s">
        <v>166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548</v>
      </c>
    </row>
    <row r="14" spans="1:31" x14ac:dyDescent="0.25">
      <c r="A14" s="15" t="s">
        <v>689</v>
      </c>
      <c r="B14" s="38">
        <v>43206</v>
      </c>
      <c r="C14" s="15" t="s">
        <v>496</v>
      </c>
      <c r="D14" s="15" t="s">
        <v>176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354</v>
      </c>
      <c r="L14" s="15" t="s">
        <v>129</v>
      </c>
      <c r="M14" s="15" t="s">
        <v>39</v>
      </c>
      <c r="N14" s="15" t="s">
        <v>155</v>
      </c>
      <c r="O14" s="15" t="s">
        <v>10</v>
      </c>
      <c r="P14" s="36">
        <v>2</v>
      </c>
      <c r="V14" s="36">
        <v>0</v>
      </c>
      <c r="W14" s="15" t="s">
        <v>454</v>
      </c>
      <c r="X14" s="15" t="s">
        <v>161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548</v>
      </c>
    </row>
    <row r="15" spans="1:31" x14ac:dyDescent="0.25">
      <c r="A15" s="15" t="s">
        <v>690</v>
      </c>
      <c r="B15" s="38">
        <v>43207</v>
      </c>
      <c r="C15" s="15" t="s">
        <v>496</v>
      </c>
      <c r="D15" s="15" t="s">
        <v>176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356</v>
      </c>
      <c r="L15" s="15" t="s">
        <v>132</v>
      </c>
      <c r="M15" s="15" t="s">
        <v>39</v>
      </c>
      <c r="N15" s="15" t="s">
        <v>134</v>
      </c>
      <c r="O15" s="15" t="s">
        <v>10</v>
      </c>
      <c r="P15" s="36">
        <v>1</v>
      </c>
      <c r="V15" s="36">
        <v>0</v>
      </c>
      <c r="W15" s="15" t="s">
        <v>454</v>
      </c>
      <c r="X15" s="15" t="s">
        <v>161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548</v>
      </c>
    </row>
    <row r="16" spans="1:31" x14ac:dyDescent="0.25">
      <c r="A16" s="15" t="s">
        <v>691</v>
      </c>
      <c r="B16" s="38">
        <v>43208</v>
      </c>
      <c r="C16" s="15" t="s">
        <v>496</v>
      </c>
      <c r="D16" s="15" t="s">
        <v>176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358</v>
      </c>
      <c r="L16" s="15" t="s">
        <v>135</v>
      </c>
      <c r="M16" s="15" t="s">
        <v>39</v>
      </c>
      <c r="N16" s="15" t="s">
        <v>34</v>
      </c>
      <c r="O16" s="15" t="s">
        <v>10</v>
      </c>
      <c r="P16" s="36">
        <v>1</v>
      </c>
      <c r="V16" s="36">
        <v>0</v>
      </c>
      <c r="W16" s="15" t="s">
        <v>454</v>
      </c>
      <c r="X16" s="15" t="s">
        <v>161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548</v>
      </c>
    </row>
    <row r="17" spans="1:31" x14ac:dyDescent="0.25">
      <c r="A17" s="15" t="s">
        <v>692</v>
      </c>
      <c r="B17" s="38">
        <v>43209</v>
      </c>
      <c r="C17" s="15" t="s">
        <v>496</v>
      </c>
      <c r="D17" s="15" t="s">
        <v>176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360</v>
      </c>
      <c r="L17" s="15" t="s">
        <v>138</v>
      </c>
      <c r="M17" s="15" t="s">
        <v>39</v>
      </c>
      <c r="N17" s="15" t="s">
        <v>140</v>
      </c>
      <c r="O17" s="15" t="s">
        <v>10</v>
      </c>
      <c r="P17" s="36">
        <v>1</v>
      </c>
      <c r="V17" s="36">
        <v>0</v>
      </c>
      <c r="W17" s="15" t="s">
        <v>454</v>
      </c>
      <c r="X17" s="15" t="s">
        <v>161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548</v>
      </c>
    </row>
    <row r="18" spans="1:31" x14ac:dyDescent="0.25">
      <c r="A18" s="15" t="s">
        <v>693</v>
      </c>
      <c r="B18" s="38">
        <v>43210</v>
      </c>
      <c r="C18" s="15" t="s">
        <v>496</v>
      </c>
      <c r="D18" s="15" t="s">
        <v>176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362</v>
      </c>
      <c r="L18" s="15" t="s">
        <v>42</v>
      </c>
      <c r="M18" s="15" t="s">
        <v>39</v>
      </c>
      <c r="N18" s="15" t="s">
        <v>125</v>
      </c>
      <c r="O18" s="15" t="s">
        <v>10</v>
      </c>
      <c r="P18" s="36">
        <v>25</v>
      </c>
      <c r="V18" s="36">
        <v>0</v>
      </c>
      <c r="W18" s="15" t="s">
        <v>454</v>
      </c>
      <c r="X18" s="15" t="s">
        <v>161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548</v>
      </c>
    </row>
    <row r="19" spans="1:31" x14ac:dyDescent="0.25">
      <c r="A19" s="15" t="s">
        <v>694</v>
      </c>
      <c r="B19" s="38">
        <v>43213</v>
      </c>
      <c r="C19" s="15" t="s">
        <v>496</v>
      </c>
      <c r="D19" s="15" t="s">
        <v>176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364</v>
      </c>
      <c r="L19" s="15" t="s">
        <v>59</v>
      </c>
      <c r="M19" s="15" t="s">
        <v>39</v>
      </c>
      <c r="N19" s="15" t="s">
        <v>40</v>
      </c>
      <c r="O19" s="15" t="s">
        <v>10</v>
      </c>
      <c r="P19" s="36">
        <v>25</v>
      </c>
      <c r="V19" s="36">
        <v>0</v>
      </c>
      <c r="W19" s="15" t="s">
        <v>456</v>
      </c>
      <c r="X19" s="15" t="s">
        <v>163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548</v>
      </c>
    </row>
    <row r="20" spans="1:31" x14ac:dyDescent="0.25">
      <c r="A20" s="15" t="s">
        <v>695</v>
      </c>
      <c r="B20" s="38">
        <v>43214</v>
      </c>
      <c r="C20" s="15" t="s">
        <v>496</v>
      </c>
      <c r="D20" s="15" t="s">
        <v>176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364</v>
      </c>
      <c r="L20" s="15" t="s">
        <v>59</v>
      </c>
      <c r="M20" s="15" t="s">
        <v>39</v>
      </c>
      <c r="N20" s="15" t="s">
        <v>40</v>
      </c>
      <c r="O20" s="15" t="s">
        <v>10</v>
      </c>
      <c r="P20" s="36">
        <v>25</v>
      </c>
      <c r="V20" s="36">
        <v>0</v>
      </c>
      <c r="W20" s="15" t="s">
        <v>456</v>
      </c>
      <c r="X20" s="15" t="s">
        <v>163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548</v>
      </c>
    </row>
    <row r="21" spans="1:31" x14ac:dyDescent="0.25">
      <c r="A21" s="15" t="s">
        <v>696</v>
      </c>
      <c r="B21" s="38">
        <v>43215</v>
      </c>
      <c r="C21" s="15" t="s">
        <v>496</v>
      </c>
      <c r="D21" s="15" t="s">
        <v>176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366</v>
      </c>
      <c r="L21" s="15" t="s">
        <v>153</v>
      </c>
      <c r="M21" s="15" t="s">
        <v>39</v>
      </c>
      <c r="N21" s="15" t="s">
        <v>131</v>
      </c>
      <c r="O21" s="15" t="s">
        <v>10</v>
      </c>
      <c r="P21" s="36">
        <v>5</v>
      </c>
      <c r="V21" s="36">
        <v>0</v>
      </c>
      <c r="W21" s="15" t="s">
        <v>456</v>
      </c>
      <c r="X21" s="15" t="s">
        <v>163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548</v>
      </c>
    </row>
    <row r="22" spans="1:31" x14ac:dyDescent="0.25">
      <c r="A22" s="15" t="s">
        <v>697</v>
      </c>
      <c r="B22" s="38">
        <v>43216</v>
      </c>
      <c r="C22" s="15" t="s">
        <v>496</v>
      </c>
      <c r="D22" s="15" t="s">
        <v>176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368</v>
      </c>
      <c r="L22" s="15" t="s">
        <v>156</v>
      </c>
      <c r="M22" s="15" t="s">
        <v>39</v>
      </c>
      <c r="N22" s="15" t="s">
        <v>131</v>
      </c>
      <c r="O22" s="15" t="s">
        <v>10</v>
      </c>
      <c r="P22" s="36">
        <v>5</v>
      </c>
      <c r="V22" s="36">
        <v>0</v>
      </c>
      <c r="W22" s="15" t="s">
        <v>456</v>
      </c>
      <c r="X22" s="15" t="s">
        <v>163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548</v>
      </c>
    </row>
    <row r="23" spans="1:31" x14ac:dyDescent="0.25">
      <c r="A23" s="15" t="s">
        <v>698</v>
      </c>
      <c r="B23" s="38">
        <v>43217</v>
      </c>
      <c r="C23" s="15" t="s">
        <v>496</v>
      </c>
      <c r="D23" s="15" t="s">
        <v>176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370</v>
      </c>
      <c r="L23" s="15" t="s">
        <v>71</v>
      </c>
      <c r="M23" s="15" t="s">
        <v>39</v>
      </c>
      <c r="N23" s="15" t="s">
        <v>140</v>
      </c>
      <c r="O23" s="15" t="s">
        <v>10</v>
      </c>
      <c r="P23" s="36">
        <v>1</v>
      </c>
      <c r="V23" s="36">
        <v>0</v>
      </c>
      <c r="W23" s="15" t="s">
        <v>456</v>
      </c>
      <c r="X23" s="15" t="s">
        <v>163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548</v>
      </c>
    </row>
    <row r="24" spans="1:31" x14ac:dyDescent="0.25">
      <c r="A24" s="15" t="s">
        <v>699</v>
      </c>
      <c r="B24" s="38">
        <v>43220</v>
      </c>
      <c r="C24" s="15" t="s">
        <v>496</v>
      </c>
      <c r="D24" s="15" t="s">
        <v>176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372</v>
      </c>
      <c r="L24" s="15" t="s">
        <v>77</v>
      </c>
      <c r="M24" s="15" t="s">
        <v>39</v>
      </c>
      <c r="N24" s="15" t="s">
        <v>140</v>
      </c>
      <c r="O24" s="15" t="s">
        <v>10</v>
      </c>
      <c r="P24" s="36">
        <v>1</v>
      </c>
      <c r="V24" s="36">
        <v>0</v>
      </c>
      <c r="W24" s="15" t="s">
        <v>457</v>
      </c>
      <c r="X24" s="15" t="s">
        <v>164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548</v>
      </c>
    </row>
    <row r="25" spans="1:31" x14ac:dyDescent="0.25">
      <c r="A25" s="15" t="s">
        <v>974</v>
      </c>
      <c r="B25" s="38">
        <v>43191</v>
      </c>
      <c r="C25" s="15" t="s">
        <v>496</v>
      </c>
      <c r="D25" s="15" t="s">
        <v>176</v>
      </c>
      <c r="E25" s="15" t="s">
        <v>262</v>
      </c>
      <c r="F25" s="15" t="s">
        <v>108</v>
      </c>
      <c r="G25" s="15" t="s">
        <v>68</v>
      </c>
      <c r="H25" s="15" t="s">
        <v>95</v>
      </c>
      <c r="I25" s="15" t="s">
        <v>18</v>
      </c>
      <c r="J25" s="36">
        <v>0.5</v>
      </c>
      <c r="K25" s="15" t="s">
        <v>346</v>
      </c>
      <c r="L25" s="15" t="s">
        <v>162</v>
      </c>
      <c r="M25" s="15" t="s">
        <v>12</v>
      </c>
      <c r="N25" s="15" t="s">
        <v>121</v>
      </c>
      <c r="O25" s="15" t="s">
        <v>18</v>
      </c>
      <c r="P25" s="36">
        <v>20</v>
      </c>
      <c r="Q25" s="15" t="s">
        <v>274</v>
      </c>
      <c r="R25" s="15" t="s">
        <v>15</v>
      </c>
      <c r="S25" s="15" t="s">
        <v>27</v>
      </c>
      <c r="T25" s="15" t="s">
        <v>13</v>
      </c>
      <c r="U25" s="15" t="s">
        <v>18</v>
      </c>
      <c r="V25" s="36">
        <v>1</v>
      </c>
      <c r="W25" s="15" t="s">
        <v>418</v>
      </c>
      <c r="X25" s="15" t="s">
        <v>110</v>
      </c>
      <c r="Y25" s="15" t="s">
        <v>33</v>
      </c>
      <c r="Z25" s="15" t="s">
        <v>128</v>
      </c>
      <c r="AA25" s="15" t="s">
        <v>18</v>
      </c>
      <c r="AB25" s="36">
        <v>3</v>
      </c>
      <c r="AC25" s="15" t="s">
        <v>482</v>
      </c>
      <c r="AD25" s="15" t="s">
        <v>67</v>
      </c>
      <c r="AE25" s="15" t="s">
        <v>560</v>
      </c>
    </row>
    <row r="26" spans="1:31" x14ac:dyDescent="0.25">
      <c r="A26" s="15" t="s">
        <v>975</v>
      </c>
      <c r="B26" s="38">
        <v>43192</v>
      </c>
      <c r="C26" s="15" t="s">
        <v>496</v>
      </c>
      <c r="D26" s="15" t="s">
        <v>176</v>
      </c>
      <c r="E26" s="15" t="s">
        <v>260</v>
      </c>
      <c r="F26" s="15" t="s">
        <v>104</v>
      </c>
      <c r="G26" s="15" t="s">
        <v>45</v>
      </c>
      <c r="H26" s="15" t="s">
        <v>99</v>
      </c>
      <c r="I26" s="15" t="s">
        <v>18</v>
      </c>
      <c r="J26" s="36">
        <v>1</v>
      </c>
      <c r="K26" s="15" t="s">
        <v>279</v>
      </c>
      <c r="L26" s="15" t="s">
        <v>30</v>
      </c>
      <c r="M26" s="15" t="s">
        <v>51</v>
      </c>
      <c r="N26" s="15" t="s">
        <v>143</v>
      </c>
      <c r="O26" s="15" t="s">
        <v>18</v>
      </c>
      <c r="P26" s="36">
        <v>0.5</v>
      </c>
      <c r="V26" s="36">
        <v>0</v>
      </c>
      <c r="W26" s="15" t="s">
        <v>426</v>
      </c>
      <c r="X26" s="15" t="s">
        <v>124</v>
      </c>
      <c r="Y26" s="15" t="s">
        <v>33</v>
      </c>
      <c r="Z26" s="15" t="s">
        <v>57</v>
      </c>
      <c r="AA26" s="15" t="s">
        <v>18</v>
      </c>
      <c r="AB26" s="36">
        <v>134</v>
      </c>
      <c r="AC26" s="15" t="s">
        <v>476</v>
      </c>
      <c r="AD26" s="15" t="s">
        <v>50</v>
      </c>
      <c r="AE26" s="15" t="s">
        <v>560</v>
      </c>
    </row>
    <row r="27" spans="1:31" x14ac:dyDescent="0.25">
      <c r="A27" s="15" t="s">
        <v>976</v>
      </c>
      <c r="B27" s="38">
        <v>43193</v>
      </c>
      <c r="C27" s="15" t="s">
        <v>496</v>
      </c>
      <c r="D27" s="15" t="s">
        <v>176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279</v>
      </c>
      <c r="L27" s="15" t="s">
        <v>30</v>
      </c>
      <c r="M27" s="15" t="s">
        <v>51</v>
      </c>
      <c r="N27" s="15" t="s">
        <v>143</v>
      </c>
      <c r="O27" s="15" t="s">
        <v>18</v>
      </c>
      <c r="P27" s="36">
        <v>0.5</v>
      </c>
      <c r="V27" s="36">
        <v>0</v>
      </c>
      <c r="W27" s="15" t="s">
        <v>420</v>
      </c>
      <c r="X27" s="15" t="s">
        <v>113</v>
      </c>
      <c r="Y27" s="15" t="s">
        <v>33</v>
      </c>
      <c r="Z27" s="15" t="s">
        <v>40</v>
      </c>
      <c r="AA27" s="15" t="s">
        <v>18</v>
      </c>
      <c r="AB27" s="36">
        <v>1</v>
      </c>
      <c r="AE27" s="15" t="s">
        <v>560</v>
      </c>
    </row>
    <row r="28" spans="1:31" x14ac:dyDescent="0.25">
      <c r="A28" s="15" t="s">
        <v>977</v>
      </c>
      <c r="B28" s="38">
        <v>43194</v>
      </c>
      <c r="C28" s="15" t="s">
        <v>496</v>
      </c>
      <c r="D28" s="15" t="s">
        <v>176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308</v>
      </c>
      <c r="L28" s="15" t="s">
        <v>101</v>
      </c>
      <c r="M28" s="15" t="s">
        <v>56</v>
      </c>
      <c r="N28" s="15" t="s">
        <v>40</v>
      </c>
      <c r="O28" s="15" t="s">
        <v>18</v>
      </c>
      <c r="P28" s="36">
        <v>0.5</v>
      </c>
      <c r="V28" s="36">
        <v>0</v>
      </c>
      <c r="W28" s="15" t="s">
        <v>426</v>
      </c>
      <c r="X28" s="15" t="s">
        <v>124</v>
      </c>
      <c r="Y28" s="15" t="s">
        <v>33</v>
      </c>
      <c r="Z28" s="15" t="s">
        <v>57</v>
      </c>
      <c r="AA28" s="15" t="s">
        <v>18</v>
      </c>
      <c r="AB28" s="36">
        <v>133</v>
      </c>
      <c r="AE28" s="15" t="s">
        <v>560</v>
      </c>
    </row>
    <row r="29" spans="1:31" x14ac:dyDescent="0.25">
      <c r="A29" s="15" t="s">
        <v>978</v>
      </c>
      <c r="B29" s="38">
        <v>43195</v>
      </c>
      <c r="C29" s="15" t="s">
        <v>496</v>
      </c>
      <c r="D29" s="15" t="s">
        <v>176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308</v>
      </c>
      <c r="L29" s="15" t="s">
        <v>101</v>
      </c>
      <c r="M29" s="15" t="s">
        <v>56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420</v>
      </c>
      <c r="X29" s="15" t="s">
        <v>113</v>
      </c>
      <c r="Y29" s="15" t="s">
        <v>33</v>
      </c>
      <c r="Z29" s="15" t="s">
        <v>40</v>
      </c>
      <c r="AA29" s="15" t="s">
        <v>18</v>
      </c>
      <c r="AB29" s="36">
        <v>1</v>
      </c>
      <c r="AE29" s="15" t="s">
        <v>560</v>
      </c>
    </row>
    <row r="30" spans="1:31" x14ac:dyDescent="0.25">
      <c r="A30" s="15" t="s">
        <v>979</v>
      </c>
      <c r="B30" s="38">
        <v>43196</v>
      </c>
      <c r="C30" s="15" t="s">
        <v>496</v>
      </c>
      <c r="D30" s="15" t="s">
        <v>176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332</v>
      </c>
      <c r="L30" s="15" t="s">
        <v>144</v>
      </c>
      <c r="M30" s="15" t="s">
        <v>80</v>
      </c>
      <c r="N30" s="15" t="s">
        <v>149</v>
      </c>
      <c r="O30" s="15" t="s">
        <v>18</v>
      </c>
      <c r="P30" s="36">
        <v>1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133</v>
      </c>
      <c r="AE30" s="15" t="s">
        <v>560</v>
      </c>
    </row>
    <row r="31" spans="1:31" x14ac:dyDescent="0.25">
      <c r="A31" s="15" t="s">
        <v>980</v>
      </c>
      <c r="B31" s="38">
        <v>43197</v>
      </c>
      <c r="C31" s="15" t="s">
        <v>496</v>
      </c>
      <c r="D31" s="15" t="s">
        <v>176</v>
      </c>
      <c r="E31" s="15" t="s">
        <v>264</v>
      </c>
      <c r="F31" s="15" t="s">
        <v>93</v>
      </c>
      <c r="G31" s="15" t="s">
        <v>68</v>
      </c>
      <c r="H31" s="15" t="s">
        <v>69</v>
      </c>
      <c r="I31" s="15" t="s">
        <v>18</v>
      </c>
      <c r="J31" s="36">
        <v>2</v>
      </c>
      <c r="K31" s="15" t="s">
        <v>338</v>
      </c>
      <c r="L31" s="15" t="s">
        <v>153</v>
      </c>
      <c r="M31" s="15" t="s">
        <v>74</v>
      </c>
      <c r="N31" s="15" t="s">
        <v>131</v>
      </c>
      <c r="O31" s="15" t="s">
        <v>18</v>
      </c>
      <c r="P31" s="36">
        <v>10</v>
      </c>
      <c r="V31" s="36">
        <v>0</v>
      </c>
      <c r="W31" s="15" t="s">
        <v>422</v>
      </c>
      <c r="X31" s="15" t="s">
        <v>117</v>
      </c>
      <c r="Y31" s="15" t="s">
        <v>33</v>
      </c>
      <c r="Z31" s="15" t="s">
        <v>87</v>
      </c>
      <c r="AA31" s="15" t="s">
        <v>18</v>
      </c>
      <c r="AB31" s="36">
        <v>0.5</v>
      </c>
      <c r="AE31" s="15" t="s">
        <v>560</v>
      </c>
    </row>
    <row r="32" spans="1:31" x14ac:dyDescent="0.25">
      <c r="A32" s="15" t="s">
        <v>981</v>
      </c>
      <c r="B32" s="38">
        <v>43198</v>
      </c>
      <c r="C32" s="15" t="s">
        <v>496</v>
      </c>
      <c r="D32" s="15" t="s">
        <v>176</v>
      </c>
      <c r="E32" s="15" t="s">
        <v>264</v>
      </c>
      <c r="F32" s="15" t="s">
        <v>93</v>
      </c>
      <c r="G32" s="15" t="s">
        <v>68</v>
      </c>
      <c r="H32" s="15" t="s">
        <v>69</v>
      </c>
      <c r="I32" s="15" t="s">
        <v>18</v>
      </c>
      <c r="J32" s="36">
        <v>2</v>
      </c>
      <c r="K32" s="15" t="s">
        <v>348</v>
      </c>
      <c r="L32" s="15" t="s">
        <v>53</v>
      </c>
      <c r="M32" s="15" t="s">
        <v>20</v>
      </c>
      <c r="N32" s="15" t="s">
        <v>40</v>
      </c>
      <c r="O32" s="15" t="s">
        <v>18</v>
      </c>
      <c r="P32" s="36">
        <v>1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134</v>
      </c>
      <c r="AE32" s="15" t="s">
        <v>560</v>
      </c>
    </row>
    <row r="33" spans="1:31" x14ac:dyDescent="0.25">
      <c r="A33" s="15" t="s">
        <v>982</v>
      </c>
      <c r="B33" s="38">
        <v>43199</v>
      </c>
      <c r="C33" s="15" t="s">
        <v>496</v>
      </c>
      <c r="D33" s="15" t="s">
        <v>176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282</v>
      </c>
      <c r="L33" s="15" t="s">
        <v>36</v>
      </c>
      <c r="M33" s="15" t="s">
        <v>51</v>
      </c>
      <c r="N33" s="15" t="s">
        <v>40</v>
      </c>
      <c r="O33" s="15" t="s">
        <v>18</v>
      </c>
      <c r="P33" s="36">
        <v>0.5</v>
      </c>
      <c r="V33" s="36">
        <v>0</v>
      </c>
      <c r="W33" s="15" t="s">
        <v>422</v>
      </c>
      <c r="X33" s="15" t="s">
        <v>117</v>
      </c>
      <c r="Y33" s="15" t="s">
        <v>33</v>
      </c>
      <c r="Z33" s="15" t="s">
        <v>87</v>
      </c>
      <c r="AA33" s="15" t="s">
        <v>18</v>
      </c>
      <c r="AB33" s="36">
        <v>0.5</v>
      </c>
      <c r="AE33" s="15" t="s">
        <v>560</v>
      </c>
    </row>
    <row r="34" spans="1:31" x14ac:dyDescent="0.25">
      <c r="A34" s="15" t="s">
        <v>983</v>
      </c>
      <c r="B34" s="38">
        <v>43200</v>
      </c>
      <c r="C34" s="15" t="s">
        <v>496</v>
      </c>
      <c r="D34" s="15" t="s">
        <v>176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282</v>
      </c>
      <c r="L34" s="15" t="s">
        <v>36</v>
      </c>
      <c r="M34" s="15" t="s">
        <v>51</v>
      </c>
      <c r="N34" s="15" t="s">
        <v>40</v>
      </c>
      <c r="O34" s="15" t="s">
        <v>18</v>
      </c>
      <c r="P34" s="36">
        <v>0.5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560</v>
      </c>
    </row>
    <row r="35" spans="1:31" x14ac:dyDescent="0.25">
      <c r="A35" s="15" t="s">
        <v>984</v>
      </c>
      <c r="B35" s="38">
        <v>43201</v>
      </c>
      <c r="C35" s="15" t="s">
        <v>496</v>
      </c>
      <c r="D35" s="15" t="s">
        <v>176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310</v>
      </c>
      <c r="L35" s="15" t="s">
        <v>105</v>
      </c>
      <c r="M35" s="15" t="s">
        <v>56</v>
      </c>
      <c r="N35" s="15" t="s">
        <v>40</v>
      </c>
      <c r="O35" s="15" t="s">
        <v>18</v>
      </c>
      <c r="P35" s="36">
        <v>0.5</v>
      </c>
      <c r="V35" s="36">
        <v>0</v>
      </c>
      <c r="W35" s="15" t="s">
        <v>424</v>
      </c>
      <c r="X35" s="15" t="s">
        <v>120</v>
      </c>
      <c r="Y35" s="15" t="s">
        <v>33</v>
      </c>
      <c r="Z35" s="15" t="s">
        <v>91</v>
      </c>
      <c r="AA35" s="15" t="s">
        <v>18</v>
      </c>
      <c r="AB35" s="36">
        <v>0.5</v>
      </c>
      <c r="AE35" s="15" t="s">
        <v>560</v>
      </c>
    </row>
    <row r="36" spans="1:31" x14ac:dyDescent="0.25">
      <c r="A36" s="15" t="s">
        <v>985</v>
      </c>
      <c r="B36" s="38">
        <v>43202</v>
      </c>
      <c r="C36" s="15" t="s">
        <v>496</v>
      </c>
      <c r="D36" s="15" t="s">
        <v>176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310</v>
      </c>
      <c r="L36" s="15" t="s">
        <v>105</v>
      </c>
      <c r="M36" s="15" t="s">
        <v>56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133</v>
      </c>
      <c r="AE36" s="15" t="s">
        <v>560</v>
      </c>
    </row>
    <row r="37" spans="1:31" x14ac:dyDescent="0.25">
      <c r="A37" s="15" t="s">
        <v>986</v>
      </c>
      <c r="B37" s="38">
        <v>43203</v>
      </c>
      <c r="C37" s="15" t="s">
        <v>496</v>
      </c>
      <c r="D37" s="15" t="s">
        <v>176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334</v>
      </c>
      <c r="L37" s="15" t="s">
        <v>147</v>
      </c>
      <c r="M37" s="15" t="s">
        <v>80</v>
      </c>
      <c r="N37" s="15" t="s">
        <v>34</v>
      </c>
      <c r="O37" s="15" t="s">
        <v>18</v>
      </c>
      <c r="P37" s="36">
        <v>1</v>
      </c>
      <c r="V37" s="36">
        <v>0</v>
      </c>
      <c r="W37" s="15" t="s">
        <v>424</v>
      </c>
      <c r="X37" s="15" t="s">
        <v>120</v>
      </c>
      <c r="Y37" s="15" t="s">
        <v>33</v>
      </c>
      <c r="Z37" s="15" t="s">
        <v>91</v>
      </c>
      <c r="AA37" s="15" t="s">
        <v>18</v>
      </c>
      <c r="AB37" s="36">
        <v>0.5</v>
      </c>
      <c r="AE37" s="15" t="s">
        <v>560</v>
      </c>
    </row>
    <row r="38" spans="1:31" x14ac:dyDescent="0.25">
      <c r="A38" s="15" t="s">
        <v>987</v>
      </c>
      <c r="B38" s="38">
        <v>43204</v>
      </c>
      <c r="C38" s="15" t="s">
        <v>496</v>
      </c>
      <c r="D38" s="15" t="s">
        <v>176</v>
      </c>
      <c r="E38" s="15" t="s">
        <v>266</v>
      </c>
      <c r="F38" s="15" t="s">
        <v>115</v>
      </c>
      <c r="G38" s="15" t="s">
        <v>68</v>
      </c>
      <c r="H38" s="15" t="s">
        <v>69</v>
      </c>
      <c r="I38" s="15" t="s">
        <v>18</v>
      </c>
      <c r="J38" s="36">
        <v>2</v>
      </c>
      <c r="K38" s="15" t="s">
        <v>340</v>
      </c>
      <c r="L38" s="15" t="s">
        <v>156</v>
      </c>
      <c r="M38" s="15" t="s">
        <v>74</v>
      </c>
      <c r="N38" s="15" t="s">
        <v>131</v>
      </c>
      <c r="O38" s="15" t="s">
        <v>18</v>
      </c>
      <c r="P38" s="36">
        <v>10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134</v>
      </c>
      <c r="AE38" s="15" t="s">
        <v>560</v>
      </c>
    </row>
    <row r="39" spans="1:31" x14ac:dyDescent="0.25">
      <c r="A39" s="15" t="s">
        <v>988</v>
      </c>
      <c r="B39" s="38">
        <v>43205</v>
      </c>
      <c r="C39" s="15" t="s">
        <v>496</v>
      </c>
      <c r="D39" s="15" t="s">
        <v>176</v>
      </c>
      <c r="E39" s="15" t="s">
        <v>266</v>
      </c>
      <c r="F39" s="15" t="s">
        <v>115</v>
      </c>
      <c r="G39" s="15" t="s">
        <v>68</v>
      </c>
      <c r="H39" s="15" t="s">
        <v>69</v>
      </c>
      <c r="I39" s="15" t="s">
        <v>18</v>
      </c>
      <c r="J39" s="36">
        <v>2</v>
      </c>
      <c r="K39" s="15" t="s">
        <v>344</v>
      </c>
      <c r="L39" s="15" t="s">
        <v>160</v>
      </c>
      <c r="M39" s="15" t="s">
        <v>20</v>
      </c>
      <c r="N39" s="15" t="s">
        <v>103</v>
      </c>
      <c r="O39" s="15" t="s">
        <v>18</v>
      </c>
      <c r="P39" s="36">
        <v>1</v>
      </c>
      <c r="V39" s="36">
        <v>0</v>
      </c>
      <c r="W39" s="15" t="s">
        <v>428</v>
      </c>
      <c r="X39" s="15" t="s">
        <v>127</v>
      </c>
      <c r="Y39" s="15" t="s">
        <v>33</v>
      </c>
      <c r="Z39" s="15" t="s">
        <v>114</v>
      </c>
      <c r="AA39" s="15" t="s">
        <v>18</v>
      </c>
      <c r="AB39" s="36">
        <v>0.5</v>
      </c>
      <c r="AE39" s="15" t="s">
        <v>560</v>
      </c>
    </row>
    <row r="40" spans="1:31" x14ac:dyDescent="0.25">
      <c r="A40" s="15" t="s">
        <v>989</v>
      </c>
      <c r="B40" s="38">
        <v>43206</v>
      </c>
      <c r="C40" s="15" t="s">
        <v>496</v>
      </c>
      <c r="D40" s="15" t="s">
        <v>176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284</v>
      </c>
      <c r="L40" s="15" t="s">
        <v>42</v>
      </c>
      <c r="M40" s="15" t="s">
        <v>51</v>
      </c>
      <c r="N40" s="15" t="s">
        <v>125</v>
      </c>
      <c r="O40" s="15" t="s">
        <v>18</v>
      </c>
      <c r="P40" s="36">
        <v>25</v>
      </c>
      <c r="V40" s="36">
        <v>0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560</v>
      </c>
    </row>
    <row r="41" spans="1:31" x14ac:dyDescent="0.25">
      <c r="A41" s="15" t="s">
        <v>990</v>
      </c>
      <c r="B41" s="38">
        <v>43207</v>
      </c>
      <c r="C41" s="15" t="s">
        <v>496</v>
      </c>
      <c r="D41" s="15" t="s">
        <v>176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284</v>
      </c>
      <c r="L41" s="15" t="s">
        <v>42</v>
      </c>
      <c r="M41" s="15" t="s">
        <v>51</v>
      </c>
      <c r="N41" s="15" t="s">
        <v>125</v>
      </c>
      <c r="O41" s="15" t="s">
        <v>18</v>
      </c>
      <c r="P41" s="36">
        <v>25</v>
      </c>
      <c r="V41" s="36">
        <v>0</v>
      </c>
      <c r="W41" s="15" t="s">
        <v>428</v>
      </c>
      <c r="X41" s="15" t="s">
        <v>127</v>
      </c>
      <c r="Y41" s="15" t="s">
        <v>33</v>
      </c>
      <c r="Z41" s="15" t="s">
        <v>114</v>
      </c>
      <c r="AA41" s="15" t="s">
        <v>18</v>
      </c>
      <c r="AB41" s="36">
        <v>0.5</v>
      </c>
      <c r="AE41" s="15" t="s">
        <v>560</v>
      </c>
    </row>
    <row r="42" spans="1:31" x14ac:dyDescent="0.25">
      <c r="A42" s="15" t="s">
        <v>991</v>
      </c>
      <c r="B42" s="38">
        <v>43208</v>
      </c>
      <c r="C42" s="15" t="s">
        <v>496</v>
      </c>
      <c r="D42" s="15" t="s">
        <v>176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312</v>
      </c>
      <c r="L42" s="15" t="s">
        <v>109</v>
      </c>
      <c r="M42" s="15" t="s">
        <v>56</v>
      </c>
      <c r="N42" s="15" t="s">
        <v>40</v>
      </c>
      <c r="O42" s="15" t="s">
        <v>18</v>
      </c>
      <c r="P42" s="36">
        <v>0.5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133</v>
      </c>
      <c r="AE42" s="15" t="s">
        <v>560</v>
      </c>
    </row>
    <row r="43" spans="1:31" x14ac:dyDescent="0.25">
      <c r="A43" s="15" t="s">
        <v>992</v>
      </c>
      <c r="B43" s="38">
        <v>43209</v>
      </c>
      <c r="C43" s="15" t="s">
        <v>496</v>
      </c>
      <c r="D43" s="15" t="s">
        <v>176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312</v>
      </c>
      <c r="L43" s="15" t="s">
        <v>109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430</v>
      </c>
      <c r="X43" s="15" t="s">
        <v>130</v>
      </c>
      <c r="Y43" s="15" t="s">
        <v>33</v>
      </c>
      <c r="Z43" s="15" t="s">
        <v>114</v>
      </c>
      <c r="AA43" s="15" t="s">
        <v>18</v>
      </c>
      <c r="AB43" s="36">
        <v>0.5</v>
      </c>
      <c r="AE43" s="15" t="s">
        <v>560</v>
      </c>
    </row>
    <row r="44" spans="1:31" x14ac:dyDescent="0.25">
      <c r="A44" s="15" t="s">
        <v>993</v>
      </c>
      <c r="B44" s="38">
        <v>43210</v>
      </c>
      <c r="C44" s="15" t="s">
        <v>496</v>
      </c>
      <c r="D44" s="15" t="s">
        <v>176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336</v>
      </c>
      <c r="L44" s="15" t="s">
        <v>150</v>
      </c>
      <c r="M44" s="15" t="s">
        <v>80</v>
      </c>
      <c r="N44" s="15" t="s">
        <v>155</v>
      </c>
      <c r="O44" s="15" t="s">
        <v>18</v>
      </c>
      <c r="P44" s="36">
        <v>2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134</v>
      </c>
      <c r="AE44" s="15" t="s">
        <v>560</v>
      </c>
    </row>
    <row r="45" spans="1:31" x14ac:dyDescent="0.25">
      <c r="A45" s="15" t="s">
        <v>994</v>
      </c>
      <c r="B45" s="38">
        <v>43211</v>
      </c>
      <c r="C45" s="15" t="s">
        <v>496</v>
      </c>
      <c r="D45" s="15" t="s">
        <v>176</v>
      </c>
      <c r="E45" s="15" t="s">
        <v>268</v>
      </c>
      <c r="F45" s="15" t="s">
        <v>119</v>
      </c>
      <c r="G45" s="15" t="s">
        <v>68</v>
      </c>
      <c r="H45" s="15" t="s">
        <v>125</v>
      </c>
      <c r="I45" s="15" t="s">
        <v>18</v>
      </c>
      <c r="J45" s="36">
        <v>50</v>
      </c>
      <c r="K45" s="15" t="s">
        <v>342</v>
      </c>
      <c r="L45" s="15" t="s">
        <v>158</v>
      </c>
      <c r="M45" s="15" t="s">
        <v>74</v>
      </c>
      <c r="N45" s="15" t="s">
        <v>131</v>
      </c>
      <c r="O45" s="15" t="s">
        <v>18</v>
      </c>
      <c r="P45" s="36">
        <v>10</v>
      </c>
      <c r="V45" s="36">
        <v>0</v>
      </c>
      <c r="W45" s="15" t="s">
        <v>430</v>
      </c>
      <c r="X45" s="15" t="s">
        <v>130</v>
      </c>
      <c r="Y45" s="15" t="s">
        <v>33</v>
      </c>
      <c r="Z45" s="15" t="s">
        <v>114</v>
      </c>
      <c r="AA45" s="15" t="s">
        <v>18</v>
      </c>
      <c r="AB45" s="36">
        <v>0.5</v>
      </c>
      <c r="AE45" s="15" t="s">
        <v>560</v>
      </c>
    </row>
    <row r="46" spans="1:31" x14ac:dyDescent="0.25">
      <c r="A46" s="15" t="s">
        <v>995</v>
      </c>
      <c r="B46" s="38">
        <v>43212</v>
      </c>
      <c r="C46" s="15" t="s">
        <v>496</v>
      </c>
      <c r="D46" s="15" t="s">
        <v>176</v>
      </c>
      <c r="E46" s="15" t="s">
        <v>268</v>
      </c>
      <c r="F46" s="15" t="s">
        <v>119</v>
      </c>
      <c r="G46" s="15" t="s">
        <v>68</v>
      </c>
      <c r="H46" s="15" t="s">
        <v>125</v>
      </c>
      <c r="I46" s="15" t="s">
        <v>18</v>
      </c>
      <c r="J46" s="36">
        <v>50</v>
      </c>
      <c r="K46" s="15" t="s">
        <v>346</v>
      </c>
      <c r="L46" s="15" t="s">
        <v>162</v>
      </c>
      <c r="M46" s="15" t="s">
        <v>12</v>
      </c>
      <c r="N46" s="15" t="s">
        <v>121</v>
      </c>
      <c r="O46" s="15" t="s">
        <v>18</v>
      </c>
      <c r="P46" s="36">
        <v>20</v>
      </c>
      <c r="Q46" s="15" t="s">
        <v>274</v>
      </c>
      <c r="R46" s="15" t="s">
        <v>15</v>
      </c>
      <c r="S46" s="15" t="s">
        <v>27</v>
      </c>
      <c r="T46" s="15" t="s">
        <v>13</v>
      </c>
      <c r="U46" s="15" t="s">
        <v>18</v>
      </c>
      <c r="V46" s="36">
        <v>1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560</v>
      </c>
    </row>
    <row r="47" spans="1:31" x14ac:dyDescent="0.25">
      <c r="A47" s="15" t="s">
        <v>996</v>
      </c>
      <c r="B47" s="38">
        <v>43213</v>
      </c>
      <c r="C47" s="15" t="s">
        <v>496</v>
      </c>
      <c r="D47" s="15" t="s">
        <v>176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286</v>
      </c>
      <c r="L47" s="15" t="s">
        <v>48</v>
      </c>
      <c r="M47" s="15" t="s">
        <v>51</v>
      </c>
      <c r="N47" s="15" t="s">
        <v>40</v>
      </c>
      <c r="O47" s="15" t="s">
        <v>18</v>
      </c>
      <c r="P47" s="36">
        <v>0.5</v>
      </c>
      <c r="V47" s="36">
        <v>0</v>
      </c>
      <c r="W47" s="15" t="s">
        <v>432</v>
      </c>
      <c r="X47" s="15" t="s">
        <v>133</v>
      </c>
      <c r="Y47" s="15" t="s">
        <v>33</v>
      </c>
      <c r="Z47" s="15" t="s">
        <v>34</v>
      </c>
      <c r="AA47" s="15" t="s">
        <v>18</v>
      </c>
      <c r="AB47" s="36">
        <v>1</v>
      </c>
      <c r="AE47" s="15" t="s">
        <v>560</v>
      </c>
    </row>
    <row r="48" spans="1:31" x14ac:dyDescent="0.25">
      <c r="A48" s="15" t="s">
        <v>997</v>
      </c>
      <c r="B48" s="38">
        <v>43214</v>
      </c>
      <c r="C48" s="15" t="s">
        <v>496</v>
      </c>
      <c r="D48" s="15" t="s">
        <v>176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286</v>
      </c>
      <c r="L48" s="15" t="s">
        <v>48</v>
      </c>
      <c r="M48" s="15" t="s">
        <v>51</v>
      </c>
      <c r="N48" s="15" t="s">
        <v>40</v>
      </c>
      <c r="O48" s="15" t="s">
        <v>18</v>
      </c>
      <c r="P48" s="36">
        <v>0.5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133</v>
      </c>
      <c r="AE48" s="15" t="s">
        <v>560</v>
      </c>
    </row>
    <row r="49" spans="1:31" x14ac:dyDescent="0.25">
      <c r="A49" s="15" t="s">
        <v>998</v>
      </c>
      <c r="B49" s="38">
        <v>43215</v>
      </c>
      <c r="C49" s="15" t="s">
        <v>496</v>
      </c>
      <c r="D49" s="15" t="s">
        <v>176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314</v>
      </c>
      <c r="L49" s="15" t="s">
        <v>112</v>
      </c>
      <c r="M49" s="15" t="s">
        <v>56</v>
      </c>
      <c r="N49" s="15" t="s">
        <v>40</v>
      </c>
      <c r="O49" s="15" t="s">
        <v>18</v>
      </c>
      <c r="P49" s="36">
        <v>0.5</v>
      </c>
      <c r="V49" s="36">
        <v>0</v>
      </c>
      <c r="W49" s="15" t="s">
        <v>384</v>
      </c>
      <c r="X49" s="15" t="s">
        <v>17</v>
      </c>
      <c r="Y49" s="15" t="s">
        <v>33</v>
      </c>
      <c r="Z49" s="15" t="s">
        <v>87</v>
      </c>
      <c r="AA49" s="15" t="s">
        <v>18</v>
      </c>
      <c r="AB49" s="36">
        <v>1</v>
      </c>
      <c r="AE49" s="15" t="s">
        <v>560</v>
      </c>
    </row>
    <row r="50" spans="1:31" x14ac:dyDescent="0.25">
      <c r="A50" s="15" t="s">
        <v>999</v>
      </c>
      <c r="B50" s="38">
        <v>43216</v>
      </c>
      <c r="C50" s="15" t="s">
        <v>496</v>
      </c>
      <c r="D50" s="15" t="s">
        <v>176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314</v>
      </c>
      <c r="L50" s="15" t="s">
        <v>112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134</v>
      </c>
      <c r="AE50" s="15" t="s">
        <v>560</v>
      </c>
    </row>
    <row r="51" spans="1:31" x14ac:dyDescent="0.25">
      <c r="A51" s="15" t="s">
        <v>1000</v>
      </c>
      <c r="B51" s="38">
        <v>43217</v>
      </c>
      <c r="C51" s="15" t="s">
        <v>496</v>
      </c>
      <c r="D51" s="15" t="s">
        <v>176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304</v>
      </c>
      <c r="L51" s="15" t="s">
        <v>15</v>
      </c>
      <c r="M51" s="15" t="s">
        <v>80</v>
      </c>
      <c r="N51" s="15" t="s">
        <v>13</v>
      </c>
      <c r="O51" s="15" t="s">
        <v>18</v>
      </c>
      <c r="P51" s="36">
        <v>1</v>
      </c>
      <c r="V51" s="36">
        <v>0</v>
      </c>
      <c r="W51" s="15" t="s">
        <v>384</v>
      </c>
      <c r="X51" s="15" t="s">
        <v>17</v>
      </c>
      <c r="Y51" s="15" t="s">
        <v>33</v>
      </c>
      <c r="Z51" s="15" t="s">
        <v>87</v>
      </c>
      <c r="AA51" s="15" t="s">
        <v>18</v>
      </c>
      <c r="AB51" s="36">
        <v>1</v>
      </c>
      <c r="AE51" s="15" t="s">
        <v>560</v>
      </c>
    </row>
    <row r="52" spans="1:31" x14ac:dyDescent="0.25">
      <c r="A52" s="15" t="s">
        <v>1001</v>
      </c>
      <c r="B52" s="38">
        <v>43218</v>
      </c>
      <c r="C52" s="15" t="s">
        <v>496</v>
      </c>
      <c r="D52" s="15" t="s">
        <v>176</v>
      </c>
      <c r="E52" s="15" t="s">
        <v>270</v>
      </c>
      <c r="F52" s="15" t="s">
        <v>122</v>
      </c>
      <c r="G52" s="15" t="s">
        <v>68</v>
      </c>
      <c r="H52" s="15" t="s">
        <v>69</v>
      </c>
      <c r="I52" s="15" t="s">
        <v>18</v>
      </c>
      <c r="J52" s="36">
        <v>2</v>
      </c>
      <c r="K52" s="15" t="s">
        <v>338</v>
      </c>
      <c r="L52" s="15" t="s">
        <v>153</v>
      </c>
      <c r="M52" s="15" t="s">
        <v>74</v>
      </c>
      <c r="N52" s="15" t="s">
        <v>131</v>
      </c>
      <c r="O52" s="15" t="s">
        <v>18</v>
      </c>
      <c r="P52" s="36">
        <v>10</v>
      </c>
      <c r="V52" s="36">
        <v>0</v>
      </c>
      <c r="W52" s="15" t="s">
        <v>426</v>
      </c>
      <c r="X52" s="15" t="s">
        <v>124</v>
      </c>
      <c r="Y52" s="15" t="s">
        <v>33</v>
      </c>
      <c r="Z52" s="15" t="s">
        <v>57</v>
      </c>
      <c r="AA52" s="15" t="s">
        <v>18</v>
      </c>
      <c r="AB52" s="36">
        <v>133</v>
      </c>
      <c r="AE52" s="15" t="s">
        <v>560</v>
      </c>
    </row>
    <row r="53" spans="1:31" x14ac:dyDescent="0.25">
      <c r="A53" s="15" t="s">
        <v>1002</v>
      </c>
      <c r="B53" s="38">
        <v>43219</v>
      </c>
      <c r="C53" s="15" t="s">
        <v>496</v>
      </c>
      <c r="D53" s="15" t="s">
        <v>176</v>
      </c>
      <c r="E53" s="15" t="s">
        <v>270</v>
      </c>
      <c r="F53" s="15" t="s">
        <v>122</v>
      </c>
      <c r="G53" s="15" t="s">
        <v>68</v>
      </c>
      <c r="H53" s="15" t="s">
        <v>69</v>
      </c>
      <c r="I53" s="15" t="s">
        <v>18</v>
      </c>
      <c r="J53" s="36">
        <v>2</v>
      </c>
      <c r="K53" s="15" t="s">
        <v>348</v>
      </c>
      <c r="L53" s="15" t="s">
        <v>53</v>
      </c>
      <c r="M53" s="15" t="s">
        <v>20</v>
      </c>
      <c r="N53" s="15" t="s">
        <v>40</v>
      </c>
      <c r="O53" s="15" t="s">
        <v>18</v>
      </c>
      <c r="P53" s="36">
        <v>1</v>
      </c>
      <c r="V53" s="36">
        <v>0</v>
      </c>
      <c r="W53" s="15" t="s">
        <v>386</v>
      </c>
      <c r="X53" s="15" t="s">
        <v>24</v>
      </c>
      <c r="Y53" s="15" t="s">
        <v>33</v>
      </c>
      <c r="Z53" s="15" t="s">
        <v>118</v>
      </c>
      <c r="AA53" s="15" t="s">
        <v>18</v>
      </c>
      <c r="AB53" s="36">
        <v>125</v>
      </c>
      <c r="AE53" s="15" t="s">
        <v>560</v>
      </c>
    </row>
    <row r="54" spans="1:31" x14ac:dyDescent="0.25">
      <c r="A54" s="15" t="s">
        <v>1003</v>
      </c>
      <c r="B54" s="38">
        <v>43220</v>
      </c>
      <c r="C54" s="15" t="s">
        <v>496</v>
      </c>
      <c r="D54" s="15" t="s">
        <v>176</v>
      </c>
      <c r="E54" s="15" t="s">
        <v>260</v>
      </c>
      <c r="F54" s="15" t="s">
        <v>104</v>
      </c>
      <c r="G54" s="15" t="s">
        <v>45</v>
      </c>
      <c r="H54" s="15" t="s">
        <v>99</v>
      </c>
      <c r="I54" s="15" t="s">
        <v>18</v>
      </c>
      <c r="J54" s="36">
        <v>1</v>
      </c>
      <c r="K54" s="15" t="s">
        <v>288</v>
      </c>
      <c r="L54" s="15" t="s">
        <v>53</v>
      </c>
      <c r="M54" s="15" t="s">
        <v>51</v>
      </c>
      <c r="N54" s="15" t="s">
        <v>40</v>
      </c>
      <c r="O54" s="15" t="s">
        <v>18</v>
      </c>
      <c r="P54" s="36">
        <v>0.5</v>
      </c>
      <c r="V54" s="36">
        <v>0</v>
      </c>
      <c r="W54" s="15" t="s">
        <v>426</v>
      </c>
      <c r="X54" s="15" t="s">
        <v>124</v>
      </c>
      <c r="Y54" s="15" t="s">
        <v>33</v>
      </c>
      <c r="Z54" s="15" t="s">
        <v>57</v>
      </c>
      <c r="AA54" s="15" t="s">
        <v>18</v>
      </c>
      <c r="AB54" s="36">
        <v>133</v>
      </c>
      <c r="AE54" s="15" t="s">
        <v>560</v>
      </c>
    </row>
    <row r="55" spans="1:31" x14ac:dyDescent="0.25">
      <c r="A55" s="15" t="s">
        <v>1280</v>
      </c>
      <c r="B55" s="38">
        <v>43191</v>
      </c>
      <c r="C55" s="15" t="s">
        <v>496</v>
      </c>
      <c r="D55" s="15" t="s">
        <v>176</v>
      </c>
      <c r="J55" s="36">
        <v>0</v>
      </c>
      <c r="P55" s="36">
        <v>0</v>
      </c>
      <c r="V55" s="36">
        <v>0</v>
      </c>
      <c r="W55" s="15" t="s">
        <v>440</v>
      </c>
      <c r="X55" s="15" t="s">
        <v>145</v>
      </c>
      <c r="Y55" s="15" t="s">
        <v>62</v>
      </c>
      <c r="Z55" s="15" t="s">
        <v>111</v>
      </c>
      <c r="AA55" s="15" t="s">
        <v>25</v>
      </c>
      <c r="AB55" s="36">
        <v>1</v>
      </c>
      <c r="AC55" s="15" t="s">
        <v>482</v>
      </c>
      <c r="AD55" s="15" t="s">
        <v>67</v>
      </c>
      <c r="AE55" s="15" t="s">
        <v>569</v>
      </c>
    </row>
    <row r="56" spans="1:31" x14ac:dyDescent="0.25">
      <c r="A56" s="15" t="s">
        <v>1281</v>
      </c>
      <c r="B56" s="38">
        <v>43197</v>
      </c>
      <c r="C56" s="15" t="s">
        <v>496</v>
      </c>
      <c r="D56" s="15" t="s">
        <v>176</v>
      </c>
      <c r="J56" s="36">
        <v>0</v>
      </c>
      <c r="P56" s="36">
        <v>0</v>
      </c>
      <c r="V56" s="36">
        <v>0</v>
      </c>
      <c r="W56" s="15" t="s">
        <v>442</v>
      </c>
      <c r="X56" s="15" t="s">
        <v>148</v>
      </c>
      <c r="Y56" s="15" t="s">
        <v>62</v>
      </c>
      <c r="Z56" s="15" t="s">
        <v>111</v>
      </c>
      <c r="AA56" s="15" t="s">
        <v>25</v>
      </c>
      <c r="AB56" s="36">
        <v>1</v>
      </c>
      <c r="AE56" s="15" t="s">
        <v>569</v>
      </c>
    </row>
    <row r="57" spans="1:31" ht="12.75" x14ac:dyDescent="0.2">
      <c r="A57" s="15" t="s">
        <v>1282</v>
      </c>
      <c r="B57" s="38">
        <v>43198</v>
      </c>
      <c r="C57" s="15" t="s">
        <v>496</v>
      </c>
      <c r="D57" s="15" t="s">
        <v>176</v>
      </c>
      <c r="J57" s="36">
        <v>0</v>
      </c>
      <c r="P57" s="36">
        <v>0</v>
      </c>
      <c r="V57" s="36">
        <v>0</v>
      </c>
      <c r="W57" s="15" t="s">
        <v>444</v>
      </c>
      <c r="X57" s="15" t="s">
        <v>151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569</v>
      </c>
    </row>
    <row r="58" spans="1:31" ht="12.75" x14ac:dyDescent="0.2">
      <c r="A58" s="15" t="s">
        <v>1283</v>
      </c>
      <c r="B58" s="38">
        <v>43204</v>
      </c>
      <c r="C58" s="15" t="s">
        <v>496</v>
      </c>
      <c r="D58" s="15" t="s">
        <v>176</v>
      </c>
      <c r="J58" s="36">
        <v>0</v>
      </c>
      <c r="P58" s="36">
        <v>0</v>
      </c>
      <c r="V58" s="36">
        <v>0</v>
      </c>
      <c r="W58" s="15" t="s">
        <v>446</v>
      </c>
      <c r="X58" s="15" t="s">
        <v>154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569</v>
      </c>
    </row>
    <row r="59" spans="1:31" x14ac:dyDescent="0.25">
      <c r="A59" s="15" t="s">
        <v>1284</v>
      </c>
      <c r="B59" s="38">
        <v>43205</v>
      </c>
      <c r="C59" s="15" t="s">
        <v>496</v>
      </c>
      <c r="D59" s="15" t="s">
        <v>176</v>
      </c>
      <c r="J59" s="36">
        <v>0</v>
      </c>
      <c r="P59" s="36">
        <v>0</v>
      </c>
      <c r="V59" s="36">
        <v>0</v>
      </c>
      <c r="W59" s="15" t="s">
        <v>448</v>
      </c>
      <c r="X59" s="15" t="s">
        <v>102</v>
      </c>
      <c r="Y59" s="15" t="s">
        <v>62</v>
      </c>
      <c r="Z59" s="15" t="s">
        <v>140</v>
      </c>
      <c r="AA59" s="15" t="s">
        <v>25</v>
      </c>
      <c r="AB59" s="36">
        <v>1</v>
      </c>
      <c r="AE59" s="15" t="s">
        <v>569</v>
      </c>
    </row>
    <row r="60" spans="1:31" ht="12.75" x14ac:dyDescent="0.2">
      <c r="A60" s="15" t="s">
        <v>1285</v>
      </c>
      <c r="B60" s="38">
        <v>43211</v>
      </c>
      <c r="C60" s="15" t="s">
        <v>496</v>
      </c>
      <c r="D60" s="15" t="s">
        <v>176</v>
      </c>
      <c r="J60" s="36">
        <v>0</v>
      </c>
      <c r="P60" s="36">
        <v>0</v>
      </c>
      <c r="V60" s="36">
        <v>0</v>
      </c>
      <c r="W60" s="15" t="s">
        <v>450</v>
      </c>
      <c r="X60" s="15" t="s">
        <v>157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569</v>
      </c>
    </row>
    <row r="61" spans="1:31" x14ac:dyDescent="0.25">
      <c r="A61" s="15" t="s">
        <v>1286</v>
      </c>
      <c r="B61" s="38">
        <v>43212</v>
      </c>
      <c r="C61" s="15" t="s">
        <v>496</v>
      </c>
      <c r="D61" s="15" t="s">
        <v>176</v>
      </c>
      <c r="J61" s="36">
        <v>0</v>
      </c>
      <c r="P61" s="36">
        <v>0</v>
      </c>
      <c r="V61" s="36">
        <v>0</v>
      </c>
      <c r="W61" s="15" t="s">
        <v>452</v>
      </c>
      <c r="X61" s="15" t="s">
        <v>159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569</v>
      </c>
    </row>
    <row r="62" spans="1:31" x14ac:dyDescent="0.25">
      <c r="A62" s="15" t="s">
        <v>1287</v>
      </c>
      <c r="B62" s="38">
        <v>43218</v>
      </c>
      <c r="C62" s="15" t="s">
        <v>496</v>
      </c>
      <c r="D62" s="15" t="s">
        <v>176</v>
      </c>
      <c r="J62" s="36">
        <v>0</v>
      </c>
      <c r="P62" s="36">
        <v>0</v>
      </c>
      <c r="V62" s="36">
        <v>0</v>
      </c>
      <c r="W62" s="15" t="s">
        <v>440</v>
      </c>
      <c r="X62" s="15" t="s">
        <v>145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569</v>
      </c>
    </row>
    <row r="63" spans="1:31" x14ac:dyDescent="0.25">
      <c r="A63" s="15" t="s">
        <v>1288</v>
      </c>
      <c r="B63" s="38">
        <v>43219</v>
      </c>
      <c r="C63" s="15" t="s">
        <v>496</v>
      </c>
      <c r="D63" s="15" t="s">
        <v>176</v>
      </c>
      <c r="J63" s="36">
        <v>0</v>
      </c>
      <c r="P63" s="36">
        <v>0</v>
      </c>
      <c r="V63" s="36">
        <v>0</v>
      </c>
      <c r="W63" s="15" t="s">
        <v>442</v>
      </c>
      <c r="X63" s="15" t="s">
        <v>148</v>
      </c>
      <c r="Y63" s="15" t="s">
        <v>62</v>
      </c>
      <c r="Z63" s="15" t="s">
        <v>111</v>
      </c>
      <c r="AA63" s="15" t="s">
        <v>25</v>
      </c>
      <c r="AB63" s="36">
        <v>1</v>
      </c>
      <c r="AE63" s="15" t="s">
        <v>569</v>
      </c>
    </row>
  </sheetData>
  <mergeCells count="1">
    <mergeCell ref="A1:AE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ai"/>
  <dimension ref="A1:AE65"/>
  <sheetViews>
    <sheetView topLeftCell="A42" workbookViewId="0">
      <selection activeCell="A65" sqref="A65"/>
    </sheetView>
  </sheetViews>
  <sheetFormatPr baseColWidth="10" defaultColWidth="11.07421875" defaultRowHeight="13.2" x14ac:dyDescent="0.25"/>
  <cols>
    <col min="1" max="1" width="11.07421875" style="15"/>
    <col min="2" max="2" width="13.4609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7.4609375" style="15" bestFit="1" customWidth="1"/>
    <col min="7" max="7" width="8.3828125" style="15" bestFit="1" customWidth="1"/>
    <col min="8" max="8" width="16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5.6914062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3.4609375" style="15" bestFit="1" customWidth="1"/>
    <col min="25" max="25" width="13.92187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0.69140625" style="15" bestFit="1" customWidth="1"/>
    <col min="30" max="30" width="14" style="15" bestFit="1" customWidth="1"/>
    <col min="31" max="31" width="25.4609375" style="15" bestFit="1" customWidth="1"/>
    <col min="32" max="16384" width="11.07421875" style="15"/>
  </cols>
  <sheetData>
    <row r="1" spans="1:31" ht="12.75" x14ac:dyDescent="0.2">
      <c r="A1" s="69" t="s">
        <v>571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8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37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37" t="s">
        <v>533</v>
      </c>
      <c r="AE3" s="16" t="s">
        <v>185</v>
      </c>
    </row>
    <row r="4" spans="1:31" x14ac:dyDescent="0.25">
      <c r="A4" s="15" t="s">
        <v>700</v>
      </c>
      <c r="B4" s="38">
        <v>43221</v>
      </c>
      <c r="C4" s="15" t="s">
        <v>498</v>
      </c>
      <c r="D4" s="15" t="s">
        <v>177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374</v>
      </c>
      <c r="L4" s="15" t="s">
        <v>83</v>
      </c>
      <c r="M4" s="15" t="s">
        <v>39</v>
      </c>
      <c r="N4" s="15" t="s">
        <v>125</v>
      </c>
      <c r="O4" s="15" t="s">
        <v>10</v>
      </c>
      <c r="P4" s="36">
        <v>25</v>
      </c>
      <c r="V4" s="36">
        <v>0</v>
      </c>
      <c r="W4" s="15" t="s">
        <v>457</v>
      </c>
      <c r="X4" s="15" t="s">
        <v>164</v>
      </c>
      <c r="Y4" s="15" t="s">
        <v>39</v>
      </c>
      <c r="Z4" s="15" t="s">
        <v>63</v>
      </c>
      <c r="AA4" s="15" t="s">
        <v>10</v>
      </c>
      <c r="AB4" s="36">
        <v>100</v>
      </c>
      <c r="AC4" s="15" t="s">
        <v>470</v>
      </c>
      <c r="AD4" s="15" t="s">
        <v>32</v>
      </c>
      <c r="AE4" s="15" t="s">
        <v>549</v>
      </c>
    </row>
    <row r="5" spans="1:31" x14ac:dyDescent="0.25">
      <c r="A5" s="15" t="s">
        <v>701</v>
      </c>
      <c r="B5" s="38">
        <v>43222</v>
      </c>
      <c r="C5" s="15" t="s">
        <v>498</v>
      </c>
      <c r="D5" s="15" t="s">
        <v>177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376</v>
      </c>
      <c r="L5" s="15" t="s">
        <v>141</v>
      </c>
      <c r="M5" s="15" t="s">
        <v>39</v>
      </c>
      <c r="N5" s="15" t="s">
        <v>224</v>
      </c>
      <c r="O5" s="15" t="s">
        <v>10</v>
      </c>
      <c r="P5" s="36">
        <v>0.5</v>
      </c>
      <c r="V5" s="36">
        <v>0</v>
      </c>
      <c r="W5" s="15" t="s">
        <v>457</v>
      </c>
      <c r="X5" s="15" t="s">
        <v>164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549</v>
      </c>
    </row>
    <row r="6" spans="1:31" x14ac:dyDescent="0.25">
      <c r="A6" s="15" t="s">
        <v>702</v>
      </c>
      <c r="B6" s="38">
        <v>43223</v>
      </c>
      <c r="C6" s="15" t="s">
        <v>498</v>
      </c>
      <c r="D6" s="15" t="s">
        <v>177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376</v>
      </c>
      <c r="L6" s="15" t="s">
        <v>141</v>
      </c>
      <c r="M6" s="15" t="s">
        <v>39</v>
      </c>
      <c r="N6" s="15" t="s">
        <v>224</v>
      </c>
      <c r="O6" s="15" t="s">
        <v>10</v>
      </c>
      <c r="P6" s="36">
        <v>0.5</v>
      </c>
      <c r="V6" s="36">
        <v>0</v>
      </c>
      <c r="W6" s="15" t="s">
        <v>457</v>
      </c>
      <c r="X6" s="15" t="s">
        <v>164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549</v>
      </c>
    </row>
    <row r="7" spans="1:31" x14ac:dyDescent="0.25">
      <c r="A7" s="15" t="s">
        <v>703</v>
      </c>
      <c r="B7" s="38">
        <v>43224</v>
      </c>
      <c r="C7" s="15" t="s">
        <v>498</v>
      </c>
      <c r="D7" s="15" t="s">
        <v>177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378</v>
      </c>
      <c r="L7" s="15" t="s">
        <v>93</v>
      </c>
      <c r="M7" s="15" t="s">
        <v>39</v>
      </c>
      <c r="N7" s="15" t="s">
        <v>125</v>
      </c>
      <c r="O7" s="15" t="s">
        <v>10</v>
      </c>
      <c r="P7" s="36">
        <v>25</v>
      </c>
      <c r="V7" s="36">
        <v>0</v>
      </c>
      <c r="W7" s="15" t="s">
        <v>457</v>
      </c>
      <c r="X7" s="15" t="s">
        <v>164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549</v>
      </c>
    </row>
    <row r="8" spans="1:31" x14ac:dyDescent="0.25">
      <c r="A8" s="15" t="s">
        <v>704</v>
      </c>
      <c r="B8" s="38">
        <v>43227</v>
      </c>
      <c r="C8" s="15" t="s">
        <v>498</v>
      </c>
      <c r="D8" s="15" t="s">
        <v>177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380</v>
      </c>
      <c r="L8" s="15" t="s">
        <v>144</v>
      </c>
      <c r="M8" s="15" t="s">
        <v>39</v>
      </c>
      <c r="N8" s="15" t="s">
        <v>149</v>
      </c>
      <c r="O8" s="15" t="s">
        <v>10</v>
      </c>
      <c r="P8" s="36">
        <v>1</v>
      </c>
      <c r="V8" s="36">
        <v>0</v>
      </c>
      <c r="W8" s="15" t="s">
        <v>459</v>
      </c>
      <c r="X8" s="15" t="s">
        <v>165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549</v>
      </c>
    </row>
    <row r="9" spans="1:31" x14ac:dyDescent="0.25">
      <c r="A9" s="15" t="s">
        <v>705</v>
      </c>
      <c r="B9" s="38">
        <v>43228</v>
      </c>
      <c r="C9" s="15" t="s">
        <v>498</v>
      </c>
      <c r="D9" s="15" t="s">
        <v>177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382</v>
      </c>
      <c r="L9" s="15" t="s">
        <v>150</v>
      </c>
      <c r="M9" s="15" t="s">
        <v>39</v>
      </c>
      <c r="N9" s="15" t="s">
        <v>155</v>
      </c>
      <c r="O9" s="15" t="s">
        <v>10</v>
      </c>
      <c r="P9" s="36">
        <v>2</v>
      </c>
      <c r="V9" s="36">
        <v>0</v>
      </c>
      <c r="W9" s="15" t="s">
        <v>459</v>
      </c>
      <c r="X9" s="15" t="s">
        <v>165</v>
      </c>
      <c r="Y9" s="15" t="s">
        <v>39</v>
      </c>
      <c r="Z9" s="15" t="s">
        <v>63</v>
      </c>
      <c r="AA9" s="15" t="s">
        <v>10</v>
      </c>
      <c r="AB9" s="36">
        <v>100</v>
      </c>
      <c r="AC9" s="15" t="s">
        <v>488</v>
      </c>
      <c r="AD9" s="15" t="s">
        <v>86</v>
      </c>
      <c r="AE9" s="15" t="s">
        <v>549</v>
      </c>
    </row>
    <row r="10" spans="1:31" x14ac:dyDescent="0.25">
      <c r="A10" s="15" t="s">
        <v>706</v>
      </c>
      <c r="B10" s="38">
        <v>43229</v>
      </c>
      <c r="C10" s="15" t="s">
        <v>498</v>
      </c>
      <c r="D10" s="15" t="s">
        <v>177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350</v>
      </c>
      <c r="L10" s="15" t="s">
        <v>15</v>
      </c>
      <c r="M10" s="15" t="s">
        <v>39</v>
      </c>
      <c r="N10" s="15" t="s">
        <v>34</v>
      </c>
      <c r="O10" s="15" t="s">
        <v>10</v>
      </c>
      <c r="P10" s="36">
        <v>1</v>
      </c>
      <c r="V10" s="36">
        <v>0</v>
      </c>
      <c r="W10" s="15" t="s">
        <v>459</v>
      </c>
      <c r="X10" s="15" t="s">
        <v>165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549</v>
      </c>
    </row>
    <row r="11" spans="1:31" x14ac:dyDescent="0.25">
      <c r="A11" s="15" t="s">
        <v>707</v>
      </c>
      <c r="B11" s="38">
        <v>43230</v>
      </c>
      <c r="C11" s="15" t="s">
        <v>498</v>
      </c>
      <c r="D11" s="15" t="s">
        <v>177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352</v>
      </c>
      <c r="L11" s="15" t="s">
        <v>123</v>
      </c>
      <c r="M11" s="15" t="s">
        <v>39</v>
      </c>
      <c r="N11" s="15" t="s">
        <v>140</v>
      </c>
      <c r="O11" s="15" t="s">
        <v>10</v>
      </c>
      <c r="P11" s="36">
        <v>1</v>
      </c>
      <c r="V11" s="36">
        <v>0</v>
      </c>
      <c r="W11" s="15" t="s">
        <v>459</v>
      </c>
      <c r="X11" s="15" t="s">
        <v>165</v>
      </c>
      <c r="Y11" s="15" t="s">
        <v>39</v>
      </c>
      <c r="Z11" s="15" t="s">
        <v>63</v>
      </c>
      <c r="AA11" s="15" t="s">
        <v>10</v>
      </c>
      <c r="AB11" s="36">
        <v>100</v>
      </c>
      <c r="AC11" s="15" t="s">
        <v>466</v>
      </c>
      <c r="AD11" s="15" t="s">
        <v>19</v>
      </c>
      <c r="AE11" s="15" t="s">
        <v>549</v>
      </c>
    </row>
    <row r="12" spans="1:31" x14ac:dyDescent="0.25">
      <c r="A12" s="15" t="s">
        <v>708</v>
      </c>
      <c r="B12" s="38">
        <v>43231</v>
      </c>
      <c r="C12" s="15" t="s">
        <v>498</v>
      </c>
      <c r="D12" s="15" t="s">
        <v>177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354</v>
      </c>
      <c r="L12" s="15" t="s">
        <v>129</v>
      </c>
      <c r="M12" s="15" t="s">
        <v>39</v>
      </c>
      <c r="N12" s="15" t="s">
        <v>155</v>
      </c>
      <c r="O12" s="15" t="s">
        <v>10</v>
      </c>
      <c r="P12" s="36">
        <v>2</v>
      </c>
      <c r="V12" s="36">
        <v>0</v>
      </c>
      <c r="W12" s="15" t="s">
        <v>459</v>
      </c>
      <c r="X12" s="15" t="s">
        <v>165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549</v>
      </c>
    </row>
    <row r="13" spans="1:31" x14ac:dyDescent="0.25">
      <c r="A13" s="15" t="s">
        <v>709</v>
      </c>
      <c r="B13" s="38">
        <v>43234</v>
      </c>
      <c r="C13" s="15" t="s">
        <v>498</v>
      </c>
      <c r="D13" s="15" t="s">
        <v>177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356</v>
      </c>
      <c r="L13" s="15" t="s">
        <v>132</v>
      </c>
      <c r="M13" s="15" t="s">
        <v>39</v>
      </c>
      <c r="N13" s="15" t="s">
        <v>134</v>
      </c>
      <c r="O13" s="15" t="s">
        <v>10</v>
      </c>
      <c r="P13" s="36">
        <v>2</v>
      </c>
      <c r="V13" s="36">
        <v>0</v>
      </c>
      <c r="W13" s="15" t="s">
        <v>462</v>
      </c>
      <c r="X13" s="15" t="s">
        <v>166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549</v>
      </c>
    </row>
    <row r="14" spans="1:31" x14ac:dyDescent="0.25">
      <c r="A14" s="15" t="s">
        <v>710</v>
      </c>
      <c r="B14" s="38">
        <v>43235</v>
      </c>
      <c r="C14" s="15" t="s">
        <v>498</v>
      </c>
      <c r="D14" s="15" t="s">
        <v>177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358</v>
      </c>
      <c r="L14" s="15" t="s">
        <v>135</v>
      </c>
      <c r="M14" s="15" t="s">
        <v>39</v>
      </c>
      <c r="N14" s="15" t="s">
        <v>34</v>
      </c>
      <c r="O14" s="15" t="s">
        <v>10</v>
      </c>
      <c r="P14" s="36">
        <v>1</v>
      </c>
      <c r="V14" s="36">
        <v>0</v>
      </c>
      <c r="W14" s="15" t="s">
        <v>462</v>
      </c>
      <c r="X14" s="15" t="s">
        <v>166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549</v>
      </c>
    </row>
    <row r="15" spans="1:31" x14ac:dyDescent="0.25">
      <c r="A15" s="15" t="s">
        <v>711</v>
      </c>
      <c r="B15" s="38">
        <v>43236</v>
      </c>
      <c r="C15" s="15" t="s">
        <v>498</v>
      </c>
      <c r="D15" s="15" t="s">
        <v>177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360</v>
      </c>
      <c r="L15" s="15" t="s">
        <v>138</v>
      </c>
      <c r="M15" s="15" t="s">
        <v>39</v>
      </c>
      <c r="N15" s="15" t="s">
        <v>140</v>
      </c>
      <c r="O15" s="15" t="s">
        <v>10</v>
      </c>
      <c r="P15" s="36">
        <v>1</v>
      </c>
      <c r="V15" s="36">
        <v>0</v>
      </c>
      <c r="W15" s="15" t="s">
        <v>462</v>
      </c>
      <c r="X15" s="15" t="s">
        <v>166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549</v>
      </c>
    </row>
    <row r="16" spans="1:31" x14ac:dyDescent="0.25">
      <c r="A16" s="15" t="s">
        <v>712</v>
      </c>
      <c r="B16" s="38">
        <v>43237</v>
      </c>
      <c r="C16" s="15" t="s">
        <v>498</v>
      </c>
      <c r="D16" s="15" t="s">
        <v>177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362</v>
      </c>
      <c r="L16" s="15" t="s">
        <v>42</v>
      </c>
      <c r="M16" s="15" t="s">
        <v>39</v>
      </c>
      <c r="N16" s="15" t="s">
        <v>125</v>
      </c>
      <c r="O16" s="15" t="s">
        <v>10</v>
      </c>
      <c r="P16" s="36">
        <v>25</v>
      </c>
      <c r="V16" s="36">
        <v>0</v>
      </c>
      <c r="W16" s="15" t="s">
        <v>462</v>
      </c>
      <c r="X16" s="15" t="s">
        <v>166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549</v>
      </c>
    </row>
    <row r="17" spans="1:31" x14ac:dyDescent="0.25">
      <c r="A17" s="15" t="s">
        <v>713</v>
      </c>
      <c r="B17" s="38">
        <v>43238</v>
      </c>
      <c r="C17" s="15" t="s">
        <v>498</v>
      </c>
      <c r="D17" s="15" t="s">
        <v>177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364</v>
      </c>
      <c r="L17" s="15" t="s">
        <v>59</v>
      </c>
      <c r="M17" s="15" t="s">
        <v>39</v>
      </c>
      <c r="N17" s="15" t="s">
        <v>40</v>
      </c>
      <c r="O17" s="15" t="s">
        <v>10</v>
      </c>
      <c r="P17" s="36">
        <v>0.5</v>
      </c>
      <c r="V17" s="36">
        <v>0</v>
      </c>
      <c r="W17" s="15" t="s">
        <v>462</v>
      </c>
      <c r="X17" s="15" t="s">
        <v>166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549</v>
      </c>
    </row>
    <row r="18" spans="1:31" x14ac:dyDescent="0.25">
      <c r="A18" s="15" t="s">
        <v>714</v>
      </c>
      <c r="B18" s="38">
        <v>43241</v>
      </c>
      <c r="C18" s="15" t="s">
        <v>498</v>
      </c>
      <c r="D18" s="15" t="s">
        <v>177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364</v>
      </c>
      <c r="L18" s="15" t="s">
        <v>59</v>
      </c>
      <c r="M18" s="15" t="s">
        <v>39</v>
      </c>
      <c r="N18" s="15" t="s">
        <v>40</v>
      </c>
      <c r="O18" s="15" t="s">
        <v>10</v>
      </c>
      <c r="P18" s="36">
        <v>0.5</v>
      </c>
      <c r="V18" s="36">
        <v>0</v>
      </c>
      <c r="W18" s="15" t="s">
        <v>454</v>
      </c>
      <c r="X18" s="15" t="s">
        <v>161</v>
      </c>
      <c r="Y18" s="15" t="s">
        <v>39</v>
      </c>
      <c r="Z18" s="15" t="s">
        <v>63</v>
      </c>
      <c r="AA18" s="15" t="s">
        <v>10</v>
      </c>
      <c r="AB18" s="36">
        <v>100</v>
      </c>
      <c r="AC18" s="15" t="s">
        <v>478</v>
      </c>
      <c r="AD18" s="15" t="s">
        <v>55</v>
      </c>
      <c r="AE18" s="15" t="s">
        <v>549</v>
      </c>
    </row>
    <row r="19" spans="1:31" x14ac:dyDescent="0.25">
      <c r="A19" s="15" t="s">
        <v>715</v>
      </c>
      <c r="B19" s="38">
        <v>43242</v>
      </c>
      <c r="C19" s="15" t="s">
        <v>498</v>
      </c>
      <c r="D19" s="15" t="s">
        <v>177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366</v>
      </c>
      <c r="L19" s="15" t="s">
        <v>153</v>
      </c>
      <c r="M19" s="15" t="s">
        <v>39</v>
      </c>
      <c r="N19" s="15" t="s">
        <v>131</v>
      </c>
      <c r="O19" s="15" t="s">
        <v>10</v>
      </c>
      <c r="P19" s="36">
        <v>5</v>
      </c>
      <c r="V19" s="36">
        <v>0</v>
      </c>
      <c r="W19" s="15" t="s">
        <v>454</v>
      </c>
      <c r="X19" s="15" t="s">
        <v>161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549</v>
      </c>
    </row>
    <row r="20" spans="1:31" x14ac:dyDescent="0.25">
      <c r="A20" s="15" t="s">
        <v>716</v>
      </c>
      <c r="B20" s="38">
        <v>43243</v>
      </c>
      <c r="C20" s="15" t="s">
        <v>498</v>
      </c>
      <c r="D20" s="15" t="s">
        <v>177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368</v>
      </c>
      <c r="L20" s="15" t="s">
        <v>156</v>
      </c>
      <c r="M20" s="15" t="s">
        <v>39</v>
      </c>
      <c r="N20" s="15" t="s">
        <v>131</v>
      </c>
      <c r="O20" s="15" t="s">
        <v>10</v>
      </c>
      <c r="P20" s="36">
        <v>5</v>
      </c>
      <c r="V20" s="36">
        <v>0</v>
      </c>
      <c r="W20" s="15" t="s">
        <v>454</v>
      </c>
      <c r="X20" s="15" t="s">
        <v>161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549</v>
      </c>
    </row>
    <row r="21" spans="1:31" x14ac:dyDescent="0.25">
      <c r="A21" s="15" t="s">
        <v>717</v>
      </c>
      <c r="B21" s="38">
        <v>43244</v>
      </c>
      <c r="C21" s="15" t="s">
        <v>498</v>
      </c>
      <c r="D21" s="15" t="s">
        <v>177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370</v>
      </c>
      <c r="L21" s="15" t="s">
        <v>71</v>
      </c>
      <c r="M21" s="15" t="s">
        <v>39</v>
      </c>
      <c r="N21" s="15" t="s">
        <v>140</v>
      </c>
      <c r="O21" s="15" t="s">
        <v>10</v>
      </c>
      <c r="P21" s="36">
        <v>1</v>
      </c>
      <c r="V21" s="36">
        <v>0</v>
      </c>
      <c r="W21" s="15" t="s">
        <v>454</v>
      </c>
      <c r="X21" s="15" t="s">
        <v>161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549</v>
      </c>
    </row>
    <row r="22" spans="1:31" x14ac:dyDescent="0.25">
      <c r="A22" s="15" t="s">
        <v>718</v>
      </c>
      <c r="B22" s="38">
        <v>43245</v>
      </c>
      <c r="C22" s="15" t="s">
        <v>498</v>
      </c>
      <c r="D22" s="15" t="s">
        <v>177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372</v>
      </c>
      <c r="L22" s="15" t="s">
        <v>77</v>
      </c>
      <c r="M22" s="15" t="s">
        <v>39</v>
      </c>
      <c r="N22" s="15" t="s">
        <v>140</v>
      </c>
      <c r="O22" s="15" t="s">
        <v>10</v>
      </c>
      <c r="P22" s="36">
        <v>1</v>
      </c>
      <c r="V22" s="36">
        <v>0</v>
      </c>
      <c r="W22" s="15" t="s">
        <v>454</v>
      </c>
      <c r="X22" s="15" t="s">
        <v>161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549</v>
      </c>
    </row>
    <row r="23" spans="1:31" x14ac:dyDescent="0.25">
      <c r="A23" s="15" t="s">
        <v>719</v>
      </c>
      <c r="B23" s="38">
        <v>43248</v>
      </c>
      <c r="C23" s="15" t="s">
        <v>498</v>
      </c>
      <c r="D23" s="15" t="s">
        <v>177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374</v>
      </c>
      <c r="L23" s="15" t="s">
        <v>83</v>
      </c>
      <c r="M23" s="15" t="s">
        <v>39</v>
      </c>
      <c r="N23" s="15" t="s">
        <v>125</v>
      </c>
      <c r="O23" s="15" t="s">
        <v>10</v>
      </c>
      <c r="P23" s="36">
        <v>25</v>
      </c>
      <c r="V23" s="36">
        <v>0</v>
      </c>
      <c r="W23" s="15" t="s">
        <v>456</v>
      </c>
      <c r="X23" s="15" t="s">
        <v>163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549</v>
      </c>
    </row>
    <row r="24" spans="1:31" x14ac:dyDescent="0.25">
      <c r="A24" s="15" t="s">
        <v>720</v>
      </c>
      <c r="B24" s="38">
        <v>43249</v>
      </c>
      <c r="C24" s="15" t="s">
        <v>498</v>
      </c>
      <c r="D24" s="15" t="s">
        <v>177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376</v>
      </c>
      <c r="L24" s="15" t="s">
        <v>141</v>
      </c>
      <c r="M24" s="15" t="s">
        <v>39</v>
      </c>
      <c r="N24" s="15" t="s">
        <v>224</v>
      </c>
      <c r="O24" s="15" t="s">
        <v>10</v>
      </c>
      <c r="P24" s="36">
        <v>0.5</v>
      </c>
      <c r="V24" s="36">
        <v>0</v>
      </c>
      <c r="W24" s="15" t="s">
        <v>456</v>
      </c>
      <c r="X24" s="15" t="s">
        <v>163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549</v>
      </c>
    </row>
    <row r="25" spans="1:31" x14ac:dyDescent="0.25">
      <c r="A25" s="15" t="s">
        <v>721</v>
      </c>
      <c r="B25" s="38">
        <v>43250</v>
      </c>
      <c r="C25" s="15" t="s">
        <v>498</v>
      </c>
      <c r="D25" s="15" t="s">
        <v>177</v>
      </c>
      <c r="E25" s="15" t="s">
        <v>272</v>
      </c>
      <c r="F25" s="15" t="s">
        <v>104</v>
      </c>
      <c r="G25" s="15" t="s">
        <v>39</v>
      </c>
      <c r="H25" s="15" t="s">
        <v>99</v>
      </c>
      <c r="I25" s="15" t="s">
        <v>10</v>
      </c>
      <c r="J25" s="36">
        <v>1</v>
      </c>
      <c r="K25" s="15" t="s">
        <v>376</v>
      </c>
      <c r="L25" s="15" t="s">
        <v>141</v>
      </c>
      <c r="M25" s="15" t="s">
        <v>39</v>
      </c>
      <c r="N25" s="15" t="s">
        <v>224</v>
      </c>
      <c r="O25" s="15" t="s">
        <v>10</v>
      </c>
      <c r="P25" s="36">
        <v>0.5</v>
      </c>
      <c r="V25" s="36">
        <v>0</v>
      </c>
      <c r="W25" s="15" t="s">
        <v>456</v>
      </c>
      <c r="X25" s="15" t="s">
        <v>163</v>
      </c>
      <c r="Y25" s="15" t="s">
        <v>39</v>
      </c>
      <c r="Z25" s="15" t="s">
        <v>63</v>
      </c>
      <c r="AA25" s="15" t="s">
        <v>10</v>
      </c>
      <c r="AB25" s="36">
        <v>100</v>
      </c>
      <c r="AE25" s="15" t="s">
        <v>549</v>
      </c>
    </row>
    <row r="26" spans="1:31" x14ac:dyDescent="0.25">
      <c r="A26" s="15" t="s">
        <v>722</v>
      </c>
      <c r="B26" s="38">
        <v>43251</v>
      </c>
      <c r="C26" s="15" t="s">
        <v>498</v>
      </c>
      <c r="D26" s="15" t="s">
        <v>177</v>
      </c>
      <c r="E26" s="15" t="s">
        <v>272</v>
      </c>
      <c r="F26" s="15" t="s">
        <v>104</v>
      </c>
      <c r="G26" s="15" t="s">
        <v>39</v>
      </c>
      <c r="H26" s="15" t="s">
        <v>99</v>
      </c>
      <c r="I26" s="15" t="s">
        <v>10</v>
      </c>
      <c r="J26" s="36">
        <v>1</v>
      </c>
      <c r="K26" s="15" t="s">
        <v>378</v>
      </c>
      <c r="L26" s="15" t="s">
        <v>93</v>
      </c>
      <c r="M26" s="15" t="s">
        <v>39</v>
      </c>
      <c r="N26" s="15" t="s">
        <v>125</v>
      </c>
      <c r="O26" s="15" t="s">
        <v>10</v>
      </c>
      <c r="P26" s="36">
        <v>25</v>
      </c>
      <c r="V26" s="36">
        <v>0</v>
      </c>
      <c r="W26" s="15" t="s">
        <v>456</v>
      </c>
      <c r="X26" s="15" t="s">
        <v>163</v>
      </c>
      <c r="Y26" s="15" t="s">
        <v>39</v>
      </c>
      <c r="Z26" s="15" t="s">
        <v>63</v>
      </c>
      <c r="AA26" s="15" t="s">
        <v>10</v>
      </c>
      <c r="AB26" s="36">
        <v>100</v>
      </c>
      <c r="AE26" s="15" t="s">
        <v>549</v>
      </c>
    </row>
    <row r="27" spans="1:31" x14ac:dyDescent="0.25">
      <c r="A27" s="15" t="s">
        <v>1005</v>
      </c>
      <c r="B27" s="38">
        <v>43221</v>
      </c>
      <c r="C27" s="15" t="s">
        <v>498</v>
      </c>
      <c r="D27" s="15" t="s">
        <v>177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288</v>
      </c>
      <c r="L27" s="15" t="s">
        <v>53</v>
      </c>
      <c r="M27" s="15" t="s">
        <v>51</v>
      </c>
      <c r="N27" s="15" t="s">
        <v>40</v>
      </c>
      <c r="O27" s="15" t="s">
        <v>18</v>
      </c>
      <c r="P27" s="36">
        <v>0.5</v>
      </c>
      <c r="V27" s="36">
        <v>0</v>
      </c>
      <c r="W27" s="15" t="s">
        <v>388</v>
      </c>
      <c r="X27" s="15" t="s">
        <v>31</v>
      </c>
      <c r="Y27" s="15" t="s">
        <v>33</v>
      </c>
      <c r="Z27" s="15" t="s">
        <v>87</v>
      </c>
      <c r="AA27" s="15" t="s">
        <v>18</v>
      </c>
      <c r="AB27" s="36">
        <v>1</v>
      </c>
      <c r="AC27" s="15" t="s">
        <v>470</v>
      </c>
      <c r="AD27" s="15" t="s">
        <v>32</v>
      </c>
      <c r="AE27" s="15" t="s">
        <v>561</v>
      </c>
    </row>
    <row r="28" spans="1:31" x14ac:dyDescent="0.25">
      <c r="A28" s="15" t="s">
        <v>1006</v>
      </c>
      <c r="B28" s="38">
        <v>43222</v>
      </c>
      <c r="C28" s="15" t="s">
        <v>498</v>
      </c>
      <c r="D28" s="15" t="s">
        <v>177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316</v>
      </c>
      <c r="L28" s="15" t="s">
        <v>116</v>
      </c>
      <c r="M28" s="15" t="s">
        <v>56</v>
      </c>
      <c r="N28" s="15" t="s">
        <v>40</v>
      </c>
      <c r="O28" s="15" t="s">
        <v>18</v>
      </c>
      <c r="P28" s="36">
        <v>0.5</v>
      </c>
      <c r="V28" s="36">
        <v>0</v>
      </c>
      <c r="W28" s="15" t="s">
        <v>426</v>
      </c>
      <c r="X28" s="15" t="s">
        <v>124</v>
      </c>
      <c r="Y28" s="15" t="s">
        <v>33</v>
      </c>
      <c r="Z28" s="15" t="s">
        <v>57</v>
      </c>
      <c r="AA28" s="15" t="s">
        <v>18</v>
      </c>
      <c r="AB28" s="36">
        <v>134</v>
      </c>
      <c r="AE28" s="15" t="s">
        <v>561</v>
      </c>
    </row>
    <row r="29" spans="1:31" x14ac:dyDescent="0.25">
      <c r="A29" s="15" t="s">
        <v>1007</v>
      </c>
      <c r="B29" s="38">
        <v>43223</v>
      </c>
      <c r="C29" s="15" t="s">
        <v>498</v>
      </c>
      <c r="D29" s="15" t="s">
        <v>177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316</v>
      </c>
      <c r="L29" s="15" t="s">
        <v>116</v>
      </c>
      <c r="M29" s="15" t="s">
        <v>56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388</v>
      </c>
      <c r="X29" s="15" t="s">
        <v>31</v>
      </c>
      <c r="Y29" s="15" t="s">
        <v>33</v>
      </c>
      <c r="Z29" s="15" t="s">
        <v>87</v>
      </c>
      <c r="AA29" s="15" t="s">
        <v>18</v>
      </c>
      <c r="AB29" s="36">
        <v>1</v>
      </c>
      <c r="AE29" s="15" t="s">
        <v>561</v>
      </c>
    </row>
    <row r="30" spans="1:31" x14ac:dyDescent="0.25">
      <c r="A30" s="15" t="s">
        <v>1008</v>
      </c>
      <c r="B30" s="38">
        <v>43224</v>
      </c>
      <c r="C30" s="15" t="s">
        <v>498</v>
      </c>
      <c r="D30" s="15" t="s">
        <v>177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318</v>
      </c>
      <c r="L30" s="15" t="s">
        <v>123</v>
      </c>
      <c r="M30" s="15" t="s">
        <v>80</v>
      </c>
      <c r="N30" s="15" t="s">
        <v>140</v>
      </c>
      <c r="O30" s="15" t="s">
        <v>18</v>
      </c>
      <c r="P30" s="36">
        <v>1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133</v>
      </c>
      <c r="AE30" s="15" t="s">
        <v>561</v>
      </c>
    </row>
    <row r="31" spans="1:31" x14ac:dyDescent="0.25">
      <c r="A31" s="15" t="s">
        <v>1009</v>
      </c>
      <c r="B31" s="38">
        <v>43225</v>
      </c>
      <c r="C31" s="15" t="s">
        <v>498</v>
      </c>
      <c r="D31" s="15" t="s">
        <v>177</v>
      </c>
      <c r="E31" s="15" t="s">
        <v>227</v>
      </c>
      <c r="F31" s="15" t="s">
        <v>14</v>
      </c>
      <c r="G31" s="15" t="s">
        <v>68</v>
      </c>
      <c r="H31" s="15" t="s">
        <v>146</v>
      </c>
      <c r="I31" s="15" t="s">
        <v>18</v>
      </c>
      <c r="J31" s="36">
        <v>0.5</v>
      </c>
      <c r="K31" s="15" t="s">
        <v>340</v>
      </c>
      <c r="L31" s="15" t="s">
        <v>156</v>
      </c>
      <c r="M31" s="15" t="s">
        <v>74</v>
      </c>
      <c r="N31" s="15" t="s">
        <v>131</v>
      </c>
      <c r="O31" s="15" t="s">
        <v>18</v>
      </c>
      <c r="P31" s="36">
        <v>10</v>
      </c>
      <c r="V31" s="36">
        <v>0</v>
      </c>
      <c r="W31" s="15" t="s">
        <v>390</v>
      </c>
      <c r="X31" s="15" t="s">
        <v>37</v>
      </c>
      <c r="Y31" s="15" t="s">
        <v>33</v>
      </c>
      <c r="Z31" s="15" t="s">
        <v>40</v>
      </c>
      <c r="AA31" s="15" t="s">
        <v>18</v>
      </c>
      <c r="AB31" s="36">
        <v>1</v>
      </c>
      <c r="AE31" s="15" t="s">
        <v>561</v>
      </c>
    </row>
    <row r="32" spans="1:31" x14ac:dyDescent="0.25">
      <c r="A32" s="15" t="s">
        <v>1010</v>
      </c>
      <c r="B32" s="38">
        <v>43226</v>
      </c>
      <c r="C32" s="15" t="s">
        <v>498</v>
      </c>
      <c r="D32" s="15" t="s">
        <v>177</v>
      </c>
      <c r="E32" s="15" t="s">
        <v>227</v>
      </c>
      <c r="F32" s="15" t="s">
        <v>14</v>
      </c>
      <c r="G32" s="15" t="s">
        <v>68</v>
      </c>
      <c r="H32" s="15" t="s">
        <v>146</v>
      </c>
      <c r="I32" s="15" t="s">
        <v>18</v>
      </c>
      <c r="J32" s="36">
        <v>0.5</v>
      </c>
      <c r="K32" s="15" t="s">
        <v>344</v>
      </c>
      <c r="L32" s="15" t="s">
        <v>160</v>
      </c>
      <c r="M32" s="15" t="s">
        <v>20</v>
      </c>
      <c r="N32" s="15" t="s">
        <v>103</v>
      </c>
      <c r="O32" s="15" t="s">
        <v>18</v>
      </c>
      <c r="P32" s="36">
        <v>1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133</v>
      </c>
      <c r="AE32" s="15" t="s">
        <v>561</v>
      </c>
    </row>
    <row r="33" spans="1:31" x14ac:dyDescent="0.25">
      <c r="A33" s="15" t="s">
        <v>1011</v>
      </c>
      <c r="B33" s="38">
        <v>43227</v>
      </c>
      <c r="C33" s="15" t="s">
        <v>498</v>
      </c>
      <c r="D33" s="15" t="s">
        <v>177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290</v>
      </c>
      <c r="L33" s="15" t="s">
        <v>59</v>
      </c>
      <c r="M33" s="15" t="s">
        <v>51</v>
      </c>
      <c r="N33" s="15" t="s">
        <v>40</v>
      </c>
      <c r="O33" s="15" t="s">
        <v>18</v>
      </c>
      <c r="P33" s="36">
        <v>0.5</v>
      </c>
      <c r="V33" s="36">
        <v>0</v>
      </c>
      <c r="W33" s="15" t="s">
        <v>390</v>
      </c>
      <c r="X33" s="15" t="s">
        <v>37</v>
      </c>
      <c r="Y33" s="15" t="s">
        <v>33</v>
      </c>
      <c r="Z33" s="15" t="s">
        <v>40</v>
      </c>
      <c r="AA33" s="15" t="s">
        <v>18</v>
      </c>
      <c r="AB33" s="36">
        <v>1</v>
      </c>
      <c r="AE33" s="15" t="s">
        <v>561</v>
      </c>
    </row>
    <row r="34" spans="1:31" x14ac:dyDescent="0.25">
      <c r="A34" s="15" t="s">
        <v>1012</v>
      </c>
      <c r="B34" s="38">
        <v>43228</v>
      </c>
      <c r="C34" s="15" t="s">
        <v>498</v>
      </c>
      <c r="D34" s="15" t="s">
        <v>177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290</v>
      </c>
      <c r="L34" s="15" t="s">
        <v>59</v>
      </c>
      <c r="M34" s="15" t="s">
        <v>51</v>
      </c>
      <c r="N34" s="15" t="s">
        <v>40</v>
      </c>
      <c r="O34" s="15" t="s">
        <v>18</v>
      </c>
      <c r="P34" s="36">
        <v>0.5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134</v>
      </c>
      <c r="AC34" s="15" t="s">
        <v>488</v>
      </c>
      <c r="AD34" s="15" t="s">
        <v>86</v>
      </c>
      <c r="AE34" s="15" t="s">
        <v>561</v>
      </c>
    </row>
    <row r="35" spans="1:31" x14ac:dyDescent="0.25">
      <c r="A35" s="15" t="s">
        <v>1013</v>
      </c>
      <c r="B35" s="38">
        <v>43229</v>
      </c>
      <c r="C35" s="15" t="s">
        <v>498</v>
      </c>
      <c r="D35" s="15" t="s">
        <v>177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306</v>
      </c>
      <c r="L35" s="15" t="s">
        <v>97</v>
      </c>
      <c r="M35" s="15" t="s">
        <v>56</v>
      </c>
      <c r="N35" s="15" t="s">
        <v>40</v>
      </c>
      <c r="O35" s="15" t="s">
        <v>18</v>
      </c>
      <c r="P35" s="36">
        <v>1</v>
      </c>
      <c r="V35" s="36">
        <v>0</v>
      </c>
      <c r="W35" s="15" t="s">
        <v>392</v>
      </c>
      <c r="X35" s="15" t="s">
        <v>43</v>
      </c>
      <c r="Y35" s="15" t="s">
        <v>33</v>
      </c>
      <c r="Z35" s="15" t="s">
        <v>87</v>
      </c>
      <c r="AA35" s="15" t="s">
        <v>18</v>
      </c>
      <c r="AB35" s="36">
        <v>0.5</v>
      </c>
      <c r="AE35" s="15" t="s">
        <v>561</v>
      </c>
    </row>
    <row r="36" spans="1:31" x14ac:dyDescent="0.25">
      <c r="A36" s="15" t="s">
        <v>1014</v>
      </c>
      <c r="B36" s="38">
        <v>43230</v>
      </c>
      <c r="C36" s="15" t="s">
        <v>498</v>
      </c>
      <c r="D36" s="15" t="s">
        <v>177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306</v>
      </c>
      <c r="L36" s="15" t="s">
        <v>97</v>
      </c>
      <c r="M36" s="15" t="s">
        <v>56</v>
      </c>
      <c r="N36" s="15" t="s">
        <v>40</v>
      </c>
      <c r="O36" s="15" t="s">
        <v>18</v>
      </c>
      <c r="P36" s="36">
        <v>1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133</v>
      </c>
      <c r="AC36" s="15" t="s">
        <v>466</v>
      </c>
      <c r="AD36" s="15" t="s">
        <v>19</v>
      </c>
      <c r="AE36" s="15" t="s">
        <v>561</v>
      </c>
    </row>
    <row r="37" spans="1:31" x14ac:dyDescent="0.25">
      <c r="A37" s="15" t="s">
        <v>1015</v>
      </c>
      <c r="B37" s="38">
        <v>43231</v>
      </c>
      <c r="C37" s="15" t="s">
        <v>498</v>
      </c>
      <c r="D37" s="15" t="s">
        <v>177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320</v>
      </c>
      <c r="L37" s="15" t="s">
        <v>126</v>
      </c>
      <c r="M37" s="15" t="s">
        <v>80</v>
      </c>
      <c r="N37" s="15" t="s">
        <v>140</v>
      </c>
      <c r="O37" s="15" t="s">
        <v>18</v>
      </c>
      <c r="P37" s="36">
        <v>1</v>
      </c>
      <c r="V37" s="36">
        <v>0</v>
      </c>
      <c r="W37" s="15" t="s">
        <v>392</v>
      </c>
      <c r="X37" s="15" t="s">
        <v>43</v>
      </c>
      <c r="Y37" s="15" t="s">
        <v>33</v>
      </c>
      <c r="Z37" s="15" t="s">
        <v>87</v>
      </c>
      <c r="AA37" s="15" t="s">
        <v>18</v>
      </c>
      <c r="AB37" s="36">
        <v>0.5</v>
      </c>
      <c r="AE37" s="15" t="s">
        <v>561</v>
      </c>
    </row>
    <row r="38" spans="1:31" x14ac:dyDescent="0.25">
      <c r="A38" s="15" t="s">
        <v>1016</v>
      </c>
      <c r="B38" s="38">
        <v>43232</v>
      </c>
      <c r="C38" s="15" t="s">
        <v>498</v>
      </c>
      <c r="D38" s="15" t="s">
        <v>177</v>
      </c>
      <c r="E38" s="15" t="s">
        <v>228</v>
      </c>
      <c r="F38" s="15" t="s">
        <v>22</v>
      </c>
      <c r="G38" s="15" t="s">
        <v>68</v>
      </c>
      <c r="H38" s="15" t="s">
        <v>152</v>
      </c>
      <c r="I38" s="15" t="s">
        <v>18</v>
      </c>
      <c r="J38" s="36">
        <v>8</v>
      </c>
      <c r="K38" s="15" t="s">
        <v>342</v>
      </c>
      <c r="L38" s="15" t="s">
        <v>158</v>
      </c>
      <c r="M38" s="15" t="s">
        <v>74</v>
      </c>
      <c r="N38" s="15" t="s">
        <v>131</v>
      </c>
      <c r="O38" s="15" t="s">
        <v>18</v>
      </c>
      <c r="P38" s="36">
        <v>10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133</v>
      </c>
      <c r="AE38" s="15" t="s">
        <v>561</v>
      </c>
    </row>
    <row r="39" spans="1:31" x14ac:dyDescent="0.25">
      <c r="A39" s="15" t="s">
        <v>1017</v>
      </c>
      <c r="B39" s="38">
        <v>43233</v>
      </c>
      <c r="C39" s="15" t="s">
        <v>498</v>
      </c>
      <c r="D39" s="15" t="s">
        <v>177</v>
      </c>
      <c r="E39" s="15" t="s">
        <v>228</v>
      </c>
      <c r="F39" s="15" t="s">
        <v>22</v>
      </c>
      <c r="G39" s="15" t="s">
        <v>68</v>
      </c>
      <c r="H39" s="15" t="s">
        <v>152</v>
      </c>
      <c r="I39" s="15" t="s">
        <v>18</v>
      </c>
      <c r="J39" s="36">
        <v>8</v>
      </c>
      <c r="K39" s="15" t="s">
        <v>346</v>
      </c>
      <c r="L39" s="15" t="s">
        <v>162</v>
      </c>
      <c r="M39" s="15" t="s">
        <v>12</v>
      </c>
      <c r="N39" s="15" t="s">
        <v>121</v>
      </c>
      <c r="O39" s="15" t="s">
        <v>18</v>
      </c>
      <c r="P39" s="36">
        <v>20</v>
      </c>
      <c r="Q39" s="15" t="s">
        <v>274</v>
      </c>
      <c r="R39" s="15" t="s">
        <v>15</v>
      </c>
      <c r="S39" s="15" t="s">
        <v>27</v>
      </c>
      <c r="T39" s="15" t="s">
        <v>13</v>
      </c>
      <c r="U39" s="15" t="s">
        <v>18</v>
      </c>
      <c r="V39" s="36">
        <v>1</v>
      </c>
      <c r="W39" s="15" t="s">
        <v>394</v>
      </c>
      <c r="X39" s="15" t="s">
        <v>49</v>
      </c>
      <c r="Y39" s="15" t="s">
        <v>33</v>
      </c>
      <c r="Z39" s="15" t="s">
        <v>87</v>
      </c>
      <c r="AA39" s="15" t="s">
        <v>18</v>
      </c>
      <c r="AB39" s="36">
        <v>0.5</v>
      </c>
      <c r="AE39" s="15" t="s">
        <v>561</v>
      </c>
    </row>
    <row r="40" spans="1:31" x14ac:dyDescent="0.25">
      <c r="A40" s="15" t="s">
        <v>1018</v>
      </c>
      <c r="B40" s="38">
        <v>43234</v>
      </c>
      <c r="C40" s="15" t="s">
        <v>498</v>
      </c>
      <c r="D40" s="15" t="s">
        <v>177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291</v>
      </c>
      <c r="L40" s="15" t="s">
        <v>65</v>
      </c>
      <c r="M40" s="15" t="s">
        <v>51</v>
      </c>
      <c r="N40" s="15" t="s">
        <v>40</v>
      </c>
      <c r="O40" s="15" t="s">
        <v>18</v>
      </c>
      <c r="P40" s="36">
        <v>0.5</v>
      </c>
      <c r="V40" s="36">
        <v>0</v>
      </c>
      <c r="W40" s="15" t="s">
        <v>438</v>
      </c>
      <c r="X40" s="15" t="s">
        <v>142</v>
      </c>
      <c r="Y40" s="15" t="s">
        <v>51</v>
      </c>
      <c r="Z40" s="15" t="s">
        <v>40</v>
      </c>
      <c r="AA40" s="15" t="s">
        <v>18</v>
      </c>
      <c r="AB40" s="36">
        <v>0.5</v>
      </c>
      <c r="AE40" s="15" t="s">
        <v>561</v>
      </c>
    </row>
    <row r="41" spans="1:31" x14ac:dyDescent="0.25">
      <c r="A41" s="15" t="s">
        <v>1019</v>
      </c>
      <c r="B41" s="38">
        <v>43235</v>
      </c>
      <c r="C41" s="15" t="s">
        <v>498</v>
      </c>
      <c r="D41" s="15" t="s">
        <v>177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291</v>
      </c>
      <c r="L41" s="15" t="s">
        <v>65</v>
      </c>
      <c r="M41" s="15" t="s">
        <v>51</v>
      </c>
      <c r="N41" s="15" t="s">
        <v>40</v>
      </c>
      <c r="O41" s="15" t="s">
        <v>18</v>
      </c>
      <c r="P41" s="36">
        <v>0.5</v>
      </c>
      <c r="V41" s="36">
        <v>0</v>
      </c>
      <c r="W41" s="15" t="s">
        <v>438</v>
      </c>
      <c r="X41" s="15" t="s">
        <v>142</v>
      </c>
      <c r="Y41" s="15" t="s">
        <v>51</v>
      </c>
      <c r="Z41" s="15" t="s">
        <v>40</v>
      </c>
      <c r="AA41" s="15" t="s">
        <v>18</v>
      </c>
      <c r="AB41" s="36">
        <v>0.5</v>
      </c>
      <c r="AE41" s="15" t="s">
        <v>561</v>
      </c>
    </row>
    <row r="42" spans="1:31" x14ac:dyDescent="0.25">
      <c r="A42" s="15" t="s">
        <v>1020</v>
      </c>
      <c r="B42" s="38">
        <v>43236</v>
      </c>
      <c r="C42" s="15" t="s">
        <v>498</v>
      </c>
      <c r="D42" s="15" t="s">
        <v>177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308</v>
      </c>
      <c r="L42" s="15" t="s">
        <v>101</v>
      </c>
      <c r="M42" s="15" t="s">
        <v>56</v>
      </c>
      <c r="N42" s="15" t="s">
        <v>40</v>
      </c>
      <c r="O42" s="15" t="s">
        <v>18</v>
      </c>
      <c r="P42" s="36">
        <v>0.5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134</v>
      </c>
      <c r="AE42" s="15" t="s">
        <v>561</v>
      </c>
    </row>
    <row r="43" spans="1:31" x14ac:dyDescent="0.25">
      <c r="A43" s="15" t="s">
        <v>1021</v>
      </c>
      <c r="B43" s="38">
        <v>43237</v>
      </c>
      <c r="C43" s="15" t="s">
        <v>498</v>
      </c>
      <c r="D43" s="15" t="s">
        <v>177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308</v>
      </c>
      <c r="L43" s="15" t="s">
        <v>101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394</v>
      </c>
      <c r="X43" s="15" t="s">
        <v>49</v>
      </c>
      <c r="Y43" s="15" t="s">
        <v>33</v>
      </c>
      <c r="Z43" s="15" t="s">
        <v>87</v>
      </c>
      <c r="AA43" s="15" t="s">
        <v>18</v>
      </c>
      <c r="AB43" s="36">
        <v>0.5</v>
      </c>
      <c r="AE43" s="15" t="s">
        <v>561</v>
      </c>
    </row>
    <row r="44" spans="1:31" x14ac:dyDescent="0.25">
      <c r="A44" s="15" t="s">
        <v>1022</v>
      </c>
      <c r="B44" s="38">
        <v>43238</v>
      </c>
      <c r="C44" s="15" t="s">
        <v>498</v>
      </c>
      <c r="D44" s="15" t="s">
        <v>177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322</v>
      </c>
      <c r="L44" s="15" t="s">
        <v>129</v>
      </c>
      <c r="M44" s="15" t="s">
        <v>80</v>
      </c>
      <c r="N44" s="15" t="s">
        <v>155</v>
      </c>
      <c r="O44" s="15" t="s">
        <v>18</v>
      </c>
      <c r="P44" s="36">
        <v>2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133</v>
      </c>
      <c r="AE44" s="15" t="s">
        <v>561</v>
      </c>
    </row>
    <row r="45" spans="1:31" x14ac:dyDescent="0.25">
      <c r="A45" s="15" t="s">
        <v>1023</v>
      </c>
      <c r="B45" s="38">
        <v>43239</v>
      </c>
      <c r="C45" s="15" t="s">
        <v>498</v>
      </c>
      <c r="D45" s="15" t="s">
        <v>177</v>
      </c>
      <c r="E45" s="15" t="s">
        <v>229</v>
      </c>
      <c r="F45" s="15" t="s">
        <v>29</v>
      </c>
      <c r="G45" s="15" t="s">
        <v>68</v>
      </c>
      <c r="H45" s="15" t="s">
        <v>140</v>
      </c>
      <c r="I45" s="15" t="s">
        <v>18</v>
      </c>
      <c r="J45" s="36">
        <v>2</v>
      </c>
      <c r="K45" s="15" t="s">
        <v>338</v>
      </c>
      <c r="L45" s="15" t="s">
        <v>153</v>
      </c>
      <c r="M45" s="15" t="s">
        <v>74</v>
      </c>
      <c r="N45" s="15" t="s">
        <v>131</v>
      </c>
      <c r="O45" s="15" t="s">
        <v>18</v>
      </c>
      <c r="P45" s="36">
        <v>10</v>
      </c>
      <c r="V45" s="36">
        <v>0</v>
      </c>
      <c r="W45" s="15" t="s">
        <v>396</v>
      </c>
      <c r="X45" s="15" t="s">
        <v>54</v>
      </c>
      <c r="Y45" s="15" t="s">
        <v>33</v>
      </c>
      <c r="Z45" s="15" t="s">
        <v>87</v>
      </c>
      <c r="AA45" s="15" t="s">
        <v>18</v>
      </c>
      <c r="AB45" s="36">
        <v>1</v>
      </c>
      <c r="AE45" s="15" t="s">
        <v>561</v>
      </c>
    </row>
    <row r="46" spans="1:31" x14ac:dyDescent="0.25">
      <c r="A46" s="15" t="s">
        <v>1024</v>
      </c>
      <c r="B46" s="38">
        <v>43240</v>
      </c>
      <c r="C46" s="15" t="s">
        <v>498</v>
      </c>
      <c r="D46" s="15" t="s">
        <v>177</v>
      </c>
      <c r="E46" s="15" t="s">
        <v>229</v>
      </c>
      <c r="F46" s="15" t="s">
        <v>29</v>
      </c>
      <c r="G46" s="15" t="s">
        <v>68</v>
      </c>
      <c r="H46" s="15" t="s">
        <v>140</v>
      </c>
      <c r="I46" s="15" t="s">
        <v>18</v>
      </c>
      <c r="J46" s="36">
        <v>2</v>
      </c>
      <c r="K46" s="15" t="s">
        <v>348</v>
      </c>
      <c r="L46" s="15" t="s">
        <v>53</v>
      </c>
      <c r="M46" s="15" t="s">
        <v>20</v>
      </c>
      <c r="N46" s="15" t="s">
        <v>40</v>
      </c>
      <c r="O46" s="15" t="s">
        <v>18</v>
      </c>
      <c r="P46" s="36">
        <v>1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C46" s="15" t="s">
        <v>484</v>
      </c>
      <c r="AD46" s="15" t="s">
        <v>73</v>
      </c>
      <c r="AE46" s="15" t="s">
        <v>561</v>
      </c>
    </row>
    <row r="47" spans="1:31" x14ac:dyDescent="0.25">
      <c r="A47" s="15" t="s">
        <v>1025</v>
      </c>
      <c r="B47" s="38">
        <v>43241</v>
      </c>
      <c r="C47" s="15" t="s">
        <v>498</v>
      </c>
      <c r="D47" s="15" t="s">
        <v>177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294</v>
      </c>
      <c r="L47" s="15" t="s">
        <v>71</v>
      </c>
      <c r="M47" s="15" t="s">
        <v>51</v>
      </c>
      <c r="N47" s="15" t="s">
        <v>140</v>
      </c>
      <c r="O47" s="15" t="s">
        <v>18</v>
      </c>
      <c r="P47" s="36">
        <v>1</v>
      </c>
      <c r="V47" s="36">
        <v>0</v>
      </c>
      <c r="W47" s="15" t="s">
        <v>396</v>
      </c>
      <c r="X47" s="15" t="s">
        <v>54</v>
      </c>
      <c r="Y47" s="15" t="s">
        <v>33</v>
      </c>
      <c r="Z47" s="15" t="s">
        <v>87</v>
      </c>
      <c r="AA47" s="15" t="s">
        <v>18</v>
      </c>
      <c r="AB47" s="36">
        <v>1</v>
      </c>
      <c r="AC47" s="15" t="s">
        <v>478</v>
      </c>
      <c r="AD47" s="15" t="s">
        <v>55</v>
      </c>
      <c r="AE47" s="15" t="s">
        <v>561</v>
      </c>
    </row>
    <row r="48" spans="1:31" x14ac:dyDescent="0.25">
      <c r="A48" s="15" t="s">
        <v>1026</v>
      </c>
      <c r="B48" s="38">
        <v>43242</v>
      </c>
      <c r="C48" s="15" t="s">
        <v>498</v>
      </c>
      <c r="D48" s="15" t="s">
        <v>177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294</v>
      </c>
      <c r="L48" s="15" t="s">
        <v>71</v>
      </c>
      <c r="M48" s="15" t="s">
        <v>51</v>
      </c>
      <c r="N48" s="15" t="s">
        <v>140</v>
      </c>
      <c r="O48" s="15" t="s">
        <v>18</v>
      </c>
      <c r="P48" s="36">
        <v>1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134</v>
      </c>
      <c r="AE48" s="15" t="s">
        <v>561</v>
      </c>
    </row>
    <row r="49" spans="1:31" x14ac:dyDescent="0.25">
      <c r="A49" s="15" t="s">
        <v>1027</v>
      </c>
      <c r="B49" s="38">
        <v>43243</v>
      </c>
      <c r="C49" s="15" t="s">
        <v>498</v>
      </c>
      <c r="D49" s="15" t="s">
        <v>177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310</v>
      </c>
      <c r="L49" s="15" t="s">
        <v>105</v>
      </c>
      <c r="M49" s="15" t="s">
        <v>56</v>
      </c>
      <c r="N49" s="15" t="s">
        <v>40</v>
      </c>
      <c r="O49" s="15" t="s">
        <v>18</v>
      </c>
      <c r="P49" s="36">
        <v>0.5</v>
      </c>
      <c r="V49" s="36">
        <v>0</v>
      </c>
      <c r="W49" s="15" t="s">
        <v>398</v>
      </c>
      <c r="X49" s="15" t="s">
        <v>60</v>
      </c>
      <c r="Y49" s="15" t="s">
        <v>33</v>
      </c>
      <c r="Z49" s="15" t="s">
        <v>87</v>
      </c>
      <c r="AA49" s="15" t="s">
        <v>18</v>
      </c>
      <c r="AB49" s="36">
        <v>1</v>
      </c>
      <c r="AE49" s="15" t="s">
        <v>561</v>
      </c>
    </row>
    <row r="50" spans="1:31" x14ac:dyDescent="0.25">
      <c r="A50" s="15" t="s">
        <v>1028</v>
      </c>
      <c r="B50" s="38">
        <v>43244</v>
      </c>
      <c r="C50" s="15" t="s">
        <v>498</v>
      </c>
      <c r="D50" s="15" t="s">
        <v>177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310</v>
      </c>
      <c r="L50" s="15" t="s">
        <v>105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133</v>
      </c>
      <c r="AE50" s="15" t="s">
        <v>561</v>
      </c>
    </row>
    <row r="51" spans="1:31" x14ac:dyDescent="0.25">
      <c r="A51" s="15" t="s">
        <v>1029</v>
      </c>
      <c r="B51" s="38">
        <v>43245</v>
      </c>
      <c r="C51" s="15" t="s">
        <v>498</v>
      </c>
      <c r="D51" s="15" t="s">
        <v>177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324</v>
      </c>
      <c r="L51" s="15" t="s">
        <v>132</v>
      </c>
      <c r="M51" s="15" t="s">
        <v>80</v>
      </c>
      <c r="N51" s="15" t="s">
        <v>134</v>
      </c>
      <c r="O51" s="15" t="s">
        <v>18</v>
      </c>
      <c r="P51" s="36">
        <v>1</v>
      </c>
      <c r="V51" s="36">
        <v>0</v>
      </c>
      <c r="W51" s="15" t="s">
        <v>398</v>
      </c>
      <c r="X51" s="15" t="s">
        <v>60</v>
      </c>
      <c r="Y51" s="15" t="s">
        <v>33</v>
      </c>
      <c r="Z51" s="15" t="s">
        <v>87</v>
      </c>
      <c r="AA51" s="15" t="s">
        <v>18</v>
      </c>
      <c r="AB51" s="36">
        <v>1</v>
      </c>
      <c r="AE51" s="15" t="s">
        <v>561</v>
      </c>
    </row>
    <row r="52" spans="1:31" x14ac:dyDescent="0.25">
      <c r="A52" s="15" t="s">
        <v>1030</v>
      </c>
      <c r="B52" s="38">
        <v>43246</v>
      </c>
      <c r="C52" s="15" t="s">
        <v>498</v>
      </c>
      <c r="D52" s="15" t="s">
        <v>177</v>
      </c>
      <c r="E52" s="15" t="s">
        <v>230</v>
      </c>
      <c r="F52" s="15" t="s">
        <v>35</v>
      </c>
      <c r="G52" s="15" t="s">
        <v>68</v>
      </c>
      <c r="H52" s="15" t="s">
        <v>140</v>
      </c>
      <c r="I52" s="15" t="s">
        <v>18</v>
      </c>
      <c r="J52" s="36">
        <v>2</v>
      </c>
      <c r="K52" s="15" t="s">
        <v>340</v>
      </c>
      <c r="L52" s="15" t="s">
        <v>156</v>
      </c>
      <c r="M52" s="15" t="s">
        <v>74</v>
      </c>
      <c r="N52" s="15" t="s">
        <v>131</v>
      </c>
      <c r="O52" s="15" t="s">
        <v>18</v>
      </c>
      <c r="P52" s="36">
        <v>10</v>
      </c>
      <c r="V52" s="36">
        <v>0</v>
      </c>
      <c r="W52" s="15" t="s">
        <v>426</v>
      </c>
      <c r="X52" s="15" t="s">
        <v>124</v>
      </c>
      <c r="Y52" s="15" t="s">
        <v>33</v>
      </c>
      <c r="Z52" s="15" t="s">
        <v>57</v>
      </c>
      <c r="AA52" s="15" t="s">
        <v>18</v>
      </c>
      <c r="AB52" s="36">
        <v>133</v>
      </c>
      <c r="AE52" s="15" t="s">
        <v>561</v>
      </c>
    </row>
    <row r="53" spans="1:31" x14ac:dyDescent="0.25">
      <c r="A53" s="15" t="s">
        <v>1031</v>
      </c>
      <c r="B53" s="38">
        <v>43247</v>
      </c>
      <c r="C53" s="15" t="s">
        <v>498</v>
      </c>
      <c r="D53" s="15" t="s">
        <v>177</v>
      </c>
      <c r="E53" s="15" t="s">
        <v>230</v>
      </c>
      <c r="F53" s="15" t="s">
        <v>35</v>
      </c>
      <c r="G53" s="15" t="s">
        <v>68</v>
      </c>
      <c r="H53" s="15" t="s">
        <v>140</v>
      </c>
      <c r="I53" s="15" t="s">
        <v>18</v>
      </c>
      <c r="J53" s="36">
        <v>2</v>
      </c>
      <c r="K53" s="15" t="s">
        <v>344</v>
      </c>
      <c r="L53" s="15" t="s">
        <v>160</v>
      </c>
      <c r="M53" s="15" t="s">
        <v>20</v>
      </c>
      <c r="N53" s="15" t="s">
        <v>103</v>
      </c>
      <c r="O53" s="15" t="s">
        <v>18</v>
      </c>
      <c r="P53" s="36">
        <v>1</v>
      </c>
      <c r="V53" s="36">
        <v>0</v>
      </c>
      <c r="W53" s="15" t="s">
        <v>400</v>
      </c>
      <c r="X53" s="15" t="s">
        <v>66</v>
      </c>
      <c r="Y53" s="15" t="s">
        <v>33</v>
      </c>
      <c r="Z53" s="15" t="s">
        <v>87</v>
      </c>
      <c r="AA53" s="15" t="s">
        <v>18</v>
      </c>
      <c r="AB53" s="36">
        <v>1</v>
      </c>
      <c r="AE53" s="15" t="s">
        <v>561</v>
      </c>
    </row>
    <row r="54" spans="1:31" x14ac:dyDescent="0.25">
      <c r="A54" s="15" t="s">
        <v>1032</v>
      </c>
      <c r="B54" s="38">
        <v>43248</v>
      </c>
      <c r="C54" s="15" t="s">
        <v>498</v>
      </c>
      <c r="D54" s="15" t="s">
        <v>177</v>
      </c>
      <c r="E54" s="15" t="s">
        <v>260</v>
      </c>
      <c r="F54" s="15" t="s">
        <v>104</v>
      </c>
      <c r="G54" s="15" t="s">
        <v>45</v>
      </c>
      <c r="H54" s="15" t="s">
        <v>99</v>
      </c>
      <c r="I54" s="15" t="s">
        <v>18</v>
      </c>
      <c r="J54" s="36">
        <v>1</v>
      </c>
      <c r="K54" s="15" t="s">
        <v>296</v>
      </c>
      <c r="L54" s="15" t="s">
        <v>77</v>
      </c>
      <c r="M54" s="15" t="s">
        <v>51</v>
      </c>
      <c r="N54" s="15" t="s">
        <v>140</v>
      </c>
      <c r="O54" s="15" t="s">
        <v>18</v>
      </c>
      <c r="P54" s="36">
        <v>1</v>
      </c>
      <c r="V54" s="36">
        <v>0</v>
      </c>
      <c r="W54" s="15" t="s">
        <v>426</v>
      </c>
      <c r="X54" s="15" t="s">
        <v>124</v>
      </c>
      <c r="Y54" s="15" t="s">
        <v>33</v>
      </c>
      <c r="Z54" s="15" t="s">
        <v>57</v>
      </c>
      <c r="AA54" s="15" t="s">
        <v>18</v>
      </c>
      <c r="AB54" s="36">
        <v>134</v>
      </c>
      <c r="AE54" s="15" t="s">
        <v>561</v>
      </c>
    </row>
    <row r="55" spans="1:31" x14ac:dyDescent="0.25">
      <c r="A55" s="15" t="s">
        <v>1033</v>
      </c>
      <c r="B55" s="38">
        <v>43249</v>
      </c>
      <c r="C55" s="15" t="s">
        <v>498</v>
      </c>
      <c r="D55" s="15" t="s">
        <v>177</v>
      </c>
      <c r="E55" s="15" t="s">
        <v>260</v>
      </c>
      <c r="F55" s="15" t="s">
        <v>104</v>
      </c>
      <c r="G55" s="15" t="s">
        <v>45</v>
      </c>
      <c r="H55" s="15" t="s">
        <v>99</v>
      </c>
      <c r="I55" s="15" t="s">
        <v>18</v>
      </c>
      <c r="J55" s="36">
        <v>1</v>
      </c>
      <c r="K55" s="15" t="s">
        <v>296</v>
      </c>
      <c r="L55" s="15" t="s">
        <v>77</v>
      </c>
      <c r="M55" s="15" t="s">
        <v>51</v>
      </c>
      <c r="N55" s="15" t="s">
        <v>140</v>
      </c>
      <c r="O55" s="15" t="s">
        <v>18</v>
      </c>
      <c r="P55" s="36">
        <v>1</v>
      </c>
      <c r="V55" s="36">
        <v>0</v>
      </c>
      <c r="W55" s="15" t="s">
        <v>400</v>
      </c>
      <c r="X55" s="15" t="s">
        <v>66</v>
      </c>
      <c r="Y55" s="15" t="s">
        <v>33</v>
      </c>
      <c r="Z55" s="15" t="s">
        <v>87</v>
      </c>
      <c r="AA55" s="15" t="s">
        <v>18</v>
      </c>
      <c r="AB55" s="36">
        <v>1</v>
      </c>
      <c r="AE55" s="15" t="s">
        <v>561</v>
      </c>
    </row>
    <row r="56" spans="1:31" x14ac:dyDescent="0.25">
      <c r="A56" s="15" t="s">
        <v>1034</v>
      </c>
      <c r="B56" s="38">
        <v>43250</v>
      </c>
      <c r="C56" s="15" t="s">
        <v>498</v>
      </c>
      <c r="D56" s="15" t="s">
        <v>177</v>
      </c>
      <c r="E56" s="15" t="s">
        <v>260</v>
      </c>
      <c r="F56" s="15" t="s">
        <v>104</v>
      </c>
      <c r="G56" s="15" t="s">
        <v>45</v>
      </c>
      <c r="H56" s="15" t="s">
        <v>99</v>
      </c>
      <c r="I56" s="15" t="s">
        <v>18</v>
      </c>
      <c r="J56" s="36">
        <v>1</v>
      </c>
      <c r="K56" s="15" t="s">
        <v>312</v>
      </c>
      <c r="L56" s="15" t="s">
        <v>109</v>
      </c>
      <c r="M56" s="15" t="s">
        <v>56</v>
      </c>
      <c r="N56" s="15" t="s">
        <v>40</v>
      </c>
      <c r="O56" s="15" t="s">
        <v>18</v>
      </c>
      <c r="P56" s="36">
        <v>0.5</v>
      </c>
      <c r="V56" s="36">
        <v>0</v>
      </c>
      <c r="W56" s="15" t="s">
        <v>426</v>
      </c>
      <c r="X56" s="15" t="s">
        <v>124</v>
      </c>
      <c r="Y56" s="15" t="s">
        <v>33</v>
      </c>
      <c r="Z56" s="15" t="s">
        <v>57</v>
      </c>
      <c r="AA56" s="15" t="s">
        <v>18</v>
      </c>
      <c r="AB56" s="36">
        <v>133</v>
      </c>
      <c r="AE56" s="15" t="s">
        <v>561</v>
      </c>
    </row>
    <row r="57" spans="1:31" x14ac:dyDescent="0.25">
      <c r="A57" s="15" t="s">
        <v>1035</v>
      </c>
      <c r="B57" s="38">
        <v>43251</v>
      </c>
      <c r="C57" s="15" t="s">
        <v>498</v>
      </c>
      <c r="D57" s="15" t="s">
        <v>177</v>
      </c>
      <c r="E57" s="15" t="s">
        <v>260</v>
      </c>
      <c r="F57" s="15" t="s">
        <v>104</v>
      </c>
      <c r="G57" s="15" t="s">
        <v>45</v>
      </c>
      <c r="H57" s="15" t="s">
        <v>99</v>
      </c>
      <c r="I57" s="15" t="s">
        <v>18</v>
      </c>
      <c r="J57" s="36">
        <v>1</v>
      </c>
      <c r="K57" s="15" t="s">
        <v>312</v>
      </c>
      <c r="L57" s="15" t="s">
        <v>109</v>
      </c>
      <c r="M57" s="15" t="s">
        <v>56</v>
      </c>
      <c r="N57" s="15" t="s">
        <v>40</v>
      </c>
      <c r="O57" s="15" t="s">
        <v>18</v>
      </c>
      <c r="P57" s="36">
        <v>0.5</v>
      </c>
      <c r="V57" s="36">
        <v>0</v>
      </c>
      <c r="W57" s="15" t="s">
        <v>402</v>
      </c>
      <c r="X57" s="15" t="s">
        <v>72</v>
      </c>
      <c r="Y57" s="15" t="s">
        <v>33</v>
      </c>
      <c r="Z57" s="15" t="s">
        <v>114</v>
      </c>
      <c r="AA57" s="15" t="s">
        <v>18</v>
      </c>
      <c r="AB57" s="36">
        <v>0.5</v>
      </c>
      <c r="AE57" s="15" t="s">
        <v>561</v>
      </c>
    </row>
    <row r="58" spans="1:31" ht="12.75" x14ac:dyDescent="0.2">
      <c r="A58" s="15" t="s">
        <v>1289</v>
      </c>
      <c r="B58" s="38">
        <v>43225</v>
      </c>
      <c r="C58" s="15" t="s">
        <v>498</v>
      </c>
      <c r="D58" s="15" t="s">
        <v>177</v>
      </c>
      <c r="J58" s="36">
        <v>0</v>
      </c>
      <c r="P58" s="36">
        <v>0</v>
      </c>
      <c r="V58" s="36">
        <v>0</v>
      </c>
      <c r="W58" s="15" t="s">
        <v>444</v>
      </c>
      <c r="X58" s="15" t="s">
        <v>151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569</v>
      </c>
    </row>
    <row r="59" spans="1:31" ht="12.75" x14ac:dyDescent="0.2">
      <c r="A59" s="15" t="s">
        <v>1290</v>
      </c>
      <c r="B59" s="38">
        <v>43226</v>
      </c>
      <c r="C59" s="15" t="s">
        <v>498</v>
      </c>
      <c r="D59" s="15" t="s">
        <v>177</v>
      </c>
      <c r="J59" s="36">
        <v>0</v>
      </c>
      <c r="P59" s="36">
        <v>0</v>
      </c>
      <c r="V59" s="36">
        <v>0</v>
      </c>
      <c r="W59" s="15" t="s">
        <v>446</v>
      </c>
      <c r="X59" s="15" t="s">
        <v>154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569</v>
      </c>
    </row>
    <row r="60" spans="1:31" x14ac:dyDescent="0.25">
      <c r="A60" s="15" t="s">
        <v>1291</v>
      </c>
      <c r="B60" s="38">
        <v>43232</v>
      </c>
      <c r="C60" s="15" t="s">
        <v>498</v>
      </c>
      <c r="D60" s="15" t="s">
        <v>177</v>
      </c>
      <c r="J60" s="36">
        <v>0</v>
      </c>
      <c r="P60" s="36">
        <v>0</v>
      </c>
      <c r="V60" s="36">
        <v>0</v>
      </c>
      <c r="W60" s="15" t="s">
        <v>448</v>
      </c>
      <c r="X60" s="15" t="s">
        <v>102</v>
      </c>
      <c r="Y60" s="15" t="s">
        <v>62</v>
      </c>
      <c r="Z60" s="15" t="s">
        <v>140</v>
      </c>
      <c r="AA60" s="15" t="s">
        <v>25</v>
      </c>
      <c r="AB60" s="36">
        <v>1</v>
      </c>
      <c r="AE60" s="15" t="s">
        <v>569</v>
      </c>
    </row>
    <row r="61" spans="1:31" ht="12.75" x14ac:dyDescent="0.2">
      <c r="A61" s="15" t="s">
        <v>1292</v>
      </c>
      <c r="B61" s="38">
        <v>43233</v>
      </c>
      <c r="C61" s="15" t="s">
        <v>498</v>
      </c>
      <c r="D61" s="15" t="s">
        <v>177</v>
      </c>
      <c r="J61" s="36">
        <v>0</v>
      </c>
      <c r="P61" s="36">
        <v>0</v>
      </c>
      <c r="V61" s="36">
        <v>0</v>
      </c>
      <c r="W61" s="15" t="s">
        <v>450</v>
      </c>
      <c r="X61" s="15" t="s">
        <v>157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569</v>
      </c>
    </row>
    <row r="62" spans="1:31" ht="12.75" x14ac:dyDescent="0.2">
      <c r="A62" s="15" t="s">
        <v>1293</v>
      </c>
      <c r="B62" s="38">
        <v>43239</v>
      </c>
      <c r="C62" s="15" t="s">
        <v>498</v>
      </c>
      <c r="D62" s="15" t="s">
        <v>177</v>
      </c>
      <c r="J62" s="36">
        <v>0</v>
      </c>
      <c r="P62" s="36">
        <v>0</v>
      </c>
      <c r="V62" s="36">
        <v>0</v>
      </c>
      <c r="W62" s="15" t="s">
        <v>452</v>
      </c>
      <c r="X62" s="15" t="s">
        <v>159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569</v>
      </c>
    </row>
    <row r="63" spans="1:31" x14ac:dyDescent="0.25">
      <c r="A63" s="15" t="s">
        <v>1294</v>
      </c>
      <c r="B63" s="38">
        <v>43240</v>
      </c>
      <c r="C63" s="15" t="s">
        <v>498</v>
      </c>
      <c r="D63" s="15" t="s">
        <v>177</v>
      </c>
      <c r="J63" s="36">
        <v>0</v>
      </c>
      <c r="P63" s="36">
        <v>0</v>
      </c>
      <c r="V63" s="36">
        <v>0</v>
      </c>
      <c r="W63" s="15" t="s">
        <v>440</v>
      </c>
      <c r="X63" s="15" t="s">
        <v>145</v>
      </c>
      <c r="Y63" s="15" t="s">
        <v>62</v>
      </c>
      <c r="Z63" s="15" t="s">
        <v>111</v>
      </c>
      <c r="AA63" s="15" t="s">
        <v>25</v>
      </c>
      <c r="AB63" s="36">
        <v>1</v>
      </c>
      <c r="AC63" s="15" t="s">
        <v>484</v>
      </c>
      <c r="AD63" s="15" t="s">
        <v>73</v>
      </c>
      <c r="AE63" s="15" t="s">
        <v>569</v>
      </c>
    </row>
    <row r="64" spans="1:31" x14ac:dyDescent="0.25">
      <c r="A64" s="15" t="s">
        <v>1295</v>
      </c>
      <c r="B64" s="38">
        <v>43246</v>
      </c>
      <c r="C64" s="15" t="s">
        <v>498</v>
      </c>
      <c r="D64" s="15" t="s">
        <v>177</v>
      </c>
      <c r="J64" s="36">
        <v>0</v>
      </c>
      <c r="P64" s="36">
        <v>0</v>
      </c>
      <c r="V64" s="36">
        <v>0</v>
      </c>
      <c r="W64" s="15" t="s">
        <v>442</v>
      </c>
      <c r="X64" s="15" t="s">
        <v>148</v>
      </c>
      <c r="Y64" s="15" t="s">
        <v>62</v>
      </c>
      <c r="Z64" s="15" t="s">
        <v>111</v>
      </c>
      <c r="AA64" s="15" t="s">
        <v>25</v>
      </c>
      <c r="AB64" s="36">
        <v>1</v>
      </c>
      <c r="AE64" s="15" t="s">
        <v>569</v>
      </c>
    </row>
    <row r="65" spans="1:31" ht="12.75" x14ac:dyDescent="0.2">
      <c r="A65" s="15" t="s">
        <v>1296</v>
      </c>
      <c r="B65" s="38">
        <v>43247</v>
      </c>
      <c r="C65" s="15" t="s">
        <v>498</v>
      </c>
      <c r="D65" s="15" t="s">
        <v>177</v>
      </c>
      <c r="J65" s="36">
        <v>0</v>
      </c>
      <c r="P65" s="36">
        <v>0</v>
      </c>
      <c r="V65" s="36">
        <v>0</v>
      </c>
      <c r="W65" s="15" t="s">
        <v>444</v>
      </c>
      <c r="X65" s="15" t="s">
        <v>151</v>
      </c>
      <c r="Y65" s="15" t="s">
        <v>62</v>
      </c>
      <c r="Z65" s="15" t="s">
        <v>111</v>
      </c>
      <c r="AA65" s="15" t="s">
        <v>25</v>
      </c>
      <c r="AB65" s="36">
        <v>1</v>
      </c>
      <c r="AE65" s="15" t="s">
        <v>569</v>
      </c>
    </row>
  </sheetData>
  <mergeCells count="1">
    <mergeCell ref="A1:AE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Juin"/>
  <dimension ref="A1:AE61"/>
  <sheetViews>
    <sheetView topLeftCell="A37" workbookViewId="0">
      <selection activeCell="A62" sqref="A62"/>
    </sheetView>
  </sheetViews>
  <sheetFormatPr baseColWidth="10" defaultColWidth="11.07421875" defaultRowHeight="13.2" x14ac:dyDescent="0.25"/>
  <cols>
    <col min="1" max="1" width="11.07421875" style="15"/>
    <col min="2" max="2" width="13.4609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9.382812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5.6914062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0.15234375" style="15" bestFit="1" customWidth="1"/>
    <col min="25" max="25" width="13.92187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0.69140625" style="15" customWidth="1"/>
    <col min="30" max="30" width="8.07421875" style="15" bestFit="1" customWidth="1"/>
    <col min="31" max="31" width="25.4609375" style="15" bestFit="1" customWidth="1"/>
    <col min="32" max="16384" width="11.07421875" style="15"/>
  </cols>
  <sheetData>
    <row r="1" spans="1:31" ht="12.75" x14ac:dyDescent="0.2">
      <c r="A1" s="69" t="s">
        <v>572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37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723</v>
      </c>
      <c r="B4" s="38">
        <v>43252</v>
      </c>
      <c r="C4" s="15" t="s">
        <v>500</v>
      </c>
      <c r="D4" s="15" t="s">
        <v>178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380</v>
      </c>
      <c r="L4" s="15" t="s">
        <v>144</v>
      </c>
      <c r="M4" s="15" t="s">
        <v>39</v>
      </c>
      <c r="N4" s="15" t="s">
        <v>149</v>
      </c>
      <c r="O4" s="15" t="s">
        <v>10</v>
      </c>
      <c r="P4" s="36">
        <v>1</v>
      </c>
      <c r="V4" s="36">
        <v>0</v>
      </c>
      <c r="W4" s="15" t="s">
        <v>456</v>
      </c>
      <c r="X4" s="15" t="s">
        <v>163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550</v>
      </c>
    </row>
    <row r="5" spans="1:31" x14ac:dyDescent="0.25">
      <c r="A5" s="15" t="s">
        <v>724</v>
      </c>
      <c r="B5" s="38">
        <v>43255</v>
      </c>
      <c r="C5" s="15" t="s">
        <v>500</v>
      </c>
      <c r="D5" s="15" t="s">
        <v>178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382</v>
      </c>
      <c r="L5" s="15" t="s">
        <v>150</v>
      </c>
      <c r="M5" s="15" t="s">
        <v>39</v>
      </c>
      <c r="N5" s="15" t="s">
        <v>155</v>
      </c>
      <c r="O5" s="15" t="s">
        <v>10</v>
      </c>
      <c r="P5" s="36">
        <v>2</v>
      </c>
      <c r="V5" s="36">
        <v>0</v>
      </c>
      <c r="W5" s="15" t="s">
        <v>457</v>
      </c>
      <c r="X5" s="15" t="s">
        <v>164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550</v>
      </c>
    </row>
    <row r="6" spans="1:31" x14ac:dyDescent="0.25">
      <c r="A6" s="15" t="s">
        <v>725</v>
      </c>
      <c r="B6" s="38">
        <v>43256</v>
      </c>
      <c r="C6" s="15" t="s">
        <v>500</v>
      </c>
      <c r="D6" s="15" t="s">
        <v>178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350</v>
      </c>
      <c r="L6" s="15" t="s">
        <v>15</v>
      </c>
      <c r="M6" s="15" t="s">
        <v>39</v>
      </c>
      <c r="N6" s="15" t="s">
        <v>34</v>
      </c>
      <c r="O6" s="15" t="s">
        <v>10</v>
      </c>
      <c r="P6" s="36">
        <v>1</v>
      </c>
      <c r="V6" s="36">
        <v>0</v>
      </c>
      <c r="W6" s="15" t="s">
        <v>457</v>
      </c>
      <c r="X6" s="15" t="s">
        <v>164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550</v>
      </c>
    </row>
    <row r="7" spans="1:31" x14ac:dyDescent="0.25">
      <c r="A7" s="15" t="s">
        <v>726</v>
      </c>
      <c r="B7" s="38">
        <v>43257</v>
      </c>
      <c r="C7" s="15" t="s">
        <v>500</v>
      </c>
      <c r="D7" s="15" t="s">
        <v>178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352</v>
      </c>
      <c r="L7" s="15" t="s">
        <v>123</v>
      </c>
      <c r="M7" s="15" t="s">
        <v>39</v>
      </c>
      <c r="N7" s="15" t="s">
        <v>140</v>
      </c>
      <c r="O7" s="15" t="s">
        <v>10</v>
      </c>
      <c r="P7" s="36">
        <v>1</v>
      </c>
      <c r="V7" s="36">
        <v>0</v>
      </c>
      <c r="W7" s="15" t="s">
        <v>457</v>
      </c>
      <c r="X7" s="15" t="s">
        <v>164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550</v>
      </c>
    </row>
    <row r="8" spans="1:31" x14ac:dyDescent="0.25">
      <c r="A8" s="15" t="s">
        <v>727</v>
      </c>
      <c r="B8" s="38">
        <v>43258</v>
      </c>
      <c r="C8" s="15" t="s">
        <v>500</v>
      </c>
      <c r="D8" s="15" t="s">
        <v>178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354</v>
      </c>
      <c r="L8" s="15" t="s">
        <v>129</v>
      </c>
      <c r="M8" s="15" t="s">
        <v>39</v>
      </c>
      <c r="N8" s="15" t="s">
        <v>155</v>
      </c>
      <c r="O8" s="15" t="s">
        <v>10</v>
      </c>
      <c r="P8" s="36">
        <v>2</v>
      </c>
      <c r="V8" s="36">
        <v>0</v>
      </c>
      <c r="W8" s="15" t="s">
        <v>457</v>
      </c>
      <c r="X8" s="15" t="s">
        <v>164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550</v>
      </c>
    </row>
    <row r="9" spans="1:31" x14ac:dyDescent="0.25">
      <c r="A9" s="15" t="s">
        <v>728</v>
      </c>
      <c r="B9" s="38">
        <v>43259</v>
      </c>
      <c r="C9" s="15" t="s">
        <v>500</v>
      </c>
      <c r="D9" s="15" t="s">
        <v>178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356</v>
      </c>
      <c r="L9" s="15" t="s">
        <v>132</v>
      </c>
      <c r="M9" s="15" t="s">
        <v>39</v>
      </c>
      <c r="N9" s="15" t="s">
        <v>134</v>
      </c>
      <c r="O9" s="15" t="s">
        <v>10</v>
      </c>
      <c r="P9" s="36">
        <v>1</v>
      </c>
      <c r="V9" s="36">
        <v>0</v>
      </c>
      <c r="W9" s="15" t="s">
        <v>457</v>
      </c>
      <c r="X9" s="15" t="s">
        <v>164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550</v>
      </c>
    </row>
    <row r="10" spans="1:31" x14ac:dyDescent="0.25">
      <c r="A10" s="15" t="s">
        <v>729</v>
      </c>
      <c r="B10" s="38">
        <v>43262</v>
      </c>
      <c r="C10" s="15" t="s">
        <v>500</v>
      </c>
      <c r="D10" s="15" t="s">
        <v>178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358</v>
      </c>
      <c r="L10" s="15" t="s">
        <v>135</v>
      </c>
      <c r="M10" s="15" t="s">
        <v>39</v>
      </c>
      <c r="N10" s="15" t="s">
        <v>34</v>
      </c>
      <c r="O10" s="15" t="s">
        <v>10</v>
      </c>
      <c r="P10" s="36">
        <v>1</v>
      </c>
      <c r="V10" s="36">
        <v>0</v>
      </c>
      <c r="W10" s="15" t="s">
        <v>459</v>
      </c>
      <c r="X10" s="15" t="s">
        <v>165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550</v>
      </c>
    </row>
    <row r="11" spans="1:31" x14ac:dyDescent="0.25">
      <c r="A11" s="15" t="s">
        <v>730</v>
      </c>
      <c r="B11" s="38">
        <v>43263</v>
      </c>
      <c r="C11" s="15" t="s">
        <v>500</v>
      </c>
      <c r="D11" s="15" t="s">
        <v>178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360</v>
      </c>
      <c r="L11" s="15" t="s">
        <v>138</v>
      </c>
      <c r="M11" s="15" t="s">
        <v>39</v>
      </c>
      <c r="N11" s="15" t="s">
        <v>140</v>
      </c>
      <c r="O11" s="15" t="s">
        <v>10</v>
      </c>
      <c r="P11" s="36">
        <v>1</v>
      </c>
      <c r="V11" s="36">
        <v>0</v>
      </c>
      <c r="W11" s="15" t="s">
        <v>459</v>
      </c>
      <c r="X11" s="15" t="s">
        <v>165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550</v>
      </c>
    </row>
    <row r="12" spans="1:31" x14ac:dyDescent="0.25">
      <c r="A12" s="15" t="s">
        <v>731</v>
      </c>
      <c r="B12" s="38">
        <v>43264</v>
      </c>
      <c r="C12" s="15" t="s">
        <v>500</v>
      </c>
      <c r="D12" s="15" t="s">
        <v>178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362</v>
      </c>
      <c r="L12" s="15" t="s">
        <v>42</v>
      </c>
      <c r="M12" s="15" t="s">
        <v>39</v>
      </c>
      <c r="N12" s="15" t="s">
        <v>125</v>
      </c>
      <c r="O12" s="15" t="s">
        <v>10</v>
      </c>
      <c r="P12" s="36">
        <v>25</v>
      </c>
      <c r="V12" s="36">
        <v>0</v>
      </c>
      <c r="W12" s="15" t="s">
        <v>459</v>
      </c>
      <c r="X12" s="15" t="s">
        <v>165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550</v>
      </c>
    </row>
    <row r="13" spans="1:31" x14ac:dyDescent="0.25">
      <c r="A13" s="15" t="s">
        <v>732</v>
      </c>
      <c r="B13" s="38">
        <v>43265</v>
      </c>
      <c r="C13" s="15" t="s">
        <v>500</v>
      </c>
      <c r="D13" s="15" t="s">
        <v>178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364</v>
      </c>
      <c r="L13" s="15" t="s">
        <v>59</v>
      </c>
      <c r="M13" s="15" t="s">
        <v>39</v>
      </c>
      <c r="N13" s="15" t="s">
        <v>40</v>
      </c>
      <c r="O13" s="15" t="s">
        <v>10</v>
      </c>
      <c r="P13" s="36">
        <v>0.5</v>
      </c>
      <c r="V13" s="36">
        <v>0</v>
      </c>
      <c r="W13" s="15" t="s">
        <v>459</v>
      </c>
      <c r="X13" s="15" t="s">
        <v>165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550</v>
      </c>
    </row>
    <row r="14" spans="1:31" x14ac:dyDescent="0.25">
      <c r="A14" s="15" t="s">
        <v>733</v>
      </c>
      <c r="B14" s="38">
        <v>43266</v>
      </c>
      <c r="C14" s="15" t="s">
        <v>500</v>
      </c>
      <c r="D14" s="15" t="s">
        <v>178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364</v>
      </c>
      <c r="L14" s="15" t="s">
        <v>59</v>
      </c>
      <c r="M14" s="15" t="s">
        <v>39</v>
      </c>
      <c r="N14" s="15" t="s">
        <v>40</v>
      </c>
      <c r="O14" s="15" t="s">
        <v>10</v>
      </c>
      <c r="P14" s="36">
        <v>0.5</v>
      </c>
      <c r="V14" s="36">
        <v>0</v>
      </c>
      <c r="W14" s="15" t="s">
        <v>459</v>
      </c>
      <c r="X14" s="15" t="s">
        <v>165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550</v>
      </c>
    </row>
    <row r="15" spans="1:31" x14ac:dyDescent="0.25">
      <c r="A15" s="15" t="s">
        <v>734</v>
      </c>
      <c r="B15" s="38">
        <v>43269</v>
      </c>
      <c r="C15" s="15" t="s">
        <v>500</v>
      </c>
      <c r="D15" s="15" t="s">
        <v>178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366</v>
      </c>
      <c r="L15" s="15" t="s">
        <v>153</v>
      </c>
      <c r="M15" s="15" t="s">
        <v>39</v>
      </c>
      <c r="N15" s="15" t="s">
        <v>131</v>
      </c>
      <c r="O15" s="15" t="s">
        <v>10</v>
      </c>
      <c r="P15" s="36">
        <v>5</v>
      </c>
      <c r="V15" s="36">
        <v>0</v>
      </c>
      <c r="W15" s="15" t="s">
        <v>462</v>
      </c>
      <c r="X15" s="15" t="s">
        <v>166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550</v>
      </c>
    </row>
    <row r="16" spans="1:31" x14ac:dyDescent="0.25">
      <c r="A16" s="15" t="s">
        <v>735</v>
      </c>
      <c r="B16" s="38">
        <v>43270</v>
      </c>
      <c r="C16" s="15" t="s">
        <v>500</v>
      </c>
      <c r="D16" s="15" t="s">
        <v>178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368</v>
      </c>
      <c r="L16" s="15" t="s">
        <v>156</v>
      </c>
      <c r="M16" s="15" t="s">
        <v>39</v>
      </c>
      <c r="N16" s="15" t="s">
        <v>131</v>
      </c>
      <c r="O16" s="15" t="s">
        <v>10</v>
      </c>
      <c r="P16" s="36">
        <v>5</v>
      </c>
      <c r="V16" s="36">
        <v>0</v>
      </c>
      <c r="W16" s="15" t="s">
        <v>462</v>
      </c>
      <c r="X16" s="15" t="s">
        <v>166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550</v>
      </c>
    </row>
    <row r="17" spans="1:31" x14ac:dyDescent="0.25">
      <c r="A17" s="15" t="s">
        <v>736</v>
      </c>
      <c r="B17" s="38">
        <v>43271</v>
      </c>
      <c r="C17" s="15" t="s">
        <v>500</v>
      </c>
      <c r="D17" s="15" t="s">
        <v>178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370</v>
      </c>
      <c r="L17" s="15" t="s">
        <v>71</v>
      </c>
      <c r="M17" s="15" t="s">
        <v>39</v>
      </c>
      <c r="N17" s="15" t="s">
        <v>140</v>
      </c>
      <c r="O17" s="15" t="s">
        <v>10</v>
      </c>
      <c r="P17" s="36">
        <v>1</v>
      </c>
      <c r="V17" s="36">
        <v>0</v>
      </c>
      <c r="W17" s="15" t="s">
        <v>462</v>
      </c>
      <c r="X17" s="15" t="s">
        <v>166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550</v>
      </c>
    </row>
    <row r="18" spans="1:31" x14ac:dyDescent="0.25">
      <c r="A18" s="15" t="s">
        <v>737</v>
      </c>
      <c r="B18" s="38">
        <v>43272</v>
      </c>
      <c r="C18" s="15" t="s">
        <v>500</v>
      </c>
      <c r="D18" s="15" t="s">
        <v>178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372</v>
      </c>
      <c r="L18" s="15" t="s">
        <v>77</v>
      </c>
      <c r="M18" s="15" t="s">
        <v>39</v>
      </c>
      <c r="N18" s="15" t="s">
        <v>140</v>
      </c>
      <c r="O18" s="15" t="s">
        <v>10</v>
      </c>
      <c r="P18" s="36">
        <v>1</v>
      </c>
      <c r="V18" s="36">
        <v>0</v>
      </c>
      <c r="W18" s="15" t="s">
        <v>462</v>
      </c>
      <c r="X18" s="15" t="s">
        <v>166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550</v>
      </c>
    </row>
    <row r="19" spans="1:31" x14ac:dyDescent="0.25">
      <c r="A19" s="15" t="s">
        <v>738</v>
      </c>
      <c r="B19" s="38">
        <v>43273</v>
      </c>
      <c r="C19" s="15" t="s">
        <v>500</v>
      </c>
      <c r="D19" s="15" t="s">
        <v>178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374</v>
      </c>
      <c r="L19" s="15" t="s">
        <v>83</v>
      </c>
      <c r="M19" s="15" t="s">
        <v>39</v>
      </c>
      <c r="N19" s="15" t="s">
        <v>125</v>
      </c>
      <c r="O19" s="15" t="s">
        <v>10</v>
      </c>
      <c r="P19" s="36">
        <v>25</v>
      </c>
      <c r="V19" s="36">
        <v>0</v>
      </c>
      <c r="W19" s="15" t="s">
        <v>462</v>
      </c>
      <c r="X19" s="15" t="s">
        <v>166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550</v>
      </c>
    </row>
    <row r="20" spans="1:31" x14ac:dyDescent="0.25">
      <c r="A20" s="15" t="s">
        <v>739</v>
      </c>
      <c r="B20" s="38">
        <v>43276</v>
      </c>
      <c r="C20" s="15" t="s">
        <v>500</v>
      </c>
      <c r="D20" s="15" t="s">
        <v>178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376</v>
      </c>
      <c r="L20" s="15" t="s">
        <v>141</v>
      </c>
      <c r="M20" s="15" t="s">
        <v>39</v>
      </c>
      <c r="N20" s="15" t="s">
        <v>224</v>
      </c>
      <c r="O20" s="15" t="s">
        <v>10</v>
      </c>
      <c r="P20" s="36">
        <v>0.5</v>
      </c>
      <c r="V20" s="36">
        <v>0</v>
      </c>
      <c r="W20" s="15" t="s">
        <v>454</v>
      </c>
      <c r="X20" s="15" t="s">
        <v>161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550</v>
      </c>
    </row>
    <row r="21" spans="1:31" x14ac:dyDescent="0.25">
      <c r="A21" s="15" t="s">
        <v>740</v>
      </c>
      <c r="B21" s="38">
        <v>43277</v>
      </c>
      <c r="C21" s="15" t="s">
        <v>500</v>
      </c>
      <c r="D21" s="15" t="s">
        <v>178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376</v>
      </c>
      <c r="L21" s="15" t="s">
        <v>141</v>
      </c>
      <c r="M21" s="15" t="s">
        <v>39</v>
      </c>
      <c r="N21" s="15" t="s">
        <v>224</v>
      </c>
      <c r="O21" s="15" t="s">
        <v>10</v>
      </c>
      <c r="P21" s="36">
        <v>0.5</v>
      </c>
      <c r="V21" s="36">
        <v>0</v>
      </c>
      <c r="W21" s="15" t="s">
        <v>454</v>
      </c>
      <c r="X21" s="15" t="s">
        <v>161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550</v>
      </c>
    </row>
    <row r="22" spans="1:31" x14ac:dyDescent="0.25">
      <c r="A22" s="15" t="s">
        <v>741</v>
      </c>
      <c r="B22" s="38">
        <v>43278</v>
      </c>
      <c r="C22" s="15" t="s">
        <v>500</v>
      </c>
      <c r="D22" s="15" t="s">
        <v>178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378</v>
      </c>
      <c r="L22" s="15" t="s">
        <v>93</v>
      </c>
      <c r="M22" s="15" t="s">
        <v>39</v>
      </c>
      <c r="N22" s="15" t="s">
        <v>125</v>
      </c>
      <c r="O22" s="15" t="s">
        <v>10</v>
      </c>
      <c r="P22" s="36">
        <v>25</v>
      </c>
      <c r="V22" s="36">
        <v>0</v>
      </c>
      <c r="W22" s="15" t="s">
        <v>454</v>
      </c>
      <c r="X22" s="15" t="s">
        <v>161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550</v>
      </c>
    </row>
    <row r="23" spans="1:31" x14ac:dyDescent="0.25">
      <c r="A23" s="15" t="s">
        <v>742</v>
      </c>
      <c r="B23" s="38">
        <v>43279</v>
      </c>
      <c r="C23" s="15" t="s">
        <v>500</v>
      </c>
      <c r="D23" s="15" t="s">
        <v>178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380</v>
      </c>
      <c r="L23" s="15" t="s">
        <v>144</v>
      </c>
      <c r="M23" s="15" t="s">
        <v>39</v>
      </c>
      <c r="N23" s="15" t="s">
        <v>149</v>
      </c>
      <c r="O23" s="15" t="s">
        <v>10</v>
      </c>
      <c r="P23" s="36">
        <v>25</v>
      </c>
      <c r="V23" s="36">
        <v>0</v>
      </c>
      <c r="W23" s="15" t="s">
        <v>454</v>
      </c>
      <c r="X23" s="15" t="s">
        <v>161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550</v>
      </c>
    </row>
    <row r="24" spans="1:31" x14ac:dyDescent="0.25">
      <c r="A24" s="15" t="s">
        <v>743</v>
      </c>
      <c r="B24" s="38">
        <v>43280</v>
      </c>
      <c r="C24" s="15" t="s">
        <v>500</v>
      </c>
      <c r="D24" s="15" t="s">
        <v>178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382</v>
      </c>
      <c r="L24" s="15" t="s">
        <v>150</v>
      </c>
      <c r="M24" s="15" t="s">
        <v>39</v>
      </c>
      <c r="N24" s="15" t="s">
        <v>155</v>
      </c>
      <c r="O24" s="15" t="s">
        <v>10</v>
      </c>
      <c r="P24" s="36">
        <v>2</v>
      </c>
      <c r="V24" s="36">
        <v>0</v>
      </c>
      <c r="W24" s="15" t="s">
        <v>454</v>
      </c>
      <c r="X24" s="15" t="s">
        <v>161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550</v>
      </c>
    </row>
    <row r="25" spans="1:31" x14ac:dyDescent="0.25">
      <c r="A25" s="15" t="s">
        <v>1037</v>
      </c>
      <c r="B25" s="38">
        <v>43252</v>
      </c>
      <c r="C25" s="15" t="s">
        <v>500</v>
      </c>
      <c r="D25" s="15" t="s">
        <v>178</v>
      </c>
      <c r="E25" s="15" t="s">
        <v>260</v>
      </c>
      <c r="F25" s="15" t="s">
        <v>104</v>
      </c>
      <c r="G25" s="15" t="s">
        <v>45</v>
      </c>
      <c r="H25" s="15" t="s">
        <v>99</v>
      </c>
      <c r="I25" s="15" t="s">
        <v>18</v>
      </c>
      <c r="J25" s="36">
        <v>1</v>
      </c>
      <c r="K25" s="15" t="s">
        <v>326</v>
      </c>
      <c r="L25" s="15" t="s">
        <v>135</v>
      </c>
      <c r="M25" s="15" t="s">
        <v>80</v>
      </c>
      <c r="N25" s="15" t="s">
        <v>34</v>
      </c>
      <c r="O25" s="15" t="s">
        <v>18</v>
      </c>
      <c r="P25" s="36">
        <v>1</v>
      </c>
      <c r="V25" s="36">
        <v>0</v>
      </c>
      <c r="W25" s="15" t="s">
        <v>426</v>
      </c>
      <c r="X25" s="15" t="s">
        <v>124</v>
      </c>
      <c r="Y25" s="15" t="s">
        <v>33</v>
      </c>
      <c r="Z25" s="15" t="s">
        <v>57</v>
      </c>
      <c r="AA25" s="15" t="s">
        <v>18</v>
      </c>
      <c r="AB25" s="36">
        <v>133</v>
      </c>
      <c r="AE25" s="15" t="s">
        <v>562</v>
      </c>
    </row>
    <row r="26" spans="1:31" x14ac:dyDescent="0.25">
      <c r="A26" s="15" t="s">
        <v>1038</v>
      </c>
      <c r="B26" s="38">
        <v>43253</v>
      </c>
      <c r="C26" s="15" t="s">
        <v>500</v>
      </c>
      <c r="D26" s="15" t="s">
        <v>178</v>
      </c>
      <c r="E26" s="15" t="s">
        <v>231</v>
      </c>
      <c r="F26" s="15" t="s">
        <v>41</v>
      </c>
      <c r="G26" s="15" t="s">
        <v>68</v>
      </c>
      <c r="H26" s="15" t="s">
        <v>152</v>
      </c>
      <c r="I26" s="15" t="s">
        <v>18</v>
      </c>
      <c r="J26" s="36">
        <v>8</v>
      </c>
      <c r="K26" s="15" t="s">
        <v>342</v>
      </c>
      <c r="L26" s="15" t="s">
        <v>158</v>
      </c>
      <c r="M26" s="15" t="s">
        <v>74</v>
      </c>
      <c r="N26" s="15" t="s">
        <v>131</v>
      </c>
      <c r="O26" s="15" t="s">
        <v>18</v>
      </c>
      <c r="P26" s="36">
        <v>10</v>
      </c>
      <c r="V26" s="36">
        <v>0</v>
      </c>
      <c r="W26" s="15" t="s">
        <v>402</v>
      </c>
      <c r="X26" s="15" t="s">
        <v>72</v>
      </c>
      <c r="Y26" s="15" t="s">
        <v>33</v>
      </c>
      <c r="Z26" s="15" t="s">
        <v>114</v>
      </c>
      <c r="AA26" s="15" t="s">
        <v>18</v>
      </c>
      <c r="AB26" s="36">
        <v>0.5</v>
      </c>
      <c r="AE26" s="15" t="s">
        <v>562</v>
      </c>
    </row>
    <row r="27" spans="1:31" x14ac:dyDescent="0.25">
      <c r="A27" s="15" t="s">
        <v>1039</v>
      </c>
      <c r="B27" s="38">
        <v>43254</v>
      </c>
      <c r="C27" s="15" t="s">
        <v>500</v>
      </c>
      <c r="D27" s="15" t="s">
        <v>178</v>
      </c>
      <c r="E27" s="15" t="s">
        <v>231</v>
      </c>
      <c r="F27" s="15" t="s">
        <v>41</v>
      </c>
      <c r="G27" s="15" t="s">
        <v>68</v>
      </c>
      <c r="H27" s="15" t="s">
        <v>152</v>
      </c>
      <c r="I27" s="15" t="s">
        <v>18</v>
      </c>
      <c r="J27" s="36">
        <v>8</v>
      </c>
      <c r="K27" s="15" t="s">
        <v>346</v>
      </c>
      <c r="L27" s="15" t="s">
        <v>162</v>
      </c>
      <c r="M27" s="15" t="s">
        <v>12</v>
      </c>
      <c r="N27" s="15" t="s">
        <v>121</v>
      </c>
      <c r="O27" s="15" t="s">
        <v>18</v>
      </c>
      <c r="P27" s="36">
        <v>20</v>
      </c>
      <c r="Q27" s="15" t="s">
        <v>274</v>
      </c>
      <c r="R27" s="15" t="s">
        <v>15</v>
      </c>
      <c r="S27" s="15" t="s">
        <v>27</v>
      </c>
      <c r="T27" s="15" t="s">
        <v>13</v>
      </c>
      <c r="U27" s="15" t="s">
        <v>18</v>
      </c>
      <c r="V27" s="36">
        <v>1</v>
      </c>
      <c r="W27" s="15" t="s">
        <v>426</v>
      </c>
      <c r="X27" s="15" t="s">
        <v>124</v>
      </c>
      <c r="Y27" s="15" t="s">
        <v>33</v>
      </c>
      <c r="Z27" s="15" t="s">
        <v>57</v>
      </c>
      <c r="AA27" s="15" t="s">
        <v>18</v>
      </c>
      <c r="AB27" s="36">
        <v>134</v>
      </c>
      <c r="AE27" s="15" t="s">
        <v>562</v>
      </c>
    </row>
    <row r="28" spans="1:31" x14ac:dyDescent="0.25">
      <c r="A28" s="15" t="s">
        <v>1040</v>
      </c>
      <c r="B28" s="38">
        <v>43255</v>
      </c>
      <c r="C28" s="15" t="s">
        <v>500</v>
      </c>
      <c r="D28" s="15" t="s">
        <v>178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298</v>
      </c>
      <c r="L28" s="15" t="s">
        <v>83</v>
      </c>
      <c r="M28" s="15" t="s">
        <v>51</v>
      </c>
      <c r="N28" s="15" t="s">
        <v>125</v>
      </c>
      <c r="O28" s="15" t="s">
        <v>18</v>
      </c>
      <c r="P28" s="36">
        <v>25</v>
      </c>
      <c r="V28" s="36">
        <v>0</v>
      </c>
      <c r="W28" s="15" t="s">
        <v>404</v>
      </c>
      <c r="X28" s="15" t="s">
        <v>78</v>
      </c>
      <c r="Y28" s="15" t="s">
        <v>33</v>
      </c>
      <c r="Z28" s="15" t="s">
        <v>87</v>
      </c>
      <c r="AA28" s="15" t="s">
        <v>18</v>
      </c>
      <c r="AB28" s="36">
        <v>0.5</v>
      </c>
      <c r="AE28" s="15" t="s">
        <v>562</v>
      </c>
    </row>
    <row r="29" spans="1:31" x14ac:dyDescent="0.25">
      <c r="A29" s="15" t="s">
        <v>1041</v>
      </c>
      <c r="B29" s="38">
        <v>43256</v>
      </c>
      <c r="C29" s="15" t="s">
        <v>500</v>
      </c>
      <c r="D29" s="15" t="s">
        <v>178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298</v>
      </c>
      <c r="L29" s="15" t="s">
        <v>83</v>
      </c>
      <c r="M29" s="15" t="s">
        <v>51</v>
      </c>
      <c r="N29" s="15" t="s">
        <v>125</v>
      </c>
      <c r="O29" s="15" t="s">
        <v>18</v>
      </c>
      <c r="P29" s="36">
        <v>25</v>
      </c>
      <c r="V29" s="36">
        <v>0</v>
      </c>
      <c r="W29" s="15" t="s">
        <v>426</v>
      </c>
      <c r="X29" s="15" t="s">
        <v>124</v>
      </c>
      <c r="Y29" s="15" t="s">
        <v>33</v>
      </c>
      <c r="Z29" s="15" t="s">
        <v>57</v>
      </c>
      <c r="AA29" s="15" t="s">
        <v>18</v>
      </c>
      <c r="AB29" s="36">
        <v>133</v>
      </c>
      <c r="AE29" s="15" t="s">
        <v>562</v>
      </c>
    </row>
    <row r="30" spans="1:31" x14ac:dyDescent="0.25">
      <c r="A30" s="15" t="s">
        <v>1042</v>
      </c>
      <c r="B30" s="38">
        <v>43257</v>
      </c>
      <c r="C30" s="15" t="s">
        <v>500</v>
      </c>
      <c r="D30" s="15" t="s">
        <v>178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314</v>
      </c>
      <c r="L30" s="15" t="s">
        <v>112</v>
      </c>
      <c r="M30" s="15" t="s">
        <v>56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404</v>
      </c>
      <c r="X30" s="15" t="s">
        <v>78</v>
      </c>
      <c r="Y30" s="15" t="s">
        <v>33</v>
      </c>
      <c r="Z30" s="15" t="s">
        <v>87</v>
      </c>
      <c r="AA30" s="15" t="s">
        <v>18</v>
      </c>
      <c r="AB30" s="36">
        <v>0.5</v>
      </c>
      <c r="AE30" s="15" t="s">
        <v>562</v>
      </c>
    </row>
    <row r="31" spans="1:31" x14ac:dyDescent="0.25">
      <c r="A31" s="15" t="s">
        <v>1043</v>
      </c>
      <c r="B31" s="38">
        <v>43258</v>
      </c>
      <c r="C31" s="15" t="s">
        <v>500</v>
      </c>
      <c r="D31" s="15" t="s">
        <v>178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314</v>
      </c>
      <c r="L31" s="15" t="s">
        <v>112</v>
      </c>
      <c r="M31" s="15" t="s">
        <v>56</v>
      </c>
      <c r="N31" s="15" t="s">
        <v>40</v>
      </c>
      <c r="O31" s="15" t="s">
        <v>18</v>
      </c>
      <c r="P31" s="36">
        <v>0.5</v>
      </c>
      <c r="V31" s="36">
        <v>0</v>
      </c>
      <c r="W31" s="15" t="s">
        <v>426</v>
      </c>
      <c r="X31" s="15" t="s">
        <v>124</v>
      </c>
      <c r="Y31" s="15" t="s">
        <v>33</v>
      </c>
      <c r="Z31" s="15" t="s">
        <v>57</v>
      </c>
      <c r="AA31" s="15" t="s">
        <v>18</v>
      </c>
      <c r="AB31" s="36">
        <v>133</v>
      </c>
      <c r="AE31" s="15" t="s">
        <v>562</v>
      </c>
    </row>
    <row r="32" spans="1:31" x14ac:dyDescent="0.25">
      <c r="A32" s="15" t="s">
        <v>1046</v>
      </c>
      <c r="B32" s="38">
        <v>43261</v>
      </c>
      <c r="C32" s="15" t="s">
        <v>500</v>
      </c>
      <c r="D32" s="15" t="s">
        <v>178</v>
      </c>
      <c r="E32" s="15" t="s">
        <v>238</v>
      </c>
      <c r="F32" s="15" t="s">
        <v>47</v>
      </c>
      <c r="G32" s="15" t="s">
        <v>68</v>
      </c>
      <c r="H32" s="15" t="s">
        <v>107</v>
      </c>
      <c r="I32" s="15" t="s">
        <v>18</v>
      </c>
      <c r="J32" s="36">
        <v>0.5</v>
      </c>
      <c r="K32" s="15" t="s">
        <v>348</v>
      </c>
      <c r="L32" s="15" t="s">
        <v>53</v>
      </c>
      <c r="M32" s="15" t="s">
        <v>20</v>
      </c>
      <c r="N32" s="15" t="s">
        <v>40</v>
      </c>
      <c r="O32" s="15" t="s">
        <v>18</v>
      </c>
      <c r="P32" s="36">
        <v>1</v>
      </c>
      <c r="V32" s="36">
        <v>0</v>
      </c>
      <c r="W32" s="15" t="s">
        <v>406</v>
      </c>
      <c r="X32" s="15" t="s">
        <v>84</v>
      </c>
      <c r="Y32" s="15" t="s">
        <v>33</v>
      </c>
      <c r="Z32" s="15" t="s">
        <v>87</v>
      </c>
      <c r="AA32" s="15" t="s">
        <v>18</v>
      </c>
      <c r="AB32" s="36">
        <v>0.5</v>
      </c>
      <c r="AE32" s="15" t="s">
        <v>562</v>
      </c>
    </row>
    <row r="33" spans="1:31" x14ac:dyDescent="0.25">
      <c r="A33" s="15" t="s">
        <v>1047</v>
      </c>
      <c r="B33" s="38">
        <v>43262</v>
      </c>
      <c r="C33" s="15" t="s">
        <v>500</v>
      </c>
      <c r="D33" s="15" t="s">
        <v>178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300</v>
      </c>
      <c r="L33" s="15" t="s">
        <v>89</v>
      </c>
      <c r="M33" s="15" t="s">
        <v>51</v>
      </c>
      <c r="N33" s="15" t="s">
        <v>40</v>
      </c>
      <c r="O33" s="15" t="s">
        <v>18</v>
      </c>
      <c r="P33" s="36">
        <v>0.5</v>
      </c>
      <c r="V33" s="36">
        <v>0</v>
      </c>
      <c r="W33" s="15" t="s">
        <v>426</v>
      </c>
      <c r="X33" s="15" t="s">
        <v>124</v>
      </c>
      <c r="Y33" s="15" t="s">
        <v>33</v>
      </c>
      <c r="Z33" s="15" t="s">
        <v>57</v>
      </c>
      <c r="AA33" s="15" t="s">
        <v>18</v>
      </c>
      <c r="AB33" s="36">
        <v>134</v>
      </c>
      <c r="AE33" s="15" t="s">
        <v>562</v>
      </c>
    </row>
    <row r="34" spans="1:31" x14ac:dyDescent="0.25">
      <c r="A34" s="15" t="s">
        <v>1048</v>
      </c>
      <c r="B34" s="38">
        <v>43263</v>
      </c>
      <c r="C34" s="15" t="s">
        <v>500</v>
      </c>
      <c r="D34" s="15" t="s">
        <v>178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300</v>
      </c>
      <c r="L34" s="15" t="s">
        <v>89</v>
      </c>
      <c r="M34" s="15" t="s">
        <v>51</v>
      </c>
      <c r="N34" s="15" t="s">
        <v>40</v>
      </c>
      <c r="O34" s="15" t="s">
        <v>18</v>
      </c>
      <c r="P34" s="36">
        <v>0.5</v>
      </c>
      <c r="V34" s="36">
        <v>0</v>
      </c>
      <c r="W34" s="15" t="s">
        <v>408</v>
      </c>
      <c r="X34" s="15" t="s">
        <v>90</v>
      </c>
      <c r="Y34" s="15" t="s">
        <v>33</v>
      </c>
      <c r="Z34" s="15" t="s">
        <v>87</v>
      </c>
      <c r="AA34" s="15" t="s">
        <v>18</v>
      </c>
      <c r="AB34" s="36">
        <v>0.5</v>
      </c>
      <c r="AE34" s="15" t="s">
        <v>562</v>
      </c>
    </row>
    <row r="35" spans="1:31" x14ac:dyDescent="0.25">
      <c r="A35" s="15" t="s">
        <v>1049</v>
      </c>
      <c r="B35" s="38">
        <v>43264</v>
      </c>
      <c r="C35" s="15" t="s">
        <v>500</v>
      </c>
      <c r="D35" s="15" t="s">
        <v>178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316</v>
      </c>
      <c r="L35" s="15" t="s">
        <v>116</v>
      </c>
      <c r="M35" s="15" t="s">
        <v>56</v>
      </c>
      <c r="N35" s="15" t="s">
        <v>40</v>
      </c>
      <c r="O35" s="15" t="s">
        <v>18</v>
      </c>
      <c r="P35" s="36">
        <v>0.5</v>
      </c>
      <c r="V35" s="36">
        <v>0</v>
      </c>
      <c r="W35" s="15" t="s">
        <v>426</v>
      </c>
      <c r="X35" s="15" t="s">
        <v>124</v>
      </c>
      <c r="Y35" s="15" t="s">
        <v>33</v>
      </c>
      <c r="Z35" s="15" t="s">
        <v>57</v>
      </c>
      <c r="AA35" s="15" t="s">
        <v>18</v>
      </c>
      <c r="AB35" s="36">
        <v>133</v>
      </c>
      <c r="AE35" s="15" t="s">
        <v>562</v>
      </c>
    </row>
    <row r="36" spans="1:31" x14ac:dyDescent="0.25">
      <c r="A36" s="15" t="s">
        <v>1050</v>
      </c>
      <c r="B36" s="38">
        <v>43265</v>
      </c>
      <c r="C36" s="15" t="s">
        <v>500</v>
      </c>
      <c r="D36" s="15" t="s">
        <v>178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316</v>
      </c>
      <c r="L36" s="15" t="s">
        <v>116</v>
      </c>
      <c r="M36" s="15" t="s">
        <v>56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408</v>
      </c>
      <c r="X36" s="15" t="s">
        <v>90</v>
      </c>
      <c r="Y36" s="15" t="s">
        <v>33</v>
      </c>
      <c r="Z36" s="15" t="s">
        <v>87</v>
      </c>
      <c r="AA36" s="15" t="s">
        <v>18</v>
      </c>
      <c r="AB36" s="36">
        <v>0.5</v>
      </c>
      <c r="AE36" s="15" t="s">
        <v>562</v>
      </c>
    </row>
    <row r="37" spans="1:31" x14ac:dyDescent="0.25">
      <c r="A37" s="15" t="s">
        <v>1051</v>
      </c>
      <c r="B37" s="38">
        <v>43266</v>
      </c>
      <c r="C37" s="15" t="s">
        <v>500</v>
      </c>
      <c r="D37" s="15" t="s">
        <v>178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330</v>
      </c>
      <c r="L37" s="15" t="s">
        <v>141</v>
      </c>
      <c r="M37" s="15" t="s">
        <v>80</v>
      </c>
      <c r="N37" s="15" t="s">
        <v>46</v>
      </c>
      <c r="O37" s="15" t="s">
        <v>18</v>
      </c>
      <c r="P37" s="36">
        <v>1</v>
      </c>
      <c r="V37" s="36">
        <v>0</v>
      </c>
      <c r="W37" s="15" t="s">
        <v>426</v>
      </c>
      <c r="X37" s="15" t="s">
        <v>124</v>
      </c>
      <c r="Y37" s="15" t="s">
        <v>33</v>
      </c>
      <c r="Z37" s="15" t="s">
        <v>57</v>
      </c>
      <c r="AA37" s="15" t="s">
        <v>18</v>
      </c>
      <c r="AB37" s="36">
        <v>133</v>
      </c>
      <c r="AE37" s="15" t="s">
        <v>562</v>
      </c>
    </row>
    <row r="38" spans="1:31" x14ac:dyDescent="0.25">
      <c r="A38" s="15" t="s">
        <v>1052</v>
      </c>
      <c r="B38" s="38">
        <v>43267</v>
      </c>
      <c r="C38" s="15" t="s">
        <v>500</v>
      </c>
      <c r="D38" s="15" t="s">
        <v>178</v>
      </c>
      <c r="E38" s="15" t="s">
        <v>240</v>
      </c>
      <c r="F38" s="15" t="s">
        <v>52</v>
      </c>
      <c r="G38" s="15" t="s">
        <v>68</v>
      </c>
      <c r="H38" s="15" t="s">
        <v>95</v>
      </c>
      <c r="I38" s="15" t="s">
        <v>18</v>
      </c>
      <c r="J38" s="36">
        <v>0.5</v>
      </c>
      <c r="K38" s="15" t="s">
        <v>340</v>
      </c>
      <c r="L38" s="15" t="s">
        <v>156</v>
      </c>
      <c r="M38" s="15" t="s">
        <v>74</v>
      </c>
      <c r="N38" s="15" t="s">
        <v>131</v>
      </c>
      <c r="O38" s="15" t="s">
        <v>18</v>
      </c>
      <c r="P38" s="36">
        <v>10</v>
      </c>
      <c r="V38" s="36">
        <v>0</v>
      </c>
      <c r="W38" s="15" t="s">
        <v>410</v>
      </c>
      <c r="X38" s="15" t="s">
        <v>94</v>
      </c>
      <c r="Y38" s="15" t="s">
        <v>33</v>
      </c>
      <c r="Z38" s="15" t="s">
        <v>21</v>
      </c>
      <c r="AA38" s="15" t="s">
        <v>18</v>
      </c>
      <c r="AB38" s="36">
        <v>3</v>
      </c>
      <c r="AE38" s="15" t="s">
        <v>562</v>
      </c>
    </row>
    <row r="39" spans="1:31" x14ac:dyDescent="0.25">
      <c r="A39" s="15" t="s">
        <v>1053</v>
      </c>
      <c r="B39" s="38">
        <v>43268</v>
      </c>
      <c r="C39" s="15" t="s">
        <v>500</v>
      </c>
      <c r="D39" s="15" t="s">
        <v>178</v>
      </c>
      <c r="E39" s="15" t="s">
        <v>240</v>
      </c>
      <c r="F39" s="15" t="s">
        <v>52</v>
      </c>
      <c r="G39" s="15" t="s">
        <v>68</v>
      </c>
      <c r="H39" s="15" t="s">
        <v>95</v>
      </c>
      <c r="I39" s="15" t="s">
        <v>18</v>
      </c>
      <c r="J39" s="36">
        <v>0.5</v>
      </c>
      <c r="K39" s="15" t="s">
        <v>344</v>
      </c>
      <c r="L39" s="15" t="s">
        <v>160</v>
      </c>
      <c r="M39" s="15" t="s">
        <v>20</v>
      </c>
      <c r="N39" s="15" t="s">
        <v>103</v>
      </c>
      <c r="O39" s="15" t="s">
        <v>18</v>
      </c>
      <c r="P39" s="36">
        <v>10</v>
      </c>
      <c r="V39" s="36">
        <v>0</v>
      </c>
      <c r="W39" s="15" t="s">
        <v>426</v>
      </c>
      <c r="X39" s="15" t="s">
        <v>124</v>
      </c>
      <c r="Y39" s="15" t="s">
        <v>33</v>
      </c>
      <c r="Z39" s="15" t="s">
        <v>57</v>
      </c>
      <c r="AA39" s="15" t="s">
        <v>18</v>
      </c>
      <c r="AB39" s="36">
        <v>134</v>
      </c>
      <c r="AE39" s="15" t="s">
        <v>562</v>
      </c>
    </row>
    <row r="40" spans="1:31" x14ac:dyDescent="0.25">
      <c r="A40" s="15" t="s">
        <v>1054</v>
      </c>
      <c r="B40" s="38">
        <v>43269</v>
      </c>
      <c r="C40" s="15" t="s">
        <v>500</v>
      </c>
      <c r="D40" s="15" t="s">
        <v>178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302</v>
      </c>
      <c r="L40" s="15" t="s">
        <v>93</v>
      </c>
      <c r="M40" s="15" t="s">
        <v>51</v>
      </c>
      <c r="N40" s="15" t="s">
        <v>125</v>
      </c>
      <c r="O40" s="15" t="s">
        <v>18</v>
      </c>
      <c r="P40" s="36">
        <v>25</v>
      </c>
      <c r="V40" s="36">
        <v>0</v>
      </c>
      <c r="W40" s="15" t="s">
        <v>410</v>
      </c>
      <c r="X40" s="15" t="s">
        <v>94</v>
      </c>
      <c r="Y40" s="15" t="s">
        <v>33</v>
      </c>
      <c r="Z40" s="15" t="s">
        <v>21</v>
      </c>
      <c r="AA40" s="15" t="s">
        <v>18</v>
      </c>
      <c r="AB40" s="36">
        <v>3</v>
      </c>
      <c r="AE40" s="15" t="s">
        <v>562</v>
      </c>
    </row>
    <row r="41" spans="1:31" x14ac:dyDescent="0.25">
      <c r="A41" s="15" t="s">
        <v>1055</v>
      </c>
      <c r="B41" s="38">
        <v>43270</v>
      </c>
      <c r="C41" s="15" t="s">
        <v>500</v>
      </c>
      <c r="D41" s="15" t="s">
        <v>178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302</v>
      </c>
      <c r="L41" s="15" t="s">
        <v>93</v>
      </c>
      <c r="M41" s="15" t="s">
        <v>51</v>
      </c>
      <c r="N41" s="15" t="s">
        <v>125</v>
      </c>
      <c r="O41" s="15" t="s">
        <v>18</v>
      </c>
      <c r="P41" s="36">
        <v>25</v>
      </c>
      <c r="V41" s="36">
        <v>0</v>
      </c>
      <c r="W41" s="15" t="s">
        <v>426</v>
      </c>
      <c r="X41" s="15" t="s">
        <v>124</v>
      </c>
      <c r="Y41" s="15" t="s">
        <v>33</v>
      </c>
      <c r="Z41" s="15" t="s">
        <v>57</v>
      </c>
      <c r="AA41" s="15" t="s">
        <v>18</v>
      </c>
      <c r="AB41" s="36">
        <v>133</v>
      </c>
      <c r="AE41" s="15" t="s">
        <v>562</v>
      </c>
    </row>
    <row r="42" spans="1:31" x14ac:dyDescent="0.25">
      <c r="A42" s="15" t="s">
        <v>1056</v>
      </c>
      <c r="B42" s="38">
        <v>43271</v>
      </c>
      <c r="C42" s="15" t="s">
        <v>500</v>
      </c>
      <c r="D42" s="15" t="s">
        <v>178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306</v>
      </c>
      <c r="L42" s="15" t="s">
        <v>97</v>
      </c>
      <c r="M42" s="15" t="s">
        <v>56</v>
      </c>
      <c r="N42" s="15" t="s">
        <v>40</v>
      </c>
      <c r="O42" s="15" t="s">
        <v>18</v>
      </c>
      <c r="P42" s="36">
        <v>0.5</v>
      </c>
      <c r="V42" s="36">
        <v>0</v>
      </c>
      <c r="W42" s="15" t="s">
        <v>412</v>
      </c>
      <c r="X42" s="15" t="s">
        <v>98</v>
      </c>
      <c r="Y42" s="15" t="s">
        <v>33</v>
      </c>
      <c r="Z42" s="15" t="s">
        <v>87</v>
      </c>
      <c r="AA42" s="15" t="s">
        <v>18</v>
      </c>
      <c r="AB42" s="36">
        <v>0.5</v>
      </c>
      <c r="AE42" s="15" t="s">
        <v>562</v>
      </c>
    </row>
    <row r="43" spans="1:31" x14ac:dyDescent="0.25">
      <c r="A43" s="15" t="s">
        <v>1057</v>
      </c>
      <c r="B43" s="38">
        <v>43272</v>
      </c>
      <c r="C43" s="15" t="s">
        <v>500</v>
      </c>
      <c r="D43" s="15" t="s">
        <v>178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306</v>
      </c>
      <c r="L43" s="15" t="s">
        <v>97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426</v>
      </c>
      <c r="X43" s="15" t="s">
        <v>124</v>
      </c>
      <c r="Y43" s="15" t="s">
        <v>33</v>
      </c>
      <c r="Z43" s="15" t="s">
        <v>57</v>
      </c>
      <c r="AA43" s="15" t="s">
        <v>18</v>
      </c>
      <c r="AB43" s="36">
        <v>134</v>
      </c>
      <c r="AE43" s="15" t="s">
        <v>562</v>
      </c>
    </row>
    <row r="44" spans="1:31" x14ac:dyDescent="0.25">
      <c r="A44" s="15" t="s">
        <v>1058</v>
      </c>
      <c r="B44" s="38">
        <v>43273</v>
      </c>
      <c r="C44" s="15" t="s">
        <v>500</v>
      </c>
      <c r="D44" s="15" t="s">
        <v>178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332</v>
      </c>
      <c r="L44" s="15" t="s">
        <v>144</v>
      </c>
      <c r="M44" s="15" t="s">
        <v>80</v>
      </c>
      <c r="N44" s="15" t="s">
        <v>149</v>
      </c>
      <c r="O44" s="15" t="s">
        <v>18</v>
      </c>
      <c r="P44" s="36">
        <v>1</v>
      </c>
      <c r="V44" s="36">
        <v>0</v>
      </c>
      <c r="W44" s="15" t="s">
        <v>412</v>
      </c>
      <c r="X44" s="15" t="s">
        <v>98</v>
      </c>
      <c r="Y44" s="15" t="s">
        <v>33</v>
      </c>
      <c r="Z44" s="15" t="s">
        <v>87</v>
      </c>
      <c r="AA44" s="15" t="s">
        <v>18</v>
      </c>
      <c r="AB44" s="36">
        <v>0.5</v>
      </c>
      <c r="AE44" s="15" t="s">
        <v>562</v>
      </c>
    </row>
    <row r="45" spans="1:31" x14ac:dyDescent="0.25">
      <c r="A45" s="15" t="s">
        <v>1059</v>
      </c>
      <c r="B45" s="38">
        <v>43274</v>
      </c>
      <c r="C45" s="15" t="s">
        <v>500</v>
      </c>
      <c r="D45" s="15" t="s">
        <v>178</v>
      </c>
      <c r="E45" s="15" t="s">
        <v>242</v>
      </c>
      <c r="F45" s="15" t="s">
        <v>58</v>
      </c>
      <c r="G45" s="15" t="s">
        <v>68</v>
      </c>
      <c r="H45" s="15" t="s">
        <v>95</v>
      </c>
      <c r="I45" s="15" t="s">
        <v>18</v>
      </c>
      <c r="J45" s="36">
        <v>0.5</v>
      </c>
      <c r="K45" s="15" t="s">
        <v>340</v>
      </c>
      <c r="L45" s="15" t="s">
        <v>156</v>
      </c>
      <c r="M45" s="15" t="s">
        <v>74</v>
      </c>
      <c r="N45" s="15" t="s">
        <v>131</v>
      </c>
      <c r="O45" s="15" t="s">
        <v>18</v>
      </c>
      <c r="P45" s="36">
        <v>10</v>
      </c>
      <c r="V45" s="36">
        <v>0</v>
      </c>
      <c r="W45" s="15" t="s">
        <v>426</v>
      </c>
      <c r="X45" s="15" t="s">
        <v>124</v>
      </c>
      <c r="Y45" s="15" t="s">
        <v>33</v>
      </c>
      <c r="Z45" s="15" t="s">
        <v>57</v>
      </c>
      <c r="AA45" s="15" t="s">
        <v>18</v>
      </c>
      <c r="AB45" s="36">
        <v>133</v>
      </c>
      <c r="AE45" s="15" t="s">
        <v>562</v>
      </c>
    </row>
    <row r="46" spans="1:31" x14ac:dyDescent="0.25">
      <c r="A46" s="15" t="s">
        <v>1060</v>
      </c>
      <c r="B46" s="38">
        <v>43275</v>
      </c>
      <c r="C46" s="15" t="s">
        <v>500</v>
      </c>
      <c r="D46" s="15" t="s">
        <v>178</v>
      </c>
      <c r="E46" s="15" t="s">
        <v>242</v>
      </c>
      <c r="F46" s="15" t="s">
        <v>58</v>
      </c>
      <c r="G46" s="15" t="s">
        <v>68</v>
      </c>
      <c r="H46" s="15" t="s">
        <v>95</v>
      </c>
      <c r="I46" s="15" t="s">
        <v>18</v>
      </c>
      <c r="J46" s="36">
        <v>0.5</v>
      </c>
      <c r="K46" s="15" t="s">
        <v>346</v>
      </c>
      <c r="L46" s="15" t="s">
        <v>162</v>
      </c>
      <c r="M46" s="15" t="s">
        <v>12</v>
      </c>
      <c r="N46" s="15" t="s">
        <v>121</v>
      </c>
      <c r="O46" s="15" t="s">
        <v>18</v>
      </c>
      <c r="P46" s="36">
        <v>20</v>
      </c>
      <c r="Q46" s="15" t="s">
        <v>274</v>
      </c>
      <c r="R46" s="15" t="s">
        <v>15</v>
      </c>
      <c r="S46" s="15" t="s">
        <v>27</v>
      </c>
      <c r="T46" s="15" t="s">
        <v>13</v>
      </c>
      <c r="U46" s="15" t="s">
        <v>18</v>
      </c>
      <c r="V46" s="36">
        <v>1</v>
      </c>
      <c r="W46" s="15" t="s">
        <v>414</v>
      </c>
      <c r="X46" s="15" t="s">
        <v>102</v>
      </c>
      <c r="Y46" s="15" t="s">
        <v>33</v>
      </c>
      <c r="Z46" s="15" t="s">
        <v>140</v>
      </c>
      <c r="AA46" s="15" t="s">
        <v>18</v>
      </c>
      <c r="AB46" s="36">
        <v>1</v>
      </c>
      <c r="AE46" s="15" t="s">
        <v>562</v>
      </c>
    </row>
    <row r="47" spans="1:31" x14ac:dyDescent="0.25">
      <c r="A47" s="15" t="s">
        <v>1061</v>
      </c>
      <c r="B47" s="38">
        <v>43276</v>
      </c>
      <c r="C47" s="15" t="s">
        <v>500</v>
      </c>
      <c r="D47" s="15" t="s">
        <v>178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275</v>
      </c>
      <c r="L47" s="15" t="s">
        <v>16</v>
      </c>
      <c r="M47" s="15" t="s">
        <v>51</v>
      </c>
      <c r="N47" s="15" t="s">
        <v>40</v>
      </c>
      <c r="O47" s="15" t="s">
        <v>18</v>
      </c>
      <c r="P47" s="36">
        <v>0.5</v>
      </c>
      <c r="V47" s="36">
        <v>0</v>
      </c>
      <c r="W47" s="15" t="s">
        <v>434</v>
      </c>
      <c r="X47" s="15" t="s">
        <v>136</v>
      </c>
      <c r="Y47" s="15" t="s">
        <v>51</v>
      </c>
      <c r="Z47" s="15" t="s">
        <v>40</v>
      </c>
      <c r="AA47" s="15" t="s">
        <v>18</v>
      </c>
      <c r="AB47" s="36">
        <v>0.5</v>
      </c>
      <c r="AE47" s="15" t="s">
        <v>562</v>
      </c>
    </row>
    <row r="48" spans="1:31" x14ac:dyDescent="0.25">
      <c r="A48" s="15" t="s">
        <v>1062</v>
      </c>
      <c r="B48" s="38">
        <v>43277</v>
      </c>
      <c r="C48" s="15" t="s">
        <v>500</v>
      </c>
      <c r="D48" s="15" t="s">
        <v>178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275</v>
      </c>
      <c r="L48" s="15" t="s">
        <v>16</v>
      </c>
      <c r="M48" s="15" t="s">
        <v>51</v>
      </c>
      <c r="N48" s="15" t="s">
        <v>40</v>
      </c>
      <c r="O48" s="15" t="s">
        <v>18</v>
      </c>
      <c r="P48" s="36">
        <v>0.5</v>
      </c>
      <c r="V48" s="36">
        <v>0</v>
      </c>
      <c r="W48" s="15" t="s">
        <v>434</v>
      </c>
      <c r="X48" s="15" t="s">
        <v>136</v>
      </c>
      <c r="Y48" s="15" t="s">
        <v>51</v>
      </c>
      <c r="Z48" s="15" t="s">
        <v>40</v>
      </c>
      <c r="AA48" s="15" t="s">
        <v>18</v>
      </c>
      <c r="AB48" s="36">
        <v>0.5</v>
      </c>
      <c r="AE48" s="15" t="s">
        <v>562</v>
      </c>
    </row>
    <row r="49" spans="1:31" x14ac:dyDescent="0.25">
      <c r="A49" s="15" t="s">
        <v>1063</v>
      </c>
      <c r="B49" s="38">
        <v>43278</v>
      </c>
      <c r="C49" s="15" t="s">
        <v>500</v>
      </c>
      <c r="D49" s="15" t="s">
        <v>178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308</v>
      </c>
      <c r="L49" s="15" t="s">
        <v>101</v>
      </c>
      <c r="M49" s="15" t="s">
        <v>56</v>
      </c>
      <c r="N49" s="15" t="s">
        <v>40</v>
      </c>
      <c r="O49" s="15" t="s">
        <v>18</v>
      </c>
      <c r="P49" s="36">
        <v>0.5</v>
      </c>
      <c r="V49" s="36">
        <v>0</v>
      </c>
      <c r="W49" s="15" t="s">
        <v>426</v>
      </c>
      <c r="X49" s="15" t="s">
        <v>124</v>
      </c>
      <c r="Y49" s="15" t="s">
        <v>33</v>
      </c>
      <c r="Z49" s="15" t="s">
        <v>57</v>
      </c>
      <c r="AA49" s="15" t="s">
        <v>18</v>
      </c>
      <c r="AB49" s="36">
        <v>133</v>
      </c>
      <c r="AE49" s="15" t="s">
        <v>562</v>
      </c>
    </row>
    <row r="50" spans="1:31" x14ac:dyDescent="0.25">
      <c r="A50" s="15" t="s">
        <v>1064</v>
      </c>
      <c r="B50" s="38">
        <v>43279</v>
      </c>
      <c r="C50" s="15" t="s">
        <v>500</v>
      </c>
      <c r="D50" s="15" t="s">
        <v>178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308</v>
      </c>
      <c r="L50" s="15" t="s">
        <v>101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416</v>
      </c>
      <c r="X50" s="15" t="s">
        <v>106</v>
      </c>
      <c r="Y50" s="15" t="s">
        <v>33</v>
      </c>
      <c r="Z50" s="15" t="s">
        <v>40</v>
      </c>
      <c r="AA50" s="15" t="s">
        <v>18</v>
      </c>
      <c r="AB50" s="36">
        <v>1</v>
      </c>
      <c r="AE50" s="15" t="s">
        <v>562</v>
      </c>
    </row>
    <row r="51" spans="1:31" x14ac:dyDescent="0.25">
      <c r="A51" s="15" t="s">
        <v>1065</v>
      </c>
      <c r="B51" s="38">
        <v>43280</v>
      </c>
      <c r="C51" s="15" t="s">
        <v>500</v>
      </c>
      <c r="D51" s="15" t="s">
        <v>178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334</v>
      </c>
      <c r="L51" s="15" t="s">
        <v>147</v>
      </c>
      <c r="M51" s="15" t="s">
        <v>80</v>
      </c>
      <c r="N51" s="15" t="s">
        <v>34</v>
      </c>
      <c r="O51" s="15" t="s">
        <v>18</v>
      </c>
      <c r="P51" s="36">
        <v>1</v>
      </c>
      <c r="V51" s="36">
        <v>0</v>
      </c>
      <c r="W51" s="15" t="s">
        <v>426</v>
      </c>
      <c r="X51" s="15" t="s">
        <v>124</v>
      </c>
      <c r="Y51" s="15" t="s">
        <v>33</v>
      </c>
      <c r="Z51" s="15" t="s">
        <v>57</v>
      </c>
      <c r="AA51" s="15" t="s">
        <v>18</v>
      </c>
      <c r="AB51" s="36">
        <v>134</v>
      </c>
      <c r="AE51" s="15" t="s">
        <v>562</v>
      </c>
    </row>
    <row r="52" spans="1:31" x14ac:dyDescent="0.25">
      <c r="A52" s="15" t="s">
        <v>1066</v>
      </c>
      <c r="B52" s="38">
        <v>43281</v>
      </c>
      <c r="C52" s="15" t="s">
        <v>500</v>
      </c>
      <c r="D52" s="15" t="s">
        <v>178</v>
      </c>
      <c r="E52" s="15" t="s">
        <v>244</v>
      </c>
      <c r="F52" s="15" t="s">
        <v>64</v>
      </c>
      <c r="G52" s="15" t="s">
        <v>68</v>
      </c>
      <c r="H52" s="15" t="s">
        <v>69</v>
      </c>
      <c r="I52" s="15" t="s">
        <v>18</v>
      </c>
      <c r="J52" s="36">
        <v>2</v>
      </c>
      <c r="K52" s="15" t="s">
        <v>338</v>
      </c>
      <c r="L52" s="15" t="s">
        <v>153</v>
      </c>
      <c r="M52" s="15" t="s">
        <v>74</v>
      </c>
      <c r="N52" s="15" t="s">
        <v>131</v>
      </c>
      <c r="O52" s="15" t="s">
        <v>18</v>
      </c>
      <c r="P52" s="36">
        <v>10</v>
      </c>
      <c r="V52" s="36">
        <v>0</v>
      </c>
      <c r="W52" s="15" t="s">
        <v>416</v>
      </c>
      <c r="X52" s="15" t="s">
        <v>106</v>
      </c>
      <c r="Y52" s="15" t="s">
        <v>33</v>
      </c>
      <c r="Z52" s="15" t="s">
        <v>40</v>
      </c>
      <c r="AA52" s="15" t="s">
        <v>18</v>
      </c>
      <c r="AB52" s="36">
        <v>1</v>
      </c>
      <c r="AE52" s="15" t="s">
        <v>562</v>
      </c>
    </row>
    <row r="53" spans="1:31" ht="12.75" x14ac:dyDescent="0.2">
      <c r="A53" s="15" t="s">
        <v>1297</v>
      </c>
      <c r="B53" s="38">
        <v>43253</v>
      </c>
      <c r="C53" s="15" t="s">
        <v>500</v>
      </c>
      <c r="D53" s="15" t="s">
        <v>178</v>
      </c>
      <c r="J53" s="36">
        <v>0</v>
      </c>
      <c r="P53" s="36">
        <v>0</v>
      </c>
      <c r="V53" s="36">
        <v>0</v>
      </c>
      <c r="W53" s="15" t="s">
        <v>446</v>
      </c>
      <c r="X53" s="15" t="s">
        <v>154</v>
      </c>
      <c r="Y53" s="15" t="s">
        <v>62</v>
      </c>
      <c r="Z53" s="15" t="s">
        <v>111</v>
      </c>
      <c r="AA53" s="15" t="s">
        <v>25</v>
      </c>
      <c r="AB53" s="36">
        <v>1</v>
      </c>
      <c r="AE53" s="15" t="s">
        <v>569</v>
      </c>
    </row>
    <row r="54" spans="1:31" x14ac:dyDescent="0.25">
      <c r="A54" s="15" t="s">
        <v>1298</v>
      </c>
      <c r="B54" s="38">
        <v>43254</v>
      </c>
      <c r="C54" s="15" t="s">
        <v>500</v>
      </c>
      <c r="D54" s="15" t="s">
        <v>178</v>
      </c>
      <c r="J54" s="36">
        <v>0</v>
      </c>
      <c r="P54" s="36">
        <v>0</v>
      </c>
      <c r="V54" s="36">
        <v>0</v>
      </c>
      <c r="W54" s="15" t="s">
        <v>448</v>
      </c>
      <c r="X54" s="15" t="s">
        <v>102</v>
      </c>
      <c r="Y54" s="15" t="s">
        <v>62</v>
      </c>
      <c r="Z54" s="15" t="s">
        <v>140</v>
      </c>
      <c r="AA54" s="15" t="s">
        <v>25</v>
      </c>
      <c r="AB54" s="36">
        <v>1</v>
      </c>
      <c r="AE54" s="15" t="s">
        <v>569</v>
      </c>
    </row>
    <row r="55" spans="1:31" ht="12.75" x14ac:dyDescent="0.2">
      <c r="A55" s="15" t="s">
        <v>1299</v>
      </c>
      <c r="B55" s="38">
        <v>43260</v>
      </c>
      <c r="C55" s="15" t="s">
        <v>500</v>
      </c>
      <c r="D55" s="15" t="s">
        <v>178</v>
      </c>
      <c r="J55" s="36">
        <v>0</v>
      </c>
      <c r="P55" s="36">
        <v>0</v>
      </c>
      <c r="V55" s="36">
        <v>0</v>
      </c>
      <c r="W55" s="15" t="s">
        <v>450</v>
      </c>
      <c r="X55" s="15" t="s">
        <v>157</v>
      </c>
      <c r="Y55" s="15" t="s">
        <v>62</v>
      </c>
      <c r="Z55" s="15" t="s">
        <v>111</v>
      </c>
      <c r="AA55" s="15" t="s">
        <v>25</v>
      </c>
      <c r="AB55" s="36">
        <v>1</v>
      </c>
      <c r="AE55" s="15" t="s">
        <v>569</v>
      </c>
    </row>
    <row r="56" spans="1:31" ht="12.75" x14ac:dyDescent="0.2">
      <c r="A56" s="15" t="s">
        <v>1300</v>
      </c>
      <c r="B56" s="38">
        <v>43261</v>
      </c>
      <c r="C56" s="15" t="s">
        <v>500</v>
      </c>
      <c r="D56" s="15" t="s">
        <v>178</v>
      </c>
      <c r="J56" s="36">
        <v>0</v>
      </c>
      <c r="P56" s="36">
        <v>0</v>
      </c>
      <c r="V56" s="36">
        <v>0</v>
      </c>
      <c r="W56" s="15" t="s">
        <v>452</v>
      </c>
      <c r="X56" s="15" t="s">
        <v>159</v>
      </c>
      <c r="Y56" s="15" t="s">
        <v>62</v>
      </c>
      <c r="Z56" s="15" t="s">
        <v>111</v>
      </c>
      <c r="AA56" s="15" t="s">
        <v>25</v>
      </c>
      <c r="AB56" s="36">
        <v>1</v>
      </c>
      <c r="AE56" s="15" t="s">
        <v>569</v>
      </c>
    </row>
    <row r="57" spans="1:31" ht="12.75" x14ac:dyDescent="0.2">
      <c r="A57" s="15" t="s">
        <v>1301</v>
      </c>
      <c r="B57" s="38">
        <v>43267</v>
      </c>
      <c r="C57" s="15" t="s">
        <v>500</v>
      </c>
      <c r="D57" s="15" t="s">
        <v>178</v>
      </c>
      <c r="J57" s="36">
        <v>0</v>
      </c>
      <c r="P57" s="36">
        <v>0</v>
      </c>
      <c r="V57" s="36">
        <v>0</v>
      </c>
      <c r="W57" s="15" t="s">
        <v>440</v>
      </c>
      <c r="X57" s="15" t="s">
        <v>145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569</v>
      </c>
    </row>
    <row r="58" spans="1:31" x14ac:dyDescent="0.25">
      <c r="A58" s="15" t="s">
        <v>1302</v>
      </c>
      <c r="B58" s="38">
        <v>43268</v>
      </c>
      <c r="C58" s="15" t="s">
        <v>500</v>
      </c>
      <c r="D58" s="15" t="s">
        <v>178</v>
      </c>
      <c r="J58" s="36">
        <v>0</v>
      </c>
      <c r="P58" s="36">
        <v>0</v>
      </c>
      <c r="V58" s="36">
        <v>0</v>
      </c>
      <c r="W58" s="15" t="s">
        <v>442</v>
      </c>
      <c r="X58" s="15" t="s">
        <v>148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569</v>
      </c>
    </row>
    <row r="59" spans="1:31" ht="12.75" x14ac:dyDescent="0.2">
      <c r="A59" s="15" t="s">
        <v>1303</v>
      </c>
      <c r="B59" s="38">
        <v>43274</v>
      </c>
      <c r="C59" s="15" t="s">
        <v>500</v>
      </c>
      <c r="D59" s="15" t="s">
        <v>178</v>
      </c>
      <c r="J59" s="36">
        <v>0</v>
      </c>
      <c r="P59" s="36">
        <v>0</v>
      </c>
      <c r="V59" s="36">
        <v>0</v>
      </c>
      <c r="W59" s="15" t="s">
        <v>444</v>
      </c>
      <c r="X59" s="15" t="s">
        <v>151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569</v>
      </c>
    </row>
    <row r="60" spans="1:31" ht="12.75" x14ac:dyDescent="0.2">
      <c r="A60" s="15" t="s">
        <v>1304</v>
      </c>
      <c r="B60" s="38">
        <v>43275</v>
      </c>
      <c r="C60" s="15" t="s">
        <v>500</v>
      </c>
      <c r="D60" s="15" t="s">
        <v>178</v>
      </c>
      <c r="J60" s="36">
        <v>0</v>
      </c>
      <c r="P60" s="36">
        <v>0</v>
      </c>
      <c r="V60" s="36">
        <v>0</v>
      </c>
      <c r="W60" s="15" t="s">
        <v>446</v>
      </c>
      <c r="X60" s="15" t="s">
        <v>154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569</v>
      </c>
    </row>
    <row r="61" spans="1:31" x14ac:dyDescent="0.25">
      <c r="A61" s="15" t="s">
        <v>1305</v>
      </c>
      <c r="B61" s="38">
        <v>43281</v>
      </c>
      <c r="C61" s="15" t="s">
        <v>500</v>
      </c>
      <c r="D61" s="15" t="s">
        <v>178</v>
      </c>
      <c r="J61" s="36">
        <v>0</v>
      </c>
      <c r="P61" s="36">
        <v>0</v>
      </c>
      <c r="V61" s="36">
        <v>0</v>
      </c>
      <c r="W61" s="15" t="s">
        <v>448</v>
      </c>
      <c r="X61" s="15" t="s">
        <v>102</v>
      </c>
      <c r="Y61" s="15" t="s">
        <v>62</v>
      </c>
      <c r="Z61" s="15" t="s">
        <v>140</v>
      </c>
      <c r="AA61" s="15" t="s">
        <v>25</v>
      </c>
      <c r="AB61" s="36">
        <v>1</v>
      </c>
      <c r="AE61" s="15" t="s">
        <v>569</v>
      </c>
    </row>
  </sheetData>
  <mergeCells count="1">
    <mergeCell ref="A1:A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Juillet"/>
  <dimension ref="A1:AE65"/>
  <sheetViews>
    <sheetView topLeftCell="C31" workbookViewId="0">
      <selection activeCell="A65" sqref="A65"/>
    </sheetView>
  </sheetViews>
  <sheetFormatPr baseColWidth="10" defaultColWidth="11.07421875" defaultRowHeight="13.2" x14ac:dyDescent="0.25"/>
  <cols>
    <col min="1" max="1" width="11.07421875" style="15"/>
    <col min="2" max="2" width="14.5351562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17.6914062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5.6914062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3.15234375" style="15" bestFit="1" customWidth="1"/>
    <col min="25" max="25" width="16.1523437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2.07421875" style="15" bestFit="1" customWidth="1"/>
    <col min="30" max="30" width="9" style="15" bestFit="1" customWidth="1"/>
    <col min="31" max="31" width="26.84375" style="15" bestFit="1" customWidth="1"/>
    <col min="32" max="16384" width="11.07421875" style="15"/>
  </cols>
  <sheetData>
    <row r="1" spans="1:31" ht="12.75" x14ac:dyDescent="0.2">
      <c r="A1" s="69" t="s">
        <v>746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40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744</v>
      </c>
      <c r="B4" s="38">
        <v>43283</v>
      </c>
      <c r="C4" s="15" t="s">
        <v>502</v>
      </c>
      <c r="D4" s="15" t="s">
        <v>179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350</v>
      </c>
      <c r="L4" s="15" t="s">
        <v>15</v>
      </c>
      <c r="M4" s="15" t="s">
        <v>39</v>
      </c>
      <c r="N4" s="15" t="s">
        <v>34</v>
      </c>
      <c r="O4" s="15" t="s">
        <v>10</v>
      </c>
      <c r="P4" s="36">
        <v>1</v>
      </c>
      <c r="V4" s="36">
        <v>0</v>
      </c>
      <c r="W4" s="15" t="s">
        <v>456</v>
      </c>
      <c r="X4" s="15" t="s">
        <v>163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551</v>
      </c>
    </row>
    <row r="5" spans="1:31" x14ac:dyDescent="0.25">
      <c r="A5" s="15" t="s">
        <v>745</v>
      </c>
      <c r="B5" s="38">
        <v>43284</v>
      </c>
      <c r="C5" s="15" t="s">
        <v>502</v>
      </c>
      <c r="D5" s="15" t="s">
        <v>179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352</v>
      </c>
      <c r="L5" s="15" t="s">
        <v>123</v>
      </c>
      <c r="M5" s="15" t="s">
        <v>39</v>
      </c>
      <c r="N5" s="15" t="s">
        <v>140</v>
      </c>
      <c r="O5" s="15" t="s">
        <v>10</v>
      </c>
      <c r="P5" s="36">
        <v>1</v>
      </c>
      <c r="V5" s="36">
        <v>0</v>
      </c>
      <c r="W5" s="15" t="s">
        <v>456</v>
      </c>
      <c r="X5" s="15" t="s">
        <v>163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551</v>
      </c>
    </row>
    <row r="6" spans="1:31" x14ac:dyDescent="0.25">
      <c r="A6" s="15" t="s">
        <v>747</v>
      </c>
      <c r="B6" s="38">
        <v>43285</v>
      </c>
      <c r="C6" s="15" t="s">
        <v>502</v>
      </c>
      <c r="D6" s="15" t="s">
        <v>179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354</v>
      </c>
      <c r="L6" s="15" t="s">
        <v>129</v>
      </c>
      <c r="M6" s="15" t="s">
        <v>39</v>
      </c>
      <c r="N6" s="15" t="s">
        <v>155</v>
      </c>
      <c r="O6" s="15" t="s">
        <v>10</v>
      </c>
      <c r="P6" s="36">
        <v>2</v>
      </c>
      <c r="V6" s="36">
        <v>0</v>
      </c>
      <c r="W6" s="15" t="s">
        <v>456</v>
      </c>
      <c r="X6" s="15" t="s">
        <v>163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551</v>
      </c>
    </row>
    <row r="7" spans="1:31" x14ac:dyDescent="0.25">
      <c r="A7" s="15" t="s">
        <v>748</v>
      </c>
      <c r="B7" s="38">
        <v>43286</v>
      </c>
      <c r="C7" s="15" t="s">
        <v>502</v>
      </c>
      <c r="D7" s="15" t="s">
        <v>179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356</v>
      </c>
      <c r="L7" s="15" t="s">
        <v>132</v>
      </c>
      <c r="M7" s="15" t="s">
        <v>39</v>
      </c>
      <c r="N7" s="15" t="s">
        <v>134</v>
      </c>
      <c r="O7" s="15" t="s">
        <v>10</v>
      </c>
      <c r="P7" s="36">
        <v>1</v>
      </c>
      <c r="V7" s="36">
        <v>0</v>
      </c>
      <c r="W7" s="15" t="s">
        <v>456</v>
      </c>
      <c r="X7" s="15" t="s">
        <v>163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551</v>
      </c>
    </row>
    <row r="8" spans="1:31" x14ac:dyDescent="0.25">
      <c r="A8" s="15" t="s">
        <v>749</v>
      </c>
      <c r="B8" s="38">
        <v>43287</v>
      </c>
      <c r="C8" s="15" t="s">
        <v>502</v>
      </c>
      <c r="D8" s="15" t="s">
        <v>179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358</v>
      </c>
      <c r="L8" s="15" t="s">
        <v>135</v>
      </c>
      <c r="M8" s="15" t="s">
        <v>39</v>
      </c>
      <c r="N8" s="15" t="s">
        <v>34</v>
      </c>
      <c r="O8" s="15" t="s">
        <v>10</v>
      </c>
      <c r="P8" s="36">
        <v>1</v>
      </c>
      <c r="V8" s="36">
        <v>0</v>
      </c>
      <c r="W8" s="15" t="s">
        <v>456</v>
      </c>
      <c r="X8" s="15" t="s">
        <v>163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551</v>
      </c>
    </row>
    <row r="9" spans="1:31" x14ac:dyDescent="0.25">
      <c r="A9" s="15" t="s">
        <v>750</v>
      </c>
      <c r="B9" s="38">
        <v>43290</v>
      </c>
      <c r="C9" s="15" t="s">
        <v>502</v>
      </c>
      <c r="D9" s="15" t="s">
        <v>179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360</v>
      </c>
      <c r="L9" s="15" t="s">
        <v>138</v>
      </c>
      <c r="M9" s="15" t="s">
        <v>39</v>
      </c>
      <c r="N9" s="15" t="s">
        <v>140</v>
      </c>
      <c r="O9" s="15" t="s">
        <v>10</v>
      </c>
      <c r="P9" s="36">
        <v>1</v>
      </c>
      <c r="V9" s="36">
        <v>0</v>
      </c>
      <c r="W9" s="15" t="s">
        <v>457</v>
      </c>
      <c r="X9" s="15" t="s">
        <v>164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551</v>
      </c>
    </row>
    <row r="10" spans="1:31" x14ac:dyDescent="0.25">
      <c r="A10" s="15" t="s">
        <v>751</v>
      </c>
      <c r="B10" s="38">
        <v>43291</v>
      </c>
      <c r="C10" s="15" t="s">
        <v>502</v>
      </c>
      <c r="D10" s="15" t="s">
        <v>179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362</v>
      </c>
      <c r="L10" s="15" t="s">
        <v>42</v>
      </c>
      <c r="M10" s="15" t="s">
        <v>39</v>
      </c>
      <c r="N10" s="15" t="s">
        <v>125</v>
      </c>
      <c r="O10" s="15" t="s">
        <v>10</v>
      </c>
      <c r="P10" s="36">
        <v>25</v>
      </c>
      <c r="V10" s="36">
        <v>0</v>
      </c>
      <c r="W10" s="15" t="s">
        <v>457</v>
      </c>
      <c r="X10" s="15" t="s">
        <v>164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551</v>
      </c>
    </row>
    <row r="11" spans="1:31" x14ac:dyDescent="0.25">
      <c r="A11" s="15" t="s">
        <v>752</v>
      </c>
      <c r="B11" s="38">
        <v>43292</v>
      </c>
      <c r="C11" s="15" t="s">
        <v>502</v>
      </c>
      <c r="D11" s="15" t="s">
        <v>179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364</v>
      </c>
      <c r="L11" s="15" t="s">
        <v>59</v>
      </c>
      <c r="M11" s="15" t="s">
        <v>39</v>
      </c>
      <c r="N11" s="15" t="s">
        <v>40</v>
      </c>
      <c r="O11" s="15" t="s">
        <v>10</v>
      </c>
      <c r="P11" s="36">
        <v>0.5</v>
      </c>
      <c r="V11" s="36">
        <v>0</v>
      </c>
      <c r="W11" s="15" t="s">
        <v>457</v>
      </c>
      <c r="X11" s="15" t="s">
        <v>164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551</v>
      </c>
    </row>
    <row r="12" spans="1:31" x14ac:dyDescent="0.25">
      <c r="A12" s="15" t="s">
        <v>753</v>
      </c>
      <c r="B12" s="38">
        <v>43293</v>
      </c>
      <c r="C12" s="15" t="s">
        <v>502</v>
      </c>
      <c r="D12" s="15" t="s">
        <v>179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364</v>
      </c>
      <c r="L12" s="15" t="s">
        <v>59</v>
      </c>
      <c r="M12" s="15" t="s">
        <v>39</v>
      </c>
      <c r="N12" s="15" t="s">
        <v>40</v>
      </c>
      <c r="O12" s="15" t="s">
        <v>10</v>
      </c>
      <c r="P12" s="36">
        <v>0.5</v>
      </c>
      <c r="V12" s="36">
        <v>0</v>
      </c>
      <c r="W12" s="15" t="s">
        <v>457</v>
      </c>
      <c r="X12" s="15" t="s">
        <v>164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551</v>
      </c>
    </row>
    <row r="13" spans="1:31" x14ac:dyDescent="0.25">
      <c r="A13" s="15" t="s">
        <v>754</v>
      </c>
      <c r="B13" s="38">
        <v>43294</v>
      </c>
      <c r="C13" s="15" t="s">
        <v>502</v>
      </c>
      <c r="D13" s="15" t="s">
        <v>179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366</v>
      </c>
      <c r="L13" s="15" t="s">
        <v>153</v>
      </c>
      <c r="M13" s="15" t="s">
        <v>39</v>
      </c>
      <c r="N13" s="15" t="s">
        <v>131</v>
      </c>
      <c r="O13" s="15" t="s">
        <v>10</v>
      </c>
      <c r="P13" s="36">
        <v>5</v>
      </c>
      <c r="V13" s="36">
        <v>0</v>
      </c>
      <c r="W13" s="15" t="s">
        <v>457</v>
      </c>
      <c r="X13" s="15" t="s">
        <v>164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551</v>
      </c>
    </row>
    <row r="14" spans="1:31" x14ac:dyDescent="0.25">
      <c r="A14" s="15" t="s">
        <v>755</v>
      </c>
      <c r="B14" s="38">
        <v>43297</v>
      </c>
      <c r="C14" s="15" t="s">
        <v>502</v>
      </c>
      <c r="D14" s="15" t="s">
        <v>179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368</v>
      </c>
      <c r="L14" s="15" t="s">
        <v>156</v>
      </c>
      <c r="M14" s="15" t="s">
        <v>39</v>
      </c>
      <c r="N14" s="15" t="s">
        <v>131</v>
      </c>
      <c r="O14" s="15" t="s">
        <v>10</v>
      </c>
      <c r="P14" s="36">
        <v>5</v>
      </c>
      <c r="V14" s="36">
        <v>0</v>
      </c>
      <c r="W14" s="15" t="s">
        <v>459</v>
      </c>
      <c r="X14" s="15" t="s">
        <v>165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551</v>
      </c>
    </row>
    <row r="15" spans="1:31" x14ac:dyDescent="0.25">
      <c r="A15" s="15" t="s">
        <v>756</v>
      </c>
      <c r="B15" s="38">
        <v>43298</v>
      </c>
      <c r="C15" s="15" t="s">
        <v>502</v>
      </c>
      <c r="D15" s="15" t="s">
        <v>179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370</v>
      </c>
      <c r="L15" s="15" t="s">
        <v>71</v>
      </c>
      <c r="M15" s="15" t="s">
        <v>39</v>
      </c>
      <c r="N15" s="15" t="s">
        <v>140</v>
      </c>
      <c r="O15" s="15" t="s">
        <v>10</v>
      </c>
      <c r="P15" s="36">
        <v>1</v>
      </c>
      <c r="V15" s="36">
        <v>0</v>
      </c>
      <c r="W15" s="15" t="s">
        <v>459</v>
      </c>
      <c r="X15" s="15" t="s">
        <v>165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551</v>
      </c>
    </row>
    <row r="16" spans="1:31" x14ac:dyDescent="0.25">
      <c r="A16" s="15" t="s">
        <v>757</v>
      </c>
      <c r="B16" s="38">
        <v>43299</v>
      </c>
      <c r="C16" s="15" t="s">
        <v>502</v>
      </c>
      <c r="D16" s="15" t="s">
        <v>179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372</v>
      </c>
      <c r="L16" s="15" t="s">
        <v>77</v>
      </c>
      <c r="M16" s="15" t="s">
        <v>39</v>
      </c>
      <c r="N16" s="15" t="s">
        <v>140</v>
      </c>
      <c r="O16" s="15" t="s">
        <v>10</v>
      </c>
      <c r="P16" s="36">
        <v>1</v>
      </c>
      <c r="V16" s="36">
        <v>0</v>
      </c>
      <c r="W16" s="15" t="s">
        <v>459</v>
      </c>
      <c r="X16" s="15" t="s">
        <v>165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551</v>
      </c>
    </row>
    <row r="17" spans="1:31" x14ac:dyDescent="0.25">
      <c r="A17" s="15" t="s">
        <v>758</v>
      </c>
      <c r="B17" s="38">
        <v>43300</v>
      </c>
      <c r="C17" s="15" t="s">
        <v>502</v>
      </c>
      <c r="D17" s="15" t="s">
        <v>179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374</v>
      </c>
      <c r="L17" s="15" t="s">
        <v>83</v>
      </c>
      <c r="M17" s="15" t="s">
        <v>39</v>
      </c>
      <c r="N17" s="15" t="s">
        <v>125</v>
      </c>
      <c r="O17" s="15" t="s">
        <v>10</v>
      </c>
      <c r="P17" s="36">
        <v>25</v>
      </c>
      <c r="V17" s="36">
        <v>0</v>
      </c>
      <c r="W17" s="15" t="s">
        <v>459</v>
      </c>
      <c r="X17" s="15" t="s">
        <v>165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551</v>
      </c>
    </row>
    <row r="18" spans="1:31" x14ac:dyDescent="0.25">
      <c r="A18" s="15" t="s">
        <v>759</v>
      </c>
      <c r="B18" s="38">
        <v>43301</v>
      </c>
      <c r="C18" s="15" t="s">
        <v>502</v>
      </c>
      <c r="D18" s="15" t="s">
        <v>179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376</v>
      </c>
      <c r="L18" s="15" t="s">
        <v>141</v>
      </c>
      <c r="M18" s="15" t="s">
        <v>39</v>
      </c>
      <c r="N18" s="15" t="s">
        <v>224</v>
      </c>
      <c r="O18" s="15" t="s">
        <v>10</v>
      </c>
      <c r="P18" s="36">
        <v>0.5</v>
      </c>
      <c r="V18" s="36">
        <v>0</v>
      </c>
      <c r="W18" s="15" t="s">
        <v>459</v>
      </c>
      <c r="X18" s="15" t="s">
        <v>165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551</v>
      </c>
    </row>
    <row r="19" spans="1:31" x14ac:dyDescent="0.25">
      <c r="A19" s="15" t="s">
        <v>760</v>
      </c>
      <c r="B19" s="38">
        <v>43304</v>
      </c>
      <c r="C19" s="15" t="s">
        <v>502</v>
      </c>
      <c r="D19" s="15" t="s">
        <v>179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376</v>
      </c>
      <c r="L19" s="15" t="s">
        <v>141</v>
      </c>
      <c r="M19" s="15" t="s">
        <v>39</v>
      </c>
      <c r="N19" s="15" t="s">
        <v>224</v>
      </c>
      <c r="O19" s="15" t="s">
        <v>10</v>
      </c>
      <c r="P19" s="36">
        <v>0.5</v>
      </c>
      <c r="V19" s="36">
        <v>0</v>
      </c>
      <c r="W19" s="15" t="s">
        <v>462</v>
      </c>
      <c r="X19" s="15" t="s">
        <v>166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551</v>
      </c>
    </row>
    <row r="20" spans="1:31" x14ac:dyDescent="0.25">
      <c r="A20" s="15" t="s">
        <v>761</v>
      </c>
      <c r="B20" s="38">
        <v>43305</v>
      </c>
      <c r="C20" s="15" t="s">
        <v>502</v>
      </c>
      <c r="D20" s="15" t="s">
        <v>179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378</v>
      </c>
      <c r="L20" s="15" t="s">
        <v>93</v>
      </c>
      <c r="M20" s="15" t="s">
        <v>39</v>
      </c>
      <c r="N20" s="15" t="s">
        <v>125</v>
      </c>
      <c r="O20" s="15" t="s">
        <v>10</v>
      </c>
      <c r="P20" s="36">
        <v>25</v>
      </c>
      <c r="V20" s="36">
        <v>0</v>
      </c>
      <c r="W20" s="15" t="s">
        <v>462</v>
      </c>
      <c r="X20" s="15" t="s">
        <v>166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551</v>
      </c>
    </row>
    <row r="21" spans="1:31" x14ac:dyDescent="0.25">
      <c r="A21" s="15" t="s">
        <v>762</v>
      </c>
      <c r="B21" s="38">
        <v>43306</v>
      </c>
      <c r="C21" s="15" t="s">
        <v>502</v>
      </c>
      <c r="D21" s="15" t="s">
        <v>179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380</v>
      </c>
      <c r="L21" s="15" t="s">
        <v>144</v>
      </c>
      <c r="M21" s="15" t="s">
        <v>39</v>
      </c>
      <c r="N21" s="15" t="s">
        <v>149</v>
      </c>
      <c r="O21" s="15" t="s">
        <v>10</v>
      </c>
      <c r="P21" s="36">
        <v>1</v>
      </c>
      <c r="V21" s="36">
        <v>0</v>
      </c>
      <c r="W21" s="15" t="s">
        <v>462</v>
      </c>
      <c r="X21" s="15" t="s">
        <v>166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551</v>
      </c>
    </row>
    <row r="22" spans="1:31" x14ac:dyDescent="0.25">
      <c r="A22" s="15" t="s">
        <v>763</v>
      </c>
      <c r="B22" s="38">
        <v>43307</v>
      </c>
      <c r="C22" s="15" t="s">
        <v>502</v>
      </c>
      <c r="D22" s="15" t="s">
        <v>179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382</v>
      </c>
      <c r="L22" s="15" t="s">
        <v>150</v>
      </c>
      <c r="M22" s="15" t="s">
        <v>39</v>
      </c>
      <c r="N22" s="15" t="s">
        <v>155</v>
      </c>
      <c r="O22" s="15" t="s">
        <v>10</v>
      </c>
      <c r="P22" s="36">
        <v>2</v>
      </c>
      <c r="V22" s="36">
        <v>0</v>
      </c>
      <c r="W22" s="15" t="s">
        <v>462</v>
      </c>
      <c r="X22" s="15" t="s">
        <v>166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551</v>
      </c>
    </row>
    <row r="23" spans="1:31" x14ac:dyDescent="0.25">
      <c r="A23" s="15" t="s">
        <v>764</v>
      </c>
      <c r="B23" s="38">
        <v>43308</v>
      </c>
      <c r="C23" s="15" t="s">
        <v>502</v>
      </c>
      <c r="D23" s="15" t="s">
        <v>179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350</v>
      </c>
      <c r="L23" s="15" t="s">
        <v>15</v>
      </c>
      <c r="M23" s="15" t="s">
        <v>39</v>
      </c>
      <c r="N23" s="15" t="s">
        <v>34</v>
      </c>
      <c r="O23" s="15" t="s">
        <v>10</v>
      </c>
      <c r="P23" s="36">
        <v>1</v>
      </c>
      <c r="V23" s="36">
        <v>0</v>
      </c>
      <c r="W23" s="15" t="s">
        <v>462</v>
      </c>
      <c r="X23" s="15" t="s">
        <v>166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551</v>
      </c>
    </row>
    <row r="24" spans="1:31" x14ac:dyDescent="0.25">
      <c r="A24" s="15" t="s">
        <v>765</v>
      </c>
      <c r="B24" s="38">
        <v>43311</v>
      </c>
      <c r="C24" s="15" t="s">
        <v>502</v>
      </c>
      <c r="D24" s="15" t="s">
        <v>179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352</v>
      </c>
      <c r="L24" s="15" t="s">
        <v>123</v>
      </c>
      <c r="M24" s="15" t="s">
        <v>39</v>
      </c>
      <c r="N24" s="15" t="s">
        <v>140</v>
      </c>
      <c r="O24" s="15" t="s">
        <v>10</v>
      </c>
      <c r="P24" s="36">
        <v>1</v>
      </c>
      <c r="V24" s="36">
        <v>0</v>
      </c>
      <c r="W24" s="15" t="s">
        <v>454</v>
      </c>
      <c r="X24" s="15" t="s">
        <v>161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551</v>
      </c>
    </row>
    <row r="25" spans="1:31" x14ac:dyDescent="0.25">
      <c r="A25" s="15" t="s">
        <v>766</v>
      </c>
      <c r="B25" s="38">
        <v>43312</v>
      </c>
      <c r="C25" s="15" t="s">
        <v>502</v>
      </c>
      <c r="D25" s="15" t="s">
        <v>179</v>
      </c>
      <c r="E25" s="15" t="s">
        <v>272</v>
      </c>
      <c r="F25" s="15" t="s">
        <v>104</v>
      </c>
      <c r="G25" s="15" t="s">
        <v>39</v>
      </c>
      <c r="H25" s="15" t="s">
        <v>99</v>
      </c>
      <c r="I25" s="15" t="s">
        <v>10</v>
      </c>
      <c r="J25" s="36">
        <v>1</v>
      </c>
      <c r="K25" s="15" t="s">
        <v>354</v>
      </c>
      <c r="L25" s="15" t="s">
        <v>129</v>
      </c>
      <c r="M25" s="15" t="s">
        <v>39</v>
      </c>
      <c r="N25" s="15" t="s">
        <v>155</v>
      </c>
      <c r="O25" s="15" t="s">
        <v>10</v>
      </c>
      <c r="P25" s="36">
        <v>2</v>
      </c>
      <c r="V25" s="36">
        <v>0</v>
      </c>
      <c r="W25" s="15" t="s">
        <v>454</v>
      </c>
      <c r="X25" s="15" t="s">
        <v>161</v>
      </c>
      <c r="Y25" s="15" t="s">
        <v>39</v>
      </c>
      <c r="Z25" s="15" t="s">
        <v>63</v>
      </c>
      <c r="AA25" s="15" t="s">
        <v>10</v>
      </c>
      <c r="AB25" s="36">
        <v>100</v>
      </c>
      <c r="AE25" s="15" t="s">
        <v>551</v>
      </c>
    </row>
    <row r="26" spans="1:31" x14ac:dyDescent="0.25">
      <c r="A26" s="15" t="s">
        <v>1068</v>
      </c>
      <c r="B26" s="38">
        <v>43282</v>
      </c>
      <c r="C26" s="15" t="s">
        <v>502</v>
      </c>
      <c r="D26" s="15" t="s">
        <v>179</v>
      </c>
      <c r="E26" s="15" t="s">
        <v>244</v>
      </c>
      <c r="F26" s="15" t="s">
        <v>64</v>
      </c>
      <c r="G26" s="15" t="s">
        <v>68</v>
      </c>
      <c r="H26" s="15" t="s">
        <v>69</v>
      </c>
      <c r="I26" s="15" t="s">
        <v>18</v>
      </c>
      <c r="J26" s="36">
        <v>2</v>
      </c>
      <c r="K26" s="15" t="s">
        <v>348</v>
      </c>
      <c r="L26" s="15" t="s">
        <v>53</v>
      </c>
      <c r="M26" s="15" t="s">
        <v>20</v>
      </c>
      <c r="N26" s="15" t="s">
        <v>40</v>
      </c>
      <c r="O26" s="15" t="s">
        <v>18</v>
      </c>
      <c r="P26" s="36">
        <v>1</v>
      </c>
      <c r="V26" s="36">
        <v>0</v>
      </c>
      <c r="W26" s="15" t="s">
        <v>426</v>
      </c>
      <c r="X26" s="15" t="s">
        <v>124</v>
      </c>
      <c r="Y26" s="15" t="s">
        <v>33</v>
      </c>
      <c r="Z26" s="15" t="s">
        <v>57</v>
      </c>
      <c r="AA26" s="15" t="s">
        <v>18</v>
      </c>
      <c r="AB26" s="36">
        <v>133</v>
      </c>
      <c r="AE26" s="15" t="s">
        <v>563</v>
      </c>
    </row>
    <row r="27" spans="1:31" x14ac:dyDescent="0.25">
      <c r="A27" s="15" t="s">
        <v>1069</v>
      </c>
      <c r="B27" s="38">
        <v>43283</v>
      </c>
      <c r="C27" s="15" t="s">
        <v>502</v>
      </c>
      <c r="D27" s="15" t="s">
        <v>179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278</v>
      </c>
      <c r="L27" s="15" t="s">
        <v>23</v>
      </c>
      <c r="M27" s="15" t="s">
        <v>51</v>
      </c>
      <c r="N27" s="15" t="s">
        <v>40</v>
      </c>
      <c r="O27" s="15" t="s">
        <v>18</v>
      </c>
      <c r="P27" s="36">
        <v>0.5</v>
      </c>
      <c r="V27" s="36">
        <v>0</v>
      </c>
      <c r="W27" s="15" t="s">
        <v>436</v>
      </c>
      <c r="X27" s="15" t="s">
        <v>139</v>
      </c>
      <c r="Y27" s="15" t="s">
        <v>51</v>
      </c>
      <c r="Z27" s="15" t="s">
        <v>40</v>
      </c>
      <c r="AA27" s="15" t="s">
        <v>18</v>
      </c>
      <c r="AB27" s="36">
        <v>0.5</v>
      </c>
      <c r="AE27" s="15" t="s">
        <v>563</v>
      </c>
    </row>
    <row r="28" spans="1:31" x14ac:dyDescent="0.25">
      <c r="A28" s="15" t="s">
        <v>1070</v>
      </c>
      <c r="B28" s="38">
        <v>43284</v>
      </c>
      <c r="C28" s="15" t="s">
        <v>502</v>
      </c>
      <c r="D28" s="15" t="s">
        <v>179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278</v>
      </c>
      <c r="L28" s="15" t="s">
        <v>23</v>
      </c>
      <c r="M28" s="15" t="s">
        <v>51</v>
      </c>
      <c r="N28" s="15" t="s">
        <v>40</v>
      </c>
      <c r="O28" s="15" t="s">
        <v>18</v>
      </c>
      <c r="P28" s="36">
        <v>0.5</v>
      </c>
      <c r="V28" s="36">
        <v>0</v>
      </c>
      <c r="W28" s="15" t="s">
        <v>436</v>
      </c>
      <c r="X28" s="15" t="s">
        <v>139</v>
      </c>
      <c r="Y28" s="15" t="s">
        <v>51</v>
      </c>
      <c r="Z28" s="15" t="s">
        <v>40</v>
      </c>
      <c r="AA28" s="15" t="s">
        <v>18</v>
      </c>
      <c r="AB28" s="36">
        <v>0.5</v>
      </c>
      <c r="AE28" s="15" t="s">
        <v>563</v>
      </c>
    </row>
    <row r="29" spans="1:31" x14ac:dyDescent="0.25">
      <c r="A29" s="15" t="s">
        <v>1071</v>
      </c>
      <c r="B29" s="38">
        <v>43285</v>
      </c>
      <c r="C29" s="15" t="s">
        <v>502</v>
      </c>
      <c r="D29" s="15" t="s">
        <v>179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310</v>
      </c>
      <c r="L29" s="15" t="s">
        <v>105</v>
      </c>
      <c r="M29" s="15" t="s">
        <v>56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418</v>
      </c>
      <c r="X29" s="15" t="s">
        <v>110</v>
      </c>
      <c r="Y29" s="15" t="s">
        <v>33</v>
      </c>
      <c r="Z29" s="15" t="s">
        <v>128</v>
      </c>
      <c r="AA29" s="15" t="s">
        <v>18</v>
      </c>
      <c r="AB29" s="36">
        <v>3</v>
      </c>
      <c r="AE29" s="15" t="s">
        <v>563</v>
      </c>
    </row>
    <row r="30" spans="1:31" x14ac:dyDescent="0.25">
      <c r="A30" s="15" t="s">
        <v>1072</v>
      </c>
      <c r="B30" s="38">
        <v>43286</v>
      </c>
      <c r="C30" s="15" t="s">
        <v>502</v>
      </c>
      <c r="D30" s="15" t="s">
        <v>179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310</v>
      </c>
      <c r="L30" s="15" t="s">
        <v>105</v>
      </c>
      <c r="M30" s="15" t="s">
        <v>56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133</v>
      </c>
      <c r="AE30" s="15" t="s">
        <v>563</v>
      </c>
    </row>
    <row r="31" spans="1:31" x14ac:dyDescent="0.25">
      <c r="A31" s="15" t="s">
        <v>1073</v>
      </c>
      <c r="B31" s="38">
        <v>43287</v>
      </c>
      <c r="C31" s="15" t="s">
        <v>502</v>
      </c>
      <c r="D31" s="15" t="s">
        <v>179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336</v>
      </c>
      <c r="L31" s="15" t="s">
        <v>150</v>
      </c>
      <c r="M31" s="15" t="s">
        <v>80</v>
      </c>
      <c r="N31" s="15" t="s">
        <v>155</v>
      </c>
      <c r="O31" s="15" t="s">
        <v>18</v>
      </c>
      <c r="P31" s="36">
        <v>2</v>
      </c>
      <c r="V31" s="36">
        <v>0</v>
      </c>
      <c r="W31" s="15" t="s">
        <v>418</v>
      </c>
      <c r="X31" s="15" t="s">
        <v>110</v>
      </c>
      <c r="Y31" s="15" t="s">
        <v>33</v>
      </c>
      <c r="Z31" s="15" t="s">
        <v>128</v>
      </c>
      <c r="AA31" s="15" t="s">
        <v>18</v>
      </c>
      <c r="AB31" s="36">
        <v>3</v>
      </c>
      <c r="AE31" s="15" t="s">
        <v>563</v>
      </c>
    </row>
    <row r="32" spans="1:31" x14ac:dyDescent="0.25">
      <c r="A32" s="15" t="s">
        <v>1074</v>
      </c>
      <c r="B32" s="38">
        <v>43288</v>
      </c>
      <c r="C32" s="15" t="s">
        <v>502</v>
      </c>
      <c r="D32" s="15" t="s">
        <v>179</v>
      </c>
      <c r="E32" s="15" t="s">
        <v>246</v>
      </c>
      <c r="F32" s="15" t="s">
        <v>70</v>
      </c>
      <c r="G32" s="15" t="s">
        <v>68</v>
      </c>
      <c r="H32" s="15" t="s">
        <v>40</v>
      </c>
      <c r="I32" s="15" t="s">
        <v>18</v>
      </c>
      <c r="J32" s="36">
        <v>1</v>
      </c>
      <c r="K32" s="15" t="s">
        <v>340</v>
      </c>
      <c r="L32" s="15" t="s">
        <v>156</v>
      </c>
      <c r="M32" s="15" t="s">
        <v>74</v>
      </c>
      <c r="N32" s="15" t="s">
        <v>131</v>
      </c>
      <c r="O32" s="15" t="s">
        <v>18</v>
      </c>
      <c r="P32" s="36">
        <v>10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134</v>
      </c>
      <c r="AE32" s="15" t="s">
        <v>563</v>
      </c>
    </row>
    <row r="33" spans="1:31" x14ac:dyDescent="0.25">
      <c r="A33" s="15" t="s">
        <v>1075</v>
      </c>
      <c r="B33" s="38">
        <v>43289</v>
      </c>
      <c r="C33" s="15" t="s">
        <v>502</v>
      </c>
      <c r="D33" s="15" t="s">
        <v>179</v>
      </c>
      <c r="E33" s="15" t="s">
        <v>246</v>
      </c>
      <c r="F33" s="15" t="s">
        <v>70</v>
      </c>
      <c r="G33" s="15" t="s">
        <v>68</v>
      </c>
      <c r="H33" s="15" t="s">
        <v>40</v>
      </c>
      <c r="I33" s="15" t="s">
        <v>18</v>
      </c>
      <c r="J33" s="36">
        <v>1</v>
      </c>
      <c r="K33" s="15" t="s">
        <v>344</v>
      </c>
      <c r="L33" s="15" t="s">
        <v>160</v>
      </c>
      <c r="M33" s="15" t="s">
        <v>20</v>
      </c>
      <c r="N33" s="15" t="s">
        <v>103</v>
      </c>
      <c r="O33" s="15" t="s">
        <v>18</v>
      </c>
      <c r="P33" s="36">
        <v>1</v>
      </c>
      <c r="V33" s="36">
        <v>0</v>
      </c>
      <c r="W33" s="15" t="s">
        <v>420</v>
      </c>
      <c r="X33" s="15" t="s">
        <v>113</v>
      </c>
      <c r="Y33" s="15" t="s">
        <v>33</v>
      </c>
      <c r="Z33" s="15" t="s">
        <v>40</v>
      </c>
      <c r="AA33" s="15" t="s">
        <v>18</v>
      </c>
      <c r="AB33" s="36">
        <v>1</v>
      </c>
      <c r="AE33" s="15" t="s">
        <v>563</v>
      </c>
    </row>
    <row r="34" spans="1:31" x14ac:dyDescent="0.25">
      <c r="A34" s="15" t="s">
        <v>1076</v>
      </c>
      <c r="B34" s="38">
        <v>43290</v>
      </c>
      <c r="C34" s="15" t="s">
        <v>502</v>
      </c>
      <c r="D34" s="15" t="s">
        <v>179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279</v>
      </c>
      <c r="L34" s="15" t="s">
        <v>30</v>
      </c>
      <c r="M34" s="15" t="s">
        <v>51</v>
      </c>
      <c r="N34" s="15" t="s">
        <v>143</v>
      </c>
      <c r="O34" s="15" t="s">
        <v>18</v>
      </c>
      <c r="P34" s="36">
        <v>0.5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563</v>
      </c>
    </row>
    <row r="35" spans="1:31" x14ac:dyDescent="0.25">
      <c r="A35" s="15" t="s">
        <v>1077</v>
      </c>
      <c r="B35" s="38">
        <v>43291</v>
      </c>
      <c r="C35" s="15" t="s">
        <v>502</v>
      </c>
      <c r="D35" s="15" t="s">
        <v>179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279</v>
      </c>
      <c r="L35" s="15" t="s">
        <v>30</v>
      </c>
      <c r="M35" s="15" t="s">
        <v>51</v>
      </c>
      <c r="N35" s="15" t="s">
        <v>143</v>
      </c>
      <c r="O35" s="15" t="s">
        <v>18</v>
      </c>
      <c r="P35" s="36">
        <v>0.5</v>
      </c>
      <c r="V35" s="36">
        <v>0</v>
      </c>
      <c r="W35" s="15" t="s">
        <v>420</v>
      </c>
      <c r="X35" s="15" t="s">
        <v>113</v>
      </c>
      <c r="Y35" s="15" t="s">
        <v>33</v>
      </c>
      <c r="Z35" s="15" t="s">
        <v>40</v>
      </c>
      <c r="AA35" s="15" t="s">
        <v>18</v>
      </c>
      <c r="AB35" s="36">
        <v>1</v>
      </c>
      <c r="AE35" s="15" t="s">
        <v>563</v>
      </c>
    </row>
    <row r="36" spans="1:31" x14ac:dyDescent="0.25">
      <c r="A36" s="15" t="s">
        <v>1078</v>
      </c>
      <c r="B36" s="38">
        <v>43292</v>
      </c>
      <c r="C36" s="15" t="s">
        <v>502</v>
      </c>
      <c r="D36" s="15" t="s">
        <v>179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312</v>
      </c>
      <c r="L36" s="15" t="s">
        <v>109</v>
      </c>
      <c r="M36" s="15" t="s">
        <v>56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133</v>
      </c>
      <c r="AE36" s="15" t="s">
        <v>563</v>
      </c>
    </row>
    <row r="37" spans="1:31" x14ac:dyDescent="0.25">
      <c r="A37" s="15" t="s">
        <v>1079</v>
      </c>
      <c r="B37" s="38">
        <v>43293</v>
      </c>
      <c r="C37" s="15" t="s">
        <v>502</v>
      </c>
      <c r="D37" s="15" t="s">
        <v>179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312</v>
      </c>
      <c r="L37" s="15" t="s">
        <v>109</v>
      </c>
      <c r="M37" s="15" t="s">
        <v>56</v>
      </c>
      <c r="N37" s="15" t="s">
        <v>40</v>
      </c>
      <c r="O37" s="15" t="s">
        <v>18</v>
      </c>
      <c r="P37" s="36">
        <v>0.5</v>
      </c>
      <c r="V37" s="36">
        <v>0</v>
      </c>
      <c r="W37" s="15" t="s">
        <v>422</v>
      </c>
      <c r="X37" s="15" t="s">
        <v>117</v>
      </c>
      <c r="Y37" s="15" t="s">
        <v>33</v>
      </c>
      <c r="Z37" s="15" t="s">
        <v>87</v>
      </c>
      <c r="AA37" s="15" t="s">
        <v>18</v>
      </c>
      <c r="AB37" s="36">
        <v>0.5</v>
      </c>
      <c r="AE37" s="15" t="s">
        <v>563</v>
      </c>
    </row>
    <row r="38" spans="1:31" x14ac:dyDescent="0.25">
      <c r="A38" s="15" t="s">
        <v>1080</v>
      </c>
      <c r="B38" s="38">
        <v>43294</v>
      </c>
      <c r="C38" s="15" t="s">
        <v>502</v>
      </c>
      <c r="D38" s="15" t="s">
        <v>179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304</v>
      </c>
      <c r="L38" s="15" t="s">
        <v>15</v>
      </c>
      <c r="M38" s="15" t="s">
        <v>80</v>
      </c>
      <c r="N38" s="15" t="s">
        <v>13</v>
      </c>
      <c r="O38" s="15" t="s">
        <v>18</v>
      </c>
      <c r="P38" s="36">
        <v>1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134</v>
      </c>
      <c r="AE38" s="15" t="s">
        <v>563</v>
      </c>
    </row>
    <row r="39" spans="1:31" x14ac:dyDescent="0.25">
      <c r="A39" s="15" t="s">
        <v>1081</v>
      </c>
      <c r="B39" s="38">
        <v>43295</v>
      </c>
      <c r="C39" s="15" t="s">
        <v>502</v>
      </c>
      <c r="D39" s="15" t="s">
        <v>179</v>
      </c>
      <c r="E39" s="15" t="s">
        <v>248</v>
      </c>
      <c r="F39" s="15" t="s">
        <v>76</v>
      </c>
      <c r="G39" s="15" t="s">
        <v>68</v>
      </c>
      <c r="H39" s="15" t="s">
        <v>152</v>
      </c>
      <c r="I39" s="15" t="s">
        <v>18</v>
      </c>
      <c r="J39" s="36">
        <v>8</v>
      </c>
      <c r="K39" s="15" t="s">
        <v>342</v>
      </c>
      <c r="L39" s="15" t="s">
        <v>158</v>
      </c>
      <c r="M39" s="15" t="s">
        <v>74</v>
      </c>
      <c r="N39" s="15" t="s">
        <v>131</v>
      </c>
      <c r="O39" s="15" t="s">
        <v>18</v>
      </c>
      <c r="P39" s="36">
        <v>10</v>
      </c>
      <c r="V39" s="36">
        <v>0</v>
      </c>
      <c r="W39" s="15" t="s">
        <v>422</v>
      </c>
      <c r="X39" s="15" t="s">
        <v>117</v>
      </c>
      <c r="Y39" s="15" t="s">
        <v>33</v>
      </c>
      <c r="Z39" s="15" t="s">
        <v>87</v>
      </c>
      <c r="AA39" s="15" t="s">
        <v>18</v>
      </c>
      <c r="AB39" s="36">
        <v>0.5</v>
      </c>
      <c r="AC39" s="15" t="s">
        <v>472</v>
      </c>
      <c r="AD39" s="15" t="s">
        <v>38</v>
      </c>
      <c r="AE39" s="15" t="s">
        <v>563</v>
      </c>
    </row>
    <row r="40" spans="1:31" x14ac:dyDescent="0.25">
      <c r="A40" s="15" t="s">
        <v>1082</v>
      </c>
      <c r="B40" s="38">
        <v>43296</v>
      </c>
      <c r="C40" s="15" t="s">
        <v>502</v>
      </c>
      <c r="D40" s="15" t="s">
        <v>179</v>
      </c>
      <c r="E40" s="15" t="s">
        <v>248</v>
      </c>
      <c r="F40" s="15" t="s">
        <v>76</v>
      </c>
      <c r="G40" s="15" t="s">
        <v>68</v>
      </c>
      <c r="H40" s="15" t="s">
        <v>152</v>
      </c>
      <c r="I40" s="15" t="s">
        <v>18</v>
      </c>
      <c r="J40" s="36">
        <v>8</v>
      </c>
      <c r="K40" s="15" t="s">
        <v>346</v>
      </c>
      <c r="L40" s="15" t="s">
        <v>162</v>
      </c>
      <c r="M40" s="15" t="s">
        <v>12</v>
      </c>
      <c r="N40" s="15" t="s">
        <v>121</v>
      </c>
      <c r="O40" s="15" t="s">
        <v>18</v>
      </c>
      <c r="P40" s="36">
        <v>20</v>
      </c>
      <c r="Q40" s="15" t="s">
        <v>274</v>
      </c>
      <c r="R40" s="15" t="s">
        <v>15</v>
      </c>
      <c r="S40" s="15" t="s">
        <v>27</v>
      </c>
      <c r="T40" s="15" t="s">
        <v>13</v>
      </c>
      <c r="U40" s="15" t="s">
        <v>18</v>
      </c>
      <c r="V40" s="36">
        <v>1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563</v>
      </c>
    </row>
    <row r="41" spans="1:31" x14ac:dyDescent="0.25">
      <c r="A41" s="15" t="s">
        <v>1083</v>
      </c>
      <c r="B41" s="38">
        <v>43297</v>
      </c>
      <c r="C41" s="15" t="s">
        <v>502</v>
      </c>
      <c r="D41" s="15" t="s">
        <v>179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282</v>
      </c>
      <c r="L41" s="15" t="s">
        <v>36</v>
      </c>
      <c r="M41" s="15" t="s">
        <v>51</v>
      </c>
      <c r="N41" s="15" t="s">
        <v>40</v>
      </c>
      <c r="O41" s="15" t="s">
        <v>18</v>
      </c>
      <c r="P41" s="36">
        <v>0.5</v>
      </c>
      <c r="V41" s="36">
        <v>0</v>
      </c>
      <c r="W41" s="15" t="s">
        <v>424</v>
      </c>
      <c r="X41" s="15" t="s">
        <v>120</v>
      </c>
      <c r="Y41" s="15" t="s">
        <v>33</v>
      </c>
      <c r="Z41" s="15" t="s">
        <v>91</v>
      </c>
      <c r="AA41" s="15" t="s">
        <v>18</v>
      </c>
      <c r="AB41" s="36">
        <v>0.5</v>
      </c>
      <c r="AE41" s="15" t="s">
        <v>563</v>
      </c>
    </row>
    <row r="42" spans="1:31" x14ac:dyDescent="0.25">
      <c r="A42" s="15" t="s">
        <v>1084</v>
      </c>
      <c r="B42" s="38">
        <v>43298</v>
      </c>
      <c r="C42" s="15" t="s">
        <v>502</v>
      </c>
      <c r="D42" s="15" t="s">
        <v>179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282</v>
      </c>
      <c r="L42" s="15" t="s">
        <v>36</v>
      </c>
      <c r="M42" s="15" t="s">
        <v>51</v>
      </c>
      <c r="N42" s="15" t="s">
        <v>40</v>
      </c>
      <c r="O42" s="15" t="s">
        <v>18</v>
      </c>
      <c r="P42" s="36">
        <v>0.5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133</v>
      </c>
      <c r="AE42" s="15" t="s">
        <v>563</v>
      </c>
    </row>
    <row r="43" spans="1:31" x14ac:dyDescent="0.25">
      <c r="A43" s="15" t="s">
        <v>1085</v>
      </c>
      <c r="B43" s="38">
        <v>43299</v>
      </c>
      <c r="C43" s="15" t="s">
        <v>502</v>
      </c>
      <c r="D43" s="15" t="s">
        <v>179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314</v>
      </c>
      <c r="L43" s="15" t="s">
        <v>112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424</v>
      </c>
      <c r="X43" s="15" t="s">
        <v>120</v>
      </c>
      <c r="Y43" s="15" t="s">
        <v>33</v>
      </c>
      <c r="Z43" s="15" t="s">
        <v>91</v>
      </c>
      <c r="AA43" s="15" t="s">
        <v>18</v>
      </c>
      <c r="AB43" s="36">
        <v>0.5</v>
      </c>
      <c r="AE43" s="15" t="s">
        <v>563</v>
      </c>
    </row>
    <row r="44" spans="1:31" x14ac:dyDescent="0.25">
      <c r="A44" s="15" t="s">
        <v>1086</v>
      </c>
      <c r="B44" s="38">
        <v>43300</v>
      </c>
      <c r="C44" s="15" t="s">
        <v>502</v>
      </c>
      <c r="D44" s="15" t="s">
        <v>179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314</v>
      </c>
      <c r="L44" s="15" t="s">
        <v>112</v>
      </c>
      <c r="M44" s="15" t="s">
        <v>56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134</v>
      </c>
      <c r="AE44" s="15" t="s">
        <v>563</v>
      </c>
    </row>
    <row r="45" spans="1:31" x14ac:dyDescent="0.25">
      <c r="A45" s="15" t="s">
        <v>1087</v>
      </c>
      <c r="B45" s="38">
        <v>43301</v>
      </c>
      <c r="C45" s="15" t="s">
        <v>502</v>
      </c>
      <c r="D45" s="15" t="s">
        <v>179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318</v>
      </c>
      <c r="L45" s="15" t="s">
        <v>123</v>
      </c>
      <c r="M45" s="15" t="s">
        <v>80</v>
      </c>
      <c r="N45" s="15" t="s">
        <v>140</v>
      </c>
      <c r="O45" s="15" t="s">
        <v>18</v>
      </c>
      <c r="P45" s="36">
        <v>1</v>
      </c>
      <c r="V45" s="36">
        <v>0</v>
      </c>
      <c r="W45" s="15" t="s">
        <v>428</v>
      </c>
      <c r="X45" s="15" t="s">
        <v>127</v>
      </c>
      <c r="Y45" s="15" t="s">
        <v>33</v>
      </c>
      <c r="Z45" s="15" t="s">
        <v>114</v>
      </c>
      <c r="AA45" s="15" t="s">
        <v>18</v>
      </c>
      <c r="AB45" s="36">
        <v>0.5</v>
      </c>
      <c r="AE45" s="15" t="s">
        <v>563</v>
      </c>
    </row>
    <row r="46" spans="1:31" x14ac:dyDescent="0.25">
      <c r="A46" s="15" t="s">
        <v>1088</v>
      </c>
      <c r="B46" s="38">
        <v>43302</v>
      </c>
      <c r="C46" s="15" t="s">
        <v>502</v>
      </c>
      <c r="D46" s="15" t="s">
        <v>179</v>
      </c>
      <c r="E46" s="15" t="s">
        <v>250</v>
      </c>
      <c r="F46" s="15" t="s">
        <v>82</v>
      </c>
      <c r="G46" s="15" t="s">
        <v>68</v>
      </c>
      <c r="H46" s="15" t="s">
        <v>69</v>
      </c>
      <c r="I46" s="15" t="s">
        <v>18</v>
      </c>
      <c r="J46" s="36">
        <v>2</v>
      </c>
      <c r="K46" s="15" t="s">
        <v>338</v>
      </c>
      <c r="L46" s="15" t="s">
        <v>153</v>
      </c>
      <c r="M46" s="15" t="s">
        <v>74</v>
      </c>
      <c r="N46" s="15" t="s">
        <v>131</v>
      </c>
      <c r="O46" s="15" t="s">
        <v>18</v>
      </c>
      <c r="P46" s="36">
        <v>10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563</v>
      </c>
    </row>
    <row r="47" spans="1:31" x14ac:dyDescent="0.25">
      <c r="A47" s="15" t="s">
        <v>1089</v>
      </c>
      <c r="B47" s="38">
        <v>43303</v>
      </c>
      <c r="C47" s="15" t="s">
        <v>502</v>
      </c>
      <c r="D47" s="15" t="s">
        <v>179</v>
      </c>
      <c r="E47" s="15" t="s">
        <v>250</v>
      </c>
      <c r="F47" s="15" t="s">
        <v>82</v>
      </c>
      <c r="G47" s="15" t="s">
        <v>68</v>
      </c>
      <c r="H47" s="15" t="s">
        <v>69</v>
      </c>
      <c r="I47" s="15" t="s">
        <v>18</v>
      </c>
      <c r="J47" s="36">
        <v>2</v>
      </c>
      <c r="K47" s="15" t="s">
        <v>348</v>
      </c>
      <c r="L47" s="15" t="s">
        <v>53</v>
      </c>
      <c r="M47" s="15" t="s">
        <v>20</v>
      </c>
      <c r="N47" s="15" t="s">
        <v>40</v>
      </c>
      <c r="O47" s="15" t="s">
        <v>18</v>
      </c>
      <c r="P47" s="36">
        <v>10</v>
      </c>
      <c r="V47" s="36">
        <v>0</v>
      </c>
      <c r="W47" s="15" t="s">
        <v>428</v>
      </c>
      <c r="X47" s="15" t="s">
        <v>127</v>
      </c>
      <c r="Y47" s="15" t="s">
        <v>33</v>
      </c>
      <c r="Z47" s="15" t="s">
        <v>114</v>
      </c>
      <c r="AA47" s="15" t="s">
        <v>18</v>
      </c>
      <c r="AB47" s="36">
        <v>0.5</v>
      </c>
      <c r="AE47" s="15" t="s">
        <v>563</v>
      </c>
    </row>
    <row r="48" spans="1:31" x14ac:dyDescent="0.25">
      <c r="A48" s="15" t="s">
        <v>1090</v>
      </c>
      <c r="B48" s="38">
        <v>43304</v>
      </c>
      <c r="C48" s="15" t="s">
        <v>502</v>
      </c>
      <c r="D48" s="15" t="s">
        <v>179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284</v>
      </c>
      <c r="L48" s="15" t="s">
        <v>42</v>
      </c>
      <c r="M48" s="15" t="s">
        <v>51</v>
      </c>
      <c r="N48" s="15" t="s">
        <v>125</v>
      </c>
      <c r="O48" s="15" t="s">
        <v>18</v>
      </c>
      <c r="P48" s="36">
        <v>25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133</v>
      </c>
      <c r="AE48" s="15" t="s">
        <v>563</v>
      </c>
    </row>
    <row r="49" spans="1:31" x14ac:dyDescent="0.25">
      <c r="A49" s="15" t="s">
        <v>1091</v>
      </c>
      <c r="B49" s="38">
        <v>43305</v>
      </c>
      <c r="C49" s="15" t="s">
        <v>502</v>
      </c>
      <c r="D49" s="15" t="s">
        <v>179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284</v>
      </c>
      <c r="L49" s="15" t="s">
        <v>42</v>
      </c>
      <c r="M49" s="15" t="s">
        <v>51</v>
      </c>
      <c r="N49" s="15" t="s">
        <v>125</v>
      </c>
      <c r="O49" s="15" t="s">
        <v>18</v>
      </c>
      <c r="P49" s="36">
        <v>25</v>
      </c>
      <c r="V49" s="36">
        <v>0</v>
      </c>
      <c r="W49" s="15" t="s">
        <v>430</v>
      </c>
      <c r="X49" s="15" t="s">
        <v>130</v>
      </c>
      <c r="Y49" s="15" t="s">
        <v>33</v>
      </c>
      <c r="Z49" s="15" t="s">
        <v>114</v>
      </c>
      <c r="AA49" s="15" t="s">
        <v>18</v>
      </c>
      <c r="AB49" s="36">
        <v>0.5</v>
      </c>
      <c r="AE49" s="15" t="s">
        <v>563</v>
      </c>
    </row>
    <row r="50" spans="1:31" x14ac:dyDescent="0.25">
      <c r="A50" s="15" t="s">
        <v>1092</v>
      </c>
      <c r="B50" s="38">
        <v>43306</v>
      </c>
      <c r="C50" s="15" t="s">
        <v>502</v>
      </c>
      <c r="D50" s="15" t="s">
        <v>179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316</v>
      </c>
      <c r="L50" s="15" t="s">
        <v>116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134</v>
      </c>
      <c r="AE50" s="15" t="s">
        <v>563</v>
      </c>
    </row>
    <row r="51" spans="1:31" x14ac:dyDescent="0.25">
      <c r="A51" s="15" t="s">
        <v>1093</v>
      </c>
      <c r="B51" s="38">
        <v>43307</v>
      </c>
      <c r="C51" s="15" t="s">
        <v>502</v>
      </c>
      <c r="D51" s="15" t="s">
        <v>179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316</v>
      </c>
      <c r="L51" s="15" t="s">
        <v>116</v>
      </c>
      <c r="M51" s="15" t="s">
        <v>56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430</v>
      </c>
      <c r="X51" s="15" t="s">
        <v>130</v>
      </c>
      <c r="Y51" s="15" t="s">
        <v>33</v>
      </c>
      <c r="Z51" s="15" t="s">
        <v>114</v>
      </c>
      <c r="AA51" s="15" t="s">
        <v>18</v>
      </c>
      <c r="AB51" s="36">
        <v>0.5</v>
      </c>
      <c r="AE51" s="15" t="s">
        <v>563</v>
      </c>
    </row>
    <row r="52" spans="1:31" x14ac:dyDescent="0.25">
      <c r="A52" s="15" t="s">
        <v>1094</v>
      </c>
      <c r="B52" s="38">
        <v>43308</v>
      </c>
      <c r="C52" s="15" t="s">
        <v>502</v>
      </c>
      <c r="D52" s="15" t="s">
        <v>179</v>
      </c>
      <c r="E52" s="15" t="s">
        <v>260</v>
      </c>
      <c r="F52" s="15" t="s">
        <v>104</v>
      </c>
      <c r="G52" s="15" t="s">
        <v>45</v>
      </c>
      <c r="H52" s="15" t="s">
        <v>99</v>
      </c>
      <c r="I52" s="15" t="s">
        <v>18</v>
      </c>
      <c r="J52" s="36">
        <v>1</v>
      </c>
      <c r="K52" s="15" t="s">
        <v>320</v>
      </c>
      <c r="L52" s="15" t="s">
        <v>126</v>
      </c>
      <c r="M52" s="15" t="s">
        <v>80</v>
      </c>
      <c r="N52" s="15" t="s">
        <v>140</v>
      </c>
      <c r="O52" s="15" t="s">
        <v>18</v>
      </c>
      <c r="P52" s="36">
        <v>1</v>
      </c>
      <c r="V52" s="36">
        <v>0</v>
      </c>
      <c r="W52" s="15" t="s">
        <v>426</v>
      </c>
      <c r="X52" s="15" t="s">
        <v>124</v>
      </c>
      <c r="Y52" s="15" t="s">
        <v>33</v>
      </c>
      <c r="Z52" s="15" t="s">
        <v>57</v>
      </c>
      <c r="AA52" s="15" t="s">
        <v>18</v>
      </c>
      <c r="AB52" s="36">
        <v>133</v>
      </c>
      <c r="AE52" s="15" t="s">
        <v>563</v>
      </c>
    </row>
    <row r="53" spans="1:31" x14ac:dyDescent="0.25">
      <c r="A53" s="15" t="s">
        <v>1095</v>
      </c>
      <c r="B53" s="38">
        <v>43309</v>
      </c>
      <c r="C53" s="15" t="s">
        <v>502</v>
      </c>
      <c r="D53" s="15" t="s">
        <v>179</v>
      </c>
      <c r="E53" s="15" t="s">
        <v>252</v>
      </c>
      <c r="F53" s="15" t="s">
        <v>88</v>
      </c>
      <c r="G53" s="15" t="s">
        <v>68</v>
      </c>
      <c r="H53" s="15" t="s">
        <v>40</v>
      </c>
      <c r="I53" s="15" t="s">
        <v>18</v>
      </c>
      <c r="J53" s="36">
        <v>2</v>
      </c>
      <c r="K53" s="15" t="s">
        <v>340</v>
      </c>
      <c r="L53" s="15" t="s">
        <v>156</v>
      </c>
      <c r="M53" s="15" t="s">
        <v>74</v>
      </c>
      <c r="N53" s="15" t="s">
        <v>131</v>
      </c>
      <c r="O53" s="15" t="s">
        <v>18</v>
      </c>
      <c r="P53" s="36">
        <v>1</v>
      </c>
      <c r="V53" s="36">
        <v>0</v>
      </c>
      <c r="W53" s="15" t="s">
        <v>432</v>
      </c>
      <c r="X53" s="15" t="s">
        <v>133</v>
      </c>
      <c r="Y53" s="15" t="s">
        <v>33</v>
      </c>
      <c r="Z53" s="15" t="s">
        <v>34</v>
      </c>
      <c r="AA53" s="15" t="s">
        <v>18</v>
      </c>
      <c r="AB53" s="36">
        <v>1</v>
      </c>
      <c r="AE53" s="15" t="s">
        <v>563</v>
      </c>
    </row>
    <row r="54" spans="1:31" x14ac:dyDescent="0.25">
      <c r="A54" s="15" t="s">
        <v>1096</v>
      </c>
      <c r="B54" s="38">
        <v>43310</v>
      </c>
      <c r="C54" s="15" t="s">
        <v>502</v>
      </c>
      <c r="D54" s="15" t="s">
        <v>179</v>
      </c>
      <c r="E54" s="15" t="s">
        <v>252</v>
      </c>
      <c r="F54" s="15" t="s">
        <v>88</v>
      </c>
      <c r="G54" s="15" t="s">
        <v>68</v>
      </c>
      <c r="H54" s="15" t="s">
        <v>40</v>
      </c>
      <c r="I54" s="15" t="s">
        <v>18</v>
      </c>
      <c r="J54" s="36">
        <v>2</v>
      </c>
      <c r="K54" s="15" t="s">
        <v>344</v>
      </c>
      <c r="L54" s="15" t="s">
        <v>160</v>
      </c>
      <c r="M54" s="15" t="s">
        <v>20</v>
      </c>
      <c r="N54" s="15" t="s">
        <v>103</v>
      </c>
      <c r="O54" s="15" t="s">
        <v>18</v>
      </c>
      <c r="P54" s="36">
        <v>1</v>
      </c>
      <c r="V54" s="36">
        <v>0</v>
      </c>
      <c r="W54" s="15" t="s">
        <v>426</v>
      </c>
      <c r="X54" s="15" t="s">
        <v>124</v>
      </c>
      <c r="Y54" s="15" t="s">
        <v>33</v>
      </c>
      <c r="Z54" s="15" t="s">
        <v>57</v>
      </c>
      <c r="AA54" s="15" t="s">
        <v>18</v>
      </c>
      <c r="AB54" s="36">
        <v>133</v>
      </c>
      <c r="AE54" s="15" t="s">
        <v>563</v>
      </c>
    </row>
    <row r="55" spans="1:31" x14ac:dyDescent="0.25">
      <c r="A55" s="15" t="s">
        <v>1097</v>
      </c>
      <c r="B55" s="38">
        <v>43311</v>
      </c>
      <c r="C55" s="15" t="s">
        <v>502</v>
      </c>
      <c r="D55" s="15" t="s">
        <v>179</v>
      </c>
      <c r="E55" s="15" t="s">
        <v>260</v>
      </c>
      <c r="F55" s="15" t="s">
        <v>104</v>
      </c>
      <c r="G55" s="15" t="s">
        <v>45</v>
      </c>
      <c r="H55" s="15" t="s">
        <v>99</v>
      </c>
      <c r="I55" s="15" t="s">
        <v>18</v>
      </c>
      <c r="J55" s="36">
        <v>1</v>
      </c>
      <c r="K55" s="15" t="s">
        <v>286</v>
      </c>
      <c r="L55" s="15" t="s">
        <v>48</v>
      </c>
      <c r="M55" s="15" t="s">
        <v>51</v>
      </c>
      <c r="N55" s="15" t="s">
        <v>40</v>
      </c>
      <c r="O55" s="15" t="s">
        <v>18</v>
      </c>
      <c r="P55" s="36">
        <v>0.5</v>
      </c>
      <c r="V55" s="36">
        <v>0</v>
      </c>
      <c r="W55" s="15" t="s">
        <v>384</v>
      </c>
      <c r="X55" s="15" t="s">
        <v>17</v>
      </c>
      <c r="Y55" s="15" t="s">
        <v>33</v>
      </c>
      <c r="Z55" s="15" t="s">
        <v>87</v>
      </c>
      <c r="AA55" s="15" t="s">
        <v>18</v>
      </c>
      <c r="AB55" s="36">
        <v>133</v>
      </c>
      <c r="AE55" s="15" t="s">
        <v>563</v>
      </c>
    </row>
    <row r="56" spans="1:31" x14ac:dyDescent="0.25">
      <c r="A56" s="15" t="s">
        <v>1098</v>
      </c>
      <c r="B56" s="38">
        <v>43312</v>
      </c>
      <c r="C56" s="15" t="s">
        <v>502</v>
      </c>
      <c r="D56" s="15" t="s">
        <v>179</v>
      </c>
      <c r="E56" s="15" t="s">
        <v>260</v>
      </c>
      <c r="F56" s="15" t="s">
        <v>104</v>
      </c>
      <c r="G56" s="15" t="s">
        <v>45</v>
      </c>
      <c r="H56" s="15" t="s">
        <v>99</v>
      </c>
      <c r="I56" s="15" t="s">
        <v>18</v>
      </c>
      <c r="J56" s="36">
        <v>1</v>
      </c>
      <c r="K56" s="15" t="s">
        <v>286</v>
      </c>
      <c r="L56" s="15" t="s">
        <v>48</v>
      </c>
      <c r="M56" s="15" t="s">
        <v>51</v>
      </c>
      <c r="N56" s="15" t="s">
        <v>40</v>
      </c>
      <c r="O56" s="15" t="s">
        <v>18</v>
      </c>
      <c r="P56" s="36">
        <v>0.5</v>
      </c>
      <c r="V56" s="36">
        <v>0</v>
      </c>
      <c r="W56" s="15" t="s">
        <v>426</v>
      </c>
      <c r="X56" s="15" t="s">
        <v>124</v>
      </c>
      <c r="Y56" s="15" t="s">
        <v>33</v>
      </c>
      <c r="Z56" s="15" t="s">
        <v>57</v>
      </c>
      <c r="AA56" s="15" t="s">
        <v>18</v>
      </c>
      <c r="AB56" s="36">
        <v>134</v>
      </c>
      <c r="AE56" s="15" t="s">
        <v>563</v>
      </c>
    </row>
    <row r="57" spans="1:31" x14ac:dyDescent="0.25">
      <c r="A57" s="15" t="s">
        <v>1306</v>
      </c>
      <c r="B57" s="38">
        <v>43282</v>
      </c>
      <c r="C57" s="15" t="s">
        <v>502</v>
      </c>
      <c r="D57" s="15" t="s">
        <v>179</v>
      </c>
      <c r="J57" s="36">
        <v>0</v>
      </c>
      <c r="P57" s="36">
        <v>0</v>
      </c>
      <c r="V57" s="36">
        <v>0</v>
      </c>
      <c r="W57" s="15" t="s">
        <v>450</v>
      </c>
      <c r="X57" s="15" t="s">
        <v>157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570</v>
      </c>
    </row>
    <row r="58" spans="1:31" x14ac:dyDescent="0.25">
      <c r="A58" s="15" t="s">
        <v>1307</v>
      </c>
      <c r="B58" s="38">
        <v>43288</v>
      </c>
      <c r="C58" s="15" t="s">
        <v>502</v>
      </c>
      <c r="D58" s="15" t="s">
        <v>179</v>
      </c>
      <c r="J58" s="36">
        <v>0</v>
      </c>
      <c r="P58" s="36">
        <v>0</v>
      </c>
      <c r="V58" s="36">
        <v>0</v>
      </c>
      <c r="W58" s="15" t="s">
        <v>452</v>
      </c>
      <c r="X58" s="15" t="s">
        <v>159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570</v>
      </c>
    </row>
    <row r="59" spans="1:31" x14ac:dyDescent="0.25">
      <c r="A59" s="15" t="s">
        <v>1308</v>
      </c>
      <c r="B59" s="38">
        <v>43289</v>
      </c>
      <c r="C59" s="15" t="s">
        <v>502</v>
      </c>
      <c r="D59" s="15" t="s">
        <v>179</v>
      </c>
      <c r="J59" s="36">
        <v>0</v>
      </c>
      <c r="P59" s="36">
        <v>0</v>
      </c>
      <c r="V59" s="36">
        <v>0</v>
      </c>
      <c r="W59" s="15" t="s">
        <v>440</v>
      </c>
      <c r="X59" s="15" t="s">
        <v>145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570</v>
      </c>
    </row>
    <row r="60" spans="1:31" x14ac:dyDescent="0.25">
      <c r="A60" s="15" t="s">
        <v>1309</v>
      </c>
      <c r="B60" s="38">
        <v>43295</v>
      </c>
      <c r="C60" s="15" t="s">
        <v>502</v>
      </c>
      <c r="D60" s="15" t="s">
        <v>179</v>
      </c>
      <c r="J60" s="36">
        <v>0</v>
      </c>
      <c r="P60" s="36">
        <v>0</v>
      </c>
      <c r="V60" s="36">
        <v>0</v>
      </c>
      <c r="W60" s="15" t="s">
        <v>442</v>
      </c>
      <c r="X60" s="15" t="s">
        <v>148</v>
      </c>
      <c r="Y60" s="15" t="s">
        <v>62</v>
      </c>
      <c r="Z60" s="15" t="s">
        <v>111</v>
      </c>
      <c r="AA60" s="15" t="s">
        <v>25</v>
      </c>
      <c r="AB60" s="36">
        <v>1</v>
      </c>
      <c r="AC60" s="15" t="s">
        <v>472</v>
      </c>
      <c r="AD60" s="15" t="s">
        <v>38</v>
      </c>
      <c r="AE60" s="15" t="s">
        <v>570</v>
      </c>
    </row>
    <row r="61" spans="1:31" x14ac:dyDescent="0.25">
      <c r="A61" s="15" t="s">
        <v>1310</v>
      </c>
      <c r="B61" s="38">
        <v>43296</v>
      </c>
      <c r="C61" s="15" t="s">
        <v>502</v>
      </c>
      <c r="D61" s="15" t="s">
        <v>179</v>
      </c>
      <c r="J61" s="36">
        <v>0</v>
      </c>
      <c r="P61" s="36">
        <v>0</v>
      </c>
      <c r="V61" s="36">
        <v>0</v>
      </c>
      <c r="W61" s="15" t="s">
        <v>444</v>
      </c>
      <c r="X61" s="15" t="s">
        <v>151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570</v>
      </c>
    </row>
    <row r="62" spans="1:31" x14ac:dyDescent="0.25">
      <c r="A62" s="15" t="s">
        <v>1311</v>
      </c>
      <c r="B62" s="38">
        <v>43302</v>
      </c>
      <c r="C62" s="15" t="s">
        <v>502</v>
      </c>
      <c r="D62" s="15" t="s">
        <v>179</v>
      </c>
      <c r="J62" s="36">
        <v>0</v>
      </c>
      <c r="P62" s="36">
        <v>0</v>
      </c>
      <c r="V62" s="36">
        <v>0</v>
      </c>
      <c r="W62" s="15" t="s">
        <v>446</v>
      </c>
      <c r="X62" s="15" t="s">
        <v>154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570</v>
      </c>
    </row>
    <row r="63" spans="1:31" x14ac:dyDescent="0.25">
      <c r="A63" s="15" t="s">
        <v>1312</v>
      </c>
      <c r="B63" s="38">
        <v>43303</v>
      </c>
      <c r="C63" s="15" t="s">
        <v>502</v>
      </c>
      <c r="D63" s="15" t="s">
        <v>179</v>
      </c>
      <c r="J63" s="36">
        <v>0</v>
      </c>
      <c r="P63" s="36">
        <v>0</v>
      </c>
      <c r="V63" s="36">
        <v>0</v>
      </c>
      <c r="W63" s="15" t="s">
        <v>448</v>
      </c>
      <c r="X63" s="15" t="s">
        <v>102</v>
      </c>
      <c r="Y63" s="15" t="s">
        <v>62</v>
      </c>
      <c r="Z63" s="15" t="s">
        <v>140</v>
      </c>
      <c r="AA63" s="15" t="s">
        <v>25</v>
      </c>
      <c r="AB63" s="36">
        <v>1</v>
      </c>
      <c r="AE63" s="15" t="s">
        <v>570</v>
      </c>
    </row>
    <row r="64" spans="1:31" x14ac:dyDescent="0.25">
      <c r="A64" s="15" t="s">
        <v>1313</v>
      </c>
      <c r="B64" s="38">
        <v>43309</v>
      </c>
      <c r="C64" s="15" t="s">
        <v>502</v>
      </c>
      <c r="D64" s="15" t="s">
        <v>179</v>
      </c>
      <c r="J64" s="36">
        <v>0</v>
      </c>
      <c r="P64" s="36">
        <v>0</v>
      </c>
      <c r="V64" s="36">
        <v>0</v>
      </c>
      <c r="W64" s="15" t="s">
        <v>450</v>
      </c>
      <c r="X64" s="15" t="s">
        <v>157</v>
      </c>
      <c r="Y64" s="15" t="s">
        <v>62</v>
      </c>
      <c r="Z64" s="15" t="s">
        <v>111</v>
      </c>
      <c r="AA64" s="15" t="s">
        <v>25</v>
      </c>
      <c r="AB64" s="36">
        <v>1</v>
      </c>
      <c r="AE64" s="15" t="s">
        <v>570</v>
      </c>
    </row>
    <row r="65" spans="1:31" x14ac:dyDescent="0.25">
      <c r="A65" s="15" t="s">
        <v>1314</v>
      </c>
      <c r="B65" s="38">
        <v>43310</v>
      </c>
      <c r="C65" s="15" t="s">
        <v>502</v>
      </c>
      <c r="D65" s="15" t="s">
        <v>179</v>
      </c>
      <c r="J65" s="36">
        <v>0</v>
      </c>
      <c r="P65" s="36">
        <v>0</v>
      </c>
      <c r="V65" s="36">
        <v>0</v>
      </c>
      <c r="W65" s="15" t="s">
        <v>452</v>
      </c>
      <c r="X65" s="15" t="s">
        <v>159</v>
      </c>
      <c r="Y65" s="15" t="s">
        <v>62</v>
      </c>
      <c r="Z65" s="15" t="s">
        <v>111</v>
      </c>
      <c r="AA65" s="15" t="s">
        <v>25</v>
      </c>
      <c r="AB65" s="36">
        <v>1</v>
      </c>
      <c r="AE65" s="15" t="s">
        <v>570</v>
      </c>
    </row>
  </sheetData>
  <mergeCells count="1">
    <mergeCell ref="A1:AE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Août"/>
  <dimension ref="A1:AE69"/>
  <sheetViews>
    <sheetView topLeftCell="A38" workbookViewId="0">
      <selection activeCell="A69" sqref="A69"/>
    </sheetView>
  </sheetViews>
  <sheetFormatPr baseColWidth="10" defaultColWidth="11.07421875" defaultRowHeight="13.2" x14ac:dyDescent="0.25"/>
  <cols>
    <col min="1" max="1" width="11.07421875" style="15"/>
    <col min="2" max="2" width="13.84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12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3.53515625" style="15" bestFit="1" customWidth="1"/>
    <col min="25" max="25" width="13.92187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2.07421875" style="15" bestFit="1" customWidth="1"/>
    <col min="30" max="30" width="8.07421875" style="15" bestFit="1" customWidth="1"/>
    <col min="31" max="31" width="26.84375" style="15" bestFit="1" customWidth="1"/>
    <col min="32" max="16384" width="11.07421875" style="15"/>
  </cols>
  <sheetData>
    <row r="1" spans="1:31" x14ac:dyDescent="0.25">
      <c r="A1" s="69" t="s">
        <v>771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40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40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768</v>
      </c>
      <c r="B4" s="38">
        <v>43313</v>
      </c>
      <c r="C4" s="15" t="s">
        <v>504</v>
      </c>
      <c r="D4" s="15" t="s">
        <v>180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356</v>
      </c>
      <c r="L4" s="15" t="s">
        <v>132</v>
      </c>
      <c r="M4" s="15" t="s">
        <v>39</v>
      </c>
      <c r="N4" s="15" t="s">
        <v>134</v>
      </c>
      <c r="O4" s="15" t="s">
        <v>10</v>
      </c>
      <c r="P4" s="36">
        <v>1</v>
      </c>
      <c r="V4" s="36">
        <v>0</v>
      </c>
      <c r="W4" s="15" t="s">
        <v>454</v>
      </c>
      <c r="X4" s="15" t="s">
        <v>161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552</v>
      </c>
    </row>
    <row r="5" spans="1:31" x14ac:dyDescent="0.25">
      <c r="A5" s="15" t="s">
        <v>769</v>
      </c>
      <c r="B5" s="38">
        <v>43314</v>
      </c>
      <c r="C5" s="15" t="s">
        <v>504</v>
      </c>
      <c r="D5" s="15" t="s">
        <v>180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358</v>
      </c>
      <c r="L5" s="15" t="s">
        <v>135</v>
      </c>
      <c r="M5" s="15" t="s">
        <v>39</v>
      </c>
      <c r="N5" s="15" t="s">
        <v>34</v>
      </c>
      <c r="O5" s="15" t="s">
        <v>10</v>
      </c>
      <c r="P5" s="36">
        <v>1</v>
      </c>
      <c r="V5" s="36">
        <v>0</v>
      </c>
      <c r="W5" s="15" t="s">
        <v>454</v>
      </c>
      <c r="X5" s="15" t="s">
        <v>161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552</v>
      </c>
    </row>
    <row r="6" spans="1:31" x14ac:dyDescent="0.25">
      <c r="A6" s="15" t="s">
        <v>770</v>
      </c>
      <c r="B6" s="38">
        <v>43315</v>
      </c>
      <c r="C6" s="15" t="s">
        <v>504</v>
      </c>
      <c r="D6" s="15" t="s">
        <v>180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360</v>
      </c>
      <c r="L6" s="15" t="s">
        <v>138</v>
      </c>
      <c r="M6" s="15" t="s">
        <v>39</v>
      </c>
      <c r="N6" s="15" t="s">
        <v>140</v>
      </c>
      <c r="O6" s="15" t="s">
        <v>10</v>
      </c>
      <c r="P6" s="36">
        <v>1</v>
      </c>
      <c r="V6" s="36">
        <v>0</v>
      </c>
      <c r="W6" s="15" t="s">
        <v>454</v>
      </c>
      <c r="X6" s="15" t="s">
        <v>161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552</v>
      </c>
    </row>
    <row r="7" spans="1:31" x14ac:dyDescent="0.25">
      <c r="A7" s="15" t="s">
        <v>772</v>
      </c>
      <c r="B7" s="38">
        <v>43318</v>
      </c>
      <c r="C7" s="15" t="s">
        <v>504</v>
      </c>
      <c r="D7" s="15" t="s">
        <v>180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362</v>
      </c>
      <c r="L7" s="15" t="s">
        <v>42</v>
      </c>
      <c r="M7" s="15" t="s">
        <v>39</v>
      </c>
      <c r="N7" s="15" t="s">
        <v>125</v>
      </c>
      <c r="O7" s="15" t="s">
        <v>10</v>
      </c>
      <c r="P7" s="36">
        <v>25</v>
      </c>
      <c r="V7" s="36">
        <v>0</v>
      </c>
      <c r="W7" s="15" t="s">
        <v>456</v>
      </c>
      <c r="X7" s="15" t="s">
        <v>163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552</v>
      </c>
    </row>
    <row r="8" spans="1:31" x14ac:dyDescent="0.25">
      <c r="A8" s="15" t="s">
        <v>768</v>
      </c>
      <c r="B8" s="38">
        <v>43313</v>
      </c>
      <c r="C8" s="15" t="s">
        <v>504</v>
      </c>
      <c r="D8" s="15" t="s">
        <v>180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356</v>
      </c>
      <c r="L8" s="15" t="s">
        <v>132</v>
      </c>
      <c r="M8" s="15" t="s">
        <v>39</v>
      </c>
      <c r="N8" s="15" t="s">
        <v>134</v>
      </c>
      <c r="O8" s="15" t="s">
        <v>10</v>
      </c>
      <c r="P8" s="36">
        <v>1</v>
      </c>
      <c r="V8" s="36">
        <v>0</v>
      </c>
      <c r="W8" s="15" t="s">
        <v>454</v>
      </c>
      <c r="X8" s="15" t="s">
        <v>161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552</v>
      </c>
    </row>
    <row r="9" spans="1:31" x14ac:dyDescent="0.25">
      <c r="A9" s="15" t="s">
        <v>769</v>
      </c>
      <c r="B9" s="38">
        <v>43314</v>
      </c>
      <c r="C9" s="15" t="s">
        <v>504</v>
      </c>
      <c r="D9" s="15" t="s">
        <v>180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358</v>
      </c>
      <c r="L9" s="15" t="s">
        <v>135</v>
      </c>
      <c r="M9" s="15" t="s">
        <v>39</v>
      </c>
      <c r="N9" s="15" t="s">
        <v>34</v>
      </c>
      <c r="O9" s="15" t="s">
        <v>10</v>
      </c>
      <c r="P9" s="36">
        <v>1</v>
      </c>
      <c r="V9" s="36">
        <v>0</v>
      </c>
      <c r="W9" s="15" t="s">
        <v>454</v>
      </c>
      <c r="X9" s="15" t="s">
        <v>161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552</v>
      </c>
    </row>
    <row r="10" spans="1:31" x14ac:dyDescent="0.25">
      <c r="A10" s="15" t="s">
        <v>770</v>
      </c>
      <c r="B10" s="38">
        <v>43315</v>
      </c>
      <c r="C10" s="15" t="s">
        <v>504</v>
      </c>
      <c r="D10" s="15" t="s">
        <v>180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360</v>
      </c>
      <c r="L10" s="15" t="s">
        <v>138</v>
      </c>
      <c r="M10" s="15" t="s">
        <v>39</v>
      </c>
      <c r="N10" s="15" t="s">
        <v>140</v>
      </c>
      <c r="O10" s="15" t="s">
        <v>10</v>
      </c>
      <c r="P10" s="36">
        <v>1</v>
      </c>
      <c r="V10" s="36">
        <v>0</v>
      </c>
      <c r="W10" s="15" t="s">
        <v>454</v>
      </c>
      <c r="X10" s="15" t="s">
        <v>161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552</v>
      </c>
    </row>
    <row r="11" spans="1:31" x14ac:dyDescent="0.25">
      <c r="A11" s="15" t="s">
        <v>772</v>
      </c>
      <c r="B11" s="38">
        <v>43318</v>
      </c>
      <c r="C11" s="15" t="s">
        <v>504</v>
      </c>
      <c r="D11" s="15" t="s">
        <v>180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362</v>
      </c>
      <c r="L11" s="15" t="s">
        <v>42</v>
      </c>
      <c r="M11" s="15" t="s">
        <v>39</v>
      </c>
      <c r="N11" s="15" t="s">
        <v>125</v>
      </c>
      <c r="O11" s="15" t="s">
        <v>10</v>
      </c>
      <c r="P11" s="36">
        <v>25</v>
      </c>
      <c r="V11" s="36">
        <v>0</v>
      </c>
      <c r="W11" s="15" t="s">
        <v>456</v>
      </c>
      <c r="X11" s="15" t="s">
        <v>163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552</v>
      </c>
    </row>
    <row r="12" spans="1:31" x14ac:dyDescent="0.25">
      <c r="A12" s="15" t="s">
        <v>773</v>
      </c>
      <c r="B12" s="38">
        <v>43319</v>
      </c>
      <c r="C12" s="15" t="s">
        <v>504</v>
      </c>
      <c r="D12" s="15" t="s">
        <v>180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364</v>
      </c>
      <c r="L12" s="15" t="s">
        <v>59</v>
      </c>
      <c r="M12" s="15" t="s">
        <v>39</v>
      </c>
      <c r="N12" s="15" t="s">
        <v>40</v>
      </c>
      <c r="O12" s="15" t="s">
        <v>10</v>
      </c>
      <c r="P12" s="36">
        <v>0.5</v>
      </c>
      <c r="V12" s="36">
        <v>0</v>
      </c>
      <c r="W12" s="15" t="s">
        <v>456</v>
      </c>
      <c r="X12" s="15" t="s">
        <v>163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552</v>
      </c>
    </row>
    <row r="13" spans="1:31" x14ac:dyDescent="0.25">
      <c r="A13" s="15" t="s">
        <v>774</v>
      </c>
      <c r="B13" s="38">
        <v>43320</v>
      </c>
      <c r="C13" s="15" t="s">
        <v>504</v>
      </c>
      <c r="D13" s="15" t="s">
        <v>180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364</v>
      </c>
      <c r="L13" s="15" t="s">
        <v>59</v>
      </c>
      <c r="M13" s="15" t="s">
        <v>39</v>
      </c>
      <c r="N13" s="15" t="s">
        <v>40</v>
      </c>
      <c r="O13" s="15" t="s">
        <v>10</v>
      </c>
      <c r="P13" s="36">
        <v>0.5</v>
      </c>
      <c r="V13" s="36">
        <v>0</v>
      </c>
      <c r="W13" s="15" t="s">
        <v>456</v>
      </c>
      <c r="X13" s="15" t="s">
        <v>163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552</v>
      </c>
    </row>
    <row r="14" spans="1:31" x14ac:dyDescent="0.25">
      <c r="A14" s="15" t="s">
        <v>775</v>
      </c>
      <c r="B14" s="38">
        <v>43321</v>
      </c>
      <c r="C14" s="15" t="s">
        <v>504</v>
      </c>
      <c r="D14" s="15" t="s">
        <v>180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366</v>
      </c>
      <c r="L14" s="15" t="s">
        <v>153</v>
      </c>
      <c r="M14" s="15" t="s">
        <v>39</v>
      </c>
      <c r="N14" s="15" t="s">
        <v>131</v>
      </c>
      <c r="O14" s="15" t="s">
        <v>10</v>
      </c>
      <c r="P14" s="36">
        <v>5</v>
      </c>
      <c r="V14" s="36">
        <v>0</v>
      </c>
      <c r="W14" s="15" t="s">
        <v>456</v>
      </c>
      <c r="X14" s="15" t="s">
        <v>163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552</v>
      </c>
    </row>
    <row r="15" spans="1:31" x14ac:dyDescent="0.25">
      <c r="A15" s="15" t="s">
        <v>776</v>
      </c>
      <c r="B15" s="38">
        <v>43322</v>
      </c>
      <c r="C15" s="15" t="s">
        <v>504</v>
      </c>
      <c r="D15" s="15" t="s">
        <v>180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368</v>
      </c>
      <c r="L15" s="15" t="s">
        <v>156</v>
      </c>
      <c r="M15" s="15" t="s">
        <v>39</v>
      </c>
      <c r="N15" s="15" t="s">
        <v>131</v>
      </c>
      <c r="O15" s="15" t="s">
        <v>10</v>
      </c>
      <c r="P15" s="36">
        <v>5</v>
      </c>
      <c r="V15" s="36">
        <v>0</v>
      </c>
      <c r="W15" s="15" t="s">
        <v>456</v>
      </c>
      <c r="X15" s="15" t="s">
        <v>163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552</v>
      </c>
    </row>
    <row r="16" spans="1:31" x14ac:dyDescent="0.25">
      <c r="A16" s="15" t="s">
        <v>777</v>
      </c>
      <c r="B16" s="38">
        <v>43325</v>
      </c>
      <c r="C16" s="15" t="s">
        <v>504</v>
      </c>
      <c r="D16" s="15" t="s">
        <v>180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370</v>
      </c>
      <c r="L16" s="15" t="s">
        <v>71</v>
      </c>
      <c r="M16" s="15" t="s">
        <v>39</v>
      </c>
      <c r="N16" s="15" t="s">
        <v>140</v>
      </c>
      <c r="O16" s="15" t="s">
        <v>10</v>
      </c>
      <c r="P16" s="36">
        <v>1</v>
      </c>
      <c r="V16" s="36">
        <v>0</v>
      </c>
      <c r="W16" s="15" t="s">
        <v>457</v>
      </c>
      <c r="X16" s="15" t="s">
        <v>164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552</v>
      </c>
    </row>
    <row r="17" spans="1:31" x14ac:dyDescent="0.25">
      <c r="A17" s="15" t="s">
        <v>778</v>
      </c>
      <c r="B17" s="38">
        <v>43326</v>
      </c>
      <c r="C17" s="15" t="s">
        <v>504</v>
      </c>
      <c r="D17" s="15" t="s">
        <v>180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372</v>
      </c>
      <c r="L17" s="15" t="s">
        <v>77</v>
      </c>
      <c r="M17" s="15" t="s">
        <v>39</v>
      </c>
      <c r="N17" s="15" t="s">
        <v>140</v>
      </c>
      <c r="O17" s="15" t="s">
        <v>10</v>
      </c>
      <c r="P17" s="36">
        <v>1</v>
      </c>
      <c r="V17" s="36">
        <v>0</v>
      </c>
      <c r="W17" s="15" t="s">
        <v>457</v>
      </c>
      <c r="X17" s="15" t="s">
        <v>164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552</v>
      </c>
    </row>
    <row r="18" spans="1:31" x14ac:dyDescent="0.25">
      <c r="A18" s="15" t="s">
        <v>779</v>
      </c>
      <c r="B18" s="38">
        <v>43327</v>
      </c>
      <c r="C18" s="15" t="s">
        <v>504</v>
      </c>
      <c r="D18" s="15" t="s">
        <v>180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374</v>
      </c>
      <c r="L18" s="15" t="s">
        <v>83</v>
      </c>
      <c r="M18" s="15" t="s">
        <v>39</v>
      </c>
      <c r="N18" s="15" t="s">
        <v>125</v>
      </c>
      <c r="O18" s="15" t="s">
        <v>10</v>
      </c>
      <c r="P18" s="36">
        <v>25</v>
      </c>
      <c r="V18" s="36">
        <v>0</v>
      </c>
      <c r="W18" s="15" t="s">
        <v>457</v>
      </c>
      <c r="X18" s="15" t="s">
        <v>164</v>
      </c>
      <c r="Y18" s="15" t="s">
        <v>39</v>
      </c>
      <c r="Z18" s="15" t="s">
        <v>63</v>
      </c>
      <c r="AA18" s="15" t="s">
        <v>10</v>
      </c>
      <c r="AB18" s="36">
        <v>100</v>
      </c>
      <c r="AC18" s="15" t="s">
        <v>466</v>
      </c>
      <c r="AD18" s="15" t="s">
        <v>19</v>
      </c>
      <c r="AE18" s="15" t="s">
        <v>552</v>
      </c>
    </row>
    <row r="19" spans="1:31" x14ac:dyDescent="0.25">
      <c r="A19" s="15" t="s">
        <v>780</v>
      </c>
      <c r="B19" s="38">
        <v>43328</v>
      </c>
      <c r="C19" s="15" t="s">
        <v>504</v>
      </c>
      <c r="D19" s="15" t="s">
        <v>180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376</v>
      </c>
      <c r="L19" s="15" t="s">
        <v>141</v>
      </c>
      <c r="M19" s="15" t="s">
        <v>39</v>
      </c>
      <c r="N19" s="15" t="s">
        <v>224</v>
      </c>
      <c r="O19" s="15" t="s">
        <v>10</v>
      </c>
      <c r="P19" s="36">
        <v>0.5</v>
      </c>
      <c r="V19" s="36">
        <v>0</v>
      </c>
      <c r="W19" s="15" t="s">
        <v>457</v>
      </c>
      <c r="X19" s="15" t="s">
        <v>164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552</v>
      </c>
    </row>
    <row r="20" spans="1:31" x14ac:dyDescent="0.25">
      <c r="A20" s="15" t="s">
        <v>781</v>
      </c>
      <c r="B20" s="38">
        <v>43329</v>
      </c>
      <c r="C20" s="15" t="s">
        <v>504</v>
      </c>
      <c r="D20" s="15" t="s">
        <v>180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376</v>
      </c>
      <c r="L20" s="15" t="s">
        <v>141</v>
      </c>
      <c r="M20" s="15" t="s">
        <v>39</v>
      </c>
      <c r="N20" s="15" t="s">
        <v>224</v>
      </c>
      <c r="O20" s="15" t="s">
        <v>10</v>
      </c>
      <c r="P20" s="36">
        <v>0.5</v>
      </c>
      <c r="V20" s="36">
        <v>0</v>
      </c>
      <c r="W20" s="15" t="s">
        <v>457</v>
      </c>
      <c r="X20" s="15" t="s">
        <v>164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552</v>
      </c>
    </row>
    <row r="21" spans="1:31" x14ac:dyDescent="0.25">
      <c r="A21" s="15" t="s">
        <v>782</v>
      </c>
      <c r="B21" s="38">
        <v>43332</v>
      </c>
      <c r="C21" s="15" t="s">
        <v>504</v>
      </c>
      <c r="D21" s="15" t="s">
        <v>180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378</v>
      </c>
      <c r="L21" s="15" t="s">
        <v>93</v>
      </c>
      <c r="M21" s="15" t="s">
        <v>39</v>
      </c>
      <c r="N21" s="15" t="s">
        <v>125</v>
      </c>
      <c r="O21" s="15" t="s">
        <v>10</v>
      </c>
      <c r="P21" s="36">
        <v>25</v>
      </c>
      <c r="V21" s="36">
        <v>0</v>
      </c>
      <c r="W21" s="15" t="s">
        <v>459</v>
      </c>
      <c r="X21" s="15" t="s">
        <v>165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552</v>
      </c>
    </row>
    <row r="22" spans="1:31" x14ac:dyDescent="0.25">
      <c r="A22" s="15" t="s">
        <v>783</v>
      </c>
      <c r="B22" s="38">
        <v>43333</v>
      </c>
      <c r="C22" s="15" t="s">
        <v>504</v>
      </c>
      <c r="D22" s="15" t="s">
        <v>180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380</v>
      </c>
      <c r="L22" s="15" t="s">
        <v>144</v>
      </c>
      <c r="M22" s="15" t="s">
        <v>39</v>
      </c>
      <c r="N22" s="15" t="s">
        <v>149</v>
      </c>
      <c r="O22" s="15" t="s">
        <v>10</v>
      </c>
      <c r="P22" s="36">
        <v>1</v>
      </c>
      <c r="V22" s="36">
        <v>0</v>
      </c>
      <c r="W22" s="15" t="s">
        <v>459</v>
      </c>
      <c r="X22" s="15" t="s">
        <v>165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552</v>
      </c>
    </row>
    <row r="23" spans="1:31" x14ac:dyDescent="0.25">
      <c r="A23" s="15" t="s">
        <v>784</v>
      </c>
      <c r="B23" s="38">
        <v>43334</v>
      </c>
      <c r="C23" s="15" t="s">
        <v>504</v>
      </c>
      <c r="D23" s="15" t="s">
        <v>180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382</v>
      </c>
      <c r="L23" s="15" t="s">
        <v>150</v>
      </c>
      <c r="M23" s="15" t="s">
        <v>39</v>
      </c>
      <c r="N23" s="15" t="s">
        <v>155</v>
      </c>
      <c r="O23" s="15" t="s">
        <v>10</v>
      </c>
      <c r="P23" s="36">
        <v>2</v>
      </c>
      <c r="V23" s="36">
        <v>0</v>
      </c>
      <c r="W23" s="15" t="s">
        <v>459</v>
      </c>
      <c r="X23" s="15" t="s">
        <v>165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552</v>
      </c>
    </row>
    <row r="24" spans="1:31" x14ac:dyDescent="0.25">
      <c r="A24" s="15" t="s">
        <v>785</v>
      </c>
      <c r="B24" s="38">
        <v>43335</v>
      </c>
      <c r="C24" s="15" t="s">
        <v>504</v>
      </c>
      <c r="D24" s="15" t="s">
        <v>180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350</v>
      </c>
      <c r="L24" s="15" t="s">
        <v>15</v>
      </c>
      <c r="M24" s="15" t="s">
        <v>39</v>
      </c>
      <c r="N24" s="15" t="s">
        <v>34</v>
      </c>
      <c r="O24" s="15" t="s">
        <v>10</v>
      </c>
      <c r="P24" s="36">
        <v>1</v>
      </c>
      <c r="V24" s="36">
        <v>0</v>
      </c>
      <c r="W24" s="15" t="s">
        <v>459</v>
      </c>
      <c r="X24" s="15" t="s">
        <v>165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552</v>
      </c>
    </row>
    <row r="25" spans="1:31" x14ac:dyDescent="0.25">
      <c r="A25" s="15" t="s">
        <v>786</v>
      </c>
      <c r="B25" s="38">
        <v>43336</v>
      </c>
      <c r="C25" s="15" t="s">
        <v>504</v>
      </c>
      <c r="D25" s="15" t="s">
        <v>180</v>
      </c>
      <c r="E25" s="15" t="s">
        <v>272</v>
      </c>
      <c r="F25" s="15" t="s">
        <v>104</v>
      </c>
      <c r="G25" s="15" t="s">
        <v>39</v>
      </c>
      <c r="H25" s="15" t="s">
        <v>99</v>
      </c>
      <c r="I25" s="15" t="s">
        <v>10</v>
      </c>
      <c r="J25" s="36">
        <v>1</v>
      </c>
      <c r="K25" s="15" t="s">
        <v>352</v>
      </c>
      <c r="L25" s="15" t="s">
        <v>123</v>
      </c>
      <c r="M25" s="15" t="s">
        <v>39</v>
      </c>
      <c r="N25" s="15" t="s">
        <v>140</v>
      </c>
      <c r="O25" s="15" t="s">
        <v>10</v>
      </c>
      <c r="P25" s="36">
        <v>1</v>
      </c>
      <c r="V25" s="36">
        <v>0</v>
      </c>
      <c r="W25" s="15" t="s">
        <v>459</v>
      </c>
      <c r="X25" s="15" t="s">
        <v>165</v>
      </c>
      <c r="Y25" s="15" t="s">
        <v>39</v>
      </c>
      <c r="Z25" s="15" t="s">
        <v>63</v>
      </c>
      <c r="AA25" s="15" t="s">
        <v>10</v>
      </c>
      <c r="AB25" s="36">
        <v>100</v>
      </c>
      <c r="AE25" s="15" t="s">
        <v>552</v>
      </c>
    </row>
    <row r="26" spans="1:31" x14ac:dyDescent="0.25">
      <c r="A26" s="15" t="s">
        <v>787</v>
      </c>
      <c r="B26" s="38">
        <v>43339</v>
      </c>
      <c r="C26" s="15" t="s">
        <v>504</v>
      </c>
      <c r="D26" s="15" t="s">
        <v>180</v>
      </c>
      <c r="E26" s="15" t="s">
        <v>272</v>
      </c>
      <c r="F26" s="15" t="s">
        <v>104</v>
      </c>
      <c r="G26" s="15" t="s">
        <v>39</v>
      </c>
      <c r="H26" s="15" t="s">
        <v>99</v>
      </c>
      <c r="I26" s="15" t="s">
        <v>10</v>
      </c>
      <c r="J26" s="36">
        <v>1</v>
      </c>
      <c r="K26" s="15" t="s">
        <v>354</v>
      </c>
      <c r="L26" s="15" t="s">
        <v>129</v>
      </c>
      <c r="M26" s="15" t="s">
        <v>39</v>
      </c>
      <c r="N26" s="15" t="s">
        <v>155</v>
      </c>
      <c r="O26" s="15" t="s">
        <v>10</v>
      </c>
      <c r="P26" s="36">
        <v>2</v>
      </c>
      <c r="V26" s="36">
        <v>0</v>
      </c>
      <c r="W26" s="15" t="s">
        <v>462</v>
      </c>
      <c r="X26" s="15" t="s">
        <v>166</v>
      </c>
      <c r="Y26" s="15" t="s">
        <v>39</v>
      </c>
      <c r="Z26" s="15" t="s">
        <v>63</v>
      </c>
      <c r="AA26" s="15" t="s">
        <v>10</v>
      </c>
      <c r="AB26" s="36">
        <v>100</v>
      </c>
      <c r="AE26" s="15" t="s">
        <v>552</v>
      </c>
    </row>
    <row r="27" spans="1:31" x14ac:dyDescent="0.25">
      <c r="A27" s="15" t="s">
        <v>788</v>
      </c>
      <c r="B27" s="38">
        <v>43340</v>
      </c>
      <c r="C27" s="15" t="s">
        <v>504</v>
      </c>
      <c r="D27" s="15" t="s">
        <v>180</v>
      </c>
      <c r="E27" s="15" t="s">
        <v>272</v>
      </c>
      <c r="F27" s="15" t="s">
        <v>104</v>
      </c>
      <c r="G27" s="15" t="s">
        <v>39</v>
      </c>
      <c r="H27" s="15" t="s">
        <v>99</v>
      </c>
      <c r="I27" s="15" t="s">
        <v>10</v>
      </c>
      <c r="J27" s="36">
        <v>1</v>
      </c>
      <c r="K27" s="15" t="s">
        <v>356</v>
      </c>
      <c r="L27" s="15" t="s">
        <v>132</v>
      </c>
      <c r="M27" s="15" t="s">
        <v>39</v>
      </c>
      <c r="N27" s="15" t="s">
        <v>134</v>
      </c>
      <c r="O27" s="15" t="s">
        <v>10</v>
      </c>
      <c r="P27" s="36">
        <v>1</v>
      </c>
      <c r="V27" s="36">
        <v>0</v>
      </c>
      <c r="W27" s="15" t="s">
        <v>462</v>
      </c>
      <c r="X27" s="15" t="s">
        <v>166</v>
      </c>
      <c r="Y27" s="15" t="s">
        <v>39</v>
      </c>
      <c r="Z27" s="15" t="s">
        <v>63</v>
      </c>
      <c r="AA27" s="15" t="s">
        <v>10</v>
      </c>
      <c r="AB27" s="36">
        <v>100</v>
      </c>
      <c r="AE27" s="15" t="s">
        <v>552</v>
      </c>
    </row>
    <row r="28" spans="1:31" x14ac:dyDescent="0.25">
      <c r="A28" s="15" t="s">
        <v>789</v>
      </c>
      <c r="B28" s="38">
        <v>43341</v>
      </c>
      <c r="C28" s="15" t="s">
        <v>504</v>
      </c>
      <c r="D28" s="15" t="s">
        <v>180</v>
      </c>
      <c r="E28" s="15" t="s">
        <v>272</v>
      </c>
      <c r="F28" s="15" t="s">
        <v>104</v>
      </c>
      <c r="G28" s="15" t="s">
        <v>39</v>
      </c>
      <c r="H28" s="15" t="s">
        <v>99</v>
      </c>
      <c r="I28" s="15" t="s">
        <v>10</v>
      </c>
      <c r="J28" s="36">
        <v>1</v>
      </c>
      <c r="K28" s="15" t="s">
        <v>358</v>
      </c>
      <c r="L28" s="15" t="s">
        <v>135</v>
      </c>
      <c r="M28" s="15" t="s">
        <v>39</v>
      </c>
      <c r="N28" s="15" t="s">
        <v>34</v>
      </c>
      <c r="O28" s="15" t="s">
        <v>10</v>
      </c>
      <c r="P28" s="36">
        <v>1</v>
      </c>
      <c r="V28" s="36">
        <v>0</v>
      </c>
      <c r="W28" s="15" t="s">
        <v>462</v>
      </c>
      <c r="X28" s="15" t="s">
        <v>166</v>
      </c>
      <c r="Y28" s="15" t="s">
        <v>39</v>
      </c>
      <c r="Z28" s="15" t="s">
        <v>63</v>
      </c>
      <c r="AA28" s="15" t="s">
        <v>10</v>
      </c>
      <c r="AB28" s="36">
        <v>100</v>
      </c>
      <c r="AE28" s="15" t="s">
        <v>552</v>
      </c>
    </row>
    <row r="29" spans="1:31" x14ac:dyDescent="0.25">
      <c r="A29" s="15" t="s">
        <v>790</v>
      </c>
      <c r="B29" s="38">
        <v>43342</v>
      </c>
      <c r="C29" s="15" t="s">
        <v>504</v>
      </c>
      <c r="D29" s="15" t="s">
        <v>180</v>
      </c>
      <c r="E29" s="15" t="s">
        <v>272</v>
      </c>
      <c r="F29" s="15" t="s">
        <v>104</v>
      </c>
      <c r="G29" s="15" t="s">
        <v>39</v>
      </c>
      <c r="H29" s="15" t="s">
        <v>99</v>
      </c>
      <c r="I29" s="15" t="s">
        <v>10</v>
      </c>
      <c r="J29" s="36">
        <v>1</v>
      </c>
      <c r="K29" s="15" t="s">
        <v>360</v>
      </c>
      <c r="L29" s="15" t="s">
        <v>138</v>
      </c>
      <c r="M29" s="15" t="s">
        <v>39</v>
      </c>
      <c r="N29" s="15" t="s">
        <v>140</v>
      </c>
      <c r="O29" s="15" t="s">
        <v>10</v>
      </c>
      <c r="P29" s="36">
        <v>1</v>
      </c>
      <c r="V29" s="36">
        <v>0</v>
      </c>
      <c r="W29" s="15" t="s">
        <v>462</v>
      </c>
      <c r="X29" s="15" t="s">
        <v>166</v>
      </c>
      <c r="Y29" s="15" t="s">
        <v>39</v>
      </c>
      <c r="Z29" s="15" t="s">
        <v>63</v>
      </c>
      <c r="AA29" s="15" t="s">
        <v>10</v>
      </c>
      <c r="AB29" s="36">
        <v>100</v>
      </c>
      <c r="AE29" s="15" t="s">
        <v>552</v>
      </c>
    </row>
    <row r="30" spans="1:31" x14ac:dyDescent="0.25">
      <c r="A30" s="15" t="s">
        <v>791</v>
      </c>
      <c r="B30" s="38">
        <v>43343</v>
      </c>
      <c r="C30" s="15" t="s">
        <v>504</v>
      </c>
      <c r="D30" s="15" t="s">
        <v>180</v>
      </c>
      <c r="E30" s="15" t="s">
        <v>272</v>
      </c>
      <c r="F30" s="15" t="s">
        <v>104</v>
      </c>
      <c r="G30" s="15" t="s">
        <v>39</v>
      </c>
      <c r="H30" s="15" t="s">
        <v>99</v>
      </c>
      <c r="I30" s="15" t="s">
        <v>10</v>
      </c>
      <c r="J30" s="36">
        <v>1</v>
      </c>
      <c r="K30" s="15" t="s">
        <v>362</v>
      </c>
      <c r="L30" s="15" t="s">
        <v>42</v>
      </c>
      <c r="M30" s="15" t="s">
        <v>39</v>
      </c>
      <c r="N30" s="15" t="s">
        <v>125</v>
      </c>
      <c r="O30" s="15" t="s">
        <v>10</v>
      </c>
      <c r="P30" s="36">
        <v>25</v>
      </c>
      <c r="V30" s="36">
        <v>0</v>
      </c>
      <c r="W30" s="15" t="s">
        <v>462</v>
      </c>
      <c r="X30" s="15" t="s">
        <v>166</v>
      </c>
      <c r="Y30" s="15" t="s">
        <v>39</v>
      </c>
      <c r="Z30" s="15" t="s">
        <v>63</v>
      </c>
      <c r="AA30" s="15" t="s">
        <v>10</v>
      </c>
      <c r="AB30" s="36">
        <v>100</v>
      </c>
      <c r="AE30" s="15" t="s">
        <v>552</v>
      </c>
    </row>
    <row r="31" spans="1:31" x14ac:dyDescent="0.25">
      <c r="A31" s="15" t="s">
        <v>1101</v>
      </c>
      <c r="B31" s="38">
        <v>43313</v>
      </c>
      <c r="C31" s="15" t="s">
        <v>504</v>
      </c>
      <c r="D31" s="15" t="s">
        <v>180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306</v>
      </c>
      <c r="L31" s="15" t="s">
        <v>97</v>
      </c>
      <c r="M31" s="15" t="s">
        <v>56</v>
      </c>
      <c r="N31" s="15" t="s">
        <v>40</v>
      </c>
      <c r="O31" s="15" t="s">
        <v>18</v>
      </c>
      <c r="P31" s="36">
        <v>0.5</v>
      </c>
      <c r="V31" s="36">
        <v>0</v>
      </c>
      <c r="W31" s="15" t="s">
        <v>384</v>
      </c>
      <c r="X31" s="15" t="s">
        <v>17</v>
      </c>
      <c r="Y31" s="15" t="s">
        <v>33</v>
      </c>
      <c r="Z31" s="15" t="s">
        <v>87</v>
      </c>
      <c r="AA31" s="15" t="s">
        <v>18</v>
      </c>
      <c r="AB31" s="36">
        <v>1</v>
      </c>
      <c r="AE31" s="15" t="s">
        <v>564</v>
      </c>
    </row>
    <row r="32" spans="1:31" x14ac:dyDescent="0.25">
      <c r="A32" s="15" t="s">
        <v>1102</v>
      </c>
      <c r="B32" s="38">
        <v>43314</v>
      </c>
      <c r="C32" s="15" t="s">
        <v>504</v>
      </c>
      <c r="D32" s="15" t="s">
        <v>180</v>
      </c>
      <c r="E32" s="15" t="s">
        <v>260</v>
      </c>
      <c r="F32" s="15" t="s">
        <v>104</v>
      </c>
      <c r="G32" s="15" t="s">
        <v>45</v>
      </c>
      <c r="H32" s="15" t="s">
        <v>99</v>
      </c>
      <c r="I32" s="15" t="s">
        <v>18</v>
      </c>
      <c r="J32" s="36">
        <v>1</v>
      </c>
      <c r="K32" s="15" t="s">
        <v>306</v>
      </c>
      <c r="L32" s="15" t="s">
        <v>97</v>
      </c>
      <c r="M32" s="15" t="s">
        <v>56</v>
      </c>
      <c r="N32" s="15" t="s">
        <v>40</v>
      </c>
      <c r="O32" s="15" t="s">
        <v>18</v>
      </c>
      <c r="P32" s="36">
        <v>0.5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133</v>
      </c>
      <c r="AE32" s="15" t="s">
        <v>564</v>
      </c>
    </row>
    <row r="33" spans="1:31" x14ac:dyDescent="0.25">
      <c r="A33" s="15" t="s">
        <v>1103</v>
      </c>
      <c r="B33" s="38">
        <v>43315</v>
      </c>
      <c r="C33" s="15" t="s">
        <v>504</v>
      </c>
      <c r="D33" s="15" t="s">
        <v>180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322</v>
      </c>
      <c r="L33" s="15" t="s">
        <v>129</v>
      </c>
      <c r="M33" s="15" t="s">
        <v>80</v>
      </c>
      <c r="N33" s="15" t="s">
        <v>155</v>
      </c>
      <c r="O33" s="15" t="s">
        <v>18</v>
      </c>
      <c r="P33" s="36">
        <v>2</v>
      </c>
      <c r="V33" s="36">
        <v>0</v>
      </c>
      <c r="W33" s="15" t="s">
        <v>386</v>
      </c>
      <c r="X33" s="15" t="s">
        <v>24</v>
      </c>
      <c r="Y33" s="15" t="s">
        <v>33</v>
      </c>
      <c r="Z33" s="15" t="s">
        <v>118</v>
      </c>
      <c r="AA33" s="15" t="s">
        <v>18</v>
      </c>
      <c r="AB33" s="36">
        <v>125</v>
      </c>
      <c r="AE33" s="15" t="s">
        <v>564</v>
      </c>
    </row>
    <row r="34" spans="1:31" x14ac:dyDescent="0.25">
      <c r="A34" s="15" t="s">
        <v>1104</v>
      </c>
      <c r="B34" s="38">
        <v>43316</v>
      </c>
      <c r="C34" s="15" t="s">
        <v>504</v>
      </c>
      <c r="D34" s="15" t="s">
        <v>180</v>
      </c>
      <c r="E34" s="15" t="s">
        <v>254</v>
      </c>
      <c r="F34" s="15" t="s">
        <v>92</v>
      </c>
      <c r="G34" s="15" t="s">
        <v>68</v>
      </c>
      <c r="H34" s="15" t="s">
        <v>69</v>
      </c>
      <c r="I34" s="15" t="s">
        <v>18</v>
      </c>
      <c r="J34" s="36">
        <v>2</v>
      </c>
      <c r="K34" s="15" t="s">
        <v>342</v>
      </c>
      <c r="L34" s="15" t="s">
        <v>158</v>
      </c>
      <c r="M34" s="15" t="s">
        <v>74</v>
      </c>
      <c r="N34" s="15" t="s">
        <v>131</v>
      </c>
      <c r="O34" s="15" t="s">
        <v>18</v>
      </c>
      <c r="P34" s="36">
        <v>10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564</v>
      </c>
    </row>
    <row r="35" spans="1:31" x14ac:dyDescent="0.25">
      <c r="A35" s="15" t="s">
        <v>1105</v>
      </c>
      <c r="B35" s="38">
        <v>43317</v>
      </c>
      <c r="C35" s="15" t="s">
        <v>504</v>
      </c>
      <c r="D35" s="15" t="s">
        <v>180</v>
      </c>
      <c r="E35" s="15" t="s">
        <v>254</v>
      </c>
      <c r="F35" s="15" t="s">
        <v>92</v>
      </c>
      <c r="G35" s="15" t="s">
        <v>68</v>
      </c>
      <c r="H35" s="15" t="s">
        <v>69</v>
      </c>
      <c r="I35" s="15" t="s">
        <v>18</v>
      </c>
      <c r="J35" s="36">
        <v>2</v>
      </c>
      <c r="K35" s="15" t="s">
        <v>346</v>
      </c>
      <c r="L35" s="15" t="s">
        <v>162</v>
      </c>
      <c r="M35" s="15" t="s">
        <v>12</v>
      </c>
      <c r="N35" s="15" t="s">
        <v>121</v>
      </c>
      <c r="O35" s="15" t="s">
        <v>18</v>
      </c>
      <c r="P35" s="36">
        <v>20</v>
      </c>
      <c r="Q35" s="15" t="s">
        <v>274</v>
      </c>
      <c r="R35" s="15" t="s">
        <v>15</v>
      </c>
      <c r="S35" s="15" t="s">
        <v>27</v>
      </c>
      <c r="T35" s="15" t="s">
        <v>13</v>
      </c>
      <c r="U35" s="15" t="s">
        <v>18</v>
      </c>
      <c r="V35" s="36">
        <v>1</v>
      </c>
      <c r="W35" s="15" t="s">
        <v>388</v>
      </c>
      <c r="X35" s="15" t="s">
        <v>31</v>
      </c>
      <c r="Y35" s="15" t="s">
        <v>33</v>
      </c>
      <c r="Z35" s="15" t="s">
        <v>87</v>
      </c>
      <c r="AA35" s="15" t="s">
        <v>18</v>
      </c>
      <c r="AB35" s="36">
        <v>1</v>
      </c>
      <c r="AE35" s="15" t="s">
        <v>564</v>
      </c>
    </row>
    <row r="36" spans="1:31" x14ac:dyDescent="0.25">
      <c r="A36" s="15" t="s">
        <v>1106</v>
      </c>
      <c r="B36" s="38">
        <v>43318</v>
      </c>
      <c r="C36" s="15" t="s">
        <v>504</v>
      </c>
      <c r="D36" s="15" t="s">
        <v>180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288</v>
      </c>
      <c r="L36" s="15" t="s">
        <v>53</v>
      </c>
      <c r="M36" s="15" t="s">
        <v>51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134</v>
      </c>
      <c r="AE36" s="15" t="s">
        <v>564</v>
      </c>
    </row>
    <row r="37" spans="1:31" x14ac:dyDescent="0.25">
      <c r="A37" s="15" t="s">
        <v>1107</v>
      </c>
      <c r="B37" s="38">
        <v>43319</v>
      </c>
      <c r="C37" s="15" t="s">
        <v>504</v>
      </c>
      <c r="D37" s="15" t="s">
        <v>180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288</v>
      </c>
      <c r="L37" s="15" t="s">
        <v>53</v>
      </c>
      <c r="M37" s="15" t="s">
        <v>51</v>
      </c>
      <c r="N37" s="15" t="s">
        <v>40</v>
      </c>
      <c r="O37" s="15" t="s">
        <v>18</v>
      </c>
      <c r="P37" s="36">
        <v>0.5</v>
      </c>
      <c r="V37" s="36">
        <v>0</v>
      </c>
      <c r="W37" s="15" t="s">
        <v>388</v>
      </c>
      <c r="X37" s="15" t="s">
        <v>31</v>
      </c>
      <c r="Y37" s="15" t="s">
        <v>33</v>
      </c>
      <c r="Z37" s="15" t="s">
        <v>87</v>
      </c>
      <c r="AA37" s="15" t="s">
        <v>18</v>
      </c>
      <c r="AB37" s="36">
        <v>1</v>
      </c>
      <c r="AE37" s="15" t="s">
        <v>564</v>
      </c>
    </row>
    <row r="38" spans="1:31" x14ac:dyDescent="0.25">
      <c r="A38" s="15" t="s">
        <v>1108</v>
      </c>
      <c r="B38" s="38">
        <v>43320</v>
      </c>
      <c r="C38" s="15" t="s">
        <v>504</v>
      </c>
      <c r="D38" s="15" t="s">
        <v>180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308</v>
      </c>
      <c r="L38" s="15" t="s">
        <v>101</v>
      </c>
      <c r="M38" s="15" t="s">
        <v>56</v>
      </c>
      <c r="N38" s="15" t="s">
        <v>40</v>
      </c>
      <c r="O38" s="15" t="s">
        <v>18</v>
      </c>
      <c r="P38" s="36">
        <v>0.5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133</v>
      </c>
      <c r="AE38" s="15" t="s">
        <v>564</v>
      </c>
    </row>
    <row r="39" spans="1:31" x14ac:dyDescent="0.25">
      <c r="A39" s="15" t="s">
        <v>1109</v>
      </c>
      <c r="B39" s="38">
        <v>43321</v>
      </c>
      <c r="C39" s="15" t="s">
        <v>504</v>
      </c>
      <c r="D39" s="15" t="s">
        <v>180</v>
      </c>
      <c r="E39" s="15" t="s">
        <v>260</v>
      </c>
      <c r="F39" s="15" t="s">
        <v>104</v>
      </c>
      <c r="G39" s="15" t="s">
        <v>45</v>
      </c>
      <c r="H39" s="15" t="s">
        <v>99</v>
      </c>
      <c r="I39" s="15" t="s">
        <v>18</v>
      </c>
      <c r="J39" s="36">
        <v>1</v>
      </c>
      <c r="K39" s="15" t="s">
        <v>308</v>
      </c>
      <c r="L39" s="15" t="s">
        <v>101</v>
      </c>
      <c r="M39" s="15" t="s">
        <v>56</v>
      </c>
      <c r="N39" s="15" t="s">
        <v>40</v>
      </c>
      <c r="O39" s="15" t="s">
        <v>18</v>
      </c>
      <c r="P39" s="36">
        <v>0.5</v>
      </c>
      <c r="V39" s="36">
        <v>0</v>
      </c>
      <c r="W39" s="15" t="s">
        <v>390</v>
      </c>
      <c r="X39" s="15" t="s">
        <v>37</v>
      </c>
      <c r="Y39" s="15" t="s">
        <v>33</v>
      </c>
      <c r="Z39" s="15" t="s">
        <v>40</v>
      </c>
      <c r="AA39" s="15" t="s">
        <v>18</v>
      </c>
      <c r="AB39" s="36">
        <v>1</v>
      </c>
      <c r="AE39" s="15" t="s">
        <v>564</v>
      </c>
    </row>
    <row r="40" spans="1:31" x14ac:dyDescent="0.25">
      <c r="A40" s="15" t="s">
        <v>1110</v>
      </c>
      <c r="B40" s="38">
        <v>43322</v>
      </c>
      <c r="C40" s="15" t="s">
        <v>504</v>
      </c>
      <c r="D40" s="15" t="s">
        <v>180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324</v>
      </c>
      <c r="L40" s="15" t="s">
        <v>132</v>
      </c>
      <c r="M40" s="15" t="s">
        <v>80</v>
      </c>
      <c r="N40" s="15" t="s">
        <v>134</v>
      </c>
      <c r="O40" s="15" t="s">
        <v>18</v>
      </c>
      <c r="P40" s="36">
        <v>1</v>
      </c>
      <c r="V40" s="36">
        <v>0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564</v>
      </c>
    </row>
    <row r="41" spans="1:31" x14ac:dyDescent="0.25">
      <c r="A41" s="15" t="s">
        <v>1111</v>
      </c>
      <c r="B41" s="38">
        <v>43323</v>
      </c>
      <c r="C41" s="15" t="s">
        <v>504</v>
      </c>
      <c r="D41" s="15" t="s">
        <v>180</v>
      </c>
      <c r="E41" s="15" t="s">
        <v>256</v>
      </c>
      <c r="F41" s="15" t="s">
        <v>96</v>
      </c>
      <c r="G41" s="15" t="s">
        <v>68</v>
      </c>
      <c r="H41" s="15" t="s">
        <v>140</v>
      </c>
      <c r="I41" s="15" t="s">
        <v>18</v>
      </c>
      <c r="J41" s="36">
        <v>2</v>
      </c>
      <c r="K41" s="15" t="s">
        <v>338</v>
      </c>
      <c r="L41" s="15" t="s">
        <v>153</v>
      </c>
      <c r="M41" s="15" t="s">
        <v>74</v>
      </c>
      <c r="N41" s="15" t="s">
        <v>131</v>
      </c>
      <c r="O41" s="15" t="s">
        <v>18</v>
      </c>
      <c r="P41" s="36">
        <v>10</v>
      </c>
      <c r="V41" s="36">
        <v>0</v>
      </c>
      <c r="W41" s="15" t="s">
        <v>390</v>
      </c>
      <c r="X41" s="15" t="s">
        <v>37</v>
      </c>
      <c r="Y41" s="15" t="s">
        <v>33</v>
      </c>
      <c r="Z41" s="15" t="s">
        <v>40</v>
      </c>
      <c r="AA41" s="15" t="s">
        <v>18</v>
      </c>
      <c r="AB41" s="36">
        <v>1</v>
      </c>
      <c r="AE41" s="15" t="s">
        <v>564</v>
      </c>
    </row>
    <row r="42" spans="1:31" x14ac:dyDescent="0.25">
      <c r="A42" s="15" t="s">
        <v>1112</v>
      </c>
      <c r="B42" s="38">
        <v>43324</v>
      </c>
      <c r="C42" s="15" t="s">
        <v>504</v>
      </c>
      <c r="D42" s="15" t="s">
        <v>180</v>
      </c>
      <c r="E42" s="15" t="s">
        <v>256</v>
      </c>
      <c r="F42" s="15" t="s">
        <v>96</v>
      </c>
      <c r="G42" s="15" t="s">
        <v>68</v>
      </c>
      <c r="H42" s="15" t="s">
        <v>140</v>
      </c>
      <c r="I42" s="15" t="s">
        <v>18</v>
      </c>
      <c r="J42" s="36">
        <v>2</v>
      </c>
      <c r="K42" s="15" t="s">
        <v>348</v>
      </c>
      <c r="L42" s="15" t="s">
        <v>53</v>
      </c>
      <c r="M42" s="15" t="s">
        <v>20</v>
      </c>
      <c r="N42" s="15" t="s">
        <v>40</v>
      </c>
      <c r="O42" s="15" t="s">
        <v>18</v>
      </c>
      <c r="P42" s="36">
        <v>1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134</v>
      </c>
      <c r="AE42" s="15" t="s">
        <v>564</v>
      </c>
    </row>
    <row r="43" spans="1:31" x14ac:dyDescent="0.25">
      <c r="A43" s="15" t="s">
        <v>1113</v>
      </c>
      <c r="B43" s="38">
        <v>43325</v>
      </c>
      <c r="C43" s="15" t="s">
        <v>504</v>
      </c>
      <c r="D43" s="15" t="s">
        <v>180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290</v>
      </c>
      <c r="L43" s="15" t="s">
        <v>59</v>
      </c>
      <c r="M43" s="15" t="s">
        <v>51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392</v>
      </c>
      <c r="X43" s="15" t="s">
        <v>43</v>
      </c>
      <c r="Y43" s="15" t="s">
        <v>33</v>
      </c>
      <c r="Z43" s="15" t="s">
        <v>87</v>
      </c>
      <c r="AA43" s="15" t="s">
        <v>18</v>
      </c>
      <c r="AB43" s="36">
        <v>0.5</v>
      </c>
      <c r="AE43" s="15" t="s">
        <v>564</v>
      </c>
    </row>
    <row r="44" spans="1:31" x14ac:dyDescent="0.25">
      <c r="A44" s="15" t="s">
        <v>1114</v>
      </c>
      <c r="B44" s="38">
        <v>43326</v>
      </c>
      <c r="C44" s="15" t="s">
        <v>504</v>
      </c>
      <c r="D44" s="15" t="s">
        <v>180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290</v>
      </c>
      <c r="L44" s="15" t="s">
        <v>59</v>
      </c>
      <c r="M44" s="15" t="s">
        <v>51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133</v>
      </c>
      <c r="AE44" s="15" t="s">
        <v>564</v>
      </c>
    </row>
    <row r="45" spans="1:31" x14ac:dyDescent="0.25">
      <c r="A45" s="15" t="s">
        <v>1115</v>
      </c>
      <c r="B45" s="38">
        <v>43327</v>
      </c>
      <c r="C45" s="15" t="s">
        <v>504</v>
      </c>
      <c r="D45" s="15" t="s">
        <v>180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310</v>
      </c>
      <c r="L45" s="15" t="s">
        <v>105</v>
      </c>
      <c r="M45" s="15" t="s">
        <v>56</v>
      </c>
      <c r="N45" s="15" t="s">
        <v>40</v>
      </c>
      <c r="O45" s="15" t="s">
        <v>18</v>
      </c>
      <c r="P45" s="36">
        <v>0.5</v>
      </c>
      <c r="V45" s="36">
        <v>0</v>
      </c>
      <c r="W45" s="15" t="s">
        <v>392</v>
      </c>
      <c r="X45" s="15" t="s">
        <v>43</v>
      </c>
      <c r="Y45" s="15" t="s">
        <v>33</v>
      </c>
      <c r="Z45" s="15" t="s">
        <v>87</v>
      </c>
      <c r="AA45" s="15" t="s">
        <v>18</v>
      </c>
      <c r="AB45" s="36">
        <v>0.5</v>
      </c>
      <c r="AC45" s="15" t="s">
        <v>466</v>
      </c>
      <c r="AD45" s="15" t="s">
        <v>19</v>
      </c>
      <c r="AE45" s="15" t="s">
        <v>564</v>
      </c>
    </row>
    <row r="46" spans="1:31" x14ac:dyDescent="0.25">
      <c r="A46" s="15" t="s">
        <v>1116</v>
      </c>
      <c r="B46" s="38">
        <v>43328</v>
      </c>
      <c r="C46" s="15" t="s">
        <v>504</v>
      </c>
      <c r="D46" s="15" t="s">
        <v>180</v>
      </c>
      <c r="E46" s="15" t="s">
        <v>260</v>
      </c>
      <c r="F46" s="15" t="s">
        <v>104</v>
      </c>
      <c r="G46" s="15" t="s">
        <v>45</v>
      </c>
      <c r="H46" s="15" t="s">
        <v>99</v>
      </c>
      <c r="I46" s="15" t="s">
        <v>18</v>
      </c>
      <c r="J46" s="36">
        <v>1</v>
      </c>
      <c r="K46" s="15" t="s">
        <v>310</v>
      </c>
      <c r="L46" s="15" t="s">
        <v>105</v>
      </c>
      <c r="M46" s="15" t="s">
        <v>56</v>
      </c>
      <c r="N46" s="15" t="s">
        <v>40</v>
      </c>
      <c r="O46" s="15" t="s">
        <v>18</v>
      </c>
      <c r="P46" s="36">
        <v>0.5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564</v>
      </c>
    </row>
    <row r="47" spans="1:31" x14ac:dyDescent="0.25">
      <c r="A47" s="15" t="s">
        <v>1117</v>
      </c>
      <c r="B47" s="38">
        <v>43329</v>
      </c>
      <c r="C47" s="15" t="s">
        <v>504</v>
      </c>
      <c r="D47" s="15" t="s">
        <v>180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326</v>
      </c>
      <c r="L47" s="15" t="s">
        <v>135</v>
      </c>
      <c r="M47" s="15" t="s">
        <v>80</v>
      </c>
      <c r="N47" s="15" t="s">
        <v>34</v>
      </c>
      <c r="O47" s="15" t="s">
        <v>18</v>
      </c>
      <c r="P47" s="36">
        <v>1</v>
      </c>
      <c r="V47" s="36">
        <v>0</v>
      </c>
      <c r="W47" s="15" t="s">
        <v>394</v>
      </c>
      <c r="X47" s="15" t="s">
        <v>49</v>
      </c>
      <c r="Y47" s="15" t="s">
        <v>33</v>
      </c>
      <c r="Z47" s="15" t="s">
        <v>87</v>
      </c>
      <c r="AA47" s="15" t="s">
        <v>18</v>
      </c>
      <c r="AB47" s="36">
        <v>0.5</v>
      </c>
      <c r="AE47" s="15" t="s">
        <v>564</v>
      </c>
    </row>
    <row r="48" spans="1:31" x14ac:dyDescent="0.25">
      <c r="A48" s="15" t="s">
        <v>1118</v>
      </c>
      <c r="B48" s="38">
        <v>43330</v>
      </c>
      <c r="C48" s="15" t="s">
        <v>504</v>
      </c>
      <c r="D48" s="15" t="s">
        <v>180</v>
      </c>
      <c r="E48" s="15" t="s">
        <v>258</v>
      </c>
      <c r="F48" s="15" t="s">
        <v>100</v>
      </c>
      <c r="G48" s="15" t="s">
        <v>68</v>
      </c>
      <c r="H48" s="15" t="s">
        <v>75</v>
      </c>
      <c r="I48" s="15" t="s">
        <v>18</v>
      </c>
      <c r="J48" s="36">
        <v>6</v>
      </c>
      <c r="K48" s="15" t="s">
        <v>340</v>
      </c>
      <c r="L48" s="15" t="s">
        <v>156</v>
      </c>
      <c r="M48" s="15" t="s">
        <v>74</v>
      </c>
      <c r="N48" s="15" t="s">
        <v>131</v>
      </c>
      <c r="O48" s="15" t="s">
        <v>18</v>
      </c>
      <c r="P48" s="36">
        <v>10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134</v>
      </c>
      <c r="AE48" s="15" t="s">
        <v>564</v>
      </c>
    </row>
    <row r="49" spans="1:31" x14ac:dyDescent="0.25">
      <c r="A49" s="15" t="s">
        <v>1119</v>
      </c>
      <c r="B49" s="38">
        <v>43331</v>
      </c>
      <c r="C49" s="15" t="s">
        <v>504</v>
      </c>
      <c r="D49" s="15" t="s">
        <v>180</v>
      </c>
      <c r="E49" s="15" t="s">
        <v>258</v>
      </c>
      <c r="F49" s="15" t="s">
        <v>100</v>
      </c>
      <c r="G49" s="15" t="s">
        <v>68</v>
      </c>
      <c r="H49" s="15" t="s">
        <v>75</v>
      </c>
      <c r="I49" s="15" t="s">
        <v>18</v>
      </c>
      <c r="J49" s="36">
        <v>6</v>
      </c>
      <c r="K49" s="15" t="s">
        <v>344</v>
      </c>
      <c r="L49" s="15" t="s">
        <v>160</v>
      </c>
      <c r="M49" s="15" t="s">
        <v>20</v>
      </c>
      <c r="N49" s="15" t="s">
        <v>103</v>
      </c>
      <c r="O49" s="15" t="s">
        <v>18</v>
      </c>
      <c r="P49" s="36">
        <v>1</v>
      </c>
      <c r="V49" s="36">
        <v>0</v>
      </c>
      <c r="W49" s="15" t="s">
        <v>394</v>
      </c>
      <c r="X49" s="15" t="s">
        <v>49</v>
      </c>
      <c r="Y49" s="15" t="s">
        <v>33</v>
      </c>
      <c r="Z49" s="15" t="s">
        <v>87</v>
      </c>
      <c r="AA49" s="15" t="s">
        <v>18</v>
      </c>
      <c r="AB49" s="36">
        <v>0.5</v>
      </c>
      <c r="AE49" s="15" t="s">
        <v>564</v>
      </c>
    </row>
    <row r="50" spans="1:31" x14ac:dyDescent="0.25">
      <c r="A50" s="15" t="s">
        <v>1120</v>
      </c>
      <c r="B50" s="38">
        <v>43332</v>
      </c>
      <c r="C50" s="15" t="s">
        <v>504</v>
      </c>
      <c r="D50" s="15" t="s">
        <v>180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291</v>
      </c>
      <c r="L50" s="15" t="s">
        <v>65</v>
      </c>
      <c r="M50" s="15" t="s">
        <v>51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438</v>
      </c>
      <c r="X50" s="15" t="s">
        <v>142</v>
      </c>
      <c r="Y50" s="15" t="s">
        <v>51</v>
      </c>
      <c r="Z50" s="15" t="s">
        <v>40</v>
      </c>
      <c r="AA50" s="15" t="s">
        <v>18</v>
      </c>
      <c r="AB50" s="36">
        <v>0.5</v>
      </c>
      <c r="AE50" s="15" t="s">
        <v>564</v>
      </c>
    </row>
    <row r="51" spans="1:31" x14ac:dyDescent="0.25">
      <c r="A51" s="15" t="s">
        <v>1121</v>
      </c>
      <c r="B51" s="38">
        <v>43333</v>
      </c>
      <c r="C51" s="15" t="s">
        <v>504</v>
      </c>
      <c r="D51" s="15" t="s">
        <v>180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291</v>
      </c>
      <c r="L51" s="15" t="s">
        <v>65</v>
      </c>
      <c r="M51" s="15" t="s">
        <v>51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438</v>
      </c>
      <c r="X51" s="15" t="s">
        <v>142</v>
      </c>
      <c r="Y51" s="15" t="s">
        <v>51</v>
      </c>
      <c r="Z51" s="15" t="s">
        <v>40</v>
      </c>
      <c r="AA51" s="15" t="s">
        <v>18</v>
      </c>
      <c r="AB51" s="36">
        <v>0.5</v>
      </c>
      <c r="AE51" s="15" t="s">
        <v>564</v>
      </c>
    </row>
    <row r="52" spans="1:31" x14ac:dyDescent="0.25">
      <c r="A52" s="15" t="s">
        <v>1122</v>
      </c>
      <c r="B52" s="38">
        <v>43334</v>
      </c>
      <c r="C52" s="15" t="s">
        <v>504</v>
      </c>
      <c r="D52" s="15" t="s">
        <v>180</v>
      </c>
      <c r="E52" s="15" t="s">
        <v>260</v>
      </c>
      <c r="F52" s="15" t="s">
        <v>104</v>
      </c>
      <c r="G52" s="15" t="s">
        <v>45</v>
      </c>
      <c r="H52" s="15" t="s">
        <v>99</v>
      </c>
      <c r="I52" s="15" t="s">
        <v>18</v>
      </c>
      <c r="J52" s="36">
        <v>1</v>
      </c>
      <c r="K52" s="15" t="s">
        <v>312</v>
      </c>
      <c r="L52" s="15" t="s">
        <v>109</v>
      </c>
      <c r="M52" s="15" t="s">
        <v>56</v>
      </c>
      <c r="N52" s="15" t="s">
        <v>40</v>
      </c>
      <c r="O52" s="15" t="s">
        <v>18</v>
      </c>
      <c r="P52" s="36">
        <v>0.5</v>
      </c>
      <c r="V52" s="36">
        <v>0</v>
      </c>
      <c r="W52" s="15" t="s">
        <v>426</v>
      </c>
      <c r="X52" s="15" t="s">
        <v>124</v>
      </c>
      <c r="Y52" s="15" t="s">
        <v>33</v>
      </c>
      <c r="Z52" s="15" t="s">
        <v>57</v>
      </c>
      <c r="AA52" s="15" t="s">
        <v>18</v>
      </c>
      <c r="AB52" s="36">
        <v>133</v>
      </c>
      <c r="AE52" s="15" t="s">
        <v>564</v>
      </c>
    </row>
    <row r="53" spans="1:31" x14ac:dyDescent="0.25">
      <c r="A53" s="15" t="s">
        <v>1123</v>
      </c>
      <c r="B53" s="38">
        <v>43335</v>
      </c>
      <c r="C53" s="15" t="s">
        <v>504</v>
      </c>
      <c r="D53" s="15" t="s">
        <v>180</v>
      </c>
      <c r="E53" s="15" t="s">
        <v>260</v>
      </c>
      <c r="F53" s="15" t="s">
        <v>104</v>
      </c>
      <c r="G53" s="15" t="s">
        <v>45</v>
      </c>
      <c r="H53" s="15" t="s">
        <v>99</v>
      </c>
      <c r="I53" s="15" t="s">
        <v>18</v>
      </c>
      <c r="J53" s="36">
        <v>1</v>
      </c>
      <c r="K53" s="15" t="s">
        <v>312</v>
      </c>
      <c r="L53" s="15" t="s">
        <v>109</v>
      </c>
      <c r="M53" s="15" t="s">
        <v>56</v>
      </c>
      <c r="N53" s="15" t="s">
        <v>40</v>
      </c>
      <c r="O53" s="15" t="s">
        <v>18</v>
      </c>
      <c r="P53" s="36">
        <v>0.5</v>
      </c>
      <c r="V53" s="36">
        <v>0</v>
      </c>
      <c r="W53" s="15" t="s">
        <v>396</v>
      </c>
      <c r="X53" s="15" t="s">
        <v>54</v>
      </c>
      <c r="Y53" s="15" t="s">
        <v>33</v>
      </c>
      <c r="Z53" s="15" t="s">
        <v>87</v>
      </c>
      <c r="AA53" s="15" t="s">
        <v>18</v>
      </c>
      <c r="AB53" s="36">
        <v>1</v>
      </c>
      <c r="AE53" s="15" t="s">
        <v>564</v>
      </c>
    </row>
    <row r="54" spans="1:31" x14ac:dyDescent="0.25">
      <c r="A54" s="15" t="s">
        <v>1124</v>
      </c>
      <c r="B54" s="38">
        <v>43336</v>
      </c>
      <c r="C54" s="15" t="s">
        <v>504</v>
      </c>
      <c r="D54" s="15" t="s">
        <v>180</v>
      </c>
      <c r="E54" s="15" t="s">
        <v>260</v>
      </c>
      <c r="F54" s="15" t="s">
        <v>104</v>
      </c>
      <c r="G54" s="15" t="s">
        <v>45</v>
      </c>
      <c r="H54" s="15" t="s">
        <v>99</v>
      </c>
      <c r="I54" s="15" t="s">
        <v>18</v>
      </c>
      <c r="J54" s="36">
        <v>1</v>
      </c>
      <c r="K54" s="15" t="s">
        <v>328</v>
      </c>
      <c r="L54" s="15" t="s">
        <v>138</v>
      </c>
      <c r="M54" s="15" t="s">
        <v>80</v>
      </c>
      <c r="N54" s="15" t="s">
        <v>140</v>
      </c>
      <c r="O54" s="15" t="s">
        <v>18</v>
      </c>
      <c r="P54" s="36">
        <v>1</v>
      </c>
      <c r="V54" s="36">
        <v>0</v>
      </c>
      <c r="W54" s="15" t="s">
        <v>426</v>
      </c>
      <c r="X54" s="15" t="s">
        <v>124</v>
      </c>
      <c r="Y54" s="15" t="s">
        <v>33</v>
      </c>
      <c r="Z54" s="15" t="s">
        <v>57</v>
      </c>
      <c r="AA54" s="15" t="s">
        <v>18</v>
      </c>
      <c r="AB54" s="36">
        <v>133</v>
      </c>
      <c r="AE54" s="15" t="s">
        <v>564</v>
      </c>
    </row>
    <row r="55" spans="1:31" x14ac:dyDescent="0.25">
      <c r="A55" s="15" t="s">
        <v>1125</v>
      </c>
      <c r="B55" s="38">
        <v>43337</v>
      </c>
      <c r="C55" s="15" t="s">
        <v>504</v>
      </c>
      <c r="D55" s="15" t="s">
        <v>180</v>
      </c>
      <c r="E55" s="15" t="s">
        <v>262</v>
      </c>
      <c r="F55" s="15" t="s">
        <v>108</v>
      </c>
      <c r="G55" s="15" t="s">
        <v>68</v>
      </c>
      <c r="H55" s="15" t="s">
        <v>95</v>
      </c>
      <c r="I55" s="15" t="s">
        <v>18</v>
      </c>
      <c r="J55" s="36">
        <v>0.5</v>
      </c>
      <c r="K55" s="15" t="s">
        <v>342</v>
      </c>
      <c r="L55" s="15" t="s">
        <v>158</v>
      </c>
      <c r="M55" s="15" t="s">
        <v>74</v>
      </c>
      <c r="N55" s="15" t="s">
        <v>131</v>
      </c>
      <c r="O55" s="15" t="s">
        <v>18</v>
      </c>
      <c r="P55" s="36">
        <v>10</v>
      </c>
      <c r="V55" s="36">
        <v>0</v>
      </c>
      <c r="W55" s="15" t="s">
        <v>396</v>
      </c>
      <c r="X55" s="15" t="s">
        <v>54</v>
      </c>
      <c r="Y55" s="15" t="s">
        <v>33</v>
      </c>
      <c r="Z55" s="15" t="s">
        <v>87</v>
      </c>
      <c r="AA55" s="15" t="s">
        <v>18</v>
      </c>
      <c r="AB55" s="36">
        <v>1</v>
      </c>
      <c r="AE55" s="15" t="s">
        <v>564</v>
      </c>
    </row>
    <row r="56" spans="1:31" x14ac:dyDescent="0.25">
      <c r="A56" s="15" t="s">
        <v>1126</v>
      </c>
      <c r="B56" s="38">
        <v>43338</v>
      </c>
      <c r="C56" s="15" t="s">
        <v>504</v>
      </c>
      <c r="D56" s="15" t="s">
        <v>180</v>
      </c>
      <c r="E56" s="15" t="s">
        <v>262</v>
      </c>
      <c r="F56" s="15" t="s">
        <v>108</v>
      </c>
      <c r="G56" s="15" t="s">
        <v>68</v>
      </c>
      <c r="H56" s="15" t="s">
        <v>95</v>
      </c>
      <c r="I56" s="15" t="s">
        <v>18</v>
      </c>
      <c r="J56" s="36">
        <v>0.5</v>
      </c>
      <c r="K56" s="15" t="s">
        <v>346</v>
      </c>
      <c r="L56" s="15" t="s">
        <v>162</v>
      </c>
      <c r="M56" s="15" t="s">
        <v>12</v>
      </c>
      <c r="N56" s="15" t="s">
        <v>121</v>
      </c>
      <c r="O56" s="15" t="s">
        <v>18</v>
      </c>
      <c r="P56" s="36">
        <v>20</v>
      </c>
      <c r="Q56" s="15" t="s">
        <v>274</v>
      </c>
      <c r="R56" s="15" t="s">
        <v>15</v>
      </c>
      <c r="S56" s="15" t="s">
        <v>27</v>
      </c>
      <c r="T56" s="15" t="s">
        <v>13</v>
      </c>
      <c r="U56" s="15" t="s">
        <v>18</v>
      </c>
      <c r="V56" s="36">
        <v>1</v>
      </c>
      <c r="W56" s="15" t="s">
        <v>426</v>
      </c>
      <c r="X56" s="15" t="s">
        <v>124</v>
      </c>
      <c r="Y56" s="15" t="s">
        <v>33</v>
      </c>
      <c r="Z56" s="15" t="s">
        <v>57</v>
      </c>
      <c r="AA56" s="15" t="s">
        <v>18</v>
      </c>
      <c r="AB56" s="36">
        <v>134</v>
      </c>
      <c r="AE56" s="15" t="s">
        <v>564</v>
      </c>
    </row>
    <row r="57" spans="1:31" x14ac:dyDescent="0.25">
      <c r="A57" s="15" t="s">
        <v>1127</v>
      </c>
      <c r="B57" s="38">
        <v>43339</v>
      </c>
      <c r="C57" s="15" t="s">
        <v>504</v>
      </c>
      <c r="D57" s="15" t="s">
        <v>180</v>
      </c>
      <c r="E57" s="15" t="s">
        <v>260</v>
      </c>
      <c r="F57" s="15" t="s">
        <v>104</v>
      </c>
      <c r="G57" s="15" t="s">
        <v>45</v>
      </c>
      <c r="H57" s="15" t="s">
        <v>99</v>
      </c>
      <c r="I57" s="15" t="s">
        <v>18</v>
      </c>
      <c r="J57" s="36">
        <v>1</v>
      </c>
      <c r="K57" s="15" t="s">
        <v>294</v>
      </c>
      <c r="L57" s="15" t="s">
        <v>71</v>
      </c>
      <c r="M57" s="15" t="s">
        <v>51</v>
      </c>
      <c r="N57" s="15" t="s">
        <v>140</v>
      </c>
      <c r="O57" s="15" t="s">
        <v>18</v>
      </c>
      <c r="P57" s="36">
        <v>1</v>
      </c>
      <c r="V57" s="36">
        <v>0</v>
      </c>
      <c r="W57" s="15" t="s">
        <v>398</v>
      </c>
      <c r="X57" s="15" t="s">
        <v>60</v>
      </c>
      <c r="Y57" s="15" t="s">
        <v>33</v>
      </c>
      <c r="Z57" s="15" t="s">
        <v>87</v>
      </c>
      <c r="AA57" s="15" t="s">
        <v>18</v>
      </c>
      <c r="AB57" s="36">
        <v>1</v>
      </c>
      <c r="AE57" s="15" t="s">
        <v>564</v>
      </c>
    </row>
    <row r="58" spans="1:31" x14ac:dyDescent="0.25">
      <c r="A58" s="15" t="s">
        <v>1128</v>
      </c>
      <c r="B58" s="38">
        <v>43340</v>
      </c>
      <c r="C58" s="15" t="s">
        <v>504</v>
      </c>
      <c r="D58" s="15" t="s">
        <v>180</v>
      </c>
      <c r="E58" s="15" t="s">
        <v>260</v>
      </c>
      <c r="F58" s="15" t="s">
        <v>104</v>
      </c>
      <c r="G58" s="15" t="s">
        <v>45</v>
      </c>
      <c r="H58" s="15" t="s">
        <v>99</v>
      </c>
      <c r="I58" s="15" t="s">
        <v>18</v>
      </c>
      <c r="J58" s="36">
        <v>1</v>
      </c>
      <c r="K58" s="15" t="s">
        <v>294</v>
      </c>
      <c r="L58" s="15" t="s">
        <v>71</v>
      </c>
      <c r="M58" s="15" t="s">
        <v>51</v>
      </c>
      <c r="N58" s="15" t="s">
        <v>140</v>
      </c>
      <c r="O58" s="15" t="s">
        <v>18</v>
      </c>
      <c r="P58" s="36">
        <v>1</v>
      </c>
      <c r="V58" s="36">
        <v>0</v>
      </c>
      <c r="W58" s="15" t="s">
        <v>426</v>
      </c>
      <c r="X58" s="15" t="s">
        <v>124</v>
      </c>
      <c r="Y58" s="15" t="s">
        <v>33</v>
      </c>
      <c r="Z58" s="15" t="s">
        <v>57</v>
      </c>
      <c r="AA58" s="15" t="s">
        <v>18</v>
      </c>
      <c r="AB58" s="36">
        <v>133</v>
      </c>
      <c r="AE58" s="15" t="s">
        <v>564</v>
      </c>
    </row>
    <row r="59" spans="1:31" x14ac:dyDescent="0.25">
      <c r="A59" s="15" t="s">
        <v>1129</v>
      </c>
      <c r="B59" s="38">
        <v>43341</v>
      </c>
      <c r="C59" s="15" t="s">
        <v>504</v>
      </c>
      <c r="D59" s="15" t="s">
        <v>180</v>
      </c>
      <c r="E59" s="15" t="s">
        <v>260</v>
      </c>
      <c r="F59" s="15" t="s">
        <v>104</v>
      </c>
      <c r="G59" s="15" t="s">
        <v>45</v>
      </c>
      <c r="H59" s="15" t="s">
        <v>99</v>
      </c>
      <c r="I59" s="15" t="s">
        <v>18</v>
      </c>
      <c r="J59" s="36">
        <v>1</v>
      </c>
      <c r="K59" s="15" t="s">
        <v>314</v>
      </c>
      <c r="L59" s="15" t="s">
        <v>112</v>
      </c>
      <c r="M59" s="15" t="s">
        <v>56</v>
      </c>
      <c r="N59" s="15" t="s">
        <v>40</v>
      </c>
      <c r="O59" s="15" t="s">
        <v>18</v>
      </c>
      <c r="P59" s="36">
        <v>0.5</v>
      </c>
      <c r="V59" s="36">
        <v>0</v>
      </c>
      <c r="W59" s="15" t="s">
        <v>398</v>
      </c>
      <c r="X59" s="15" t="s">
        <v>60</v>
      </c>
      <c r="Y59" s="15" t="s">
        <v>33</v>
      </c>
      <c r="Z59" s="15" t="s">
        <v>87</v>
      </c>
      <c r="AA59" s="15" t="s">
        <v>18</v>
      </c>
      <c r="AB59" s="36">
        <v>1</v>
      </c>
      <c r="AE59" s="15" t="s">
        <v>564</v>
      </c>
    </row>
    <row r="60" spans="1:31" x14ac:dyDescent="0.25">
      <c r="A60" s="15" t="s">
        <v>1130</v>
      </c>
      <c r="B60" s="38">
        <v>43342</v>
      </c>
      <c r="C60" s="15" t="s">
        <v>504</v>
      </c>
      <c r="D60" s="15" t="s">
        <v>180</v>
      </c>
      <c r="E60" s="15" t="s">
        <v>260</v>
      </c>
      <c r="F60" s="15" t="s">
        <v>104</v>
      </c>
      <c r="G60" s="15" t="s">
        <v>45</v>
      </c>
      <c r="H60" s="15" t="s">
        <v>99</v>
      </c>
      <c r="I60" s="15" t="s">
        <v>18</v>
      </c>
      <c r="J60" s="36">
        <v>1</v>
      </c>
      <c r="K60" s="15" t="s">
        <v>314</v>
      </c>
      <c r="L60" s="15" t="s">
        <v>112</v>
      </c>
      <c r="M60" s="15" t="s">
        <v>56</v>
      </c>
      <c r="N60" s="15" t="s">
        <v>40</v>
      </c>
      <c r="O60" s="15" t="s">
        <v>18</v>
      </c>
      <c r="P60" s="36">
        <v>0.5</v>
      </c>
      <c r="V60" s="36">
        <v>0</v>
      </c>
      <c r="W60" s="15" t="s">
        <v>426</v>
      </c>
      <c r="X60" s="15" t="s">
        <v>124</v>
      </c>
      <c r="Y60" s="15" t="s">
        <v>33</v>
      </c>
      <c r="Z60" s="15" t="s">
        <v>57</v>
      </c>
      <c r="AA60" s="15" t="s">
        <v>18</v>
      </c>
      <c r="AB60" s="36">
        <v>133</v>
      </c>
      <c r="AE60" s="15" t="s">
        <v>564</v>
      </c>
    </row>
    <row r="61" spans="1:31" x14ac:dyDescent="0.25">
      <c r="A61" s="15" t="s">
        <v>1131</v>
      </c>
      <c r="B61" s="38">
        <v>43343</v>
      </c>
      <c r="C61" s="15" t="s">
        <v>504</v>
      </c>
      <c r="D61" s="15" t="s">
        <v>180</v>
      </c>
      <c r="E61" s="15" t="s">
        <v>260</v>
      </c>
      <c r="F61" s="15" t="s">
        <v>104</v>
      </c>
      <c r="G61" s="15" t="s">
        <v>45</v>
      </c>
      <c r="H61" s="15" t="s">
        <v>99</v>
      </c>
      <c r="I61" s="15" t="s">
        <v>18</v>
      </c>
      <c r="J61" s="36">
        <v>1</v>
      </c>
      <c r="K61" s="15" t="s">
        <v>330</v>
      </c>
      <c r="L61" s="15" t="s">
        <v>141</v>
      </c>
      <c r="M61" s="15" t="s">
        <v>80</v>
      </c>
      <c r="N61" s="15" t="s">
        <v>46</v>
      </c>
      <c r="O61" s="15" t="s">
        <v>18</v>
      </c>
      <c r="P61" s="36">
        <v>1</v>
      </c>
      <c r="V61" s="36">
        <v>0</v>
      </c>
      <c r="W61" s="15" t="s">
        <v>400</v>
      </c>
      <c r="X61" s="15" t="s">
        <v>66</v>
      </c>
      <c r="Y61" s="15" t="s">
        <v>33</v>
      </c>
      <c r="Z61" s="15" t="s">
        <v>87</v>
      </c>
      <c r="AA61" s="15" t="s">
        <v>18</v>
      </c>
      <c r="AB61" s="36">
        <v>1</v>
      </c>
      <c r="AE61" s="15" t="s">
        <v>564</v>
      </c>
    </row>
    <row r="62" spans="1:31" x14ac:dyDescent="0.25">
      <c r="A62" s="15" t="s">
        <v>1315</v>
      </c>
      <c r="B62" s="38">
        <v>43316</v>
      </c>
      <c r="C62" s="15" t="s">
        <v>504</v>
      </c>
      <c r="D62" s="15" t="s">
        <v>180</v>
      </c>
      <c r="J62" s="36">
        <v>0</v>
      </c>
      <c r="P62" s="36">
        <v>0</v>
      </c>
      <c r="V62" s="36">
        <v>0</v>
      </c>
      <c r="W62" s="15" t="s">
        <v>440</v>
      </c>
      <c r="X62" s="15" t="s">
        <v>145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570</v>
      </c>
    </row>
    <row r="63" spans="1:31" x14ac:dyDescent="0.25">
      <c r="A63" s="15" t="s">
        <v>1316</v>
      </c>
      <c r="B63" s="38">
        <v>43317</v>
      </c>
      <c r="C63" s="15" t="s">
        <v>504</v>
      </c>
      <c r="D63" s="15" t="s">
        <v>180</v>
      </c>
      <c r="J63" s="36">
        <v>0</v>
      </c>
      <c r="P63" s="36">
        <v>0</v>
      </c>
      <c r="V63" s="36">
        <v>0</v>
      </c>
      <c r="W63" s="15" t="s">
        <v>442</v>
      </c>
      <c r="X63" s="15" t="s">
        <v>148</v>
      </c>
      <c r="Y63" s="15" t="s">
        <v>62</v>
      </c>
      <c r="Z63" s="15" t="s">
        <v>111</v>
      </c>
      <c r="AA63" s="15" t="s">
        <v>25</v>
      </c>
      <c r="AB63" s="36">
        <v>1</v>
      </c>
      <c r="AE63" s="15" t="s">
        <v>570</v>
      </c>
    </row>
    <row r="64" spans="1:31" x14ac:dyDescent="0.25">
      <c r="A64" s="15" t="s">
        <v>1317</v>
      </c>
      <c r="B64" s="38">
        <v>43323</v>
      </c>
      <c r="C64" s="15" t="s">
        <v>504</v>
      </c>
      <c r="D64" s="15" t="s">
        <v>180</v>
      </c>
      <c r="J64" s="36">
        <v>0</v>
      </c>
      <c r="P64" s="36">
        <v>0</v>
      </c>
      <c r="V64" s="36">
        <v>0</v>
      </c>
      <c r="W64" s="15" t="s">
        <v>444</v>
      </c>
      <c r="X64" s="15" t="s">
        <v>151</v>
      </c>
      <c r="Y64" s="15" t="s">
        <v>62</v>
      </c>
      <c r="Z64" s="15" t="s">
        <v>111</v>
      </c>
      <c r="AA64" s="15" t="s">
        <v>25</v>
      </c>
      <c r="AB64" s="36">
        <v>1</v>
      </c>
      <c r="AE64" s="15" t="s">
        <v>570</v>
      </c>
    </row>
    <row r="65" spans="1:31" x14ac:dyDescent="0.25">
      <c r="A65" s="15" t="s">
        <v>1319</v>
      </c>
      <c r="B65" s="38">
        <v>43324</v>
      </c>
      <c r="C65" s="15" t="s">
        <v>504</v>
      </c>
      <c r="D65" s="15" t="s">
        <v>180</v>
      </c>
      <c r="J65" s="36">
        <v>0</v>
      </c>
      <c r="P65" s="36">
        <v>0</v>
      </c>
      <c r="V65" s="36">
        <v>0</v>
      </c>
      <c r="W65" s="15" t="s">
        <v>446</v>
      </c>
      <c r="X65" s="15" t="s">
        <v>154</v>
      </c>
      <c r="Y65" s="15" t="s">
        <v>62</v>
      </c>
      <c r="Z65" s="15" t="s">
        <v>111</v>
      </c>
      <c r="AA65" s="15" t="s">
        <v>25</v>
      </c>
      <c r="AB65" s="36">
        <v>1</v>
      </c>
      <c r="AE65" s="15" t="s">
        <v>570</v>
      </c>
    </row>
    <row r="66" spans="1:31" x14ac:dyDescent="0.25">
      <c r="A66" s="15" t="s">
        <v>1320</v>
      </c>
      <c r="B66" s="38">
        <v>43330</v>
      </c>
      <c r="C66" s="15" t="s">
        <v>504</v>
      </c>
      <c r="D66" s="15" t="s">
        <v>180</v>
      </c>
      <c r="J66" s="36">
        <v>0</v>
      </c>
      <c r="P66" s="36">
        <v>0</v>
      </c>
      <c r="V66" s="36">
        <v>0</v>
      </c>
      <c r="W66" s="15" t="s">
        <v>448</v>
      </c>
      <c r="X66" s="15" t="s">
        <v>102</v>
      </c>
      <c r="Y66" s="15" t="s">
        <v>62</v>
      </c>
      <c r="Z66" s="15" t="s">
        <v>140</v>
      </c>
      <c r="AA66" s="15" t="s">
        <v>25</v>
      </c>
      <c r="AB66" s="36">
        <v>1</v>
      </c>
      <c r="AE66" s="15" t="s">
        <v>570</v>
      </c>
    </row>
    <row r="67" spans="1:31" x14ac:dyDescent="0.25">
      <c r="A67" s="15" t="s">
        <v>1321</v>
      </c>
      <c r="B67" s="38">
        <v>43331</v>
      </c>
      <c r="C67" s="15" t="s">
        <v>504</v>
      </c>
      <c r="D67" s="15" t="s">
        <v>180</v>
      </c>
      <c r="J67" s="36">
        <v>0</v>
      </c>
      <c r="P67" s="36">
        <v>0</v>
      </c>
      <c r="V67" s="36">
        <v>0</v>
      </c>
      <c r="W67" s="15" t="s">
        <v>450</v>
      </c>
      <c r="X67" s="15" t="s">
        <v>157</v>
      </c>
      <c r="Y67" s="15" t="s">
        <v>62</v>
      </c>
      <c r="Z67" s="15" t="s">
        <v>111</v>
      </c>
      <c r="AA67" s="15" t="s">
        <v>25</v>
      </c>
      <c r="AB67" s="36">
        <v>1</v>
      </c>
      <c r="AE67" s="15" t="s">
        <v>570</v>
      </c>
    </row>
    <row r="68" spans="1:31" x14ac:dyDescent="0.25">
      <c r="A68" s="15" t="s">
        <v>1322</v>
      </c>
      <c r="B68" s="38">
        <v>43337</v>
      </c>
      <c r="C68" s="15" t="s">
        <v>504</v>
      </c>
      <c r="D68" s="15" t="s">
        <v>180</v>
      </c>
      <c r="J68" s="36">
        <v>0</v>
      </c>
      <c r="P68" s="36">
        <v>0</v>
      </c>
      <c r="V68" s="36">
        <v>0</v>
      </c>
      <c r="W68" s="15" t="s">
        <v>452</v>
      </c>
      <c r="X68" s="15" t="s">
        <v>159</v>
      </c>
      <c r="Y68" s="15" t="s">
        <v>62</v>
      </c>
      <c r="Z68" s="15" t="s">
        <v>111</v>
      </c>
      <c r="AA68" s="15" t="s">
        <v>25</v>
      </c>
      <c r="AB68" s="36">
        <v>1</v>
      </c>
      <c r="AE68" s="15" t="s">
        <v>570</v>
      </c>
    </row>
    <row r="69" spans="1:31" x14ac:dyDescent="0.25">
      <c r="A69" s="15" t="s">
        <v>1323</v>
      </c>
      <c r="B69" s="38">
        <v>43338</v>
      </c>
      <c r="C69" s="15" t="s">
        <v>504</v>
      </c>
      <c r="D69" s="15" t="s">
        <v>180</v>
      </c>
      <c r="J69" s="36">
        <v>0</v>
      </c>
      <c r="P69" s="36">
        <v>0</v>
      </c>
      <c r="V69" s="36">
        <v>0</v>
      </c>
      <c r="W69" s="15" t="s">
        <v>440</v>
      </c>
      <c r="X69" s="15" t="s">
        <v>145</v>
      </c>
      <c r="Y69" s="15" t="s">
        <v>62</v>
      </c>
      <c r="Z69" s="15" t="s">
        <v>111</v>
      </c>
      <c r="AA69" s="15" t="s">
        <v>25</v>
      </c>
      <c r="AB69" s="36">
        <v>1</v>
      </c>
      <c r="AE69" s="15" t="s">
        <v>570</v>
      </c>
    </row>
  </sheetData>
  <mergeCells count="1">
    <mergeCell ref="A1:AE1"/>
  </mergeCells>
  <pageMargins left="0.7" right="0.7" top="0.75" bottom="0.75" header="0.3" footer="0.3"/>
  <pageSetup paperSize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Septembre"/>
  <dimension ref="A1:AE62"/>
  <sheetViews>
    <sheetView topLeftCell="A29" workbookViewId="0">
      <selection activeCell="A62" sqref="A62"/>
    </sheetView>
  </sheetViews>
  <sheetFormatPr baseColWidth="10" defaultColWidth="11.07421875" defaultRowHeight="13.2" x14ac:dyDescent="0.25"/>
  <cols>
    <col min="1" max="1" width="11.07421875" style="15"/>
    <col min="2" max="2" width="17.4609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9.8437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0.15234375" style="15" bestFit="1" customWidth="1"/>
    <col min="25" max="25" width="13.921875" style="15" bestFit="1" customWidth="1"/>
    <col min="26" max="26" width="29.69140625" style="15" bestFit="1" customWidth="1"/>
    <col min="27" max="27" width="11.84375" style="15" bestFit="1" customWidth="1"/>
    <col min="28" max="28" width="9.84375" style="36" customWidth="1"/>
    <col min="29" max="29" width="12.07421875" style="15" bestFit="1" customWidth="1"/>
    <col min="30" max="30" width="8.07421875" style="15" bestFit="1" customWidth="1"/>
    <col min="31" max="31" width="18.3828125" style="15" bestFit="1" customWidth="1"/>
    <col min="32" max="16384" width="11.07421875" style="15"/>
  </cols>
  <sheetData>
    <row r="1" spans="1:31" ht="12.75" x14ac:dyDescent="0.2">
      <c r="A1" s="69" t="s">
        <v>573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4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41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792</v>
      </c>
      <c r="B4" s="38">
        <v>43346</v>
      </c>
      <c r="C4" s="15" t="s">
        <v>506</v>
      </c>
      <c r="D4" s="15" t="s">
        <v>181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364</v>
      </c>
      <c r="L4" s="15" t="s">
        <v>59</v>
      </c>
      <c r="M4" s="15" t="s">
        <v>39</v>
      </c>
      <c r="N4" s="15" t="s">
        <v>40</v>
      </c>
      <c r="O4" s="15" t="s">
        <v>10</v>
      </c>
      <c r="P4" s="36">
        <v>0.5</v>
      </c>
      <c r="V4" s="36">
        <v>0</v>
      </c>
      <c r="W4" s="15" t="s">
        <v>454</v>
      </c>
      <c r="X4" s="15" t="s">
        <v>161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553</v>
      </c>
    </row>
    <row r="5" spans="1:31" x14ac:dyDescent="0.25">
      <c r="A5" s="15" t="s">
        <v>793</v>
      </c>
      <c r="B5" s="38">
        <v>43347</v>
      </c>
      <c r="C5" s="15" t="s">
        <v>506</v>
      </c>
      <c r="D5" s="15" t="s">
        <v>181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364</v>
      </c>
      <c r="L5" s="15" t="s">
        <v>59</v>
      </c>
      <c r="M5" s="15" t="s">
        <v>39</v>
      </c>
      <c r="N5" s="15" t="s">
        <v>40</v>
      </c>
      <c r="O5" s="15" t="s">
        <v>10</v>
      </c>
      <c r="P5" s="36">
        <v>0.5</v>
      </c>
      <c r="V5" s="36">
        <v>0</v>
      </c>
      <c r="W5" s="15" t="s">
        <v>454</v>
      </c>
      <c r="X5" s="15" t="s">
        <v>161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553</v>
      </c>
    </row>
    <row r="6" spans="1:31" x14ac:dyDescent="0.25">
      <c r="A6" s="15" t="s">
        <v>794</v>
      </c>
      <c r="B6" s="38">
        <v>43348</v>
      </c>
      <c r="C6" s="15" t="s">
        <v>506</v>
      </c>
      <c r="D6" s="15" t="s">
        <v>181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366</v>
      </c>
      <c r="L6" s="15" t="s">
        <v>153</v>
      </c>
      <c r="M6" s="15" t="s">
        <v>39</v>
      </c>
      <c r="N6" s="15" t="s">
        <v>131</v>
      </c>
      <c r="O6" s="15" t="s">
        <v>10</v>
      </c>
      <c r="P6" s="36">
        <v>5</v>
      </c>
      <c r="V6" s="36">
        <v>0</v>
      </c>
      <c r="W6" s="15" t="s">
        <v>454</v>
      </c>
      <c r="X6" s="15" t="s">
        <v>161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553</v>
      </c>
    </row>
    <row r="7" spans="1:31" x14ac:dyDescent="0.25">
      <c r="A7" s="15" t="s">
        <v>795</v>
      </c>
      <c r="B7" s="38">
        <v>43349</v>
      </c>
      <c r="C7" s="15" t="s">
        <v>506</v>
      </c>
      <c r="D7" s="15" t="s">
        <v>181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368</v>
      </c>
      <c r="L7" s="15" t="s">
        <v>156</v>
      </c>
      <c r="M7" s="15" t="s">
        <v>39</v>
      </c>
      <c r="N7" s="15" t="s">
        <v>131</v>
      </c>
      <c r="O7" s="15" t="s">
        <v>10</v>
      </c>
      <c r="P7" s="36">
        <v>5</v>
      </c>
      <c r="V7" s="36">
        <v>0</v>
      </c>
      <c r="W7" s="15" t="s">
        <v>454</v>
      </c>
      <c r="X7" s="15" t="s">
        <v>161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553</v>
      </c>
    </row>
    <row r="8" spans="1:31" x14ac:dyDescent="0.25">
      <c r="A8" s="15" t="s">
        <v>796</v>
      </c>
      <c r="B8" s="38">
        <v>43350</v>
      </c>
      <c r="C8" s="15" t="s">
        <v>506</v>
      </c>
      <c r="D8" s="15" t="s">
        <v>181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370</v>
      </c>
      <c r="L8" s="15" t="s">
        <v>71</v>
      </c>
      <c r="M8" s="15" t="s">
        <v>39</v>
      </c>
      <c r="N8" s="15" t="s">
        <v>140</v>
      </c>
      <c r="O8" s="15" t="s">
        <v>10</v>
      </c>
      <c r="P8" s="36">
        <v>1</v>
      </c>
      <c r="V8" s="36">
        <v>0</v>
      </c>
      <c r="W8" s="15" t="s">
        <v>454</v>
      </c>
      <c r="X8" s="15" t="s">
        <v>161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553</v>
      </c>
    </row>
    <row r="9" spans="1:31" x14ac:dyDescent="0.25">
      <c r="A9" s="15" t="s">
        <v>797</v>
      </c>
      <c r="B9" s="38">
        <v>43353</v>
      </c>
      <c r="C9" s="15" t="s">
        <v>506</v>
      </c>
      <c r="D9" s="15" t="s">
        <v>181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372</v>
      </c>
      <c r="L9" s="15" t="s">
        <v>77</v>
      </c>
      <c r="M9" s="15" t="s">
        <v>39</v>
      </c>
      <c r="N9" s="15" t="s">
        <v>140</v>
      </c>
      <c r="O9" s="15" t="s">
        <v>10</v>
      </c>
      <c r="P9" s="36">
        <v>1</v>
      </c>
      <c r="V9" s="36">
        <v>0</v>
      </c>
      <c r="W9" s="15" t="s">
        <v>456</v>
      </c>
      <c r="X9" s="15" t="s">
        <v>163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553</v>
      </c>
    </row>
    <row r="10" spans="1:31" x14ac:dyDescent="0.25">
      <c r="A10" s="15" t="s">
        <v>798</v>
      </c>
      <c r="B10" s="38">
        <v>43354</v>
      </c>
      <c r="C10" s="15" t="s">
        <v>506</v>
      </c>
      <c r="D10" s="15" t="s">
        <v>181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374</v>
      </c>
      <c r="L10" s="15" t="s">
        <v>83</v>
      </c>
      <c r="M10" s="15" t="s">
        <v>39</v>
      </c>
      <c r="N10" s="15" t="s">
        <v>125</v>
      </c>
      <c r="O10" s="15" t="s">
        <v>10</v>
      </c>
      <c r="P10" s="36">
        <v>25</v>
      </c>
      <c r="V10" s="36">
        <v>0</v>
      </c>
      <c r="W10" s="15" t="s">
        <v>456</v>
      </c>
      <c r="X10" s="15" t="s">
        <v>163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553</v>
      </c>
    </row>
    <row r="11" spans="1:31" x14ac:dyDescent="0.25">
      <c r="A11" s="15" t="s">
        <v>799</v>
      </c>
      <c r="B11" s="38">
        <v>43355</v>
      </c>
      <c r="C11" s="15" t="s">
        <v>506</v>
      </c>
      <c r="D11" s="15" t="s">
        <v>181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376</v>
      </c>
      <c r="L11" s="15" t="s">
        <v>141</v>
      </c>
      <c r="M11" s="15" t="s">
        <v>39</v>
      </c>
      <c r="N11" s="15" t="s">
        <v>224</v>
      </c>
      <c r="O11" s="15" t="s">
        <v>10</v>
      </c>
      <c r="P11" s="36">
        <v>0.5</v>
      </c>
      <c r="V11" s="36">
        <v>0</v>
      </c>
      <c r="W11" s="15" t="s">
        <v>456</v>
      </c>
      <c r="X11" s="15" t="s">
        <v>163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553</v>
      </c>
    </row>
    <row r="12" spans="1:31" x14ac:dyDescent="0.25">
      <c r="A12" s="15" t="s">
        <v>800</v>
      </c>
      <c r="B12" s="38">
        <v>43356</v>
      </c>
      <c r="C12" s="15" t="s">
        <v>506</v>
      </c>
      <c r="D12" s="15" t="s">
        <v>181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376</v>
      </c>
      <c r="L12" s="15" t="s">
        <v>141</v>
      </c>
      <c r="M12" s="15" t="s">
        <v>39</v>
      </c>
      <c r="N12" s="15" t="s">
        <v>224</v>
      </c>
      <c r="O12" s="15" t="s">
        <v>10</v>
      </c>
      <c r="P12" s="36">
        <v>0.5</v>
      </c>
      <c r="V12" s="36">
        <v>0</v>
      </c>
      <c r="W12" s="15" t="s">
        <v>456</v>
      </c>
      <c r="X12" s="15" t="s">
        <v>163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553</v>
      </c>
    </row>
    <row r="13" spans="1:31" x14ac:dyDescent="0.25">
      <c r="A13" s="15" t="s">
        <v>801</v>
      </c>
      <c r="B13" s="38">
        <v>43357</v>
      </c>
      <c r="C13" s="15" t="s">
        <v>506</v>
      </c>
      <c r="D13" s="15" t="s">
        <v>181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378</v>
      </c>
      <c r="L13" s="15" t="s">
        <v>93</v>
      </c>
      <c r="M13" s="15" t="s">
        <v>39</v>
      </c>
      <c r="N13" s="15" t="s">
        <v>125</v>
      </c>
      <c r="O13" s="15" t="s">
        <v>10</v>
      </c>
      <c r="P13" s="36">
        <v>25</v>
      </c>
      <c r="V13" s="36">
        <v>0</v>
      </c>
      <c r="W13" s="15" t="s">
        <v>456</v>
      </c>
      <c r="X13" s="15" t="s">
        <v>163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553</v>
      </c>
    </row>
    <row r="14" spans="1:31" x14ac:dyDescent="0.25">
      <c r="A14" s="15" t="s">
        <v>802</v>
      </c>
      <c r="B14" s="38">
        <v>43360</v>
      </c>
      <c r="C14" s="15" t="s">
        <v>506</v>
      </c>
      <c r="D14" s="15" t="s">
        <v>181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380</v>
      </c>
      <c r="L14" s="15" t="s">
        <v>144</v>
      </c>
      <c r="M14" s="15" t="s">
        <v>39</v>
      </c>
      <c r="N14" s="15" t="s">
        <v>149</v>
      </c>
      <c r="O14" s="15" t="s">
        <v>10</v>
      </c>
      <c r="P14" s="36">
        <v>1</v>
      </c>
      <c r="V14" s="36">
        <v>0</v>
      </c>
      <c r="W14" s="15" t="s">
        <v>457</v>
      </c>
      <c r="X14" s="15" t="s">
        <v>164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553</v>
      </c>
    </row>
    <row r="15" spans="1:31" x14ac:dyDescent="0.25">
      <c r="A15" s="15" t="s">
        <v>803</v>
      </c>
      <c r="B15" s="38">
        <v>43361</v>
      </c>
      <c r="C15" s="15" t="s">
        <v>506</v>
      </c>
      <c r="D15" s="15" t="s">
        <v>181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382</v>
      </c>
      <c r="L15" s="15" t="s">
        <v>150</v>
      </c>
      <c r="M15" s="15" t="s">
        <v>39</v>
      </c>
      <c r="N15" s="15" t="s">
        <v>155</v>
      </c>
      <c r="O15" s="15" t="s">
        <v>10</v>
      </c>
      <c r="P15" s="36">
        <v>2</v>
      </c>
      <c r="V15" s="36">
        <v>0</v>
      </c>
      <c r="W15" s="15" t="s">
        <v>457</v>
      </c>
      <c r="X15" s="15" t="s">
        <v>164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553</v>
      </c>
    </row>
    <row r="16" spans="1:31" x14ac:dyDescent="0.25">
      <c r="A16" s="15" t="s">
        <v>804</v>
      </c>
      <c r="B16" s="38">
        <v>43362</v>
      </c>
      <c r="C16" s="15" t="s">
        <v>506</v>
      </c>
      <c r="D16" s="15" t="s">
        <v>181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350</v>
      </c>
      <c r="L16" s="15" t="s">
        <v>15</v>
      </c>
      <c r="M16" s="15" t="s">
        <v>39</v>
      </c>
      <c r="N16" s="15" t="s">
        <v>34</v>
      </c>
      <c r="O16" s="15" t="s">
        <v>10</v>
      </c>
      <c r="P16" s="36">
        <v>1</v>
      </c>
      <c r="V16" s="36">
        <v>0</v>
      </c>
      <c r="W16" s="15" t="s">
        <v>457</v>
      </c>
      <c r="X16" s="15" t="s">
        <v>164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553</v>
      </c>
    </row>
    <row r="17" spans="1:31" x14ac:dyDescent="0.25">
      <c r="A17" s="15" t="s">
        <v>805</v>
      </c>
      <c r="B17" s="38">
        <v>43363</v>
      </c>
      <c r="C17" s="15" t="s">
        <v>506</v>
      </c>
      <c r="D17" s="15" t="s">
        <v>181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352</v>
      </c>
      <c r="L17" s="15" t="s">
        <v>123</v>
      </c>
      <c r="M17" s="15" t="s">
        <v>39</v>
      </c>
      <c r="N17" s="15" t="s">
        <v>140</v>
      </c>
      <c r="O17" s="15" t="s">
        <v>10</v>
      </c>
      <c r="P17" s="36">
        <v>1</v>
      </c>
      <c r="V17" s="36">
        <v>0</v>
      </c>
      <c r="W17" s="15" t="s">
        <v>457</v>
      </c>
      <c r="X17" s="15" t="s">
        <v>164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553</v>
      </c>
    </row>
    <row r="18" spans="1:31" x14ac:dyDescent="0.25">
      <c r="A18" s="15" t="s">
        <v>806</v>
      </c>
      <c r="B18" s="38">
        <v>43364</v>
      </c>
      <c r="C18" s="15" t="s">
        <v>506</v>
      </c>
      <c r="D18" s="15" t="s">
        <v>181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354</v>
      </c>
      <c r="L18" s="15" t="s">
        <v>129</v>
      </c>
      <c r="M18" s="15" t="s">
        <v>39</v>
      </c>
      <c r="N18" s="15" t="s">
        <v>155</v>
      </c>
      <c r="O18" s="15" t="s">
        <v>10</v>
      </c>
      <c r="P18" s="36">
        <v>2</v>
      </c>
      <c r="V18" s="36">
        <v>0</v>
      </c>
      <c r="W18" s="15" t="s">
        <v>457</v>
      </c>
      <c r="X18" s="15" t="s">
        <v>164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553</v>
      </c>
    </row>
    <row r="19" spans="1:31" x14ac:dyDescent="0.25">
      <c r="A19" s="15" t="s">
        <v>807</v>
      </c>
      <c r="B19" s="38">
        <v>43367</v>
      </c>
      <c r="C19" s="15" t="s">
        <v>506</v>
      </c>
      <c r="D19" s="15" t="s">
        <v>181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356</v>
      </c>
      <c r="L19" s="15" t="s">
        <v>132</v>
      </c>
      <c r="M19" s="15" t="s">
        <v>39</v>
      </c>
      <c r="N19" s="15" t="s">
        <v>134</v>
      </c>
      <c r="O19" s="15" t="s">
        <v>10</v>
      </c>
      <c r="P19" s="36">
        <v>1</v>
      </c>
      <c r="V19" s="36">
        <v>0</v>
      </c>
      <c r="W19" s="15" t="s">
        <v>459</v>
      </c>
      <c r="X19" s="15" t="s">
        <v>165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553</v>
      </c>
    </row>
    <row r="20" spans="1:31" x14ac:dyDescent="0.25">
      <c r="A20" s="15" t="s">
        <v>808</v>
      </c>
      <c r="B20" s="38">
        <v>43368</v>
      </c>
      <c r="C20" s="15" t="s">
        <v>506</v>
      </c>
      <c r="D20" s="15" t="s">
        <v>181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358</v>
      </c>
      <c r="L20" s="15" t="s">
        <v>135</v>
      </c>
      <c r="M20" s="15" t="s">
        <v>39</v>
      </c>
      <c r="N20" s="15" t="s">
        <v>34</v>
      </c>
      <c r="O20" s="15" t="s">
        <v>10</v>
      </c>
      <c r="P20" s="36">
        <v>1</v>
      </c>
      <c r="V20" s="36">
        <v>0</v>
      </c>
      <c r="W20" s="15" t="s">
        <v>459</v>
      </c>
      <c r="X20" s="15" t="s">
        <v>165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553</v>
      </c>
    </row>
    <row r="21" spans="1:31" x14ac:dyDescent="0.25">
      <c r="A21" s="15" t="s">
        <v>809</v>
      </c>
      <c r="B21" s="38">
        <v>43369</v>
      </c>
      <c r="C21" s="15" t="s">
        <v>506</v>
      </c>
      <c r="D21" s="15" t="s">
        <v>181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360</v>
      </c>
      <c r="L21" s="15" t="s">
        <v>138</v>
      </c>
      <c r="M21" s="15" t="s">
        <v>39</v>
      </c>
      <c r="N21" s="15" t="s">
        <v>140</v>
      </c>
      <c r="O21" s="15" t="s">
        <v>10</v>
      </c>
      <c r="P21" s="36">
        <v>1</v>
      </c>
      <c r="V21" s="36">
        <v>0</v>
      </c>
      <c r="W21" s="15" t="s">
        <v>459</v>
      </c>
      <c r="X21" s="15" t="s">
        <v>165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553</v>
      </c>
    </row>
    <row r="22" spans="1:31" x14ac:dyDescent="0.25">
      <c r="A22" s="15" t="s">
        <v>810</v>
      </c>
      <c r="B22" s="38">
        <v>43370</v>
      </c>
      <c r="C22" s="15" t="s">
        <v>506</v>
      </c>
      <c r="D22" s="15" t="s">
        <v>181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362</v>
      </c>
      <c r="L22" s="15" t="s">
        <v>42</v>
      </c>
      <c r="M22" s="15" t="s">
        <v>39</v>
      </c>
      <c r="N22" s="15" t="s">
        <v>125</v>
      </c>
      <c r="O22" s="15" t="s">
        <v>10</v>
      </c>
      <c r="P22" s="36">
        <v>25</v>
      </c>
      <c r="V22" s="36">
        <v>0</v>
      </c>
      <c r="W22" s="15" t="s">
        <v>459</v>
      </c>
      <c r="X22" s="15" t="s">
        <v>165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553</v>
      </c>
    </row>
    <row r="23" spans="1:31" x14ac:dyDescent="0.25">
      <c r="A23" s="15" t="s">
        <v>811</v>
      </c>
      <c r="B23" s="38">
        <v>43371</v>
      </c>
      <c r="C23" s="15" t="s">
        <v>506</v>
      </c>
      <c r="D23" s="15" t="s">
        <v>181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364</v>
      </c>
      <c r="L23" s="15" t="s">
        <v>59</v>
      </c>
      <c r="M23" s="15" t="s">
        <v>39</v>
      </c>
      <c r="N23" s="15" t="s">
        <v>40</v>
      </c>
      <c r="O23" s="15" t="s">
        <v>10</v>
      </c>
      <c r="P23" s="36">
        <v>0.5</v>
      </c>
      <c r="V23" s="36">
        <v>0</v>
      </c>
      <c r="W23" s="15" t="s">
        <v>459</v>
      </c>
      <c r="X23" s="15" t="s">
        <v>165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553</v>
      </c>
    </row>
    <row r="24" spans="1:31" x14ac:dyDescent="0.25">
      <c r="A24" s="15" t="s">
        <v>1132</v>
      </c>
      <c r="B24" s="38">
        <v>43344</v>
      </c>
      <c r="C24" s="15" t="s">
        <v>506</v>
      </c>
      <c r="D24" s="15" t="s">
        <v>181</v>
      </c>
      <c r="E24" s="15" t="s">
        <v>264</v>
      </c>
      <c r="F24" s="15" t="s">
        <v>93</v>
      </c>
      <c r="G24" s="15" t="s">
        <v>68</v>
      </c>
      <c r="H24" s="15" t="s">
        <v>69</v>
      </c>
      <c r="I24" s="15" t="s">
        <v>18</v>
      </c>
      <c r="J24" s="36">
        <v>2</v>
      </c>
      <c r="K24" s="15" t="s">
        <v>338</v>
      </c>
      <c r="L24" s="15" t="s">
        <v>153</v>
      </c>
      <c r="M24" s="15" t="s">
        <v>74</v>
      </c>
      <c r="N24" s="15" t="s">
        <v>131</v>
      </c>
      <c r="O24" s="15" t="s">
        <v>18</v>
      </c>
      <c r="P24" s="36">
        <v>10</v>
      </c>
      <c r="V24" s="36">
        <v>0</v>
      </c>
      <c r="W24" s="15" t="s">
        <v>426</v>
      </c>
      <c r="X24" s="15" t="s">
        <v>124</v>
      </c>
      <c r="Y24" s="15" t="s">
        <v>33</v>
      </c>
      <c r="Z24" s="15" t="s">
        <v>57</v>
      </c>
      <c r="AA24" s="15" t="s">
        <v>18</v>
      </c>
      <c r="AB24" s="36">
        <v>134</v>
      </c>
      <c r="AE24" s="15" t="s">
        <v>565</v>
      </c>
    </row>
    <row r="25" spans="1:31" x14ac:dyDescent="0.25">
      <c r="A25" s="15" t="s">
        <v>1133</v>
      </c>
      <c r="B25" s="38">
        <v>43345</v>
      </c>
      <c r="C25" s="15" t="s">
        <v>506</v>
      </c>
      <c r="D25" s="15" t="s">
        <v>181</v>
      </c>
      <c r="E25" s="15" t="s">
        <v>264</v>
      </c>
      <c r="F25" s="15" t="s">
        <v>93</v>
      </c>
      <c r="G25" s="15" t="s">
        <v>68</v>
      </c>
      <c r="H25" s="15" t="s">
        <v>69</v>
      </c>
      <c r="I25" s="15" t="s">
        <v>18</v>
      </c>
      <c r="J25" s="36">
        <v>2</v>
      </c>
      <c r="K25" s="15" t="s">
        <v>348</v>
      </c>
      <c r="L25" s="15" t="s">
        <v>53</v>
      </c>
      <c r="M25" s="15" t="s">
        <v>20</v>
      </c>
      <c r="N25" s="15" t="s">
        <v>40</v>
      </c>
      <c r="O25" s="15" t="s">
        <v>18</v>
      </c>
      <c r="P25" s="36">
        <v>1</v>
      </c>
      <c r="V25" s="36">
        <v>0</v>
      </c>
      <c r="W25" s="15" t="s">
        <v>400</v>
      </c>
      <c r="X25" s="15" t="s">
        <v>66</v>
      </c>
      <c r="Y25" s="15" t="s">
        <v>33</v>
      </c>
      <c r="Z25" s="15" t="s">
        <v>87</v>
      </c>
      <c r="AA25" s="15" t="s">
        <v>18</v>
      </c>
      <c r="AB25" s="36">
        <v>1</v>
      </c>
      <c r="AE25" s="15" t="s">
        <v>565</v>
      </c>
    </row>
    <row r="26" spans="1:31" x14ac:dyDescent="0.25">
      <c r="A26" s="15" t="s">
        <v>1134</v>
      </c>
      <c r="B26" s="38">
        <v>43346</v>
      </c>
      <c r="C26" s="15" t="s">
        <v>506</v>
      </c>
      <c r="D26" s="15" t="s">
        <v>181</v>
      </c>
      <c r="E26" s="15" t="s">
        <v>260</v>
      </c>
      <c r="F26" s="15" t="s">
        <v>104</v>
      </c>
      <c r="G26" s="15" t="s">
        <v>45</v>
      </c>
      <c r="H26" s="15" t="s">
        <v>99</v>
      </c>
      <c r="I26" s="15" t="s">
        <v>18</v>
      </c>
      <c r="J26" s="36">
        <v>1</v>
      </c>
      <c r="K26" s="15" t="s">
        <v>296</v>
      </c>
      <c r="L26" s="15" t="s">
        <v>77</v>
      </c>
      <c r="M26" s="15" t="s">
        <v>51</v>
      </c>
      <c r="N26" s="15" t="s">
        <v>140</v>
      </c>
      <c r="O26" s="15" t="s">
        <v>18</v>
      </c>
      <c r="P26" s="36">
        <v>1</v>
      </c>
      <c r="V26" s="36">
        <v>0</v>
      </c>
      <c r="W26" s="15" t="s">
        <v>426</v>
      </c>
      <c r="X26" s="15" t="s">
        <v>124</v>
      </c>
      <c r="Y26" s="15" t="s">
        <v>33</v>
      </c>
      <c r="Z26" s="15" t="s">
        <v>57</v>
      </c>
      <c r="AA26" s="15" t="s">
        <v>18</v>
      </c>
      <c r="AB26" s="36">
        <v>133</v>
      </c>
      <c r="AE26" s="15" t="s">
        <v>565</v>
      </c>
    </row>
    <row r="27" spans="1:31" x14ac:dyDescent="0.25">
      <c r="A27" s="15" t="s">
        <v>1135</v>
      </c>
      <c r="B27" s="38">
        <v>43347</v>
      </c>
      <c r="C27" s="15" t="s">
        <v>506</v>
      </c>
      <c r="D27" s="15" t="s">
        <v>181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296</v>
      </c>
      <c r="L27" s="15" t="s">
        <v>77</v>
      </c>
      <c r="M27" s="15" t="s">
        <v>51</v>
      </c>
      <c r="N27" s="15" t="s">
        <v>140</v>
      </c>
      <c r="O27" s="15" t="s">
        <v>18</v>
      </c>
      <c r="P27" s="36">
        <v>1</v>
      </c>
      <c r="V27" s="36">
        <v>0</v>
      </c>
      <c r="W27" s="15" t="s">
        <v>402</v>
      </c>
      <c r="X27" s="15" t="s">
        <v>72</v>
      </c>
      <c r="Y27" s="15" t="s">
        <v>33</v>
      </c>
      <c r="Z27" s="15" t="s">
        <v>114</v>
      </c>
      <c r="AA27" s="15" t="s">
        <v>18</v>
      </c>
      <c r="AB27" s="36">
        <v>0.5</v>
      </c>
      <c r="AE27" s="15" t="s">
        <v>565</v>
      </c>
    </row>
    <row r="28" spans="1:31" x14ac:dyDescent="0.25">
      <c r="A28" s="15" t="s">
        <v>1136</v>
      </c>
      <c r="B28" s="38">
        <v>43348</v>
      </c>
      <c r="C28" s="15" t="s">
        <v>506</v>
      </c>
      <c r="D28" s="15" t="s">
        <v>181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316</v>
      </c>
      <c r="L28" s="15" t="s">
        <v>116</v>
      </c>
      <c r="M28" s="15" t="s">
        <v>56</v>
      </c>
      <c r="N28" s="15" t="s">
        <v>40</v>
      </c>
      <c r="O28" s="15" t="s">
        <v>18</v>
      </c>
      <c r="P28" s="36">
        <v>0.5</v>
      </c>
      <c r="V28" s="36">
        <v>0</v>
      </c>
      <c r="W28" s="15" t="s">
        <v>426</v>
      </c>
      <c r="X28" s="15" t="s">
        <v>124</v>
      </c>
      <c r="Y28" s="15" t="s">
        <v>33</v>
      </c>
      <c r="Z28" s="15" t="s">
        <v>57</v>
      </c>
      <c r="AA28" s="15" t="s">
        <v>18</v>
      </c>
      <c r="AB28" s="36">
        <v>133</v>
      </c>
      <c r="AE28" s="15" t="s">
        <v>565</v>
      </c>
    </row>
    <row r="29" spans="1:31" x14ac:dyDescent="0.25">
      <c r="A29" s="15" t="s">
        <v>1137</v>
      </c>
      <c r="B29" s="38">
        <v>43349</v>
      </c>
      <c r="C29" s="15" t="s">
        <v>506</v>
      </c>
      <c r="D29" s="15" t="s">
        <v>181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316</v>
      </c>
      <c r="L29" s="15" t="s">
        <v>116</v>
      </c>
      <c r="M29" s="15" t="s">
        <v>56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402</v>
      </c>
      <c r="X29" s="15" t="s">
        <v>72</v>
      </c>
      <c r="Y29" s="15" t="s">
        <v>33</v>
      </c>
      <c r="Z29" s="15" t="s">
        <v>114</v>
      </c>
      <c r="AA29" s="15" t="s">
        <v>18</v>
      </c>
      <c r="AB29" s="36">
        <v>0.5</v>
      </c>
      <c r="AE29" s="15" t="s">
        <v>565</v>
      </c>
    </row>
    <row r="30" spans="1:31" x14ac:dyDescent="0.25">
      <c r="A30" s="15" t="s">
        <v>1138</v>
      </c>
      <c r="B30" s="38">
        <v>43350</v>
      </c>
      <c r="C30" s="15" t="s">
        <v>506</v>
      </c>
      <c r="D30" s="15" t="s">
        <v>181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332</v>
      </c>
      <c r="L30" s="15" t="s">
        <v>144</v>
      </c>
      <c r="M30" s="15" t="s">
        <v>80</v>
      </c>
      <c r="N30" s="15" t="s">
        <v>149</v>
      </c>
      <c r="O30" s="15" t="s">
        <v>18</v>
      </c>
      <c r="P30" s="36">
        <v>1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134</v>
      </c>
      <c r="AE30" s="15" t="s">
        <v>565</v>
      </c>
    </row>
    <row r="31" spans="1:31" x14ac:dyDescent="0.25">
      <c r="A31" s="15" t="s">
        <v>1139</v>
      </c>
      <c r="B31" s="38">
        <v>43351</v>
      </c>
      <c r="C31" s="15" t="s">
        <v>506</v>
      </c>
      <c r="D31" s="15" t="s">
        <v>181</v>
      </c>
      <c r="E31" s="15" t="s">
        <v>266</v>
      </c>
      <c r="F31" s="15" t="s">
        <v>115</v>
      </c>
      <c r="G31" s="15" t="s">
        <v>68</v>
      </c>
      <c r="H31" s="15" t="s">
        <v>69</v>
      </c>
      <c r="I31" s="15" t="s">
        <v>18</v>
      </c>
      <c r="J31" s="36">
        <v>2</v>
      </c>
      <c r="K31" s="15" t="s">
        <v>340</v>
      </c>
      <c r="L31" s="15" t="s">
        <v>156</v>
      </c>
      <c r="M31" s="15" t="s">
        <v>74</v>
      </c>
      <c r="N31" s="15" t="s">
        <v>131</v>
      </c>
      <c r="O31" s="15" t="s">
        <v>18</v>
      </c>
      <c r="P31" s="36">
        <v>10</v>
      </c>
      <c r="V31" s="36">
        <v>0</v>
      </c>
      <c r="W31" s="15" t="s">
        <v>404</v>
      </c>
      <c r="X31" s="15" t="s">
        <v>78</v>
      </c>
      <c r="Y31" s="15" t="s">
        <v>33</v>
      </c>
      <c r="Z31" s="15" t="s">
        <v>87</v>
      </c>
      <c r="AA31" s="15" t="s">
        <v>18</v>
      </c>
      <c r="AB31" s="36">
        <v>0.5</v>
      </c>
      <c r="AE31" s="15" t="s">
        <v>565</v>
      </c>
    </row>
    <row r="32" spans="1:31" x14ac:dyDescent="0.25">
      <c r="A32" s="15" t="s">
        <v>1140</v>
      </c>
      <c r="B32" s="38">
        <v>43352</v>
      </c>
      <c r="C32" s="15" t="s">
        <v>506</v>
      </c>
      <c r="D32" s="15" t="s">
        <v>181</v>
      </c>
      <c r="E32" s="15" t="s">
        <v>266</v>
      </c>
      <c r="F32" s="15" t="s">
        <v>115</v>
      </c>
      <c r="G32" s="15" t="s">
        <v>68</v>
      </c>
      <c r="H32" s="15" t="s">
        <v>69</v>
      </c>
      <c r="I32" s="15" t="s">
        <v>18</v>
      </c>
      <c r="J32" s="36">
        <v>2</v>
      </c>
      <c r="K32" s="15" t="s">
        <v>344</v>
      </c>
      <c r="L32" s="15" t="s">
        <v>160</v>
      </c>
      <c r="M32" s="15" t="s">
        <v>20</v>
      </c>
      <c r="N32" s="15" t="s">
        <v>103</v>
      </c>
      <c r="O32" s="15" t="s">
        <v>18</v>
      </c>
      <c r="P32" s="36">
        <v>1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133</v>
      </c>
      <c r="AE32" s="15" t="s">
        <v>565</v>
      </c>
    </row>
    <row r="33" spans="1:31" x14ac:dyDescent="0.25">
      <c r="A33" s="15" t="s">
        <v>1141</v>
      </c>
      <c r="B33" s="38">
        <v>43353</v>
      </c>
      <c r="C33" s="15" t="s">
        <v>506</v>
      </c>
      <c r="D33" s="15" t="s">
        <v>181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298</v>
      </c>
      <c r="L33" s="15" t="s">
        <v>83</v>
      </c>
      <c r="M33" s="15" t="s">
        <v>51</v>
      </c>
      <c r="N33" s="15" t="s">
        <v>125</v>
      </c>
      <c r="O33" s="15" t="s">
        <v>18</v>
      </c>
      <c r="P33" s="36">
        <v>25</v>
      </c>
      <c r="V33" s="36">
        <v>0</v>
      </c>
      <c r="W33" s="15" t="s">
        <v>404</v>
      </c>
      <c r="X33" s="15" t="s">
        <v>78</v>
      </c>
      <c r="Y33" s="15" t="s">
        <v>33</v>
      </c>
      <c r="Z33" s="15" t="s">
        <v>87</v>
      </c>
      <c r="AA33" s="15" t="s">
        <v>18</v>
      </c>
      <c r="AB33" s="36">
        <v>0.5</v>
      </c>
      <c r="AE33" s="15" t="s">
        <v>565</v>
      </c>
    </row>
    <row r="34" spans="1:31" x14ac:dyDescent="0.25">
      <c r="A34" s="15" t="s">
        <v>1142</v>
      </c>
      <c r="B34" s="38">
        <v>43354</v>
      </c>
      <c r="C34" s="15" t="s">
        <v>506</v>
      </c>
      <c r="D34" s="15" t="s">
        <v>181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298</v>
      </c>
      <c r="L34" s="15" t="s">
        <v>83</v>
      </c>
      <c r="M34" s="15" t="s">
        <v>51</v>
      </c>
      <c r="N34" s="15" t="s">
        <v>125</v>
      </c>
      <c r="O34" s="15" t="s">
        <v>18</v>
      </c>
      <c r="P34" s="36">
        <v>25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565</v>
      </c>
    </row>
    <row r="35" spans="1:31" x14ac:dyDescent="0.25">
      <c r="A35" s="15" t="s">
        <v>1143</v>
      </c>
      <c r="B35" s="38">
        <v>43355</v>
      </c>
      <c r="C35" s="15" t="s">
        <v>506</v>
      </c>
      <c r="D35" s="15" t="s">
        <v>181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306</v>
      </c>
      <c r="L35" s="15" t="s">
        <v>97</v>
      </c>
      <c r="M35" s="15" t="s">
        <v>56</v>
      </c>
      <c r="N35" s="15" t="s">
        <v>40</v>
      </c>
      <c r="O35" s="15" t="s">
        <v>18</v>
      </c>
      <c r="P35" s="36">
        <v>0.5</v>
      </c>
      <c r="V35" s="36">
        <v>0</v>
      </c>
      <c r="W35" s="15" t="s">
        <v>406</v>
      </c>
      <c r="X35" s="15" t="s">
        <v>84</v>
      </c>
      <c r="Y35" s="15" t="s">
        <v>33</v>
      </c>
      <c r="Z35" s="15" t="s">
        <v>87</v>
      </c>
      <c r="AA35" s="15" t="s">
        <v>18</v>
      </c>
      <c r="AB35" s="36">
        <v>0.5</v>
      </c>
      <c r="AE35" s="15" t="s">
        <v>565</v>
      </c>
    </row>
    <row r="36" spans="1:31" x14ac:dyDescent="0.25">
      <c r="A36" s="15" t="s">
        <v>1144</v>
      </c>
      <c r="B36" s="38">
        <v>43356</v>
      </c>
      <c r="C36" s="15" t="s">
        <v>506</v>
      </c>
      <c r="D36" s="15" t="s">
        <v>181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306</v>
      </c>
      <c r="L36" s="15" t="s">
        <v>97</v>
      </c>
      <c r="M36" s="15" t="s">
        <v>56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134</v>
      </c>
      <c r="AE36" s="15" t="s">
        <v>565</v>
      </c>
    </row>
    <row r="37" spans="1:31" x14ac:dyDescent="0.25">
      <c r="A37" s="15" t="s">
        <v>1145</v>
      </c>
      <c r="B37" s="38">
        <v>43357</v>
      </c>
      <c r="C37" s="15" t="s">
        <v>506</v>
      </c>
      <c r="D37" s="15" t="s">
        <v>181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334</v>
      </c>
      <c r="L37" s="15" t="s">
        <v>147</v>
      </c>
      <c r="M37" s="15" t="s">
        <v>80</v>
      </c>
      <c r="N37" s="15" t="s">
        <v>34</v>
      </c>
      <c r="O37" s="15" t="s">
        <v>18</v>
      </c>
      <c r="P37" s="36">
        <v>1</v>
      </c>
      <c r="V37" s="36">
        <v>0</v>
      </c>
      <c r="W37" s="15" t="s">
        <v>406</v>
      </c>
      <c r="X37" s="15" t="s">
        <v>84</v>
      </c>
      <c r="Y37" s="15" t="s">
        <v>33</v>
      </c>
      <c r="Z37" s="15" t="s">
        <v>87</v>
      </c>
      <c r="AA37" s="15" t="s">
        <v>18</v>
      </c>
      <c r="AB37" s="36">
        <v>0.5</v>
      </c>
      <c r="AE37" s="15" t="s">
        <v>565</v>
      </c>
    </row>
    <row r="38" spans="1:31" x14ac:dyDescent="0.25">
      <c r="A38" s="15" t="s">
        <v>1146</v>
      </c>
      <c r="B38" s="38">
        <v>43358</v>
      </c>
      <c r="C38" s="15" t="s">
        <v>506</v>
      </c>
      <c r="D38" s="15" t="s">
        <v>181</v>
      </c>
      <c r="E38" s="15" t="s">
        <v>268</v>
      </c>
      <c r="F38" s="15" t="s">
        <v>119</v>
      </c>
      <c r="G38" s="15" t="s">
        <v>68</v>
      </c>
      <c r="H38" s="15" t="s">
        <v>125</v>
      </c>
      <c r="I38" s="15" t="s">
        <v>18</v>
      </c>
      <c r="J38" s="36">
        <v>50</v>
      </c>
      <c r="K38" s="15" t="s">
        <v>342</v>
      </c>
      <c r="L38" s="15" t="s">
        <v>158</v>
      </c>
      <c r="M38" s="15" t="s">
        <v>74</v>
      </c>
      <c r="N38" s="15" t="s">
        <v>131</v>
      </c>
      <c r="O38" s="15" t="s">
        <v>18</v>
      </c>
      <c r="P38" s="36">
        <v>10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133</v>
      </c>
      <c r="AE38" s="15" t="s">
        <v>565</v>
      </c>
    </row>
    <row r="39" spans="1:31" x14ac:dyDescent="0.25">
      <c r="A39" s="15" t="s">
        <v>1147</v>
      </c>
      <c r="B39" s="38">
        <v>43359</v>
      </c>
      <c r="C39" s="15" t="s">
        <v>506</v>
      </c>
      <c r="D39" s="15" t="s">
        <v>181</v>
      </c>
      <c r="E39" s="15" t="s">
        <v>268</v>
      </c>
      <c r="F39" s="15" t="s">
        <v>119</v>
      </c>
      <c r="G39" s="15" t="s">
        <v>68</v>
      </c>
      <c r="H39" s="15" t="s">
        <v>125</v>
      </c>
      <c r="I39" s="15" t="s">
        <v>18</v>
      </c>
      <c r="J39" s="36">
        <v>50</v>
      </c>
      <c r="K39" s="15" t="s">
        <v>346</v>
      </c>
      <c r="L39" s="15" t="s">
        <v>162</v>
      </c>
      <c r="M39" s="15" t="s">
        <v>12</v>
      </c>
      <c r="N39" s="15" t="s">
        <v>121</v>
      </c>
      <c r="O39" s="15" t="s">
        <v>18</v>
      </c>
      <c r="P39" s="36">
        <v>20</v>
      </c>
      <c r="Q39" s="15" t="s">
        <v>274</v>
      </c>
      <c r="R39" s="15" t="s">
        <v>15</v>
      </c>
      <c r="S39" s="15" t="s">
        <v>27</v>
      </c>
      <c r="T39" s="15" t="s">
        <v>13</v>
      </c>
      <c r="U39" s="15" t="s">
        <v>18</v>
      </c>
      <c r="V39" s="36">
        <v>1</v>
      </c>
      <c r="W39" s="15" t="s">
        <v>408</v>
      </c>
      <c r="X39" s="15" t="s">
        <v>90</v>
      </c>
      <c r="Y39" s="15" t="s">
        <v>33</v>
      </c>
      <c r="Z39" s="15" t="s">
        <v>87</v>
      </c>
      <c r="AA39" s="15" t="s">
        <v>18</v>
      </c>
      <c r="AB39" s="36">
        <v>0.5</v>
      </c>
      <c r="AE39" s="15" t="s">
        <v>565</v>
      </c>
    </row>
    <row r="40" spans="1:31" x14ac:dyDescent="0.25">
      <c r="A40" s="15" t="s">
        <v>1148</v>
      </c>
      <c r="B40" s="38">
        <v>43360</v>
      </c>
      <c r="C40" s="15" t="s">
        <v>506</v>
      </c>
      <c r="D40" s="15" t="s">
        <v>181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300</v>
      </c>
      <c r="L40" s="15" t="s">
        <v>89</v>
      </c>
      <c r="M40" s="15" t="s">
        <v>51</v>
      </c>
      <c r="N40" s="15" t="s">
        <v>40</v>
      </c>
      <c r="O40" s="15" t="s">
        <v>18</v>
      </c>
      <c r="P40" s="36">
        <v>0.5</v>
      </c>
      <c r="V40" s="36">
        <v>0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565</v>
      </c>
    </row>
    <row r="41" spans="1:31" x14ac:dyDescent="0.25">
      <c r="A41" s="15" t="s">
        <v>1149</v>
      </c>
      <c r="B41" s="38">
        <v>43361</v>
      </c>
      <c r="C41" s="15" t="s">
        <v>506</v>
      </c>
      <c r="D41" s="15" t="s">
        <v>181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300</v>
      </c>
      <c r="L41" s="15" t="s">
        <v>89</v>
      </c>
      <c r="M41" s="15" t="s">
        <v>51</v>
      </c>
      <c r="N41" s="15" t="s">
        <v>40</v>
      </c>
      <c r="O41" s="15" t="s">
        <v>18</v>
      </c>
      <c r="P41" s="36">
        <v>0.5</v>
      </c>
      <c r="V41" s="36">
        <v>0</v>
      </c>
      <c r="W41" s="15" t="s">
        <v>408</v>
      </c>
      <c r="X41" s="15" t="s">
        <v>90</v>
      </c>
      <c r="Y41" s="15" t="s">
        <v>33</v>
      </c>
      <c r="Z41" s="15" t="s">
        <v>87</v>
      </c>
      <c r="AA41" s="15" t="s">
        <v>18</v>
      </c>
      <c r="AB41" s="36">
        <v>0.5</v>
      </c>
      <c r="AE41" s="15" t="s">
        <v>565</v>
      </c>
    </row>
    <row r="42" spans="1:31" x14ac:dyDescent="0.25">
      <c r="A42" s="15" t="s">
        <v>1150</v>
      </c>
      <c r="B42" s="38">
        <v>43362</v>
      </c>
      <c r="C42" s="15" t="s">
        <v>506</v>
      </c>
      <c r="D42" s="15" t="s">
        <v>181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308</v>
      </c>
      <c r="L42" s="15" t="s">
        <v>101</v>
      </c>
      <c r="M42" s="15" t="s">
        <v>56</v>
      </c>
      <c r="N42" s="15" t="s">
        <v>40</v>
      </c>
      <c r="O42" s="15" t="s">
        <v>18</v>
      </c>
      <c r="P42" s="36">
        <v>0.5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134</v>
      </c>
      <c r="AE42" s="15" t="s">
        <v>565</v>
      </c>
    </row>
    <row r="43" spans="1:31" x14ac:dyDescent="0.25">
      <c r="A43" s="15" t="s">
        <v>1151</v>
      </c>
      <c r="B43" s="38">
        <v>43363</v>
      </c>
      <c r="C43" s="15" t="s">
        <v>506</v>
      </c>
      <c r="D43" s="15" t="s">
        <v>181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308</v>
      </c>
      <c r="L43" s="15" t="s">
        <v>101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410</v>
      </c>
      <c r="X43" s="15" t="s">
        <v>94</v>
      </c>
      <c r="Y43" s="15" t="s">
        <v>33</v>
      </c>
      <c r="Z43" s="15" t="s">
        <v>21</v>
      </c>
      <c r="AA43" s="15" t="s">
        <v>18</v>
      </c>
      <c r="AB43" s="36">
        <v>3</v>
      </c>
      <c r="AE43" s="15" t="s">
        <v>565</v>
      </c>
    </row>
    <row r="44" spans="1:31" x14ac:dyDescent="0.25">
      <c r="A44" s="15" t="s">
        <v>1152</v>
      </c>
      <c r="B44" s="38">
        <v>43364</v>
      </c>
      <c r="C44" s="15" t="s">
        <v>506</v>
      </c>
      <c r="D44" s="15" t="s">
        <v>181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336</v>
      </c>
      <c r="L44" s="15" t="s">
        <v>150</v>
      </c>
      <c r="M44" s="15" t="s">
        <v>80</v>
      </c>
      <c r="N44" s="15" t="s">
        <v>155</v>
      </c>
      <c r="O44" s="15" t="s">
        <v>18</v>
      </c>
      <c r="P44" s="36">
        <v>2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133</v>
      </c>
      <c r="AE44" s="15" t="s">
        <v>565</v>
      </c>
    </row>
    <row r="45" spans="1:31" x14ac:dyDescent="0.25">
      <c r="A45" s="15" t="s">
        <v>1153</v>
      </c>
      <c r="B45" s="38">
        <v>43365</v>
      </c>
      <c r="C45" s="15" t="s">
        <v>506</v>
      </c>
      <c r="D45" s="15" t="s">
        <v>181</v>
      </c>
      <c r="E45" s="15" t="s">
        <v>270</v>
      </c>
      <c r="F45" s="15" t="s">
        <v>122</v>
      </c>
      <c r="G45" s="15" t="s">
        <v>68</v>
      </c>
      <c r="H45" s="15" t="s">
        <v>69</v>
      </c>
      <c r="I45" s="15" t="s">
        <v>18</v>
      </c>
      <c r="J45" s="36">
        <v>2</v>
      </c>
      <c r="K45" s="15" t="s">
        <v>338</v>
      </c>
      <c r="L45" s="15" t="s">
        <v>153</v>
      </c>
      <c r="M45" s="15" t="s">
        <v>74</v>
      </c>
      <c r="N45" s="15" t="s">
        <v>131</v>
      </c>
      <c r="O45" s="15" t="s">
        <v>18</v>
      </c>
      <c r="P45" s="36">
        <v>10</v>
      </c>
      <c r="V45" s="36">
        <v>0</v>
      </c>
      <c r="W45" s="15" t="s">
        <v>410</v>
      </c>
      <c r="X45" s="15" t="s">
        <v>94</v>
      </c>
      <c r="Y45" s="15" t="s">
        <v>33</v>
      </c>
      <c r="Z45" s="15" t="s">
        <v>21</v>
      </c>
      <c r="AA45" s="15" t="s">
        <v>18</v>
      </c>
      <c r="AB45" s="36">
        <v>3</v>
      </c>
      <c r="AE45" s="15" t="s">
        <v>565</v>
      </c>
    </row>
    <row r="46" spans="1:31" x14ac:dyDescent="0.25">
      <c r="A46" s="15" t="s">
        <v>1154</v>
      </c>
      <c r="B46" s="38">
        <v>43366</v>
      </c>
      <c r="C46" s="15" t="s">
        <v>506</v>
      </c>
      <c r="D46" s="15" t="s">
        <v>181</v>
      </c>
      <c r="E46" s="15" t="s">
        <v>270</v>
      </c>
      <c r="F46" s="15" t="s">
        <v>122</v>
      </c>
      <c r="G46" s="15" t="s">
        <v>68</v>
      </c>
      <c r="H46" s="15" t="s">
        <v>69</v>
      </c>
      <c r="I46" s="15" t="s">
        <v>18</v>
      </c>
      <c r="J46" s="36">
        <v>2</v>
      </c>
      <c r="K46" s="15" t="s">
        <v>348</v>
      </c>
      <c r="L46" s="15" t="s">
        <v>53</v>
      </c>
      <c r="M46" s="15" t="s">
        <v>20</v>
      </c>
      <c r="N46" s="15" t="s">
        <v>40</v>
      </c>
      <c r="O46" s="15" t="s">
        <v>18</v>
      </c>
      <c r="P46" s="36">
        <v>1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565</v>
      </c>
    </row>
    <row r="47" spans="1:31" x14ac:dyDescent="0.25">
      <c r="A47" s="15" t="s">
        <v>1155</v>
      </c>
      <c r="B47" s="38">
        <v>43367</v>
      </c>
      <c r="C47" s="15" t="s">
        <v>506</v>
      </c>
      <c r="D47" s="15" t="s">
        <v>181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302</v>
      </c>
      <c r="L47" s="15" t="s">
        <v>93</v>
      </c>
      <c r="M47" s="15" t="s">
        <v>51</v>
      </c>
      <c r="N47" s="15" t="s">
        <v>125</v>
      </c>
      <c r="O47" s="15" t="s">
        <v>18</v>
      </c>
      <c r="P47" s="36">
        <v>25</v>
      </c>
      <c r="V47" s="36">
        <v>0</v>
      </c>
      <c r="W47" s="15" t="s">
        <v>412</v>
      </c>
      <c r="X47" s="15" t="s">
        <v>98</v>
      </c>
      <c r="Y47" s="15" t="s">
        <v>33</v>
      </c>
      <c r="Z47" s="15" t="s">
        <v>87</v>
      </c>
      <c r="AA47" s="15" t="s">
        <v>18</v>
      </c>
      <c r="AB47" s="36">
        <v>0.5</v>
      </c>
      <c r="AE47" s="15" t="s">
        <v>565</v>
      </c>
    </row>
    <row r="48" spans="1:31" x14ac:dyDescent="0.25">
      <c r="A48" s="15" t="s">
        <v>1156</v>
      </c>
      <c r="B48" s="38">
        <v>43368</v>
      </c>
      <c r="C48" s="15" t="s">
        <v>506</v>
      </c>
      <c r="D48" s="15" t="s">
        <v>181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302</v>
      </c>
      <c r="L48" s="15" t="s">
        <v>93</v>
      </c>
      <c r="M48" s="15" t="s">
        <v>51</v>
      </c>
      <c r="N48" s="15" t="s">
        <v>125</v>
      </c>
      <c r="O48" s="15" t="s">
        <v>18</v>
      </c>
      <c r="P48" s="36">
        <v>25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134</v>
      </c>
      <c r="AE48" s="15" t="s">
        <v>565</v>
      </c>
    </row>
    <row r="49" spans="1:31" x14ac:dyDescent="0.25">
      <c r="A49" s="15" t="s">
        <v>1157</v>
      </c>
      <c r="B49" s="38">
        <v>43369</v>
      </c>
      <c r="C49" s="15" t="s">
        <v>506</v>
      </c>
      <c r="D49" s="15" t="s">
        <v>181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310</v>
      </c>
      <c r="L49" s="15" t="s">
        <v>105</v>
      </c>
      <c r="M49" s="15" t="s">
        <v>56</v>
      </c>
      <c r="N49" s="15" t="s">
        <v>40</v>
      </c>
      <c r="O49" s="15" t="s">
        <v>18</v>
      </c>
      <c r="P49" s="36">
        <v>0.5</v>
      </c>
      <c r="V49" s="36">
        <v>0</v>
      </c>
      <c r="W49" s="15" t="s">
        <v>412</v>
      </c>
      <c r="X49" s="15" t="s">
        <v>98</v>
      </c>
      <c r="Y49" s="15" t="s">
        <v>33</v>
      </c>
      <c r="Z49" s="15" t="s">
        <v>87</v>
      </c>
      <c r="AA49" s="15" t="s">
        <v>18</v>
      </c>
      <c r="AB49" s="36">
        <v>0.5</v>
      </c>
      <c r="AE49" s="15" t="s">
        <v>565</v>
      </c>
    </row>
    <row r="50" spans="1:31" x14ac:dyDescent="0.25">
      <c r="A50" s="15" t="s">
        <v>1158</v>
      </c>
      <c r="B50" s="38">
        <v>43370</v>
      </c>
      <c r="C50" s="15" t="s">
        <v>506</v>
      </c>
      <c r="D50" s="15" t="s">
        <v>181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310</v>
      </c>
      <c r="L50" s="15" t="s">
        <v>105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133</v>
      </c>
      <c r="AE50" s="15" t="s">
        <v>565</v>
      </c>
    </row>
    <row r="51" spans="1:31" x14ac:dyDescent="0.25">
      <c r="A51" s="15" t="s">
        <v>1159</v>
      </c>
      <c r="B51" s="38">
        <v>43371</v>
      </c>
      <c r="C51" s="15" t="s">
        <v>506</v>
      </c>
      <c r="D51" s="15" t="s">
        <v>181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304</v>
      </c>
      <c r="L51" s="15" t="s">
        <v>15</v>
      </c>
      <c r="M51" s="15" t="s">
        <v>80</v>
      </c>
      <c r="N51" s="15" t="s">
        <v>13</v>
      </c>
      <c r="O51" s="15" t="s">
        <v>18</v>
      </c>
      <c r="P51" s="36">
        <v>1</v>
      </c>
      <c r="V51" s="36">
        <v>0</v>
      </c>
      <c r="W51" s="15" t="s">
        <v>414</v>
      </c>
      <c r="X51" s="15" t="s">
        <v>102</v>
      </c>
      <c r="Y51" s="15" t="s">
        <v>33</v>
      </c>
      <c r="Z51" s="15" t="s">
        <v>140</v>
      </c>
      <c r="AA51" s="15" t="s">
        <v>18</v>
      </c>
      <c r="AB51" s="36">
        <v>1</v>
      </c>
      <c r="AE51" s="15" t="s">
        <v>565</v>
      </c>
    </row>
    <row r="52" spans="1:31" x14ac:dyDescent="0.25">
      <c r="A52" s="15" t="s">
        <v>1160</v>
      </c>
      <c r="B52" s="38">
        <v>43372</v>
      </c>
      <c r="C52" s="15" t="s">
        <v>506</v>
      </c>
      <c r="D52" s="15" t="s">
        <v>181</v>
      </c>
      <c r="E52" s="15" t="s">
        <v>227</v>
      </c>
      <c r="F52" s="15" t="s">
        <v>14</v>
      </c>
      <c r="G52" s="15" t="s">
        <v>68</v>
      </c>
      <c r="H52" s="15" t="s">
        <v>146</v>
      </c>
      <c r="I52" s="15" t="s">
        <v>18</v>
      </c>
      <c r="J52" s="36">
        <v>0.5</v>
      </c>
      <c r="K52" s="15" t="s">
        <v>340</v>
      </c>
      <c r="L52" s="15" t="s">
        <v>156</v>
      </c>
      <c r="M52" s="15" t="s">
        <v>74</v>
      </c>
      <c r="N52" s="15" t="s">
        <v>131</v>
      </c>
      <c r="O52" s="15" t="s">
        <v>18</v>
      </c>
      <c r="P52" s="36">
        <v>10</v>
      </c>
      <c r="V52" s="36">
        <v>0</v>
      </c>
      <c r="W52" s="15" t="s">
        <v>426</v>
      </c>
      <c r="X52" s="15" t="s">
        <v>124</v>
      </c>
      <c r="Y52" s="15" t="s">
        <v>33</v>
      </c>
      <c r="Z52" s="15" t="s">
        <v>57</v>
      </c>
      <c r="AA52" s="15" t="s">
        <v>18</v>
      </c>
      <c r="AB52" s="36">
        <v>133</v>
      </c>
      <c r="AE52" s="15" t="s">
        <v>565</v>
      </c>
    </row>
    <row r="53" spans="1:31" x14ac:dyDescent="0.25">
      <c r="A53" s="15" t="s">
        <v>1161</v>
      </c>
      <c r="B53" s="38">
        <v>43373</v>
      </c>
      <c r="C53" s="15" t="s">
        <v>506</v>
      </c>
      <c r="D53" s="15" t="s">
        <v>181</v>
      </c>
      <c r="E53" s="15" t="s">
        <v>227</v>
      </c>
      <c r="F53" s="15" t="s">
        <v>14</v>
      </c>
      <c r="G53" s="15" t="s">
        <v>68</v>
      </c>
      <c r="H53" s="15" t="s">
        <v>146</v>
      </c>
      <c r="I53" s="15" t="s">
        <v>18</v>
      </c>
      <c r="J53" s="36">
        <v>0.5</v>
      </c>
      <c r="K53" s="15" t="s">
        <v>344</v>
      </c>
      <c r="L53" s="15" t="s">
        <v>160</v>
      </c>
      <c r="M53" s="15" t="s">
        <v>20</v>
      </c>
      <c r="N53" s="15" t="s">
        <v>103</v>
      </c>
      <c r="O53" s="15" t="s">
        <v>18</v>
      </c>
      <c r="P53" s="36">
        <v>1</v>
      </c>
      <c r="V53" s="36">
        <v>0</v>
      </c>
      <c r="W53" s="15" t="s">
        <v>416</v>
      </c>
      <c r="X53" s="15" t="s">
        <v>106</v>
      </c>
      <c r="Y53" s="15" t="s">
        <v>33</v>
      </c>
      <c r="Z53" s="15" t="s">
        <v>40</v>
      </c>
      <c r="AA53" s="15" t="s">
        <v>18</v>
      </c>
      <c r="AB53" s="36">
        <v>1</v>
      </c>
      <c r="AE53" s="15" t="s">
        <v>565</v>
      </c>
    </row>
    <row r="54" spans="1:31" x14ac:dyDescent="0.25">
      <c r="A54" s="15" t="s">
        <v>1324</v>
      </c>
      <c r="B54" s="38">
        <v>43345</v>
      </c>
      <c r="C54" s="15" t="s">
        <v>506</v>
      </c>
      <c r="D54" s="15" t="s">
        <v>181</v>
      </c>
      <c r="J54" s="36">
        <v>0</v>
      </c>
      <c r="P54" s="36">
        <v>0</v>
      </c>
      <c r="V54" s="36">
        <v>0</v>
      </c>
      <c r="W54" s="15" t="s">
        <v>444</v>
      </c>
      <c r="X54" s="15" t="s">
        <v>151</v>
      </c>
      <c r="Y54" s="15" t="s">
        <v>62</v>
      </c>
      <c r="Z54" s="15" t="s">
        <v>111</v>
      </c>
      <c r="AA54" s="15" t="s">
        <v>25</v>
      </c>
      <c r="AB54" s="36">
        <v>1</v>
      </c>
      <c r="AE54" s="15" t="s">
        <v>570</v>
      </c>
    </row>
    <row r="55" spans="1:31" x14ac:dyDescent="0.25">
      <c r="A55" s="15" t="s">
        <v>1325</v>
      </c>
      <c r="B55" s="38">
        <v>43351</v>
      </c>
      <c r="C55" s="15" t="s">
        <v>506</v>
      </c>
      <c r="D55" s="15" t="s">
        <v>181</v>
      </c>
      <c r="J55" s="36">
        <v>0</v>
      </c>
      <c r="P55" s="36">
        <v>0</v>
      </c>
      <c r="V55" s="36">
        <v>0</v>
      </c>
      <c r="W55" s="15" t="s">
        <v>446</v>
      </c>
      <c r="X55" s="15" t="s">
        <v>154</v>
      </c>
      <c r="Y55" s="15" t="s">
        <v>62</v>
      </c>
      <c r="Z55" s="15" t="s">
        <v>111</v>
      </c>
      <c r="AA55" s="15" t="s">
        <v>25</v>
      </c>
      <c r="AB55" s="36">
        <v>1</v>
      </c>
      <c r="AE55" s="15" t="s">
        <v>570</v>
      </c>
    </row>
    <row r="56" spans="1:31" x14ac:dyDescent="0.25">
      <c r="A56" s="15" t="s">
        <v>1326</v>
      </c>
      <c r="B56" s="38">
        <v>43352</v>
      </c>
      <c r="C56" s="15" t="s">
        <v>506</v>
      </c>
      <c r="D56" s="15" t="s">
        <v>181</v>
      </c>
      <c r="J56" s="36">
        <v>0</v>
      </c>
      <c r="P56" s="36">
        <v>0</v>
      </c>
      <c r="V56" s="36">
        <v>0</v>
      </c>
      <c r="W56" s="15" t="s">
        <v>448</v>
      </c>
      <c r="X56" s="15" t="s">
        <v>102</v>
      </c>
      <c r="Y56" s="15" t="s">
        <v>62</v>
      </c>
      <c r="Z56" s="15" t="s">
        <v>140</v>
      </c>
      <c r="AA56" s="15" t="s">
        <v>25</v>
      </c>
      <c r="AB56" s="36">
        <v>1</v>
      </c>
      <c r="AE56" s="15" t="s">
        <v>570</v>
      </c>
    </row>
    <row r="57" spans="1:31" x14ac:dyDescent="0.25">
      <c r="A57" s="15" t="s">
        <v>1327</v>
      </c>
      <c r="B57" s="38">
        <v>43358</v>
      </c>
      <c r="C57" s="15" t="s">
        <v>506</v>
      </c>
      <c r="D57" s="15" t="s">
        <v>181</v>
      </c>
      <c r="J57" s="36">
        <v>0</v>
      </c>
      <c r="P57" s="36">
        <v>0</v>
      </c>
      <c r="V57" s="36">
        <v>0</v>
      </c>
      <c r="W57" s="15" t="s">
        <v>450</v>
      </c>
      <c r="X57" s="15" t="s">
        <v>157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570</v>
      </c>
    </row>
    <row r="58" spans="1:31" x14ac:dyDescent="0.25">
      <c r="A58" s="15" t="s">
        <v>1328</v>
      </c>
      <c r="B58" s="38">
        <v>43359</v>
      </c>
      <c r="C58" s="15" t="s">
        <v>506</v>
      </c>
      <c r="D58" s="15" t="s">
        <v>181</v>
      </c>
      <c r="J58" s="36">
        <v>0</v>
      </c>
      <c r="P58" s="36">
        <v>0</v>
      </c>
      <c r="V58" s="36">
        <v>0</v>
      </c>
      <c r="W58" s="15" t="s">
        <v>452</v>
      </c>
      <c r="X58" s="15" t="s">
        <v>159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570</v>
      </c>
    </row>
    <row r="59" spans="1:31" x14ac:dyDescent="0.25">
      <c r="A59" s="15" t="s">
        <v>1329</v>
      </c>
      <c r="B59" s="38">
        <v>43365</v>
      </c>
      <c r="C59" s="15" t="s">
        <v>506</v>
      </c>
      <c r="D59" s="15" t="s">
        <v>181</v>
      </c>
      <c r="J59" s="36">
        <v>0</v>
      </c>
      <c r="P59" s="36">
        <v>0</v>
      </c>
      <c r="V59" s="36">
        <v>0</v>
      </c>
      <c r="W59" s="15" t="s">
        <v>440</v>
      </c>
      <c r="X59" s="15" t="s">
        <v>145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570</v>
      </c>
    </row>
    <row r="60" spans="1:31" x14ac:dyDescent="0.25">
      <c r="A60" s="15" t="s">
        <v>1330</v>
      </c>
      <c r="B60" s="38">
        <v>43366</v>
      </c>
      <c r="C60" s="15" t="s">
        <v>506</v>
      </c>
      <c r="D60" s="15" t="s">
        <v>181</v>
      </c>
      <c r="J60" s="36">
        <v>0</v>
      </c>
      <c r="P60" s="36">
        <v>0</v>
      </c>
      <c r="V60" s="36">
        <v>0</v>
      </c>
      <c r="W60" s="15" t="s">
        <v>442</v>
      </c>
      <c r="X60" s="15" t="s">
        <v>148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570</v>
      </c>
    </row>
    <row r="61" spans="1:31" x14ac:dyDescent="0.25">
      <c r="A61" s="15" t="s">
        <v>1331</v>
      </c>
      <c r="B61" s="38">
        <v>43372</v>
      </c>
      <c r="C61" s="15" t="s">
        <v>506</v>
      </c>
      <c r="D61" s="15" t="s">
        <v>181</v>
      </c>
      <c r="J61" s="36">
        <v>0</v>
      </c>
      <c r="P61" s="36">
        <v>0</v>
      </c>
      <c r="V61" s="36">
        <v>0</v>
      </c>
      <c r="W61" s="15" t="s">
        <v>444</v>
      </c>
      <c r="X61" s="15" t="s">
        <v>151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570</v>
      </c>
    </row>
    <row r="62" spans="1:31" x14ac:dyDescent="0.25">
      <c r="A62" s="15" t="s">
        <v>1332</v>
      </c>
      <c r="B62" s="38">
        <v>43373</v>
      </c>
      <c r="C62" s="15" t="s">
        <v>506</v>
      </c>
      <c r="D62" s="15" t="s">
        <v>181</v>
      </c>
      <c r="J62" s="36">
        <v>0</v>
      </c>
      <c r="P62" s="36">
        <v>0</v>
      </c>
      <c r="V62" s="36">
        <v>0</v>
      </c>
      <c r="W62" s="15" t="s">
        <v>446</v>
      </c>
      <c r="X62" s="15" t="s">
        <v>154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570</v>
      </c>
    </row>
  </sheetData>
  <mergeCells count="1">
    <mergeCell ref="A1:A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Octobre"/>
  <dimension ref="A1:AE65"/>
  <sheetViews>
    <sheetView topLeftCell="A31" workbookViewId="0">
      <selection activeCell="A65" sqref="A65"/>
    </sheetView>
  </sheetViews>
  <sheetFormatPr baseColWidth="10" defaultColWidth="11.07421875" defaultRowHeight="13.2" x14ac:dyDescent="0.25"/>
  <cols>
    <col min="1" max="1" width="11.07421875" style="15"/>
    <col min="2" max="2" width="15.6914062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7.4609375" style="15" bestFit="1" customWidth="1"/>
    <col min="7" max="7" width="20.61328125" style="15" bestFit="1" customWidth="1"/>
    <col min="8" max="8" width="16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3.15234375" style="15" bestFit="1" customWidth="1"/>
    <col min="25" max="25" width="13.92187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2.07421875" style="15" bestFit="1" customWidth="1"/>
    <col min="30" max="30" width="8.07421875" style="15" bestFit="1" customWidth="1"/>
    <col min="31" max="31" width="26.84375" style="15" bestFit="1" customWidth="1"/>
    <col min="32" max="16384" width="11.07421875" style="15"/>
  </cols>
  <sheetData>
    <row r="1" spans="1:31" ht="12.75" x14ac:dyDescent="0.2">
      <c r="A1" s="69" t="s">
        <v>574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4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41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812</v>
      </c>
      <c r="B4" s="38">
        <v>43374</v>
      </c>
      <c r="C4" s="15" t="s">
        <v>508</v>
      </c>
      <c r="D4" s="15" t="s">
        <v>182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364</v>
      </c>
      <c r="L4" s="15" t="s">
        <v>59</v>
      </c>
      <c r="M4" s="15" t="s">
        <v>39</v>
      </c>
      <c r="N4" s="15" t="s">
        <v>40</v>
      </c>
      <c r="O4" s="15" t="s">
        <v>10</v>
      </c>
      <c r="P4" s="36">
        <v>0.5</v>
      </c>
      <c r="V4" s="36">
        <v>0</v>
      </c>
      <c r="W4" s="15" t="s">
        <v>462</v>
      </c>
      <c r="X4" s="15" t="s">
        <v>166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554</v>
      </c>
    </row>
    <row r="5" spans="1:31" x14ac:dyDescent="0.25">
      <c r="A5" s="15" t="s">
        <v>813</v>
      </c>
      <c r="B5" s="38">
        <v>43375</v>
      </c>
      <c r="C5" s="15" t="s">
        <v>508</v>
      </c>
      <c r="D5" s="15" t="s">
        <v>182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366</v>
      </c>
      <c r="L5" s="15" t="s">
        <v>153</v>
      </c>
      <c r="M5" s="15" t="s">
        <v>39</v>
      </c>
      <c r="N5" s="15" t="s">
        <v>131</v>
      </c>
      <c r="O5" s="15" t="s">
        <v>10</v>
      </c>
      <c r="P5" s="36">
        <v>5</v>
      </c>
      <c r="V5" s="36">
        <v>0</v>
      </c>
      <c r="W5" s="15" t="s">
        <v>462</v>
      </c>
      <c r="X5" s="15" t="s">
        <v>166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554</v>
      </c>
    </row>
    <row r="6" spans="1:31" x14ac:dyDescent="0.25">
      <c r="A6" s="15" t="s">
        <v>814</v>
      </c>
      <c r="B6" s="38">
        <v>43376</v>
      </c>
      <c r="C6" s="15" t="s">
        <v>508</v>
      </c>
      <c r="D6" s="15" t="s">
        <v>182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368</v>
      </c>
      <c r="L6" s="15" t="s">
        <v>156</v>
      </c>
      <c r="M6" s="15" t="s">
        <v>39</v>
      </c>
      <c r="N6" s="15" t="s">
        <v>131</v>
      </c>
      <c r="O6" s="15" t="s">
        <v>10</v>
      </c>
      <c r="P6" s="36">
        <v>5</v>
      </c>
      <c r="V6" s="36">
        <v>0</v>
      </c>
      <c r="W6" s="15" t="s">
        <v>462</v>
      </c>
      <c r="X6" s="15" t="s">
        <v>166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554</v>
      </c>
    </row>
    <row r="7" spans="1:31" x14ac:dyDescent="0.25">
      <c r="A7" s="15" t="s">
        <v>815</v>
      </c>
      <c r="B7" s="38">
        <v>43377</v>
      </c>
      <c r="C7" s="15" t="s">
        <v>508</v>
      </c>
      <c r="D7" s="15" t="s">
        <v>182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370</v>
      </c>
      <c r="L7" s="15" t="s">
        <v>71</v>
      </c>
      <c r="M7" s="15" t="s">
        <v>39</v>
      </c>
      <c r="N7" s="15" t="s">
        <v>140</v>
      </c>
      <c r="O7" s="15" t="s">
        <v>10</v>
      </c>
      <c r="P7" s="36">
        <v>1</v>
      </c>
      <c r="V7" s="36">
        <v>0</v>
      </c>
      <c r="W7" s="15" t="s">
        <v>462</v>
      </c>
      <c r="X7" s="15" t="s">
        <v>166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554</v>
      </c>
    </row>
    <row r="8" spans="1:31" x14ac:dyDescent="0.25">
      <c r="A8" s="15" t="s">
        <v>816</v>
      </c>
      <c r="B8" s="38">
        <v>43378</v>
      </c>
      <c r="C8" s="15" t="s">
        <v>508</v>
      </c>
      <c r="D8" s="15" t="s">
        <v>182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372</v>
      </c>
      <c r="L8" s="15" t="s">
        <v>77</v>
      </c>
      <c r="M8" s="15" t="s">
        <v>39</v>
      </c>
      <c r="N8" s="15" t="s">
        <v>140</v>
      </c>
      <c r="O8" s="15" t="s">
        <v>10</v>
      </c>
      <c r="P8" s="36">
        <v>1</v>
      </c>
      <c r="V8" s="36">
        <v>0</v>
      </c>
      <c r="W8" s="15" t="s">
        <v>462</v>
      </c>
      <c r="X8" s="15" t="s">
        <v>166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554</v>
      </c>
    </row>
    <row r="9" spans="1:31" x14ac:dyDescent="0.25">
      <c r="A9" s="15" t="s">
        <v>817</v>
      </c>
      <c r="B9" s="38">
        <v>43381</v>
      </c>
      <c r="C9" s="15" t="s">
        <v>508</v>
      </c>
      <c r="D9" s="15" t="s">
        <v>182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374</v>
      </c>
      <c r="L9" s="15" t="s">
        <v>83</v>
      </c>
      <c r="M9" s="15" t="s">
        <v>39</v>
      </c>
      <c r="N9" s="15" t="s">
        <v>125</v>
      </c>
      <c r="O9" s="15" t="s">
        <v>10</v>
      </c>
      <c r="P9" s="36">
        <v>25</v>
      </c>
      <c r="V9" s="36">
        <v>0</v>
      </c>
      <c r="W9" s="15" t="s">
        <v>454</v>
      </c>
      <c r="X9" s="15" t="s">
        <v>161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554</v>
      </c>
    </row>
    <row r="10" spans="1:31" x14ac:dyDescent="0.25">
      <c r="A10" s="15" t="s">
        <v>818</v>
      </c>
      <c r="B10" s="38">
        <v>43382</v>
      </c>
      <c r="C10" s="15" t="s">
        <v>508</v>
      </c>
      <c r="D10" s="15" t="s">
        <v>182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376</v>
      </c>
      <c r="L10" s="15" t="s">
        <v>141</v>
      </c>
      <c r="M10" s="15" t="s">
        <v>39</v>
      </c>
      <c r="N10" s="15" t="s">
        <v>224</v>
      </c>
      <c r="O10" s="15" t="s">
        <v>10</v>
      </c>
      <c r="P10" s="36">
        <v>0.5</v>
      </c>
      <c r="V10" s="36">
        <v>0</v>
      </c>
      <c r="W10" s="15" t="s">
        <v>454</v>
      </c>
      <c r="X10" s="15" t="s">
        <v>161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554</v>
      </c>
    </row>
    <row r="11" spans="1:31" x14ac:dyDescent="0.25">
      <c r="A11" s="15" t="s">
        <v>819</v>
      </c>
      <c r="B11" s="38">
        <v>43383</v>
      </c>
      <c r="C11" s="15" t="s">
        <v>508</v>
      </c>
      <c r="D11" s="15" t="s">
        <v>182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376</v>
      </c>
      <c r="L11" s="15" t="s">
        <v>141</v>
      </c>
      <c r="M11" s="15" t="s">
        <v>39</v>
      </c>
      <c r="N11" s="15" t="s">
        <v>224</v>
      </c>
      <c r="O11" s="15" t="s">
        <v>10</v>
      </c>
      <c r="P11" s="36">
        <v>0.5</v>
      </c>
      <c r="V11" s="36">
        <v>0</v>
      </c>
      <c r="W11" s="15" t="s">
        <v>454</v>
      </c>
      <c r="X11" s="15" t="s">
        <v>161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554</v>
      </c>
    </row>
    <row r="12" spans="1:31" x14ac:dyDescent="0.25">
      <c r="A12" s="15" t="s">
        <v>820</v>
      </c>
      <c r="B12" s="38">
        <v>43384</v>
      </c>
      <c r="C12" s="15" t="s">
        <v>508</v>
      </c>
      <c r="D12" s="15" t="s">
        <v>182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378</v>
      </c>
      <c r="L12" s="15" t="s">
        <v>93</v>
      </c>
      <c r="M12" s="15" t="s">
        <v>39</v>
      </c>
      <c r="N12" s="15" t="s">
        <v>125</v>
      </c>
      <c r="O12" s="15" t="s">
        <v>10</v>
      </c>
      <c r="P12" s="36">
        <v>25</v>
      </c>
      <c r="V12" s="36">
        <v>0</v>
      </c>
      <c r="W12" s="15" t="s">
        <v>454</v>
      </c>
      <c r="X12" s="15" t="s">
        <v>161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554</v>
      </c>
    </row>
    <row r="13" spans="1:31" x14ac:dyDescent="0.25">
      <c r="A13" s="15" t="s">
        <v>821</v>
      </c>
      <c r="B13" s="38">
        <v>43385</v>
      </c>
      <c r="C13" s="15" t="s">
        <v>508</v>
      </c>
      <c r="D13" s="15" t="s">
        <v>182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380</v>
      </c>
      <c r="L13" s="15" t="s">
        <v>144</v>
      </c>
      <c r="M13" s="15" t="s">
        <v>39</v>
      </c>
      <c r="N13" s="15" t="s">
        <v>149</v>
      </c>
      <c r="O13" s="15" t="s">
        <v>10</v>
      </c>
      <c r="P13" s="36">
        <v>1</v>
      </c>
      <c r="V13" s="36">
        <v>0</v>
      </c>
      <c r="W13" s="15" t="s">
        <v>454</v>
      </c>
      <c r="X13" s="15" t="s">
        <v>161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554</v>
      </c>
    </row>
    <row r="14" spans="1:31" x14ac:dyDescent="0.25">
      <c r="A14" s="15" t="s">
        <v>822</v>
      </c>
      <c r="B14" s="38">
        <v>43388</v>
      </c>
      <c r="C14" s="15" t="s">
        <v>508</v>
      </c>
      <c r="D14" s="15" t="s">
        <v>182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382</v>
      </c>
      <c r="L14" s="15" t="s">
        <v>150</v>
      </c>
      <c r="M14" s="15" t="s">
        <v>39</v>
      </c>
      <c r="N14" s="15" t="s">
        <v>155</v>
      </c>
      <c r="O14" s="15" t="s">
        <v>10</v>
      </c>
      <c r="P14" s="36">
        <v>2</v>
      </c>
      <c r="V14" s="36">
        <v>0</v>
      </c>
      <c r="W14" s="15" t="s">
        <v>456</v>
      </c>
      <c r="X14" s="15" t="s">
        <v>163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554</v>
      </c>
    </row>
    <row r="15" spans="1:31" x14ac:dyDescent="0.25">
      <c r="A15" s="15" t="s">
        <v>823</v>
      </c>
      <c r="B15" s="38">
        <v>43389</v>
      </c>
      <c r="C15" s="15" t="s">
        <v>508</v>
      </c>
      <c r="D15" s="15" t="s">
        <v>182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350</v>
      </c>
      <c r="L15" s="15" t="s">
        <v>15</v>
      </c>
      <c r="M15" s="15" t="s">
        <v>39</v>
      </c>
      <c r="N15" s="15" t="s">
        <v>34</v>
      </c>
      <c r="O15" s="15" t="s">
        <v>10</v>
      </c>
      <c r="P15" s="36">
        <v>1</v>
      </c>
      <c r="V15" s="36">
        <v>0</v>
      </c>
      <c r="W15" s="15" t="s">
        <v>456</v>
      </c>
      <c r="X15" s="15" t="s">
        <v>163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554</v>
      </c>
    </row>
    <row r="16" spans="1:31" x14ac:dyDescent="0.25">
      <c r="A16" s="15" t="s">
        <v>824</v>
      </c>
      <c r="B16" s="38">
        <v>43390</v>
      </c>
      <c r="C16" s="15" t="s">
        <v>508</v>
      </c>
      <c r="D16" s="15" t="s">
        <v>182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352</v>
      </c>
      <c r="L16" s="15" t="s">
        <v>123</v>
      </c>
      <c r="M16" s="15" t="s">
        <v>39</v>
      </c>
      <c r="N16" s="15" t="s">
        <v>140</v>
      </c>
      <c r="O16" s="15" t="s">
        <v>10</v>
      </c>
      <c r="P16" s="36">
        <v>1</v>
      </c>
      <c r="V16" s="36">
        <v>0</v>
      </c>
      <c r="W16" s="15" t="s">
        <v>456</v>
      </c>
      <c r="X16" s="15" t="s">
        <v>163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554</v>
      </c>
    </row>
    <row r="17" spans="1:31" x14ac:dyDescent="0.25">
      <c r="A17" s="15" t="s">
        <v>825</v>
      </c>
      <c r="B17" s="38">
        <v>43391</v>
      </c>
      <c r="C17" s="15" t="s">
        <v>508</v>
      </c>
      <c r="D17" s="15" t="s">
        <v>182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354</v>
      </c>
      <c r="L17" s="15" t="s">
        <v>129</v>
      </c>
      <c r="M17" s="15" t="s">
        <v>39</v>
      </c>
      <c r="N17" s="15" t="s">
        <v>155</v>
      </c>
      <c r="O17" s="15" t="s">
        <v>10</v>
      </c>
      <c r="P17" s="36">
        <v>2</v>
      </c>
      <c r="V17" s="36">
        <v>0</v>
      </c>
      <c r="W17" s="15" t="s">
        <v>456</v>
      </c>
      <c r="X17" s="15" t="s">
        <v>163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554</v>
      </c>
    </row>
    <row r="18" spans="1:31" x14ac:dyDescent="0.25">
      <c r="A18" s="15" t="s">
        <v>826</v>
      </c>
      <c r="B18" s="38">
        <v>43392</v>
      </c>
      <c r="C18" s="15" t="s">
        <v>508</v>
      </c>
      <c r="D18" s="15" t="s">
        <v>182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356</v>
      </c>
      <c r="L18" s="15" t="s">
        <v>132</v>
      </c>
      <c r="M18" s="15" t="s">
        <v>39</v>
      </c>
      <c r="N18" s="15" t="s">
        <v>134</v>
      </c>
      <c r="O18" s="15" t="s">
        <v>10</v>
      </c>
      <c r="P18" s="36">
        <v>2</v>
      </c>
      <c r="V18" s="36">
        <v>0</v>
      </c>
      <c r="W18" s="15" t="s">
        <v>456</v>
      </c>
      <c r="X18" s="15" t="s">
        <v>163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554</v>
      </c>
    </row>
    <row r="19" spans="1:31" x14ac:dyDescent="0.25">
      <c r="A19" s="15" t="s">
        <v>827</v>
      </c>
      <c r="B19" s="38">
        <v>43395</v>
      </c>
      <c r="C19" s="15" t="s">
        <v>508</v>
      </c>
      <c r="D19" s="15" t="s">
        <v>182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358</v>
      </c>
      <c r="L19" s="15" t="s">
        <v>135</v>
      </c>
      <c r="M19" s="15" t="s">
        <v>39</v>
      </c>
      <c r="N19" s="15" t="s">
        <v>34</v>
      </c>
      <c r="O19" s="15" t="s">
        <v>10</v>
      </c>
      <c r="P19" s="36">
        <v>1</v>
      </c>
      <c r="V19" s="36">
        <v>0</v>
      </c>
      <c r="W19" s="15" t="s">
        <v>457</v>
      </c>
      <c r="X19" s="15" t="s">
        <v>164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554</v>
      </c>
    </row>
    <row r="20" spans="1:31" x14ac:dyDescent="0.25">
      <c r="A20" s="15" t="s">
        <v>828</v>
      </c>
      <c r="B20" s="38">
        <v>43396</v>
      </c>
      <c r="C20" s="15" t="s">
        <v>508</v>
      </c>
      <c r="D20" s="15" t="s">
        <v>182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360</v>
      </c>
      <c r="L20" s="15" t="s">
        <v>138</v>
      </c>
      <c r="M20" s="15" t="s">
        <v>39</v>
      </c>
      <c r="N20" s="15" t="s">
        <v>140</v>
      </c>
      <c r="O20" s="15" t="s">
        <v>10</v>
      </c>
      <c r="P20" s="36">
        <v>1</v>
      </c>
      <c r="V20" s="36">
        <v>0</v>
      </c>
      <c r="W20" s="15" t="s">
        <v>457</v>
      </c>
      <c r="X20" s="15" t="s">
        <v>164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554</v>
      </c>
    </row>
    <row r="21" spans="1:31" x14ac:dyDescent="0.25">
      <c r="A21" s="15" t="s">
        <v>829</v>
      </c>
      <c r="B21" s="38">
        <v>43397</v>
      </c>
      <c r="C21" s="15" t="s">
        <v>508</v>
      </c>
      <c r="D21" s="15" t="s">
        <v>182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362</v>
      </c>
      <c r="L21" s="15" t="s">
        <v>42</v>
      </c>
      <c r="M21" s="15" t="s">
        <v>39</v>
      </c>
      <c r="N21" s="15" t="s">
        <v>125</v>
      </c>
      <c r="O21" s="15" t="s">
        <v>10</v>
      </c>
      <c r="P21" s="36">
        <v>25</v>
      </c>
      <c r="V21" s="36">
        <v>0</v>
      </c>
      <c r="W21" s="15" t="s">
        <v>457</v>
      </c>
      <c r="X21" s="15" t="s">
        <v>164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554</v>
      </c>
    </row>
    <row r="22" spans="1:31" x14ac:dyDescent="0.25">
      <c r="A22" s="15" t="s">
        <v>830</v>
      </c>
      <c r="B22" s="38">
        <v>43398</v>
      </c>
      <c r="C22" s="15" t="s">
        <v>508</v>
      </c>
      <c r="D22" s="15" t="s">
        <v>182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364</v>
      </c>
      <c r="L22" s="15" t="s">
        <v>59</v>
      </c>
      <c r="M22" s="15" t="s">
        <v>39</v>
      </c>
      <c r="N22" s="15" t="s">
        <v>40</v>
      </c>
      <c r="O22" s="15" t="s">
        <v>10</v>
      </c>
      <c r="P22" s="36">
        <v>0.5</v>
      </c>
      <c r="V22" s="36">
        <v>0</v>
      </c>
      <c r="W22" s="15" t="s">
        <v>457</v>
      </c>
      <c r="X22" s="15" t="s">
        <v>164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554</v>
      </c>
    </row>
    <row r="23" spans="1:31" x14ac:dyDescent="0.25">
      <c r="A23" s="15" t="s">
        <v>831</v>
      </c>
      <c r="B23" s="38">
        <v>43399</v>
      </c>
      <c r="C23" s="15" t="s">
        <v>508</v>
      </c>
      <c r="D23" s="15" t="s">
        <v>182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364</v>
      </c>
      <c r="L23" s="15" t="s">
        <v>59</v>
      </c>
      <c r="M23" s="15" t="s">
        <v>39</v>
      </c>
      <c r="N23" s="15" t="s">
        <v>40</v>
      </c>
      <c r="O23" s="15" t="s">
        <v>10</v>
      </c>
      <c r="P23" s="36">
        <v>0.5</v>
      </c>
      <c r="V23" s="36">
        <v>0</v>
      </c>
      <c r="W23" s="15" t="s">
        <v>457</v>
      </c>
      <c r="X23" s="15" t="s">
        <v>164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554</v>
      </c>
    </row>
    <row r="24" spans="1:31" x14ac:dyDescent="0.25">
      <c r="A24" s="15" t="s">
        <v>832</v>
      </c>
      <c r="B24" s="38">
        <v>43402</v>
      </c>
      <c r="C24" s="15" t="s">
        <v>508</v>
      </c>
      <c r="D24" s="15" t="s">
        <v>182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366</v>
      </c>
      <c r="L24" s="15" t="s">
        <v>153</v>
      </c>
      <c r="M24" s="15" t="s">
        <v>39</v>
      </c>
      <c r="N24" s="15" t="s">
        <v>131</v>
      </c>
      <c r="O24" s="15" t="s">
        <v>10</v>
      </c>
      <c r="P24" s="36">
        <v>5</v>
      </c>
      <c r="V24" s="36">
        <v>0</v>
      </c>
      <c r="W24" s="15" t="s">
        <v>459</v>
      </c>
      <c r="X24" s="15" t="s">
        <v>165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554</v>
      </c>
    </row>
    <row r="25" spans="1:31" x14ac:dyDescent="0.25">
      <c r="A25" s="15" t="s">
        <v>833</v>
      </c>
      <c r="B25" s="38">
        <v>43403</v>
      </c>
      <c r="C25" s="15" t="s">
        <v>508</v>
      </c>
      <c r="D25" s="15" t="s">
        <v>182</v>
      </c>
      <c r="E25" s="15" t="s">
        <v>272</v>
      </c>
      <c r="F25" s="15" t="s">
        <v>104</v>
      </c>
      <c r="G25" s="15" t="s">
        <v>39</v>
      </c>
      <c r="H25" s="15" t="s">
        <v>99</v>
      </c>
      <c r="I25" s="15" t="s">
        <v>10</v>
      </c>
      <c r="J25" s="36">
        <v>1</v>
      </c>
      <c r="K25" s="15" t="s">
        <v>368</v>
      </c>
      <c r="L25" s="15" t="s">
        <v>156</v>
      </c>
      <c r="M25" s="15" t="s">
        <v>39</v>
      </c>
      <c r="N25" s="15" t="s">
        <v>131</v>
      </c>
      <c r="O25" s="15" t="s">
        <v>10</v>
      </c>
      <c r="P25" s="36">
        <v>5</v>
      </c>
      <c r="V25" s="36">
        <v>0</v>
      </c>
      <c r="W25" s="15" t="s">
        <v>459</v>
      </c>
      <c r="X25" s="15" t="s">
        <v>165</v>
      </c>
      <c r="Y25" s="15" t="s">
        <v>39</v>
      </c>
      <c r="Z25" s="15" t="s">
        <v>63</v>
      </c>
      <c r="AA25" s="15" t="s">
        <v>10</v>
      </c>
      <c r="AB25" s="36">
        <v>100</v>
      </c>
      <c r="AE25" s="15" t="s">
        <v>554</v>
      </c>
    </row>
    <row r="26" spans="1:31" x14ac:dyDescent="0.25">
      <c r="A26" s="15" t="s">
        <v>834</v>
      </c>
      <c r="B26" s="38">
        <v>43404</v>
      </c>
      <c r="C26" s="15" t="s">
        <v>508</v>
      </c>
      <c r="D26" s="15" t="s">
        <v>182</v>
      </c>
      <c r="E26" s="15" t="s">
        <v>272</v>
      </c>
      <c r="F26" s="15" t="s">
        <v>104</v>
      </c>
      <c r="G26" s="15" t="s">
        <v>39</v>
      </c>
      <c r="H26" s="15" t="s">
        <v>99</v>
      </c>
      <c r="I26" s="15" t="s">
        <v>10</v>
      </c>
      <c r="J26" s="36">
        <v>1</v>
      </c>
      <c r="K26" s="15" t="s">
        <v>370</v>
      </c>
      <c r="L26" s="15" t="s">
        <v>71</v>
      </c>
      <c r="M26" s="15" t="s">
        <v>39</v>
      </c>
      <c r="N26" s="15" t="s">
        <v>140</v>
      </c>
      <c r="O26" s="15" t="s">
        <v>10</v>
      </c>
      <c r="P26" s="36">
        <v>1</v>
      </c>
      <c r="V26" s="36">
        <v>0</v>
      </c>
      <c r="W26" s="15" t="s">
        <v>459</v>
      </c>
      <c r="X26" s="15" t="s">
        <v>165</v>
      </c>
      <c r="Y26" s="15" t="s">
        <v>39</v>
      </c>
      <c r="Z26" s="15" t="s">
        <v>63</v>
      </c>
      <c r="AA26" s="15" t="s">
        <v>10</v>
      </c>
      <c r="AB26" s="36">
        <v>100</v>
      </c>
      <c r="AE26" s="15" t="s">
        <v>554</v>
      </c>
    </row>
    <row r="27" spans="1:31" x14ac:dyDescent="0.25">
      <c r="A27" s="15" t="s">
        <v>1162</v>
      </c>
      <c r="B27" s="38">
        <v>43374</v>
      </c>
      <c r="C27" s="15" t="s">
        <v>508</v>
      </c>
      <c r="D27" s="15" t="s">
        <v>182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275</v>
      </c>
      <c r="L27" s="15" t="s">
        <v>16</v>
      </c>
      <c r="M27" s="15" t="s">
        <v>51</v>
      </c>
      <c r="N27" s="15" t="s">
        <v>40</v>
      </c>
      <c r="O27" s="15" t="s">
        <v>18</v>
      </c>
      <c r="P27" s="36">
        <v>0.5</v>
      </c>
      <c r="V27" s="36">
        <v>0</v>
      </c>
      <c r="W27" s="15" t="s">
        <v>434</v>
      </c>
      <c r="X27" s="15" t="s">
        <v>136</v>
      </c>
      <c r="Y27" s="15" t="s">
        <v>51</v>
      </c>
      <c r="Z27" s="15" t="s">
        <v>40</v>
      </c>
      <c r="AA27" s="15" t="s">
        <v>18</v>
      </c>
      <c r="AB27" s="36">
        <v>0.5</v>
      </c>
      <c r="AE27" s="15" t="s">
        <v>566</v>
      </c>
    </row>
    <row r="28" spans="1:31" x14ac:dyDescent="0.25">
      <c r="A28" s="15" t="s">
        <v>1163</v>
      </c>
      <c r="B28" s="38">
        <v>43375</v>
      </c>
      <c r="C28" s="15" t="s">
        <v>508</v>
      </c>
      <c r="D28" s="15" t="s">
        <v>182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275</v>
      </c>
      <c r="L28" s="15" t="s">
        <v>16</v>
      </c>
      <c r="M28" s="15" t="s">
        <v>51</v>
      </c>
      <c r="N28" s="15" t="s">
        <v>40</v>
      </c>
      <c r="O28" s="15" t="s">
        <v>18</v>
      </c>
      <c r="P28" s="36">
        <v>0.5</v>
      </c>
      <c r="V28" s="36">
        <v>0</v>
      </c>
      <c r="W28" s="15" t="s">
        <v>434</v>
      </c>
      <c r="X28" s="15" t="s">
        <v>136</v>
      </c>
      <c r="Y28" s="15" t="s">
        <v>51</v>
      </c>
      <c r="Z28" s="15" t="s">
        <v>40</v>
      </c>
      <c r="AA28" s="15" t="s">
        <v>18</v>
      </c>
      <c r="AB28" s="36">
        <v>0.5</v>
      </c>
      <c r="AE28" s="15" t="s">
        <v>566</v>
      </c>
    </row>
    <row r="29" spans="1:31" x14ac:dyDescent="0.25">
      <c r="A29" s="15" t="s">
        <v>1164</v>
      </c>
      <c r="B29" s="38">
        <v>43376</v>
      </c>
      <c r="C29" s="15" t="s">
        <v>508</v>
      </c>
      <c r="D29" s="15" t="s">
        <v>182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312</v>
      </c>
      <c r="L29" s="15" t="s">
        <v>109</v>
      </c>
      <c r="M29" s="15" t="s">
        <v>56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426</v>
      </c>
      <c r="X29" s="15" t="s">
        <v>124</v>
      </c>
      <c r="Y29" s="15" t="s">
        <v>33</v>
      </c>
      <c r="Z29" s="15" t="s">
        <v>57</v>
      </c>
      <c r="AA29" s="15" t="s">
        <v>18</v>
      </c>
      <c r="AB29" s="36">
        <v>134</v>
      </c>
      <c r="AE29" s="15" t="s">
        <v>566</v>
      </c>
    </row>
    <row r="30" spans="1:31" x14ac:dyDescent="0.25">
      <c r="A30" s="15" t="s">
        <v>1165</v>
      </c>
      <c r="B30" s="38">
        <v>43377</v>
      </c>
      <c r="C30" s="15" t="s">
        <v>508</v>
      </c>
      <c r="D30" s="15" t="s">
        <v>182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312</v>
      </c>
      <c r="L30" s="15" t="s">
        <v>109</v>
      </c>
      <c r="M30" s="15" t="s">
        <v>56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416</v>
      </c>
      <c r="X30" s="15" t="s">
        <v>106</v>
      </c>
      <c r="Y30" s="15" t="s">
        <v>33</v>
      </c>
      <c r="Z30" s="15" t="s">
        <v>40</v>
      </c>
      <c r="AA30" s="15" t="s">
        <v>18</v>
      </c>
      <c r="AB30" s="36">
        <v>1</v>
      </c>
      <c r="AE30" s="15" t="s">
        <v>566</v>
      </c>
    </row>
    <row r="31" spans="1:31" x14ac:dyDescent="0.25">
      <c r="A31" s="15" t="s">
        <v>1166</v>
      </c>
      <c r="B31" s="38">
        <v>43378</v>
      </c>
      <c r="C31" s="15" t="s">
        <v>508</v>
      </c>
      <c r="D31" s="15" t="s">
        <v>182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318</v>
      </c>
      <c r="L31" s="15" t="s">
        <v>123</v>
      </c>
      <c r="M31" s="15" t="s">
        <v>80</v>
      </c>
      <c r="N31" s="15" t="s">
        <v>140</v>
      </c>
      <c r="O31" s="15" t="s">
        <v>18</v>
      </c>
      <c r="P31" s="36">
        <v>1</v>
      </c>
      <c r="V31" s="36">
        <v>0</v>
      </c>
      <c r="W31" s="15" t="s">
        <v>426</v>
      </c>
      <c r="X31" s="15" t="s">
        <v>124</v>
      </c>
      <c r="Y31" s="15" t="s">
        <v>33</v>
      </c>
      <c r="Z31" s="15" t="s">
        <v>57</v>
      </c>
      <c r="AA31" s="15" t="s">
        <v>18</v>
      </c>
      <c r="AB31" s="36">
        <v>133</v>
      </c>
      <c r="AE31" s="15" t="s">
        <v>566</v>
      </c>
    </row>
    <row r="32" spans="1:31" x14ac:dyDescent="0.25">
      <c r="A32" s="15" t="s">
        <v>1167</v>
      </c>
      <c r="B32" s="38">
        <v>43379</v>
      </c>
      <c r="C32" s="15" t="s">
        <v>508</v>
      </c>
      <c r="D32" s="15" t="s">
        <v>182</v>
      </c>
      <c r="E32" s="15" t="s">
        <v>228</v>
      </c>
      <c r="F32" s="15" t="s">
        <v>22</v>
      </c>
      <c r="G32" s="15" t="s">
        <v>68</v>
      </c>
      <c r="H32" s="15" t="s">
        <v>152</v>
      </c>
      <c r="I32" s="15" t="s">
        <v>18</v>
      </c>
      <c r="J32" s="36">
        <v>8</v>
      </c>
      <c r="K32" s="15" t="s">
        <v>342</v>
      </c>
      <c r="L32" s="15" t="s">
        <v>158</v>
      </c>
      <c r="M32" s="15" t="s">
        <v>74</v>
      </c>
      <c r="N32" s="15" t="s">
        <v>131</v>
      </c>
      <c r="O32" s="15" t="s">
        <v>18</v>
      </c>
      <c r="P32" s="36">
        <v>10</v>
      </c>
      <c r="V32" s="36">
        <v>0</v>
      </c>
      <c r="W32" s="15" t="s">
        <v>418</v>
      </c>
      <c r="X32" s="15" t="s">
        <v>110</v>
      </c>
      <c r="Y32" s="15" t="s">
        <v>33</v>
      </c>
      <c r="Z32" s="15" t="s">
        <v>128</v>
      </c>
      <c r="AA32" s="15" t="s">
        <v>18</v>
      </c>
      <c r="AB32" s="36">
        <v>3</v>
      </c>
      <c r="AE32" s="15" t="s">
        <v>566</v>
      </c>
    </row>
    <row r="33" spans="1:31" x14ac:dyDescent="0.25">
      <c r="A33" s="15" t="s">
        <v>1168</v>
      </c>
      <c r="B33" s="38">
        <v>43380</v>
      </c>
      <c r="C33" s="15" t="s">
        <v>508</v>
      </c>
      <c r="D33" s="15" t="s">
        <v>182</v>
      </c>
      <c r="E33" s="15" t="s">
        <v>228</v>
      </c>
      <c r="F33" s="15" t="s">
        <v>22</v>
      </c>
      <c r="G33" s="15" t="s">
        <v>68</v>
      </c>
      <c r="H33" s="15" t="s">
        <v>152</v>
      </c>
      <c r="I33" s="15" t="s">
        <v>18</v>
      </c>
      <c r="J33" s="36">
        <v>8</v>
      </c>
      <c r="K33" s="15" t="s">
        <v>346</v>
      </c>
      <c r="L33" s="15" t="s">
        <v>162</v>
      </c>
      <c r="M33" s="15" t="s">
        <v>12</v>
      </c>
      <c r="N33" s="15" t="s">
        <v>121</v>
      </c>
      <c r="O33" s="15" t="s">
        <v>18</v>
      </c>
      <c r="P33" s="36">
        <v>20</v>
      </c>
      <c r="Q33" s="15" t="s">
        <v>274</v>
      </c>
      <c r="R33" s="15" t="s">
        <v>15</v>
      </c>
      <c r="S33" s="15" t="s">
        <v>27</v>
      </c>
      <c r="T33" s="15" t="s">
        <v>13</v>
      </c>
      <c r="U33" s="15" t="s">
        <v>18</v>
      </c>
      <c r="V33" s="36">
        <v>1</v>
      </c>
      <c r="W33" s="15" t="s">
        <v>426</v>
      </c>
      <c r="X33" s="15" t="s">
        <v>124</v>
      </c>
      <c r="Y33" s="15" t="s">
        <v>33</v>
      </c>
      <c r="Z33" s="15" t="s">
        <v>57</v>
      </c>
      <c r="AA33" s="15" t="s">
        <v>18</v>
      </c>
      <c r="AB33" s="36">
        <v>133</v>
      </c>
      <c r="AE33" s="15" t="s">
        <v>566</v>
      </c>
    </row>
    <row r="34" spans="1:31" x14ac:dyDescent="0.25">
      <c r="A34" s="15" t="s">
        <v>1169</v>
      </c>
      <c r="B34" s="38">
        <v>43381</v>
      </c>
      <c r="C34" s="15" t="s">
        <v>508</v>
      </c>
      <c r="D34" s="15" t="s">
        <v>182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278</v>
      </c>
      <c r="L34" s="15" t="s">
        <v>23</v>
      </c>
      <c r="M34" s="15" t="s">
        <v>51</v>
      </c>
      <c r="N34" s="15" t="s">
        <v>40</v>
      </c>
      <c r="O34" s="15" t="s">
        <v>18</v>
      </c>
      <c r="P34" s="36">
        <v>0.5</v>
      </c>
      <c r="V34" s="36">
        <v>0</v>
      </c>
      <c r="W34" s="15" t="s">
        <v>436</v>
      </c>
      <c r="X34" s="15" t="s">
        <v>139</v>
      </c>
      <c r="Y34" s="15" t="s">
        <v>51</v>
      </c>
      <c r="Z34" s="15" t="s">
        <v>40</v>
      </c>
      <c r="AA34" s="15" t="s">
        <v>18</v>
      </c>
      <c r="AB34" s="36">
        <v>0.5</v>
      </c>
      <c r="AE34" s="15" t="s">
        <v>566</v>
      </c>
    </row>
    <row r="35" spans="1:31" x14ac:dyDescent="0.25">
      <c r="A35" s="15" t="s">
        <v>1170</v>
      </c>
      <c r="B35" s="38">
        <v>43382</v>
      </c>
      <c r="C35" s="15" t="s">
        <v>508</v>
      </c>
      <c r="D35" s="15" t="s">
        <v>182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278</v>
      </c>
      <c r="L35" s="15" t="s">
        <v>23</v>
      </c>
      <c r="M35" s="15" t="s">
        <v>51</v>
      </c>
      <c r="N35" s="15" t="s">
        <v>40</v>
      </c>
      <c r="O35" s="15" t="s">
        <v>18</v>
      </c>
      <c r="P35" s="36">
        <v>0.5</v>
      </c>
      <c r="V35" s="36">
        <v>0</v>
      </c>
      <c r="W35" s="15" t="s">
        <v>436</v>
      </c>
      <c r="X35" s="15" t="s">
        <v>139</v>
      </c>
      <c r="Y35" s="15" t="s">
        <v>51</v>
      </c>
      <c r="Z35" s="15" t="s">
        <v>40</v>
      </c>
      <c r="AA35" s="15" t="s">
        <v>18</v>
      </c>
      <c r="AB35" s="36">
        <v>0.5</v>
      </c>
      <c r="AE35" s="15" t="s">
        <v>566</v>
      </c>
    </row>
    <row r="36" spans="1:31" x14ac:dyDescent="0.25">
      <c r="A36" s="15" t="s">
        <v>1171</v>
      </c>
      <c r="B36" s="38">
        <v>43383</v>
      </c>
      <c r="C36" s="15" t="s">
        <v>508</v>
      </c>
      <c r="D36" s="15" t="s">
        <v>182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314</v>
      </c>
      <c r="L36" s="15" t="s">
        <v>112</v>
      </c>
      <c r="M36" s="15" t="s">
        <v>56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418</v>
      </c>
      <c r="X36" s="15" t="s">
        <v>110</v>
      </c>
      <c r="Y36" s="15" t="s">
        <v>33</v>
      </c>
      <c r="Z36" s="15" t="s">
        <v>128</v>
      </c>
      <c r="AA36" s="15" t="s">
        <v>18</v>
      </c>
      <c r="AB36" s="36">
        <v>3</v>
      </c>
      <c r="AE36" s="15" t="s">
        <v>566</v>
      </c>
    </row>
    <row r="37" spans="1:31" x14ac:dyDescent="0.25">
      <c r="A37" s="15" t="s">
        <v>1172</v>
      </c>
      <c r="B37" s="38">
        <v>43384</v>
      </c>
      <c r="C37" s="15" t="s">
        <v>508</v>
      </c>
      <c r="D37" s="15" t="s">
        <v>182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314</v>
      </c>
      <c r="L37" s="15" t="s">
        <v>112</v>
      </c>
      <c r="M37" s="15" t="s">
        <v>56</v>
      </c>
      <c r="N37" s="15" t="s">
        <v>40</v>
      </c>
      <c r="O37" s="15" t="s">
        <v>18</v>
      </c>
      <c r="P37" s="36">
        <v>0.5</v>
      </c>
      <c r="V37" s="36">
        <v>0</v>
      </c>
      <c r="W37" s="15" t="s">
        <v>426</v>
      </c>
      <c r="X37" s="15" t="s">
        <v>124</v>
      </c>
      <c r="Y37" s="15" t="s">
        <v>33</v>
      </c>
      <c r="Z37" s="15" t="s">
        <v>57</v>
      </c>
      <c r="AA37" s="15" t="s">
        <v>18</v>
      </c>
      <c r="AB37" s="36">
        <v>134</v>
      </c>
      <c r="AE37" s="15" t="s">
        <v>566</v>
      </c>
    </row>
    <row r="38" spans="1:31" x14ac:dyDescent="0.25">
      <c r="A38" s="15" t="s">
        <v>1173</v>
      </c>
      <c r="B38" s="38">
        <v>43385</v>
      </c>
      <c r="C38" s="15" t="s">
        <v>508</v>
      </c>
      <c r="D38" s="15" t="s">
        <v>182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320</v>
      </c>
      <c r="L38" s="15" t="s">
        <v>126</v>
      </c>
      <c r="M38" s="15" t="s">
        <v>80</v>
      </c>
      <c r="N38" s="15" t="s">
        <v>140</v>
      </c>
      <c r="O38" s="15" t="s">
        <v>18</v>
      </c>
      <c r="P38" s="36">
        <v>1</v>
      </c>
      <c r="V38" s="36">
        <v>0</v>
      </c>
      <c r="W38" s="15" t="s">
        <v>420</v>
      </c>
      <c r="X38" s="15" t="s">
        <v>113</v>
      </c>
      <c r="Y38" s="15" t="s">
        <v>33</v>
      </c>
      <c r="Z38" s="15" t="s">
        <v>40</v>
      </c>
      <c r="AA38" s="15" t="s">
        <v>18</v>
      </c>
      <c r="AB38" s="36">
        <v>1</v>
      </c>
      <c r="AE38" s="15" t="s">
        <v>566</v>
      </c>
    </row>
    <row r="39" spans="1:31" x14ac:dyDescent="0.25">
      <c r="A39" s="15" t="s">
        <v>1174</v>
      </c>
      <c r="B39" s="38">
        <v>43386</v>
      </c>
      <c r="C39" s="15" t="s">
        <v>508</v>
      </c>
      <c r="D39" s="15" t="s">
        <v>182</v>
      </c>
      <c r="E39" s="15" t="s">
        <v>229</v>
      </c>
      <c r="F39" s="15" t="s">
        <v>29</v>
      </c>
      <c r="G39" s="15" t="s">
        <v>68</v>
      </c>
      <c r="H39" s="15" t="s">
        <v>140</v>
      </c>
      <c r="I39" s="15" t="s">
        <v>18</v>
      </c>
      <c r="J39" s="36">
        <v>2</v>
      </c>
      <c r="K39" s="15" t="s">
        <v>338</v>
      </c>
      <c r="L39" s="15" t="s">
        <v>153</v>
      </c>
      <c r="M39" s="15" t="s">
        <v>74</v>
      </c>
      <c r="N39" s="15" t="s">
        <v>131</v>
      </c>
      <c r="O39" s="15" t="s">
        <v>18</v>
      </c>
      <c r="P39" s="36">
        <v>1</v>
      </c>
      <c r="V39" s="36">
        <v>0</v>
      </c>
      <c r="W39" s="15" t="s">
        <v>426</v>
      </c>
      <c r="X39" s="15" t="s">
        <v>124</v>
      </c>
      <c r="Y39" s="15" t="s">
        <v>33</v>
      </c>
      <c r="Z39" s="15" t="s">
        <v>57</v>
      </c>
      <c r="AA39" s="15" t="s">
        <v>18</v>
      </c>
      <c r="AB39" s="36">
        <v>133</v>
      </c>
      <c r="AE39" s="15" t="s">
        <v>566</v>
      </c>
    </row>
    <row r="40" spans="1:31" x14ac:dyDescent="0.25">
      <c r="A40" s="15" t="s">
        <v>1175</v>
      </c>
      <c r="B40" s="38">
        <v>43387</v>
      </c>
      <c r="C40" s="15" t="s">
        <v>508</v>
      </c>
      <c r="D40" s="15" t="s">
        <v>182</v>
      </c>
      <c r="E40" s="15" t="s">
        <v>229</v>
      </c>
      <c r="F40" s="15" t="s">
        <v>29</v>
      </c>
      <c r="G40" s="15" t="s">
        <v>68</v>
      </c>
      <c r="H40" s="15" t="s">
        <v>140</v>
      </c>
      <c r="I40" s="15" t="s">
        <v>18</v>
      </c>
      <c r="J40" s="36">
        <v>2</v>
      </c>
      <c r="K40" s="15" t="s">
        <v>348</v>
      </c>
      <c r="L40" s="15" t="s">
        <v>53</v>
      </c>
      <c r="M40" s="15" t="s">
        <v>20</v>
      </c>
      <c r="N40" s="15" t="s">
        <v>40</v>
      </c>
      <c r="O40" s="15" t="s">
        <v>18</v>
      </c>
      <c r="P40" s="36">
        <v>1</v>
      </c>
      <c r="V40" s="36">
        <v>0</v>
      </c>
      <c r="W40" s="15" t="s">
        <v>420</v>
      </c>
      <c r="X40" s="15" t="s">
        <v>113</v>
      </c>
      <c r="Y40" s="15" t="s">
        <v>33</v>
      </c>
      <c r="Z40" s="15" t="s">
        <v>40</v>
      </c>
      <c r="AA40" s="15" t="s">
        <v>18</v>
      </c>
      <c r="AB40" s="36">
        <v>1</v>
      </c>
      <c r="AE40" s="15" t="s">
        <v>566</v>
      </c>
    </row>
    <row r="41" spans="1:31" x14ac:dyDescent="0.25">
      <c r="A41" s="15" t="s">
        <v>1176</v>
      </c>
      <c r="B41" s="38">
        <v>43388</v>
      </c>
      <c r="C41" s="15" t="s">
        <v>508</v>
      </c>
      <c r="D41" s="15" t="s">
        <v>182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279</v>
      </c>
      <c r="L41" s="15" t="s">
        <v>30</v>
      </c>
      <c r="M41" s="15" t="s">
        <v>51</v>
      </c>
      <c r="N41" s="15" t="s">
        <v>143</v>
      </c>
      <c r="O41" s="15" t="s">
        <v>18</v>
      </c>
      <c r="P41" s="36">
        <v>0.5</v>
      </c>
      <c r="V41" s="36">
        <v>0</v>
      </c>
      <c r="W41" s="15" t="s">
        <v>426</v>
      </c>
      <c r="X41" s="15" t="s">
        <v>124</v>
      </c>
      <c r="Y41" s="15" t="s">
        <v>33</v>
      </c>
      <c r="Z41" s="15" t="s">
        <v>57</v>
      </c>
      <c r="AA41" s="15" t="s">
        <v>18</v>
      </c>
      <c r="AB41" s="36">
        <v>133</v>
      </c>
      <c r="AE41" s="15" t="s">
        <v>566</v>
      </c>
    </row>
    <row r="42" spans="1:31" x14ac:dyDescent="0.25">
      <c r="A42" s="15" t="s">
        <v>1177</v>
      </c>
      <c r="B42" s="38">
        <v>43389</v>
      </c>
      <c r="C42" s="15" t="s">
        <v>508</v>
      </c>
      <c r="D42" s="15" t="s">
        <v>182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279</v>
      </c>
      <c r="L42" s="15" t="s">
        <v>30</v>
      </c>
      <c r="M42" s="15" t="s">
        <v>51</v>
      </c>
      <c r="N42" s="15" t="s">
        <v>143</v>
      </c>
      <c r="O42" s="15" t="s">
        <v>18</v>
      </c>
      <c r="P42" s="36">
        <v>0.5</v>
      </c>
      <c r="V42" s="36">
        <v>0</v>
      </c>
      <c r="W42" s="15" t="s">
        <v>422</v>
      </c>
      <c r="X42" s="15" t="s">
        <v>117</v>
      </c>
      <c r="Y42" s="15" t="s">
        <v>33</v>
      </c>
      <c r="Z42" s="15" t="s">
        <v>87</v>
      </c>
      <c r="AA42" s="15" t="s">
        <v>18</v>
      </c>
      <c r="AB42" s="36">
        <v>0.5</v>
      </c>
      <c r="AE42" s="15" t="s">
        <v>566</v>
      </c>
    </row>
    <row r="43" spans="1:31" x14ac:dyDescent="0.25">
      <c r="A43" s="15" t="s">
        <v>1178</v>
      </c>
      <c r="B43" s="38">
        <v>43390</v>
      </c>
      <c r="C43" s="15" t="s">
        <v>508</v>
      </c>
      <c r="D43" s="15" t="s">
        <v>182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316</v>
      </c>
      <c r="L43" s="15" t="s">
        <v>116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426</v>
      </c>
      <c r="X43" s="15" t="s">
        <v>124</v>
      </c>
      <c r="Y43" s="15" t="s">
        <v>33</v>
      </c>
      <c r="Z43" s="15" t="s">
        <v>57</v>
      </c>
      <c r="AA43" s="15" t="s">
        <v>18</v>
      </c>
      <c r="AB43" s="36">
        <v>134</v>
      </c>
      <c r="AE43" s="15" t="s">
        <v>566</v>
      </c>
    </row>
    <row r="44" spans="1:31" x14ac:dyDescent="0.25">
      <c r="A44" s="15" t="s">
        <v>1179</v>
      </c>
      <c r="B44" s="38">
        <v>43391</v>
      </c>
      <c r="C44" s="15" t="s">
        <v>508</v>
      </c>
      <c r="D44" s="15" t="s">
        <v>182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316</v>
      </c>
      <c r="L44" s="15" t="s">
        <v>116</v>
      </c>
      <c r="M44" s="15" t="s">
        <v>56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422</v>
      </c>
      <c r="X44" s="15" t="s">
        <v>117</v>
      </c>
      <c r="Y44" s="15" t="s">
        <v>33</v>
      </c>
      <c r="Z44" s="15" t="s">
        <v>87</v>
      </c>
      <c r="AA44" s="15" t="s">
        <v>18</v>
      </c>
      <c r="AB44" s="36">
        <v>0.5</v>
      </c>
      <c r="AE44" s="15" t="s">
        <v>566</v>
      </c>
    </row>
    <row r="45" spans="1:31" x14ac:dyDescent="0.25">
      <c r="A45" s="15" t="s">
        <v>1180</v>
      </c>
      <c r="B45" s="38">
        <v>43392</v>
      </c>
      <c r="C45" s="15" t="s">
        <v>508</v>
      </c>
      <c r="D45" s="15" t="s">
        <v>182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322</v>
      </c>
      <c r="L45" s="15" t="s">
        <v>129</v>
      </c>
      <c r="M45" s="15" t="s">
        <v>80</v>
      </c>
      <c r="N45" s="15" t="s">
        <v>155</v>
      </c>
      <c r="O45" s="15" t="s">
        <v>18</v>
      </c>
      <c r="P45" s="36">
        <v>2</v>
      </c>
      <c r="V45" s="36">
        <v>0</v>
      </c>
      <c r="W45" s="15" t="s">
        <v>426</v>
      </c>
      <c r="X45" s="15" t="s">
        <v>124</v>
      </c>
      <c r="Y45" s="15" t="s">
        <v>33</v>
      </c>
      <c r="Z45" s="15" t="s">
        <v>57</v>
      </c>
      <c r="AA45" s="15" t="s">
        <v>18</v>
      </c>
      <c r="AB45" s="36">
        <v>133</v>
      </c>
      <c r="AE45" s="15" t="s">
        <v>566</v>
      </c>
    </row>
    <row r="46" spans="1:31" x14ac:dyDescent="0.25">
      <c r="A46" s="15" t="s">
        <v>1181</v>
      </c>
      <c r="B46" s="38">
        <v>43393</v>
      </c>
      <c r="C46" s="15" t="s">
        <v>508</v>
      </c>
      <c r="D46" s="15" t="s">
        <v>182</v>
      </c>
      <c r="E46" s="15" t="s">
        <v>230</v>
      </c>
      <c r="F46" s="15" t="s">
        <v>35</v>
      </c>
      <c r="G46" s="15" t="s">
        <v>68</v>
      </c>
      <c r="H46" s="15" t="s">
        <v>140</v>
      </c>
      <c r="I46" s="15" t="s">
        <v>18</v>
      </c>
      <c r="J46" s="36">
        <v>2</v>
      </c>
      <c r="K46" s="15" t="s">
        <v>340</v>
      </c>
      <c r="L46" s="15" t="s">
        <v>156</v>
      </c>
      <c r="M46" s="15" t="s">
        <v>74</v>
      </c>
      <c r="N46" s="15" t="s">
        <v>131</v>
      </c>
      <c r="O46" s="15" t="s">
        <v>18</v>
      </c>
      <c r="P46" s="36">
        <v>10</v>
      </c>
      <c r="V46" s="36">
        <v>0</v>
      </c>
      <c r="W46" s="15" t="s">
        <v>424</v>
      </c>
      <c r="X46" s="15" t="s">
        <v>120</v>
      </c>
      <c r="Y46" s="15" t="s">
        <v>33</v>
      </c>
      <c r="Z46" s="15" t="s">
        <v>91</v>
      </c>
      <c r="AA46" s="15" t="s">
        <v>18</v>
      </c>
      <c r="AB46" s="36">
        <v>0.5</v>
      </c>
      <c r="AE46" s="15" t="s">
        <v>566</v>
      </c>
    </row>
    <row r="47" spans="1:31" x14ac:dyDescent="0.25">
      <c r="A47" s="15" t="s">
        <v>1182</v>
      </c>
      <c r="B47" s="38">
        <v>43394</v>
      </c>
      <c r="C47" s="15" t="s">
        <v>508</v>
      </c>
      <c r="D47" s="15" t="s">
        <v>182</v>
      </c>
      <c r="E47" s="15" t="s">
        <v>230</v>
      </c>
      <c r="F47" s="15" t="s">
        <v>35</v>
      </c>
      <c r="G47" s="15" t="s">
        <v>68</v>
      </c>
      <c r="H47" s="15" t="s">
        <v>140</v>
      </c>
      <c r="I47" s="15" t="s">
        <v>18</v>
      </c>
      <c r="J47" s="36">
        <v>2</v>
      </c>
      <c r="K47" s="15" t="s">
        <v>344</v>
      </c>
      <c r="L47" s="15" t="s">
        <v>160</v>
      </c>
      <c r="M47" s="15" t="s">
        <v>20</v>
      </c>
      <c r="N47" s="15" t="s">
        <v>103</v>
      </c>
      <c r="O47" s="15" t="s">
        <v>18</v>
      </c>
      <c r="P47" s="36">
        <v>1</v>
      </c>
      <c r="V47" s="36">
        <v>0</v>
      </c>
      <c r="W47" s="15" t="s">
        <v>426</v>
      </c>
      <c r="X47" s="15" t="s">
        <v>124</v>
      </c>
      <c r="Y47" s="15" t="s">
        <v>33</v>
      </c>
      <c r="Z47" s="15" t="s">
        <v>57</v>
      </c>
      <c r="AA47" s="15" t="s">
        <v>18</v>
      </c>
      <c r="AB47" s="36">
        <v>133</v>
      </c>
      <c r="AE47" s="15" t="s">
        <v>566</v>
      </c>
    </row>
    <row r="48" spans="1:31" x14ac:dyDescent="0.25">
      <c r="A48" s="15" t="s">
        <v>1183</v>
      </c>
      <c r="B48" s="38">
        <v>43395</v>
      </c>
      <c r="C48" s="15" t="s">
        <v>508</v>
      </c>
      <c r="D48" s="15" t="s">
        <v>182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282</v>
      </c>
      <c r="L48" s="15" t="s">
        <v>36</v>
      </c>
      <c r="M48" s="15" t="s">
        <v>51</v>
      </c>
      <c r="N48" s="15" t="s">
        <v>40</v>
      </c>
      <c r="O48" s="15" t="s">
        <v>18</v>
      </c>
      <c r="P48" s="36">
        <v>0.5</v>
      </c>
      <c r="V48" s="36">
        <v>0</v>
      </c>
      <c r="W48" s="15" t="s">
        <v>424</v>
      </c>
      <c r="X48" s="15" t="s">
        <v>120</v>
      </c>
      <c r="Y48" s="15" t="s">
        <v>33</v>
      </c>
      <c r="Z48" s="15" t="s">
        <v>91</v>
      </c>
      <c r="AA48" s="15" t="s">
        <v>18</v>
      </c>
      <c r="AB48" s="36">
        <v>0.5</v>
      </c>
      <c r="AE48" s="15" t="s">
        <v>566</v>
      </c>
    </row>
    <row r="49" spans="1:31" x14ac:dyDescent="0.25">
      <c r="A49" s="15" t="s">
        <v>1184</v>
      </c>
      <c r="B49" s="38">
        <v>43396</v>
      </c>
      <c r="C49" s="15" t="s">
        <v>508</v>
      </c>
      <c r="D49" s="15" t="s">
        <v>182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282</v>
      </c>
      <c r="L49" s="15" t="s">
        <v>36</v>
      </c>
      <c r="M49" s="15" t="s">
        <v>51</v>
      </c>
      <c r="N49" s="15" t="s">
        <v>40</v>
      </c>
      <c r="O49" s="15" t="s">
        <v>18</v>
      </c>
      <c r="P49" s="36">
        <v>0.5</v>
      </c>
      <c r="V49" s="36">
        <v>0</v>
      </c>
      <c r="W49" s="15" t="s">
        <v>426</v>
      </c>
      <c r="X49" s="15" t="s">
        <v>124</v>
      </c>
      <c r="Y49" s="15" t="s">
        <v>33</v>
      </c>
      <c r="Z49" s="15" t="s">
        <v>57</v>
      </c>
      <c r="AA49" s="15" t="s">
        <v>18</v>
      </c>
      <c r="AB49" s="36">
        <v>134</v>
      </c>
      <c r="AE49" s="15" t="s">
        <v>566</v>
      </c>
    </row>
    <row r="50" spans="1:31" x14ac:dyDescent="0.25">
      <c r="A50" s="15" t="s">
        <v>1185</v>
      </c>
      <c r="B50" s="38">
        <v>43397</v>
      </c>
      <c r="C50" s="15" t="s">
        <v>508</v>
      </c>
      <c r="D50" s="15" t="s">
        <v>182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306</v>
      </c>
      <c r="L50" s="15" t="s">
        <v>97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428</v>
      </c>
      <c r="X50" s="15" t="s">
        <v>127</v>
      </c>
      <c r="Y50" s="15" t="s">
        <v>33</v>
      </c>
      <c r="Z50" s="15" t="s">
        <v>114</v>
      </c>
      <c r="AA50" s="15" t="s">
        <v>18</v>
      </c>
      <c r="AB50" s="36">
        <v>0.5</v>
      </c>
      <c r="AE50" s="15" t="s">
        <v>566</v>
      </c>
    </row>
    <row r="51" spans="1:31" x14ac:dyDescent="0.25">
      <c r="A51" s="15" t="s">
        <v>1186</v>
      </c>
      <c r="B51" s="38">
        <v>43398</v>
      </c>
      <c r="C51" s="15" t="s">
        <v>508</v>
      </c>
      <c r="D51" s="15" t="s">
        <v>182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306</v>
      </c>
      <c r="L51" s="15" t="s">
        <v>97</v>
      </c>
      <c r="M51" s="15" t="s">
        <v>56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426</v>
      </c>
      <c r="X51" s="15" t="s">
        <v>124</v>
      </c>
      <c r="Y51" s="15" t="s">
        <v>33</v>
      </c>
      <c r="Z51" s="15" t="s">
        <v>57</v>
      </c>
      <c r="AA51" s="15" t="s">
        <v>18</v>
      </c>
      <c r="AB51" s="36">
        <v>133</v>
      </c>
      <c r="AE51" s="15" t="s">
        <v>566</v>
      </c>
    </row>
    <row r="52" spans="1:31" x14ac:dyDescent="0.25">
      <c r="A52" s="15" t="s">
        <v>1187</v>
      </c>
      <c r="B52" s="38">
        <v>43399</v>
      </c>
      <c r="C52" s="15" t="s">
        <v>508</v>
      </c>
      <c r="D52" s="15" t="s">
        <v>182</v>
      </c>
      <c r="E52" s="15" t="s">
        <v>260</v>
      </c>
      <c r="F52" s="15" t="s">
        <v>104</v>
      </c>
      <c r="G52" s="15" t="s">
        <v>45</v>
      </c>
      <c r="H52" s="15" t="s">
        <v>99</v>
      </c>
      <c r="I52" s="15" t="s">
        <v>18</v>
      </c>
      <c r="J52" s="36">
        <v>1</v>
      </c>
      <c r="K52" s="15" t="s">
        <v>324</v>
      </c>
      <c r="L52" s="15" t="s">
        <v>132</v>
      </c>
      <c r="M52" s="15" t="s">
        <v>80</v>
      </c>
      <c r="N52" s="15" t="s">
        <v>134</v>
      </c>
      <c r="O52" s="15" t="s">
        <v>18</v>
      </c>
      <c r="P52" s="36">
        <v>1</v>
      </c>
      <c r="V52" s="36">
        <v>0</v>
      </c>
      <c r="W52" s="15" t="s">
        <v>428</v>
      </c>
      <c r="X52" s="15" t="s">
        <v>127</v>
      </c>
      <c r="Y52" s="15" t="s">
        <v>33</v>
      </c>
      <c r="Z52" s="15" t="s">
        <v>114</v>
      </c>
      <c r="AA52" s="15" t="s">
        <v>18</v>
      </c>
      <c r="AB52" s="36">
        <v>0.5</v>
      </c>
      <c r="AE52" s="15" t="s">
        <v>566</v>
      </c>
    </row>
    <row r="53" spans="1:31" x14ac:dyDescent="0.25">
      <c r="A53" s="15" t="s">
        <v>1188</v>
      </c>
      <c r="B53" s="38">
        <v>43400</v>
      </c>
      <c r="C53" s="15" t="s">
        <v>508</v>
      </c>
      <c r="D53" s="15" t="s">
        <v>182</v>
      </c>
      <c r="E53" s="15" t="s">
        <v>231</v>
      </c>
      <c r="F53" s="15" t="s">
        <v>41</v>
      </c>
      <c r="G53" s="15" t="s">
        <v>68</v>
      </c>
      <c r="H53" s="15" t="s">
        <v>152</v>
      </c>
      <c r="I53" s="15" t="s">
        <v>18</v>
      </c>
      <c r="J53" s="36">
        <v>8</v>
      </c>
      <c r="K53" s="15" t="s">
        <v>342</v>
      </c>
      <c r="L53" s="15" t="s">
        <v>158</v>
      </c>
      <c r="M53" s="15" t="s">
        <v>74</v>
      </c>
      <c r="N53" s="15" t="s">
        <v>131</v>
      </c>
      <c r="O53" s="15" t="s">
        <v>18</v>
      </c>
      <c r="P53" s="36">
        <v>10</v>
      </c>
      <c r="V53" s="36">
        <v>0</v>
      </c>
      <c r="W53" s="15" t="s">
        <v>426</v>
      </c>
      <c r="X53" s="15" t="s">
        <v>124</v>
      </c>
      <c r="Y53" s="15" t="s">
        <v>33</v>
      </c>
      <c r="Z53" s="15" t="s">
        <v>57</v>
      </c>
      <c r="AA53" s="15" t="s">
        <v>18</v>
      </c>
      <c r="AB53" s="36">
        <v>133</v>
      </c>
      <c r="AE53" s="15" t="s">
        <v>566</v>
      </c>
    </row>
    <row r="54" spans="1:31" x14ac:dyDescent="0.25">
      <c r="A54" s="15" t="s">
        <v>1189</v>
      </c>
      <c r="B54" s="38">
        <v>43401</v>
      </c>
      <c r="C54" s="15" t="s">
        <v>508</v>
      </c>
      <c r="D54" s="15" t="s">
        <v>182</v>
      </c>
      <c r="E54" s="15" t="s">
        <v>231</v>
      </c>
      <c r="F54" s="15" t="s">
        <v>41</v>
      </c>
      <c r="G54" s="15" t="s">
        <v>68</v>
      </c>
      <c r="H54" s="15" t="s">
        <v>152</v>
      </c>
      <c r="I54" s="15" t="s">
        <v>18</v>
      </c>
      <c r="J54" s="36">
        <v>8</v>
      </c>
      <c r="K54" s="15" t="s">
        <v>346</v>
      </c>
      <c r="L54" s="15" t="s">
        <v>162</v>
      </c>
      <c r="M54" s="15" t="s">
        <v>12</v>
      </c>
      <c r="N54" s="15" t="s">
        <v>121</v>
      </c>
      <c r="O54" s="15" t="s">
        <v>18</v>
      </c>
      <c r="P54" s="36">
        <v>20</v>
      </c>
      <c r="Q54" s="15" t="s">
        <v>274</v>
      </c>
      <c r="R54" s="15" t="s">
        <v>15</v>
      </c>
      <c r="S54" s="15" t="s">
        <v>27</v>
      </c>
      <c r="T54" s="15" t="s">
        <v>13</v>
      </c>
      <c r="U54" s="15" t="s">
        <v>18</v>
      </c>
      <c r="V54" s="36">
        <v>1</v>
      </c>
      <c r="W54" s="15" t="s">
        <v>430</v>
      </c>
      <c r="X54" s="15" t="s">
        <v>130</v>
      </c>
      <c r="Y54" s="15" t="s">
        <v>33</v>
      </c>
      <c r="Z54" s="15" t="s">
        <v>114</v>
      </c>
      <c r="AA54" s="15" t="s">
        <v>18</v>
      </c>
      <c r="AB54" s="36">
        <v>0.5</v>
      </c>
      <c r="AE54" s="15" t="s">
        <v>566</v>
      </c>
    </row>
    <row r="55" spans="1:31" x14ac:dyDescent="0.25">
      <c r="A55" s="15" t="s">
        <v>1190</v>
      </c>
      <c r="B55" s="38">
        <v>43402</v>
      </c>
      <c r="C55" s="15" t="s">
        <v>508</v>
      </c>
      <c r="D55" s="15" t="s">
        <v>182</v>
      </c>
      <c r="E55" s="15" t="s">
        <v>260</v>
      </c>
      <c r="F55" s="15" t="s">
        <v>104</v>
      </c>
      <c r="G55" s="15" t="s">
        <v>45</v>
      </c>
      <c r="H55" s="15" t="s">
        <v>99</v>
      </c>
      <c r="I55" s="15" t="s">
        <v>18</v>
      </c>
      <c r="J55" s="36">
        <v>1</v>
      </c>
      <c r="K55" s="15" t="s">
        <v>284</v>
      </c>
      <c r="L55" s="15" t="s">
        <v>42</v>
      </c>
      <c r="M55" s="15" t="s">
        <v>51</v>
      </c>
      <c r="N55" s="15" t="s">
        <v>125</v>
      </c>
      <c r="O55" s="15" t="s">
        <v>18</v>
      </c>
      <c r="P55" s="36">
        <v>25</v>
      </c>
      <c r="V55" s="36">
        <v>0</v>
      </c>
      <c r="W55" s="15" t="s">
        <v>426</v>
      </c>
      <c r="X55" s="15" t="s">
        <v>124</v>
      </c>
      <c r="Y55" s="15" t="s">
        <v>33</v>
      </c>
      <c r="Z55" s="15" t="s">
        <v>57</v>
      </c>
      <c r="AA55" s="15" t="s">
        <v>18</v>
      </c>
      <c r="AB55" s="36">
        <v>134</v>
      </c>
      <c r="AE55" s="15" t="s">
        <v>566</v>
      </c>
    </row>
    <row r="56" spans="1:31" x14ac:dyDescent="0.25">
      <c r="A56" s="15" t="s">
        <v>1191</v>
      </c>
      <c r="B56" s="38">
        <v>43403</v>
      </c>
      <c r="C56" s="15" t="s">
        <v>508</v>
      </c>
      <c r="D56" s="15" t="s">
        <v>182</v>
      </c>
      <c r="E56" s="15" t="s">
        <v>260</v>
      </c>
      <c r="F56" s="15" t="s">
        <v>104</v>
      </c>
      <c r="G56" s="15" t="s">
        <v>45</v>
      </c>
      <c r="H56" s="15" t="s">
        <v>99</v>
      </c>
      <c r="I56" s="15" t="s">
        <v>18</v>
      </c>
      <c r="J56" s="36">
        <v>1</v>
      </c>
      <c r="K56" s="15" t="s">
        <v>284</v>
      </c>
      <c r="L56" s="15" t="s">
        <v>42</v>
      </c>
      <c r="M56" s="15" t="s">
        <v>51</v>
      </c>
      <c r="N56" s="15" t="s">
        <v>125</v>
      </c>
      <c r="O56" s="15" t="s">
        <v>18</v>
      </c>
      <c r="P56" s="36">
        <v>25</v>
      </c>
      <c r="V56" s="36">
        <v>0</v>
      </c>
      <c r="W56" s="15" t="s">
        <v>430</v>
      </c>
      <c r="X56" s="15" t="s">
        <v>130</v>
      </c>
      <c r="Y56" s="15" t="s">
        <v>33</v>
      </c>
      <c r="Z56" s="15" t="s">
        <v>114</v>
      </c>
      <c r="AA56" s="15" t="s">
        <v>18</v>
      </c>
      <c r="AB56" s="36">
        <v>0.5</v>
      </c>
      <c r="AE56" s="15" t="s">
        <v>566</v>
      </c>
    </row>
    <row r="57" spans="1:31" x14ac:dyDescent="0.25">
      <c r="A57" s="15" t="s">
        <v>1192</v>
      </c>
      <c r="B57" s="38">
        <v>43404</v>
      </c>
      <c r="C57" s="15" t="s">
        <v>508</v>
      </c>
      <c r="D57" s="15" t="s">
        <v>182</v>
      </c>
      <c r="E57" s="15" t="s">
        <v>260</v>
      </c>
      <c r="F57" s="15" t="s">
        <v>104</v>
      </c>
      <c r="G57" s="15" t="s">
        <v>45</v>
      </c>
      <c r="H57" s="15" t="s">
        <v>99</v>
      </c>
      <c r="I57" s="15" t="s">
        <v>18</v>
      </c>
      <c r="J57" s="36">
        <v>1</v>
      </c>
      <c r="K57" s="15" t="s">
        <v>308</v>
      </c>
      <c r="L57" s="15" t="s">
        <v>101</v>
      </c>
      <c r="M57" s="15" t="s">
        <v>56</v>
      </c>
      <c r="N57" s="15" t="s">
        <v>40</v>
      </c>
      <c r="O57" s="15" t="s">
        <v>18</v>
      </c>
      <c r="P57" s="36">
        <v>0.5</v>
      </c>
      <c r="V57" s="36">
        <v>0</v>
      </c>
      <c r="W57" s="15" t="s">
        <v>426</v>
      </c>
      <c r="X57" s="15" t="s">
        <v>124</v>
      </c>
      <c r="Y57" s="15" t="s">
        <v>33</v>
      </c>
      <c r="Z57" s="15" t="s">
        <v>57</v>
      </c>
      <c r="AA57" s="15" t="s">
        <v>18</v>
      </c>
      <c r="AB57" s="36">
        <v>133</v>
      </c>
      <c r="AE57" s="15" t="s">
        <v>566</v>
      </c>
    </row>
    <row r="58" spans="1:31" x14ac:dyDescent="0.25">
      <c r="A58" s="15" t="s">
        <v>1333</v>
      </c>
      <c r="B58" s="38">
        <v>43379</v>
      </c>
      <c r="C58" s="15" t="s">
        <v>508</v>
      </c>
      <c r="D58" s="15" t="s">
        <v>182</v>
      </c>
      <c r="J58" s="36">
        <v>0</v>
      </c>
      <c r="P58" s="36">
        <v>0</v>
      </c>
      <c r="V58" s="36">
        <v>0</v>
      </c>
      <c r="W58" s="15" t="s">
        <v>448</v>
      </c>
      <c r="X58" s="15" t="s">
        <v>102</v>
      </c>
      <c r="Y58" s="15" t="s">
        <v>62</v>
      </c>
      <c r="Z58" s="15" t="s">
        <v>140</v>
      </c>
      <c r="AA58" s="15" t="s">
        <v>25</v>
      </c>
      <c r="AB58" s="36">
        <v>1</v>
      </c>
      <c r="AE58" s="15" t="s">
        <v>570</v>
      </c>
    </row>
    <row r="59" spans="1:31" x14ac:dyDescent="0.25">
      <c r="A59" s="15" t="s">
        <v>1334</v>
      </c>
      <c r="B59" s="38">
        <v>43380</v>
      </c>
      <c r="C59" s="15" t="s">
        <v>508</v>
      </c>
      <c r="D59" s="15" t="s">
        <v>182</v>
      </c>
      <c r="J59" s="36">
        <v>0</v>
      </c>
      <c r="P59" s="36">
        <v>0</v>
      </c>
      <c r="V59" s="36">
        <v>0</v>
      </c>
      <c r="W59" s="15" t="s">
        <v>450</v>
      </c>
      <c r="X59" s="15" t="s">
        <v>157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570</v>
      </c>
    </row>
    <row r="60" spans="1:31" x14ac:dyDescent="0.25">
      <c r="A60" s="15" t="s">
        <v>1335</v>
      </c>
      <c r="B60" s="38">
        <v>43386</v>
      </c>
      <c r="C60" s="15" t="s">
        <v>508</v>
      </c>
      <c r="D60" s="15" t="s">
        <v>182</v>
      </c>
      <c r="J60" s="36">
        <v>0</v>
      </c>
      <c r="P60" s="36">
        <v>0</v>
      </c>
      <c r="V60" s="36">
        <v>0</v>
      </c>
      <c r="W60" s="15" t="s">
        <v>452</v>
      </c>
      <c r="X60" s="15" t="s">
        <v>159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570</v>
      </c>
    </row>
    <row r="61" spans="1:31" x14ac:dyDescent="0.25">
      <c r="A61" s="15" t="s">
        <v>1336</v>
      </c>
      <c r="B61" s="38">
        <v>43387</v>
      </c>
      <c r="C61" s="15" t="s">
        <v>508</v>
      </c>
      <c r="D61" s="15" t="s">
        <v>182</v>
      </c>
      <c r="J61" s="36">
        <v>0</v>
      </c>
      <c r="P61" s="36">
        <v>0</v>
      </c>
      <c r="V61" s="36">
        <v>0</v>
      </c>
      <c r="W61" s="15" t="s">
        <v>440</v>
      </c>
      <c r="X61" s="15" t="s">
        <v>145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570</v>
      </c>
    </row>
    <row r="62" spans="1:31" x14ac:dyDescent="0.25">
      <c r="A62" s="15" t="s">
        <v>1337</v>
      </c>
      <c r="B62" s="38">
        <v>43393</v>
      </c>
      <c r="C62" s="15" t="s">
        <v>508</v>
      </c>
      <c r="D62" s="15" t="s">
        <v>182</v>
      </c>
      <c r="J62" s="36">
        <v>0</v>
      </c>
      <c r="P62" s="36">
        <v>0</v>
      </c>
      <c r="V62" s="36">
        <v>0</v>
      </c>
      <c r="W62" s="15" t="s">
        <v>442</v>
      </c>
      <c r="X62" s="15" t="s">
        <v>148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570</v>
      </c>
    </row>
    <row r="63" spans="1:31" x14ac:dyDescent="0.25">
      <c r="A63" s="15" t="s">
        <v>1338</v>
      </c>
      <c r="B63" s="38">
        <v>43394</v>
      </c>
      <c r="C63" s="15" t="s">
        <v>508</v>
      </c>
      <c r="D63" s="15" t="s">
        <v>182</v>
      </c>
      <c r="J63" s="36">
        <v>0</v>
      </c>
      <c r="P63" s="36">
        <v>0</v>
      </c>
      <c r="V63" s="36">
        <v>0</v>
      </c>
      <c r="W63" s="15" t="s">
        <v>444</v>
      </c>
      <c r="X63" s="15" t="s">
        <v>151</v>
      </c>
      <c r="Y63" s="15" t="s">
        <v>62</v>
      </c>
      <c r="Z63" s="15" t="s">
        <v>111</v>
      </c>
      <c r="AA63" s="15" t="s">
        <v>25</v>
      </c>
      <c r="AB63" s="36">
        <v>1</v>
      </c>
      <c r="AE63" s="15" t="s">
        <v>570</v>
      </c>
    </row>
    <row r="64" spans="1:31" x14ac:dyDescent="0.25">
      <c r="A64" s="15" t="s">
        <v>1339</v>
      </c>
      <c r="B64" s="38">
        <v>43400</v>
      </c>
      <c r="C64" s="15" t="s">
        <v>508</v>
      </c>
      <c r="D64" s="15" t="s">
        <v>182</v>
      </c>
      <c r="J64" s="36">
        <v>0</v>
      </c>
      <c r="P64" s="36">
        <v>0</v>
      </c>
      <c r="V64" s="36">
        <v>0</v>
      </c>
      <c r="W64" s="15" t="s">
        <v>446</v>
      </c>
      <c r="X64" s="15" t="s">
        <v>154</v>
      </c>
      <c r="Y64" s="15" t="s">
        <v>62</v>
      </c>
      <c r="Z64" s="15" t="s">
        <v>111</v>
      </c>
      <c r="AA64" s="15" t="s">
        <v>25</v>
      </c>
      <c r="AB64" s="36">
        <v>1</v>
      </c>
      <c r="AE64" s="15" t="s">
        <v>570</v>
      </c>
    </row>
    <row r="65" spans="1:31" x14ac:dyDescent="0.25">
      <c r="A65" s="15" t="s">
        <v>1340</v>
      </c>
      <c r="B65" s="38">
        <v>43401</v>
      </c>
      <c r="C65" s="15" t="s">
        <v>508</v>
      </c>
      <c r="D65" s="15" t="s">
        <v>182</v>
      </c>
      <c r="J65" s="36">
        <v>0</v>
      </c>
      <c r="P65" s="36">
        <v>0</v>
      </c>
      <c r="V65" s="36">
        <v>0</v>
      </c>
      <c r="W65" s="15" t="s">
        <v>448</v>
      </c>
      <c r="X65" s="15" t="s">
        <v>102</v>
      </c>
      <c r="Y65" s="15" t="s">
        <v>62</v>
      </c>
      <c r="Z65" s="15" t="s">
        <v>140</v>
      </c>
      <c r="AA65" s="15" t="s">
        <v>25</v>
      </c>
      <c r="AB65" s="36">
        <v>1</v>
      </c>
      <c r="AE65" s="15" t="s">
        <v>570</v>
      </c>
    </row>
  </sheetData>
  <mergeCells count="1">
    <mergeCell ref="A1:A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Novembre"/>
  <dimension ref="A1:AE63"/>
  <sheetViews>
    <sheetView topLeftCell="A37" workbookViewId="0">
      <selection activeCell="A37" sqref="A37"/>
    </sheetView>
  </sheetViews>
  <sheetFormatPr baseColWidth="10" defaultColWidth="11.07421875" defaultRowHeight="13.2" x14ac:dyDescent="0.25"/>
  <cols>
    <col min="1" max="1" width="11.07421875" style="15"/>
    <col min="2" max="2" width="17.15234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5.382812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0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4.4609375" style="15" bestFit="1" customWidth="1"/>
    <col min="25" max="25" width="13.921875" style="15" bestFit="1" customWidth="1"/>
    <col min="26" max="26" width="29.69140625" style="15" bestFit="1" customWidth="1"/>
    <col min="27" max="27" width="15.15234375" style="15" bestFit="1" customWidth="1"/>
    <col min="28" max="28" width="9.84375" style="36" customWidth="1"/>
    <col min="29" max="29" width="12.07421875" style="15" bestFit="1" customWidth="1"/>
    <col min="30" max="30" width="18.61328125" style="15" bestFit="1" customWidth="1"/>
    <col min="31" max="31" width="26.84375" style="15" bestFit="1" customWidth="1"/>
    <col min="32" max="16384" width="11.07421875" style="15"/>
  </cols>
  <sheetData>
    <row r="1" spans="1:31" ht="12.75" x14ac:dyDescent="0.2">
      <c r="A1" s="69" t="s">
        <v>575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2.75" x14ac:dyDescent="0.2">
      <c r="AA2" s="15">
        <v>0</v>
      </c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4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41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835</v>
      </c>
      <c r="B4" s="38">
        <v>43405</v>
      </c>
      <c r="C4" s="15" t="s">
        <v>510</v>
      </c>
      <c r="D4" s="15" t="s">
        <v>168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372</v>
      </c>
      <c r="L4" s="15" t="s">
        <v>77</v>
      </c>
      <c r="M4" s="15" t="s">
        <v>39</v>
      </c>
      <c r="N4" s="15" t="s">
        <v>140</v>
      </c>
      <c r="O4" s="15" t="s">
        <v>10</v>
      </c>
      <c r="P4" s="36">
        <v>1</v>
      </c>
      <c r="V4" s="36">
        <v>0</v>
      </c>
      <c r="W4" s="15" t="s">
        <v>459</v>
      </c>
      <c r="X4" s="15" t="s">
        <v>165</v>
      </c>
      <c r="Y4" s="15" t="s">
        <v>39</v>
      </c>
      <c r="Z4" s="15" t="s">
        <v>63</v>
      </c>
      <c r="AA4" s="15" t="s">
        <v>10</v>
      </c>
      <c r="AB4" s="36">
        <v>100</v>
      </c>
      <c r="AC4" s="15" t="s">
        <v>486</v>
      </c>
      <c r="AD4" s="15" t="s">
        <v>79</v>
      </c>
      <c r="AE4" s="15" t="s">
        <v>555</v>
      </c>
    </row>
    <row r="5" spans="1:31" x14ac:dyDescent="0.25">
      <c r="A5" s="15" t="s">
        <v>836</v>
      </c>
      <c r="B5" s="38">
        <v>43406</v>
      </c>
      <c r="C5" s="15" t="s">
        <v>510</v>
      </c>
      <c r="D5" s="15" t="s">
        <v>168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374</v>
      </c>
      <c r="L5" s="15" t="s">
        <v>83</v>
      </c>
      <c r="M5" s="15" t="s">
        <v>39</v>
      </c>
      <c r="N5" s="15" t="s">
        <v>125</v>
      </c>
      <c r="O5" s="15" t="s">
        <v>10</v>
      </c>
      <c r="P5" s="36">
        <v>25</v>
      </c>
      <c r="V5" s="36">
        <v>0</v>
      </c>
      <c r="W5" s="15" t="s">
        <v>459</v>
      </c>
      <c r="X5" s="15" t="s">
        <v>165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555</v>
      </c>
    </row>
    <row r="6" spans="1:31" x14ac:dyDescent="0.25">
      <c r="A6" s="15" t="s">
        <v>837</v>
      </c>
      <c r="B6" s="38">
        <v>43409</v>
      </c>
      <c r="C6" s="15" t="s">
        <v>510</v>
      </c>
      <c r="D6" s="15" t="s">
        <v>168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376</v>
      </c>
      <c r="L6" s="15" t="s">
        <v>141</v>
      </c>
      <c r="M6" s="15" t="s">
        <v>39</v>
      </c>
      <c r="N6" s="15" t="s">
        <v>224</v>
      </c>
      <c r="O6" s="15" t="s">
        <v>10</v>
      </c>
      <c r="P6" s="36">
        <v>0.5</v>
      </c>
      <c r="V6" s="36">
        <v>0</v>
      </c>
      <c r="W6" s="15" t="s">
        <v>462</v>
      </c>
      <c r="X6" s="15" t="s">
        <v>166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555</v>
      </c>
    </row>
    <row r="7" spans="1:31" x14ac:dyDescent="0.25">
      <c r="A7" s="15" t="s">
        <v>838</v>
      </c>
      <c r="B7" s="38">
        <v>43410</v>
      </c>
      <c r="C7" s="15" t="s">
        <v>510</v>
      </c>
      <c r="D7" s="15" t="s">
        <v>168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376</v>
      </c>
      <c r="L7" s="15" t="s">
        <v>141</v>
      </c>
      <c r="M7" s="15" t="s">
        <v>39</v>
      </c>
      <c r="N7" s="15" t="s">
        <v>224</v>
      </c>
      <c r="O7" s="15" t="s">
        <v>10</v>
      </c>
      <c r="P7" s="36">
        <v>0.5</v>
      </c>
      <c r="V7" s="36">
        <v>0</v>
      </c>
      <c r="W7" s="15" t="s">
        <v>462</v>
      </c>
      <c r="X7" s="15" t="s">
        <v>166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555</v>
      </c>
    </row>
    <row r="8" spans="1:31" x14ac:dyDescent="0.25">
      <c r="A8" s="15" t="s">
        <v>839</v>
      </c>
      <c r="B8" s="38">
        <v>43411</v>
      </c>
      <c r="C8" s="15" t="s">
        <v>510</v>
      </c>
      <c r="D8" s="15" t="s">
        <v>168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378</v>
      </c>
      <c r="L8" s="15" t="s">
        <v>93</v>
      </c>
      <c r="M8" s="15" t="s">
        <v>39</v>
      </c>
      <c r="N8" s="15" t="s">
        <v>125</v>
      </c>
      <c r="O8" s="15" t="s">
        <v>10</v>
      </c>
      <c r="P8" s="36">
        <v>25</v>
      </c>
      <c r="V8" s="36">
        <v>0</v>
      </c>
      <c r="W8" s="15" t="s">
        <v>462</v>
      </c>
      <c r="X8" s="15" t="s">
        <v>166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555</v>
      </c>
    </row>
    <row r="9" spans="1:31" x14ac:dyDescent="0.25">
      <c r="A9" s="15" t="s">
        <v>840</v>
      </c>
      <c r="B9" s="38">
        <v>43412</v>
      </c>
      <c r="C9" s="15" t="s">
        <v>510</v>
      </c>
      <c r="D9" s="15" t="s">
        <v>168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380</v>
      </c>
      <c r="L9" s="15" t="s">
        <v>144</v>
      </c>
      <c r="M9" s="15" t="s">
        <v>39</v>
      </c>
      <c r="N9" s="15" t="s">
        <v>149</v>
      </c>
      <c r="O9" s="15" t="s">
        <v>10</v>
      </c>
      <c r="P9" s="36">
        <v>1</v>
      </c>
      <c r="V9" s="36">
        <v>0</v>
      </c>
      <c r="W9" s="15" t="s">
        <v>462</v>
      </c>
      <c r="X9" s="15" t="s">
        <v>166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555</v>
      </c>
    </row>
    <row r="10" spans="1:31" x14ac:dyDescent="0.25">
      <c r="A10" s="15" t="s">
        <v>841</v>
      </c>
      <c r="B10" s="38">
        <v>43413</v>
      </c>
      <c r="C10" s="15" t="s">
        <v>510</v>
      </c>
      <c r="D10" s="15" t="s">
        <v>168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382</v>
      </c>
      <c r="L10" s="15" t="s">
        <v>150</v>
      </c>
      <c r="M10" s="15" t="s">
        <v>39</v>
      </c>
      <c r="N10" s="15" t="s">
        <v>155</v>
      </c>
      <c r="O10" s="15" t="s">
        <v>10</v>
      </c>
      <c r="P10" s="36">
        <v>2</v>
      </c>
      <c r="V10" s="36">
        <v>0</v>
      </c>
      <c r="W10" s="15" t="s">
        <v>462</v>
      </c>
      <c r="X10" s="15" t="s">
        <v>166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555</v>
      </c>
    </row>
    <row r="11" spans="1:31" x14ac:dyDescent="0.25">
      <c r="A11" s="15" t="s">
        <v>842</v>
      </c>
      <c r="B11" s="38">
        <v>43416</v>
      </c>
      <c r="C11" s="15" t="s">
        <v>510</v>
      </c>
      <c r="D11" s="15" t="s">
        <v>168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350</v>
      </c>
      <c r="L11" s="15" t="s">
        <v>15</v>
      </c>
      <c r="M11" s="15" t="s">
        <v>39</v>
      </c>
      <c r="N11" s="15" t="s">
        <v>34</v>
      </c>
      <c r="O11" s="15" t="s">
        <v>10</v>
      </c>
      <c r="P11" s="36">
        <v>1</v>
      </c>
      <c r="V11" s="36">
        <v>0</v>
      </c>
      <c r="W11" s="15" t="s">
        <v>454</v>
      </c>
      <c r="X11" s="15" t="s">
        <v>161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555</v>
      </c>
    </row>
    <row r="12" spans="1:31" x14ac:dyDescent="0.25">
      <c r="A12" s="15" t="s">
        <v>843</v>
      </c>
      <c r="B12" s="38">
        <v>43417</v>
      </c>
      <c r="C12" s="15" t="s">
        <v>510</v>
      </c>
      <c r="D12" s="15" t="s">
        <v>168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352</v>
      </c>
      <c r="L12" s="15" t="s">
        <v>123</v>
      </c>
      <c r="M12" s="15" t="s">
        <v>39</v>
      </c>
      <c r="N12" s="15" t="s">
        <v>140</v>
      </c>
      <c r="O12" s="15" t="s">
        <v>10</v>
      </c>
      <c r="P12" s="36">
        <v>1</v>
      </c>
      <c r="V12" s="36">
        <v>0</v>
      </c>
      <c r="W12" s="15" t="s">
        <v>454</v>
      </c>
      <c r="X12" s="15" t="s">
        <v>161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555</v>
      </c>
    </row>
    <row r="13" spans="1:31" x14ac:dyDescent="0.25">
      <c r="A13" s="15" t="s">
        <v>844</v>
      </c>
      <c r="B13" s="38">
        <v>43418</v>
      </c>
      <c r="C13" s="15" t="s">
        <v>510</v>
      </c>
      <c r="D13" s="15" t="s">
        <v>168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354</v>
      </c>
      <c r="L13" s="15" t="s">
        <v>129</v>
      </c>
      <c r="M13" s="15" t="s">
        <v>39</v>
      </c>
      <c r="N13" s="15" t="s">
        <v>155</v>
      </c>
      <c r="O13" s="15" t="s">
        <v>10</v>
      </c>
      <c r="P13" s="36">
        <v>2</v>
      </c>
      <c r="V13" s="36">
        <v>0</v>
      </c>
      <c r="W13" s="15" t="s">
        <v>454</v>
      </c>
      <c r="X13" s="15" t="s">
        <v>161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555</v>
      </c>
    </row>
    <row r="14" spans="1:31" x14ac:dyDescent="0.25">
      <c r="A14" s="15" t="s">
        <v>845</v>
      </c>
      <c r="B14" s="38">
        <v>43419</v>
      </c>
      <c r="C14" s="15" t="s">
        <v>510</v>
      </c>
      <c r="D14" s="15" t="s">
        <v>168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356</v>
      </c>
      <c r="L14" s="15" t="s">
        <v>132</v>
      </c>
      <c r="M14" s="15" t="s">
        <v>39</v>
      </c>
      <c r="N14" s="15" t="s">
        <v>134</v>
      </c>
      <c r="O14" s="15" t="s">
        <v>10</v>
      </c>
      <c r="P14" s="36">
        <v>1</v>
      </c>
      <c r="V14" s="36">
        <v>0</v>
      </c>
      <c r="W14" s="15" t="s">
        <v>454</v>
      </c>
      <c r="X14" s="15" t="s">
        <v>161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555</v>
      </c>
    </row>
    <row r="15" spans="1:31" x14ac:dyDescent="0.25">
      <c r="A15" s="15" t="s">
        <v>846</v>
      </c>
      <c r="B15" s="38">
        <v>43420</v>
      </c>
      <c r="C15" s="15" t="s">
        <v>510</v>
      </c>
      <c r="D15" s="15" t="s">
        <v>168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358</v>
      </c>
      <c r="L15" s="15" t="s">
        <v>135</v>
      </c>
      <c r="M15" s="15" t="s">
        <v>39</v>
      </c>
      <c r="N15" s="15" t="s">
        <v>34</v>
      </c>
      <c r="O15" s="15" t="s">
        <v>10</v>
      </c>
      <c r="P15" s="36">
        <v>1</v>
      </c>
      <c r="V15" s="36">
        <v>0</v>
      </c>
      <c r="W15" s="15" t="s">
        <v>454</v>
      </c>
      <c r="X15" s="15" t="s">
        <v>161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555</v>
      </c>
    </row>
    <row r="16" spans="1:31" x14ac:dyDescent="0.25">
      <c r="A16" s="15" t="s">
        <v>847</v>
      </c>
      <c r="B16" s="38">
        <v>43423</v>
      </c>
      <c r="C16" s="15" t="s">
        <v>510</v>
      </c>
      <c r="D16" s="15" t="s">
        <v>168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360</v>
      </c>
      <c r="L16" s="15" t="s">
        <v>138</v>
      </c>
      <c r="M16" s="15" t="s">
        <v>39</v>
      </c>
      <c r="N16" s="15" t="s">
        <v>140</v>
      </c>
      <c r="O16" s="15" t="s">
        <v>10</v>
      </c>
      <c r="P16" s="36">
        <v>1</v>
      </c>
      <c r="V16" s="36">
        <v>0</v>
      </c>
      <c r="W16" s="15" t="s">
        <v>456</v>
      </c>
      <c r="X16" s="15" t="s">
        <v>163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555</v>
      </c>
    </row>
    <row r="17" spans="1:31" x14ac:dyDescent="0.25">
      <c r="A17" s="15" t="s">
        <v>848</v>
      </c>
      <c r="B17" s="38">
        <v>43424</v>
      </c>
      <c r="C17" s="15" t="s">
        <v>510</v>
      </c>
      <c r="D17" s="15" t="s">
        <v>168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362</v>
      </c>
      <c r="L17" s="15" t="s">
        <v>42</v>
      </c>
      <c r="M17" s="15" t="s">
        <v>39</v>
      </c>
      <c r="N17" s="15" t="s">
        <v>125</v>
      </c>
      <c r="O17" s="15" t="s">
        <v>10</v>
      </c>
      <c r="P17" s="36">
        <v>25</v>
      </c>
      <c r="V17" s="36">
        <v>0</v>
      </c>
      <c r="W17" s="15" t="s">
        <v>456</v>
      </c>
      <c r="X17" s="15" t="s">
        <v>163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555</v>
      </c>
    </row>
    <row r="18" spans="1:31" x14ac:dyDescent="0.25">
      <c r="A18" s="15" t="s">
        <v>849</v>
      </c>
      <c r="B18" s="38">
        <v>43425</v>
      </c>
      <c r="C18" s="15" t="s">
        <v>510</v>
      </c>
      <c r="D18" s="15" t="s">
        <v>168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364</v>
      </c>
      <c r="L18" s="15" t="s">
        <v>59</v>
      </c>
      <c r="M18" s="15" t="s">
        <v>39</v>
      </c>
      <c r="N18" s="15" t="s">
        <v>40</v>
      </c>
      <c r="O18" s="15" t="s">
        <v>10</v>
      </c>
      <c r="P18" s="36">
        <v>0.5</v>
      </c>
      <c r="V18" s="36">
        <v>0</v>
      </c>
      <c r="W18" s="15" t="s">
        <v>456</v>
      </c>
      <c r="X18" s="15" t="s">
        <v>163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555</v>
      </c>
    </row>
    <row r="19" spans="1:31" x14ac:dyDescent="0.25">
      <c r="A19" s="15" t="s">
        <v>850</v>
      </c>
      <c r="B19" s="38">
        <v>43426</v>
      </c>
      <c r="C19" s="15" t="s">
        <v>510</v>
      </c>
      <c r="D19" s="15" t="s">
        <v>168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364</v>
      </c>
      <c r="L19" s="15" t="s">
        <v>59</v>
      </c>
      <c r="M19" s="15" t="s">
        <v>39</v>
      </c>
      <c r="N19" s="15" t="s">
        <v>40</v>
      </c>
      <c r="O19" s="15" t="s">
        <v>10</v>
      </c>
      <c r="P19" s="36">
        <v>0.5</v>
      </c>
      <c r="V19" s="36">
        <v>0</v>
      </c>
      <c r="W19" s="15" t="s">
        <v>456</v>
      </c>
      <c r="X19" s="15" t="s">
        <v>163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555</v>
      </c>
    </row>
    <row r="20" spans="1:31" x14ac:dyDescent="0.25">
      <c r="A20" s="15" t="s">
        <v>851</v>
      </c>
      <c r="B20" s="38">
        <v>43427</v>
      </c>
      <c r="C20" s="15" t="s">
        <v>510</v>
      </c>
      <c r="D20" s="15" t="s">
        <v>168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366</v>
      </c>
      <c r="L20" s="15" t="s">
        <v>153</v>
      </c>
      <c r="M20" s="15" t="s">
        <v>39</v>
      </c>
      <c r="N20" s="15" t="s">
        <v>131</v>
      </c>
      <c r="O20" s="15" t="s">
        <v>10</v>
      </c>
      <c r="P20" s="36">
        <v>5</v>
      </c>
      <c r="V20" s="36">
        <v>0</v>
      </c>
      <c r="W20" s="15" t="s">
        <v>456</v>
      </c>
      <c r="X20" s="15" t="s">
        <v>163</v>
      </c>
      <c r="Y20" s="15" t="s">
        <v>39</v>
      </c>
      <c r="Z20" s="15" t="s">
        <v>63</v>
      </c>
      <c r="AA20" s="15" t="s">
        <v>10</v>
      </c>
      <c r="AB20" s="36">
        <v>100</v>
      </c>
      <c r="AE20" s="15" t="s">
        <v>555</v>
      </c>
    </row>
    <row r="21" spans="1:31" x14ac:dyDescent="0.25">
      <c r="A21" s="15" t="s">
        <v>852</v>
      </c>
      <c r="B21" s="38">
        <v>43430</v>
      </c>
      <c r="C21" s="15" t="s">
        <v>510</v>
      </c>
      <c r="D21" s="15" t="s">
        <v>168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368</v>
      </c>
      <c r="L21" s="15" t="s">
        <v>156</v>
      </c>
      <c r="M21" s="15" t="s">
        <v>39</v>
      </c>
      <c r="N21" s="15" t="s">
        <v>131</v>
      </c>
      <c r="O21" s="15" t="s">
        <v>10</v>
      </c>
      <c r="P21" s="36">
        <v>5</v>
      </c>
      <c r="V21" s="36">
        <v>0</v>
      </c>
      <c r="W21" s="15" t="s">
        <v>457</v>
      </c>
      <c r="X21" s="15" t="s">
        <v>164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555</v>
      </c>
    </row>
    <row r="22" spans="1:31" x14ac:dyDescent="0.25">
      <c r="A22" s="15" t="s">
        <v>853</v>
      </c>
      <c r="B22" s="38">
        <v>43431</v>
      </c>
      <c r="C22" s="15" t="s">
        <v>510</v>
      </c>
      <c r="D22" s="15" t="s">
        <v>168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370</v>
      </c>
      <c r="L22" s="15" t="s">
        <v>71</v>
      </c>
      <c r="M22" s="15" t="s">
        <v>39</v>
      </c>
      <c r="N22" s="15" t="s">
        <v>140</v>
      </c>
      <c r="O22" s="15" t="s">
        <v>10</v>
      </c>
      <c r="P22" s="36">
        <v>1</v>
      </c>
      <c r="V22" s="36">
        <v>0</v>
      </c>
      <c r="W22" s="15" t="s">
        <v>457</v>
      </c>
      <c r="X22" s="15" t="s">
        <v>164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555</v>
      </c>
    </row>
    <row r="23" spans="1:31" x14ac:dyDescent="0.25">
      <c r="A23" s="15" t="s">
        <v>854</v>
      </c>
      <c r="B23" s="38">
        <v>43432</v>
      </c>
      <c r="C23" s="15" t="s">
        <v>510</v>
      </c>
      <c r="D23" s="15" t="s">
        <v>168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372</v>
      </c>
      <c r="L23" s="15" t="s">
        <v>77</v>
      </c>
      <c r="M23" s="15" t="s">
        <v>39</v>
      </c>
      <c r="N23" s="15" t="s">
        <v>140</v>
      </c>
      <c r="O23" s="15" t="s">
        <v>10</v>
      </c>
      <c r="P23" s="36">
        <v>1</v>
      </c>
      <c r="V23" s="36">
        <v>0</v>
      </c>
      <c r="W23" s="15" t="s">
        <v>457</v>
      </c>
      <c r="X23" s="15" t="s">
        <v>164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555</v>
      </c>
    </row>
    <row r="24" spans="1:31" x14ac:dyDescent="0.25">
      <c r="A24" s="15" t="s">
        <v>855</v>
      </c>
      <c r="B24" s="38">
        <v>43433</v>
      </c>
      <c r="C24" s="15" t="s">
        <v>510</v>
      </c>
      <c r="D24" s="15" t="s">
        <v>168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374</v>
      </c>
      <c r="L24" s="15" t="s">
        <v>83</v>
      </c>
      <c r="M24" s="15" t="s">
        <v>39</v>
      </c>
      <c r="N24" s="15" t="s">
        <v>125</v>
      </c>
      <c r="O24" s="15" t="s">
        <v>10</v>
      </c>
      <c r="P24" s="36">
        <v>25</v>
      </c>
      <c r="V24" s="36">
        <v>0</v>
      </c>
      <c r="W24" s="15" t="s">
        <v>457</v>
      </c>
      <c r="X24" s="15" t="s">
        <v>164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555</v>
      </c>
    </row>
    <row r="25" spans="1:31" x14ac:dyDescent="0.25">
      <c r="A25" s="15" t="s">
        <v>856</v>
      </c>
      <c r="B25" s="38">
        <v>43434</v>
      </c>
      <c r="C25" s="15" t="s">
        <v>510</v>
      </c>
      <c r="D25" s="15" t="s">
        <v>168</v>
      </c>
      <c r="E25" s="15" t="s">
        <v>272</v>
      </c>
      <c r="F25" s="15" t="s">
        <v>104</v>
      </c>
      <c r="G25" s="15" t="s">
        <v>39</v>
      </c>
      <c r="H25" s="15" t="s">
        <v>99</v>
      </c>
      <c r="I25" s="15" t="s">
        <v>10</v>
      </c>
      <c r="J25" s="36">
        <v>1</v>
      </c>
      <c r="K25" s="15" t="s">
        <v>376</v>
      </c>
      <c r="L25" s="15" t="s">
        <v>141</v>
      </c>
      <c r="M25" s="15" t="s">
        <v>39</v>
      </c>
      <c r="N25" s="15" t="s">
        <v>224</v>
      </c>
      <c r="O25" s="15" t="s">
        <v>10</v>
      </c>
      <c r="P25" s="36">
        <v>0.5</v>
      </c>
      <c r="V25" s="36">
        <v>0</v>
      </c>
      <c r="W25" s="15" t="s">
        <v>457</v>
      </c>
      <c r="X25" s="15" t="s">
        <v>164</v>
      </c>
      <c r="Y25" s="15" t="s">
        <v>39</v>
      </c>
      <c r="Z25" s="15" t="s">
        <v>63</v>
      </c>
      <c r="AA25" s="15" t="s">
        <v>10</v>
      </c>
      <c r="AB25" s="36">
        <v>100</v>
      </c>
      <c r="AE25" s="15" t="s">
        <v>555</v>
      </c>
    </row>
    <row r="26" spans="1:31" x14ac:dyDescent="0.25">
      <c r="A26" s="15" t="s">
        <v>1194</v>
      </c>
      <c r="B26" s="38">
        <v>43405</v>
      </c>
      <c r="C26" s="15" t="s">
        <v>510</v>
      </c>
      <c r="D26" s="15" t="s">
        <v>168</v>
      </c>
      <c r="E26" s="15" t="s">
        <v>260</v>
      </c>
      <c r="F26" s="15" t="s">
        <v>104</v>
      </c>
      <c r="G26" s="15" t="s">
        <v>45</v>
      </c>
      <c r="H26" s="15" t="s">
        <v>99</v>
      </c>
      <c r="I26" s="15" t="s">
        <v>18</v>
      </c>
      <c r="J26" s="36">
        <v>1</v>
      </c>
      <c r="K26" s="15" t="s">
        <v>308</v>
      </c>
      <c r="L26" s="15" t="s">
        <v>101</v>
      </c>
      <c r="M26" s="15" t="s">
        <v>56</v>
      </c>
      <c r="N26" s="15" t="s">
        <v>40</v>
      </c>
      <c r="O26" s="15" t="s">
        <v>18</v>
      </c>
      <c r="P26" s="36">
        <v>0.5</v>
      </c>
      <c r="V26" s="36">
        <v>0</v>
      </c>
      <c r="W26" s="15" t="s">
        <v>432</v>
      </c>
      <c r="X26" s="15" t="s">
        <v>133</v>
      </c>
      <c r="Y26" s="15" t="s">
        <v>33</v>
      </c>
      <c r="Z26" s="15" t="s">
        <v>34</v>
      </c>
      <c r="AA26" s="15" t="s">
        <v>18</v>
      </c>
      <c r="AB26" s="36">
        <v>1</v>
      </c>
      <c r="AC26" s="15" t="s">
        <v>486</v>
      </c>
      <c r="AD26" s="15" t="s">
        <v>79</v>
      </c>
      <c r="AE26" s="15" t="s">
        <v>567</v>
      </c>
    </row>
    <row r="27" spans="1:31" x14ac:dyDescent="0.25">
      <c r="A27" s="15" t="s">
        <v>1195</v>
      </c>
      <c r="B27" s="38">
        <v>43406</v>
      </c>
      <c r="C27" s="15" t="s">
        <v>510</v>
      </c>
      <c r="D27" s="15" t="s">
        <v>168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326</v>
      </c>
      <c r="L27" s="15" t="s">
        <v>135</v>
      </c>
      <c r="M27" s="15" t="s">
        <v>80</v>
      </c>
      <c r="N27" s="15" t="s">
        <v>34</v>
      </c>
      <c r="O27" s="15" t="s">
        <v>18</v>
      </c>
      <c r="P27" s="36">
        <v>1</v>
      </c>
      <c r="V27" s="36">
        <v>0</v>
      </c>
      <c r="W27" s="15" t="s">
        <v>426</v>
      </c>
      <c r="X27" s="15" t="s">
        <v>124</v>
      </c>
      <c r="Y27" s="15" t="s">
        <v>33</v>
      </c>
      <c r="Z27" s="15" t="s">
        <v>57</v>
      </c>
      <c r="AA27" s="15" t="s">
        <v>18</v>
      </c>
      <c r="AB27" s="36">
        <v>133</v>
      </c>
      <c r="AE27" s="15" t="s">
        <v>567</v>
      </c>
    </row>
    <row r="28" spans="1:31" x14ac:dyDescent="0.25">
      <c r="A28" s="15" t="s">
        <v>1196</v>
      </c>
      <c r="B28" s="38">
        <v>43407</v>
      </c>
      <c r="C28" s="15" t="s">
        <v>510</v>
      </c>
      <c r="D28" s="15" t="s">
        <v>168</v>
      </c>
      <c r="E28" s="15" t="s">
        <v>238</v>
      </c>
      <c r="F28" s="15" t="s">
        <v>47</v>
      </c>
      <c r="G28" s="15" t="s">
        <v>68</v>
      </c>
      <c r="H28" s="15" t="s">
        <v>107</v>
      </c>
      <c r="I28" s="15" t="s">
        <v>18</v>
      </c>
      <c r="J28" s="36">
        <v>0.5</v>
      </c>
      <c r="K28" s="15" t="s">
        <v>338</v>
      </c>
      <c r="L28" s="15" t="s">
        <v>153</v>
      </c>
      <c r="M28" s="15" t="s">
        <v>74</v>
      </c>
      <c r="N28" s="15" t="s">
        <v>131</v>
      </c>
      <c r="O28" s="15" t="s">
        <v>18</v>
      </c>
      <c r="P28" s="36">
        <v>10</v>
      </c>
      <c r="V28" s="36">
        <v>0</v>
      </c>
      <c r="W28" s="15" t="s">
        <v>384</v>
      </c>
      <c r="X28" s="15" t="s">
        <v>17</v>
      </c>
      <c r="Y28" s="15" t="s">
        <v>33</v>
      </c>
      <c r="Z28" s="15" t="s">
        <v>87</v>
      </c>
      <c r="AA28" s="15" t="s">
        <v>18</v>
      </c>
      <c r="AB28" s="36">
        <v>1</v>
      </c>
      <c r="AE28" s="15" t="s">
        <v>567</v>
      </c>
    </row>
    <row r="29" spans="1:31" x14ac:dyDescent="0.25">
      <c r="A29" s="15" t="s">
        <v>1197</v>
      </c>
      <c r="B29" s="38">
        <v>43408</v>
      </c>
      <c r="C29" s="15" t="s">
        <v>510</v>
      </c>
      <c r="D29" s="15" t="s">
        <v>168</v>
      </c>
      <c r="E29" s="15" t="s">
        <v>238</v>
      </c>
      <c r="F29" s="15" t="s">
        <v>47</v>
      </c>
      <c r="G29" s="15" t="s">
        <v>68</v>
      </c>
      <c r="H29" s="15" t="s">
        <v>107</v>
      </c>
      <c r="I29" s="15" t="s">
        <v>18</v>
      </c>
      <c r="J29" s="36">
        <v>0.5</v>
      </c>
      <c r="K29" s="15" t="s">
        <v>348</v>
      </c>
      <c r="L29" s="15" t="s">
        <v>53</v>
      </c>
      <c r="M29" s="15" t="s">
        <v>20</v>
      </c>
      <c r="N29" s="15" t="s">
        <v>40</v>
      </c>
      <c r="O29" s="15" t="s">
        <v>18</v>
      </c>
      <c r="P29" s="36">
        <v>1</v>
      </c>
      <c r="V29" s="36">
        <v>0</v>
      </c>
      <c r="W29" s="15" t="s">
        <v>426</v>
      </c>
      <c r="X29" s="15" t="s">
        <v>124</v>
      </c>
      <c r="Y29" s="15" t="s">
        <v>33</v>
      </c>
      <c r="Z29" s="15" t="s">
        <v>57</v>
      </c>
      <c r="AA29" s="15" t="s">
        <v>18</v>
      </c>
      <c r="AB29" s="36">
        <v>134</v>
      </c>
      <c r="AE29" s="15" t="s">
        <v>567</v>
      </c>
    </row>
    <row r="30" spans="1:31" x14ac:dyDescent="0.25">
      <c r="A30" s="15" t="s">
        <v>1198</v>
      </c>
      <c r="B30" s="38">
        <v>43409</v>
      </c>
      <c r="C30" s="15" t="s">
        <v>510</v>
      </c>
      <c r="D30" s="15" t="s">
        <v>168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286</v>
      </c>
      <c r="L30" s="15" t="s">
        <v>48</v>
      </c>
      <c r="M30" s="15" t="s">
        <v>51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384</v>
      </c>
      <c r="X30" s="15" t="s">
        <v>17</v>
      </c>
      <c r="Y30" s="15" t="s">
        <v>33</v>
      </c>
      <c r="Z30" s="15" t="s">
        <v>87</v>
      </c>
      <c r="AA30" s="15" t="s">
        <v>18</v>
      </c>
      <c r="AB30" s="36">
        <v>1</v>
      </c>
      <c r="AE30" s="15" t="s">
        <v>567</v>
      </c>
    </row>
    <row r="31" spans="1:31" x14ac:dyDescent="0.25">
      <c r="A31" s="15" t="s">
        <v>1199</v>
      </c>
      <c r="B31" s="38">
        <v>43410</v>
      </c>
      <c r="C31" s="15" t="s">
        <v>510</v>
      </c>
      <c r="D31" s="15" t="s">
        <v>168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286</v>
      </c>
      <c r="L31" s="15" t="s">
        <v>48</v>
      </c>
      <c r="M31" s="15" t="s">
        <v>51</v>
      </c>
      <c r="N31" s="15" t="s">
        <v>40</v>
      </c>
      <c r="O31" s="15" t="s">
        <v>18</v>
      </c>
      <c r="P31" s="36">
        <v>0.5</v>
      </c>
      <c r="V31" s="36">
        <v>0</v>
      </c>
      <c r="W31" s="15" t="s">
        <v>426</v>
      </c>
      <c r="X31" s="15" t="s">
        <v>124</v>
      </c>
      <c r="Y31" s="15" t="s">
        <v>33</v>
      </c>
      <c r="Z31" s="15" t="s">
        <v>57</v>
      </c>
      <c r="AA31" s="15" t="s">
        <v>18</v>
      </c>
      <c r="AB31" s="36">
        <v>133</v>
      </c>
      <c r="AE31" s="15" t="s">
        <v>567</v>
      </c>
    </row>
    <row r="32" spans="1:31" x14ac:dyDescent="0.25">
      <c r="A32" s="15" t="s">
        <v>1200</v>
      </c>
      <c r="B32" s="38">
        <v>43411</v>
      </c>
      <c r="C32" s="15" t="s">
        <v>510</v>
      </c>
      <c r="D32" s="15" t="s">
        <v>168</v>
      </c>
      <c r="E32" s="15" t="s">
        <v>260</v>
      </c>
      <c r="F32" s="15" t="s">
        <v>104</v>
      </c>
      <c r="G32" s="15" t="s">
        <v>45</v>
      </c>
      <c r="H32" s="15" t="s">
        <v>99</v>
      </c>
      <c r="I32" s="15" t="s">
        <v>18</v>
      </c>
      <c r="J32" s="36">
        <v>1</v>
      </c>
      <c r="K32" s="15" t="s">
        <v>310</v>
      </c>
      <c r="L32" s="15" t="s">
        <v>105</v>
      </c>
      <c r="M32" s="15" t="s">
        <v>56</v>
      </c>
      <c r="N32" s="15" t="s">
        <v>40</v>
      </c>
      <c r="O32" s="15" t="s">
        <v>18</v>
      </c>
      <c r="P32" s="36">
        <v>0.5</v>
      </c>
      <c r="V32" s="36">
        <v>0</v>
      </c>
      <c r="W32" s="15" t="s">
        <v>386</v>
      </c>
      <c r="X32" s="15" t="s">
        <v>24</v>
      </c>
      <c r="Y32" s="15" t="s">
        <v>33</v>
      </c>
      <c r="Z32" s="15" t="s">
        <v>118</v>
      </c>
      <c r="AA32" s="15" t="s">
        <v>18</v>
      </c>
      <c r="AB32" s="36">
        <v>125</v>
      </c>
      <c r="AE32" s="15" t="s">
        <v>567</v>
      </c>
    </row>
    <row r="33" spans="1:31" x14ac:dyDescent="0.25">
      <c r="A33" s="15" t="s">
        <v>1201</v>
      </c>
      <c r="B33" s="38">
        <v>43412</v>
      </c>
      <c r="C33" s="15" t="s">
        <v>510</v>
      </c>
      <c r="D33" s="15" t="s">
        <v>168</v>
      </c>
      <c r="E33" s="15" t="s">
        <v>260</v>
      </c>
      <c r="F33" s="15" t="s">
        <v>104</v>
      </c>
      <c r="G33" s="15" t="s">
        <v>45</v>
      </c>
      <c r="H33" s="15" t="s">
        <v>99</v>
      </c>
      <c r="I33" s="15" t="s">
        <v>18</v>
      </c>
      <c r="J33" s="36">
        <v>1</v>
      </c>
      <c r="K33" s="15" t="s">
        <v>310</v>
      </c>
      <c r="L33" s="15" t="s">
        <v>105</v>
      </c>
      <c r="M33" s="15" t="s">
        <v>56</v>
      </c>
      <c r="N33" s="15" t="s">
        <v>40</v>
      </c>
      <c r="O33" s="15" t="s">
        <v>18</v>
      </c>
      <c r="P33" s="36">
        <v>0.5</v>
      </c>
      <c r="V33" s="36">
        <v>0</v>
      </c>
      <c r="W33" s="15" t="s">
        <v>426</v>
      </c>
      <c r="X33" s="15" t="s">
        <v>124</v>
      </c>
      <c r="Y33" s="15" t="s">
        <v>33</v>
      </c>
      <c r="Z33" s="15" t="s">
        <v>57</v>
      </c>
      <c r="AA33" s="15" t="s">
        <v>18</v>
      </c>
      <c r="AB33" s="36">
        <v>133</v>
      </c>
      <c r="AE33" s="15" t="s">
        <v>567</v>
      </c>
    </row>
    <row r="34" spans="1:31" x14ac:dyDescent="0.25">
      <c r="A34" s="15" t="s">
        <v>1202</v>
      </c>
      <c r="B34" s="38">
        <v>43413</v>
      </c>
      <c r="C34" s="15" t="s">
        <v>510</v>
      </c>
      <c r="D34" s="15" t="s">
        <v>168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328</v>
      </c>
      <c r="L34" s="15" t="s">
        <v>138</v>
      </c>
      <c r="M34" s="15" t="s">
        <v>80</v>
      </c>
      <c r="N34" s="15" t="s">
        <v>140</v>
      </c>
      <c r="O34" s="15" t="s">
        <v>18</v>
      </c>
      <c r="P34" s="36">
        <v>1</v>
      </c>
      <c r="V34" s="36">
        <v>0</v>
      </c>
      <c r="W34" s="15" t="s">
        <v>388</v>
      </c>
      <c r="X34" s="15" t="s">
        <v>31</v>
      </c>
      <c r="Y34" s="15" t="s">
        <v>33</v>
      </c>
      <c r="Z34" s="15" t="s">
        <v>87</v>
      </c>
      <c r="AA34" s="15" t="s">
        <v>18</v>
      </c>
      <c r="AB34" s="36">
        <v>1</v>
      </c>
      <c r="AE34" s="15" t="s">
        <v>567</v>
      </c>
    </row>
    <row r="35" spans="1:31" x14ac:dyDescent="0.25">
      <c r="A35" s="15" t="s">
        <v>1203</v>
      </c>
      <c r="B35" s="38">
        <v>43414</v>
      </c>
      <c r="C35" s="15" t="s">
        <v>510</v>
      </c>
      <c r="D35" s="15" t="s">
        <v>168</v>
      </c>
      <c r="E35" s="15" t="s">
        <v>240</v>
      </c>
      <c r="F35" s="15" t="s">
        <v>52</v>
      </c>
      <c r="G35" s="15" t="s">
        <v>68</v>
      </c>
      <c r="H35" s="15" t="s">
        <v>95</v>
      </c>
      <c r="I35" s="15" t="s">
        <v>18</v>
      </c>
      <c r="J35" s="36">
        <v>0.5</v>
      </c>
      <c r="K35" s="15" t="s">
        <v>340</v>
      </c>
      <c r="L35" s="15" t="s">
        <v>156</v>
      </c>
      <c r="M35" s="15" t="s">
        <v>74</v>
      </c>
      <c r="N35" s="15" t="s">
        <v>131</v>
      </c>
      <c r="O35" s="15" t="s">
        <v>18</v>
      </c>
      <c r="P35" s="36">
        <v>10</v>
      </c>
      <c r="V35" s="36">
        <v>0</v>
      </c>
      <c r="W35" s="15" t="s">
        <v>426</v>
      </c>
      <c r="X35" s="15" t="s">
        <v>124</v>
      </c>
      <c r="Y35" s="15" t="s">
        <v>33</v>
      </c>
      <c r="Z35" s="15" t="s">
        <v>57</v>
      </c>
      <c r="AA35" s="15" t="s">
        <v>18</v>
      </c>
      <c r="AB35" s="36">
        <v>134</v>
      </c>
      <c r="AE35" s="15" t="s">
        <v>567</v>
      </c>
    </row>
    <row r="36" spans="1:31" x14ac:dyDescent="0.25">
      <c r="A36" s="15" t="s">
        <v>1204</v>
      </c>
      <c r="B36" s="38">
        <v>43415</v>
      </c>
      <c r="C36" s="15" t="s">
        <v>510</v>
      </c>
      <c r="D36" s="15" t="s">
        <v>168</v>
      </c>
      <c r="E36" s="15" t="s">
        <v>240</v>
      </c>
      <c r="F36" s="15" t="s">
        <v>52</v>
      </c>
      <c r="G36" s="15" t="s">
        <v>68</v>
      </c>
      <c r="H36" s="15" t="s">
        <v>95</v>
      </c>
      <c r="I36" s="15" t="s">
        <v>18</v>
      </c>
      <c r="J36" s="36">
        <v>0.5</v>
      </c>
      <c r="K36" s="15" t="s">
        <v>344</v>
      </c>
      <c r="L36" s="15" t="s">
        <v>160</v>
      </c>
      <c r="M36" s="15" t="s">
        <v>20</v>
      </c>
      <c r="N36" s="15" t="s">
        <v>103</v>
      </c>
      <c r="O36" s="15" t="s">
        <v>18</v>
      </c>
      <c r="P36" s="36">
        <v>1</v>
      </c>
      <c r="V36" s="36">
        <v>0</v>
      </c>
      <c r="W36" s="15" t="s">
        <v>388</v>
      </c>
      <c r="X36" s="15" t="s">
        <v>31</v>
      </c>
      <c r="Y36" s="15" t="s">
        <v>33</v>
      </c>
      <c r="Z36" s="15" t="s">
        <v>87</v>
      </c>
      <c r="AA36" s="15" t="s">
        <v>18</v>
      </c>
      <c r="AB36" s="36">
        <v>1</v>
      </c>
      <c r="AC36" s="15" t="s">
        <v>464</v>
      </c>
      <c r="AD36" s="15" t="s">
        <v>11</v>
      </c>
      <c r="AE36" s="15" t="s">
        <v>567</v>
      </c>
    </row>
    <row r="37" spans="1:31" x14ac:dyDescent="0.25">
      <c r="A37" s="15" t="s">
        <v>1205</v>
      </c>
      <c r="B37" s="38">
        <v>43416</v>
      </c>
      <c r="C37" s="15" t="s">
        <v>510</v>
      </c>
      <c r="D37" s="15" t="s">
        <v>168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288</v>
      </c>
      <c r="L37" s="15" t="s">
        <v>53</v>
      </c>
      <c r="M37" s="15" t="s">
        <v>51</v>
      </c>
      <c r="N37" s="15" t="s">
        <v>40</v>
      </c>
      <c r="O37" s="15" t="s">
        <v>18</v>
      </c>
      <c r="P37" s="36">
        <v>0.5</v>
      </c>
      <c r="V37" s="36">
        <v>0</v>
      </c>
      <c r="W37" s="15" t="s">
        <v>426</v>
      </c>
      <c r="X37" s="15" t="s">
        <v>124</v>
      </c>
      <c r="Y37" s="15" t="s">
        <v>33</v>
      </c>
      <c r="Z37" s="15" t="s">
        <v>57</v>
      </c>
      <c r="AA37" s="15" t="s">
        <v>18</v>
      </c>
      <c r="AB37" s="36">
        <v>133</v>
      </c>
      <c r="AE37" s="15" t="s">
        <v>567</v>
      </c>
    </row>
    <row r="38" spans="1:31" x14ac:dyDescent="0.25">
      <c r="A38" s="15" t="s">
        <v>1206</v>
      </c>
      <c r="B38" s="38">
        <v>43417</v>
      </c>
      <c r="C38" s="15" t="s">
        <v>510</v>
      </c>
      <c r="D38" s="15" t="s">
        <v>168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288</v>
      </c>
      <c r="L38" s="15" t="s">
        <v>53</v>
      </c>
      <c r="M38" s="15" t="s">
        <v>51</v>
      </c>
      <c r="N38" s="15" t="s">
        <v>40</v>
      </c>
      <c r="O38" s="15" t="s">
        <v>18</v>
      </c>
      <c r="P38" s="36">
        <v>0.5</v>
      </c>
      <c r="V38" s="36">
        <v>0</v>
      </c>
      <c r="W38" s="15" t="s">
        <v>390</v>
      </c>
      <c r="X38" s="15" t="s">
        <v>37</v>
      </c>
      <c r="Y38" s="15" t="s">
        <v>33</v>
      </c>
      <c r="Z38" s="15" t="s">
        <v>40</v>
      </c>
      <c r="AA38" s="15" t="s">
        <v>18</v>
      </c>
      <c r="AB38" s="36">
        <v>1</v>
      </c>
      <c r="AE38" s="15" t="s">
        <v>567</v>
      </c>
    </row>
    <row r="39" spans="1:31" x14ac:dyDescent="0.25">
      <c r="A39" s="15" t="s">
        <v>1207</v>
      </c>
      <c r="B39" s="38">
        <v>43418</v>
      </c>
      <c r="C39" s="15" t="s">
        <v>510</v>
      </c>
      <c r="D39" s="15" t="s">
        <v>168</v>
      </c>
      <c r="E39" s="15" t="s">
        <v>260</v>
      </c>
      <c r="F39" s="15" t="s">
        <v>104</v>
      </c>
      <c r="G39" s="15" t="s">
        <v>45</v>
      </c>
      <c r="H39" s="15" t="s">
        <v>99</v>
      </c>
      <c r="I39" s="15" t="s">
        <v>18</v>
      </c>
      <c r="J39" s="36">
        <v>1</v>
      </c>
      <c r="K39" s="15" t="s">
        <v>312</v>
      </c>
      <c r="L39" s="15" t="s">
        <v>109</v>
      </c>
      <c r="M39" s="15" t="s">
        <v>56</v>
      </c>
      <c r="N39" s="15" t="s">
        <v>40</v>
      </c>
      <c r="O39" s="15" t="s">
        <v>18</v>
      </c>
      <c r="P39" s="36">
        <v>0.5</v>
      </c>
      <c r="V39" s="36">
        <v>0</v>
      </c>
      <c r="W39" s="15" t="s">
        <v>426</v>
      </c>
      <c r="X39" s="15" t="s">
        <v>124</v>
      </c>
      <c r="Y39" s="15" t="s">
        <v>33</v>
      </c>
      <c r="Z39" s="15" t="s">
        <v>57</v>
      </c>
      <c r="AA39" s="15" t="s">
        <v>18</v>
      </c>
      <c r="AB39" s="36">
        <v>133</v>
      </c>
      <c r="AE39" s="15" t="s">
        <v>567</v>
      </c>
    </row>
    <row r="40" spans="1:31" x14ac:dyDescent="0.25">
      <c r="A40" s="15" t="s">
        <v>1208</v>
      </c>
      <c r="B40" s="38">
        <v>43419</v>
      </c>
      <c r="C40" s="15" t="s">
        <v>510</v>
      </c>
      <c r="D40" s="15" t="s">
        <v>168</v>
      </c>
      <c r="E40" s="15" t="s">
        <v>260</v>
      </c>
      <c r="F40" s="15" t="s">
        <v>104</v>
      </c>
      <c r="G40" s="15" t="s">
        <v>45</v>
      </c>
      <c r="H40" s="15" t="s">
        <v>99</v>
      </c>
      <c r="I40" s="15" t="s">
        <v>18</v>
      </c>
      <c r="J40" s="36">
        <v>1</v>
      </c>
      <c r="K40" s="15" t="s">
        <v>312</v>
      </c>
      <c r="L40" s="15" t="s">
        <v>109</v>
      </c>
      <c r="M40" s="15" t="s">
        <v>56</v>
      </c>
      <c r="N40" s="15" t="s">
        <v>40</v>
      </c>
      <c r="O40" s="15" t="s">
        <v>18</v>
      </c>
      <c r="P40" s="36">
        <v>0.5</v>
      </c>
      <c r="V40" s="36">
        <v>0</v>
      </c>
      <c r="W40" s="15" t="s">
        <v>390</v>
      </c>
      <c r="X40" s="15" t="s">
        <v>37</v>
      </c>
      <c r="Y40" s="15" t="s">
        <v>33</v>
      </c>
      <c r="Z40" s="15" t="s">
        <v>40</v>
      </c>
      <c r="AA40" s="15" t="s">
        <v>18</v>
      </c>
      <c r="AB40" s="36">
        <v>1</v>
      </c>
      <c r="AE40" s="15" t="s">
        <v>567</v>
      </c>
    </row>
    <row r="41" spans="1:31" x14ac:dyDescent="0.25">
      <c r="A41" s="15" t="s">
        <v>1209</v>
      </c>
      <c r="B41" s="38">
        <v>43420</v>
      </c>
      <c r="C41" s="15" t="s">
        <v>510</v>
      </c>
      <c r="D41" s="15" t="s">
        <v>168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330</v>
      </c>
      <c r="L41" s="15" t="s">
        <v>141</v>
      </c>
      <c r="M41" s="15" t="s">
        <v>80</v>
      </c>
      <c r="N41" s="15" t="s">
        <v>46</v>
      </c>
      <c r="O41" s="15" t="s">
        <v>18</v>
      </c>
      <c r="P41" s="36">
        <v>1</v>
      </c>
      <c r="V41" s="36">
        <v>0</v>
      </c>
      <c r="W41" s="15" t="s">
        <v>426</v>
      </c>
      <c r="X41" s="15" t="s">
        <v>124</v>
      </c>
      <c r="Y41" s="15" t="s">
        <v>33</v>
      </c>
      <c r="Z41" s="15" t="s">
        <v>57</v>
      </c>
      <c r="AA41" s="15" t="s">
        <v>18</v>
      </c>
      <c r="AB41" s="36">
        <v>134</v>
      </c>
      <c r="AE41" s="15" t="s">
        <v>567</v>
      </c>
    </row>
    <row r="42" spans="1:31" x14ac:dyDescent="0.25">
      <c r="A42" s="15" t="s">
        <v>1210</v>
      </c>
      <c r="B42" s="38">
        <v>43421</v>
      </c>
      <c r="C42" s="15" t="s">
        <v>510</v>
      </c>
      <c r="D42" s="15" t="s">
        <v>168</v>
      </c>
      <c r="E42" s="15" t="s">
        <v>242</v>
      </c>
      <c r="F42" s="15" t="s">
        <v>58</v>
      </c>
      <c r="G42" s="15" t="s">
        <v>68</v>
      </c>
      <c r="H42" s="15" t="s">
        <v>95</v>
      </c>
      <c r="I42" s="15" t="s">
        <v>18</v>
      </c>
      <c r="J42" s="36">
        <v>0.5</v>
      </c>
      <c r="K42" s="15" t="s">
        <v>338</v>
      </c>
      <c r="L42" s="15" t="s">
        <v>153</v>
      </c>
      <c r="M42" s="15" t="s">
        <v>74</v>
      </c>
      <c r="N42" s="15" t="s">
        <v>131</v>
      </c>
      <c r="O42" s="15" t="s">
        <v>18</v>
      </c>
      <c r="P42" s="36">
        <v>10</v>
      </c>
      <c r="V42" s="36">
        <v>0</v>
      </c>
      <c r="W42" s="15" t="s">
        <v>392</v>
      </c>
      <c r="X42" s="15" t="s">
        <v>43</v>
      </c>
      <c r="Y42" s="15" t="s">
        <v>33</v>
      </c>
      <c r="Z42" s="15" t="s">
        <v>87</v>
      </c>
      <c r="AA42" s="15" t="s">
        <v>18</v>
      </c>
      <c r="AB42" s="36">
        <v>0.5</v>
      </c>
      <c r="AE42" s="15" t="s">
        <v>567</v>
      </c>
    </row>
    <row r="43" spans="1:31" x14ac:dyDescent="0.25">
      <c r="A43" s="15" t="s">
        <v>1211</v>
      </c>
      <c r="B43" s="38">
        <v>43422</v>
      </c>
      <c r="C43" s="15" t="s">
        <v>510</v>
      </c>
      <c r="D43" s="15" t="s">
        <v>168</v>
      </c>
      <c r="E43" s="15" t="s">
        <v>242</v>
      </c>
      <c r="F43" s="15" t="s">
        <v>58</v>
      </c>
      <c r="G43" s="15" t="s">
        <v>68</v>
      </c>
      <c r="H43" s="15" t="s">
        <v>95</v>
      </c>
      <c r="I43" s="15" t="s">
        <v>18</v>
      </c>
      <c r="J43" s="36">
        <v>0.5</v>
      </c>
      <c r="K43" s="15" t="s">
        <v>346</v>
      </c>
      <c r="L43" s="15" t="s">
        <v>162</v>
      </c>
      <c r="M43" s="15" t="s">
        <v>12</v>
      </c>
      <c r="N43" s="15" t="s">
        <v>121</v>
      </c>
      <c r="O43" s="15" t="s">
        <v>18</v>
      </c>
      <c r="P43" s="36">
        <v>20</v>
      </c>
      <c r="Q43" s="15" t="s">
        <v>274</v>
      </c>
      <c r="R43" s="15" t="s">
        <v>15</v>
      </c>
      <c r="S43" s="15" t="s">
        <v>27</v>
      </c>
      <c r="T43" s="15" t="s">
        <v>13</v>
      </c>
      <c r="U43" s="15" t="s">
        <v>18</v>
      </c>
      <c r="V43" s="36">
        <v>1</v>
      </c>
      <c r="W43" s="15" t="s">
        <v>426</v>
      </c>
      <c r="X43" s="15" t="s">
        <v>124</v>
      </c>
      <c r="Y43" s="15" t="s">
        <v>33</v>
      </c>
      <c r="Z43" s="15" t="s">
        <v>57</v>
      </c>
      <c r="AA43" s="15" t="s">
        <v>18</v>
      </c>
      <c r="AB43" s="36">
        <v>133</v>
      </c>
      <c r="AE43" s="15" t="s">
        <v>567</v>
      </c>
    </row>
    <row r="44" spans="1:31" x14ac:dyDescent="0.25">
      <c r="A44" s="15" t="s">
        <v>1212</v>
      </c>
      <c r="B44" s="38">
        <v>43423</v>
      </c>
      <c r="C44" s="15" t="s">
        <v>510</v>
      </c>
      <c r="D44" s="15" t="s">
        <v>168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290</v>
      </c>
      <c r="L44" s="15" t="s">
        <v>59</v>
      </c>
      <c r="M44" s="15" t="s">
        <v>51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392</v>
      </c>
      <c r="X44" s="15" t="s">
        <v>43</v>
      </c>
      <c r="Y44" s="15" t="s">
        <v>33</v>
      </c>
      <c r="Z44" s="15" t="s">
        <v>87</v>
      </c>
      <c r="AA44" s="15" t="s">
        <v>18</v>
      </c>
      <c r="AB44" s="36">
        <v>0.5</v>
      </c>
      <c r="AE44" s="15" t="s">
        <v>567</v>
      </c>
    </row>
    <row r="45" spans="1:31" x14ac:dyDescent="0.25">
      <c r="A45" s="15" t="s">
        <v>1213</v>
      </c>
      <c r="B45" s="38">
        <v>43424</v>
      </c>
      <c r="C45" s="15" t="s">
        <v>510</v>
      </c>
      <c r="D45" s="15" t="s">
        <v>168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290</v>
      </c>
      <c r="L45" s="15" t="s">
        <v>59</v>
      </c>
      <c r="M45" s="15" t="s">
        <v>51</v>
      </c>
      <c r="N45" s="15" t="s">
        <v>40</v>
      </c>
      <c r="O45" s="15" t="s">
        <v>18</v>
      </c>
      <c r="P45" s="36">
        <v>0.5</v>
      </c>
      <c r="V45" s="36">
        <v>0</v>
      </c>
      <c r="W45" s="15" t="s">
        <v>426</v>
      </c>
      <c r="X45" s="15" t="s">
        <v>124</v>
      </c>
      <c r="Y45" s="15" t="s">
        <v>33</v>
      </c>
      <c r="Z45" s="15" t="s">
        <v>57</v>
      </c>
      <c r="AA45" s="15" t="s">
        <v>18</v>
      </c>
      <c r="AB45" s="36">
        <v>133</v>
      </c>
      <c r="AE45" s="15" t="s">
        <v>567</v>
      </c>
    </row>
    <row r="46" spans="1:31" x14ac:dyDescent="0.25">
      <c r="A46" s="15" t="s">
        <v>1214</v>
      </c>
      <c r="B46" s="38">
        <v>43425</v>
      </c>
      <c r="C46" s="15" t="s">
        <v>510</v>
      </c>
      <c r="D46" s="15" t="s">
        <v>168</v>
      </c>
      <c r="E46" s="15" t="s">
        <v>260</v>
      </c>
      <c r="F46" s="15" t="s">
        <v>104</v>
      </c>
      <c r="G46" s="15" t="s">
        <v>45</v>
      </c>
      <c r="H46" s="15" t="s">
        <v>99</v>
      </c>
      <c r="I46" s="15" t="s">
        <v>18</v>
      </c>
      <c r="J46" s="36">
        <v>1</v>
      </c>
      <c r="K46" s="15" t="s">
        <v>314</v>
      </c>
      <c r="L46" s="15" t="s">
        <v>112</v>
      </c>
      <c r="M46" s="15" t="s">
        <v>56</v>
      </c>
      <c r="N46" s="15" t="s">
        <v>40</v>
      </c>
      <c r="O46" s="15" t="s">
        <v>18</v>
      </c>
      <c r="P46" s="36">
        <v>0.5</v>
      </c>
      <c r="V46" s="36">
        <v>0</v>
      </c>
      <c r="W46" s="15" t="s">
        <v>394</v>
      </c>
      <c r="X46" s="15" t="s">
        <v>49</v>
      </c>
      <c r="Y46" s="15" t="s">
        <v>33</v>
      </c>
      <c r="Z46" s="15" t="s">
        <v>87</v>
      </c>
      <c r="AA46" s="15" t="s">
        <v>18</v>
      </c>
      <c r="AB46" s="36">
        <v>0.5</v>
      </c>
      <c r="AE46" s="15" t="s">
        <v>567</v>
      </c>
    </row>
    <row r="47" spans="1:31" x14ac:dyDescent="0.25">
      <c r="A47" s="15" t="s">
        <v>1215</v>
      </c>
      <c r="B47" s="38">
        <v>43426</v>
      </c>
      <c r="C47" s="15" t="s">
        <v>510</v>
      </c>
      <c r="D47" s="15" t="s">
        <v>168</v>
      </c>
      <c r="E47" s="15" t="s">
        <v>260</v>
      </c>
      <c r="F47" s="15" t="s">
        <v>104</v>
      </c>
      <c r="G47" s="15" t="s">
        <v>45</v>
      </c>
      <c r="H47" s="15" t="s">
        <v>99</v>
      </c>
      <c r="I47" s="15" t="s">
        <v>18</v>
      </c>
      <c r="J47" s="36">
        <v>1</v>
      </c>
      <c r="K47" s="15" t="s">
        <v>314</v>
      </c>
      <c r="L47" s="15" t="s">
        <v>112</v>
      </c>
      <c r="M47" s="15" t="s">
        <v>56</v>
      </c>
      <c r="N47" s="15" t="s">
        <v>40</v>
      </c>
      <c r="O47" s="15" t="s">
        <v>18</v>
      </c>
      <c r="P47" s="36">
        <v>0.5</v>
      </c>
      <c r="V47" s="36">
        <v>0</v>
      </c>
      <c r="W47" s="15" t="s">
        <v>426</v>
      </c>
      <c r="X47" s="15" t="s">
        <v>124</v>
      </c>
      <c r="Y47" s="15" t="s">
        <v>33</v>
      </c>
      <c r="Z47" s="15" t="s">
        <v>57</v>
      </c>
      <c r="AA47" s="15" t="s">
        <v>18</v>
      </c>
      <c r="AB47" s="36">
        <v>134</v>
      </c>
      <c r="AE47" s="15" t="s">
        <v>567</v>
      </c>
    </row>
    <row r="48" spans="1:31" x14ac:dyDescent="0.25">
      <c r="A48" s="15" t="s">
        <v>1216</v>
      </c>
      <c r="B48" s="38">
        <v>43427</v>
      </c>
      <c r="C48" s="15" t="s">
        <v>510</v>
      </c>
      <c r="D48" s="15" t="s">
        <v>168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332</v>
      </c>
      <c r="L48" s="15" t="s">
        <v>144</v>
      </c>
      <c r="M48" s="15" t="s">
        <v>80</v>
      </c>
      <c r="N48" s="15" t="s">
        <v>149</v>
      </c>
      <c r="O48" s="15" t="s">
        <v>18</v>
      </c>
      <c r="P48" s="36">
        <v>1</v>
      </c>
      <c r="V48" s="36">
        <v>0</v>
      </c>
      <c r="W48" s="15" t="s">
        <v>394</v>
      </c>
      <c r="X48" s="15" t="s">
        <v>49</v>
      </c>
      <c r="Y48" s="15" t="s">
        <v>33</v>
      </c>
      <c r="Z48" s="15" t="s">
        <v>87</v>
      </c>
      <c r="AA48" s="15" t="s">
        <v>18</v>
      </c>
      <c r="AB48" s="36">
        <v>0.5</v>
      </c>
      <c r="AE48" s="15" t="s">
        <v>567</v>
      </c>
    </row>
    <row r="49" spans="1:31" x14ac:dyDescent="0.25">
      <c r="A49" s="15" t="s">
        <v>1217</v>
      </c>
      <c r="B49" s="38">
        <v>43428</v>
      </c>
      <c r="C49" s="15" t="s">
        <v>510</v>
      </c>
      <c r="D49" s="15" t="s">
        <v>168</v>
      </c>
      <c r="E49" s="15" t="s">
        <v>244</v>
      </c>
      <c r="F49" s="15" t="s">
        <v>64</v>
      </c>
      <c r="G49" s="15" t="s">
        <v>68</v>
      </c>
      <c r="H49" s="15" t="s">
        <v>69</v>
      </c>
      <c r="I49" s="15" t="s">
        <v>18</v>
      </c>
      <c r="J49" s="36">
        <v>2</v>
      </c>
      <c r="K49" s="15" t="s">
        <v>338</v>
      </c>
      <c r="L49" s="15" t="s">
        <v>153</v>
      </c>
      <c r="M49" s="15" t="s">
        <v>74</v>
      </c>
      <c r="N49" s="15" t="s">
        <v>131</v>
      </c>
      <c r="O49" s="15" t="s">
        <v>18</v>
      </c>
      <c r="P49" s="36">
        <v>10</v>
      </c>
      <c r="V49" s="36">
        <v>0</v>
      </c>
      <c r="W49" s="15" t="s">
        <v>426</v>
      </c>
      <c r="X49" s="15" t="s">
        <v>124</v>
      </c>
      <c r="Y49" s="15" t="s">
        <v>33</v>
      </c>
      <c r="Z49" s="15" t="s">
        <v>57</v>
      </c>
      <c r="AA49" s="15" t="s">
        <v>18</v>
      </c>
      <c r="AB49" s="36">
        <v>133</v>
      </c>
      <c r="AE49" s="15" t="s">
        <v>567</v>
      </c>
    </row>
    <row r="50" spans="1:31" x14ac:dyDescent="0.25">
      <c r="A50" s="15" t="s">
        <v>1218</v>
      </c>
      <c r="B50" s="38">
        <v>43429</v>
      </c>
      <c r="C50" s="15" t="s">
        <v>510</v>
      </c>
      <c r="D50" s="15" t="s">
        <v>168</v>
      </c>
      <c r="E50" s="15" t="s">
        <v>244</v>
      </c>
      <c r="F50" s="15" t="s">
        <v>64</v>
      </c>
      <c r="G50" s="15" t="s">
        <v>68</v>
      </c>
      <c r="H50" s="15" t="s">
        <v>69</v>
      </c>
      <c r="I50" s="15" t="s">
        <v>18</v>
      </c>
      <c r="J50" s="36">
        <v>2</v>
      </c>
      <c r="K50" s="15" t="s">
        <v>348</v>
      </c>
      <c r="L50" s="15" t="s">
        <v>53</v>
      </c>
      <c r="M50" s="15" t="s">
        <v>20</v>
      </c>
      <c r="N50" s="15" t="s">
        <v>40</v>
      </c>
      <c r="O50" s="15" t="s">
        <v>18</v>
      </c>
      <c r="P50" s="36">
        <v>1</v>
      </c>
      <c r="V50" s="36">
        <v>0</v>
      </c>
      <c r="W50" s="15" t="s">
        <v>396</v>
      </c>
      <c r="X50" s="15" t="s">
        <v>54</v>
      </c>
      <c r="Y50" s="15" t="s">
        <v>33</v>
      </c>
      <c r="Z50" s="15" t="s">
        <v>87</v>
      </c>
      <c r="AA50" s="15" t="s">
        <v>18</v>
      </c>
      <c r="AB50" s="36">
        <v>1</v>
      </c>
      <c r="AE50" s="15" t="s">
        <v>567</v>
      </c>
    </row>
    <row r="51" spans="1:31" x14ac:dyDescent="0.25">
      <c r="A51" s="15" t="s">
        <v>1219</v>
      </c>
      <c r="B51" s="38">
        <v>43430</v>
      </c>
      <c r="C51" s="15" t="s">
        <v>510</v>
      </c>
      <c r="D51" s="15" t="s">
        <v>168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291</v>
      </c>
      <c r="L51" s="15" t="s">
        <v>65</v>
      </c>
      <c r="M51" s="15" t="s">
        <v>51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438</v>
      </c>
      <c r="X51" s="15" t="s">
        <v>142</v>
      </c>
      <c r="Y51" s="15" t="s">
        <v>51</v>
      </c>
      <c r="Z51" s="15" t="s">
        <v>40</v>
      </c>
      <c r="AA51" s="15" t="s">
        <v>18</v>
      </c>
      <c r="AB51" s="36">
        <v>0.5</v>
      </c>
      <c r="AE51" s="15" t="s">
        <v>567</v>
      </c>
    </row>
    <row r="52" spans="1:31" x14ac:dyDescent="0.25">
      <c r="A52" s="15" t="s">
        <v>1220</v>
      </c>
      <c r="B52" s="38">
        <v>43431</v>
      </c>
      <c r="C52" s="15" t="s">
        <v>510</v>
      </c>
      <c r="D52" s="15" t="s">
        <v>168</v>
      </c>
      <c r="E52" s="15" t="s">
        <v>260</v>
      </c>
      <c r="F52" s="15" t="s">
        <v>104</v>
      </c>
      <c r="G52" s="15" t="s">
        <v>45</v>
      </c>
      <c r="H52" s="15" t="s">
        <v>99</v>
      </c>
      <c r="I52" s="15" t="s">
        <v>18</v>
      </c>
      <c r="J52" s="36">
        <v>1</v>
      </c>
      <c r="K52" s="15" t="s">
        <v>291</v>
      </c>
      <c r="L52" s="15" t="s">
        <v>65</v>
      </c>
      <c r="M52" s="15" t="s">
        <v>51</v>
      </c>
      <c r="N52" s="15" t="s">
        <v>40</v>
      </c>
      <c r="O52" s="15" t="s">
        <v>18</v>
      </c>
      <c r="P52" s="36">
        <v>0.5</v>
      </c>
      <c r="V52" s="36">
        <v>0</v>
      </c>
      <c r="W52" s="15" t="s">
        <v>438</v>
      </c>
      <c r="X52" s="15" t="s">
        <v>142</v>
      </c>
      <c r="Y52" s="15" t="s">
        <v>51</v>
      </c>
      <c r="Z52" s="15" t="s">
        <v>40</v>
      </c>
      <c r="AA52" s="15" t="s">
        <v>18</v>
      </c>
      <c r="AB52" s="36">
        <v>0.5</v>
      </c>
      <c r="AE52" s="15" t="s">
        <v>567</v>
      </c>
    </row>
    <row r="53" spans="1:31" x14ac:dyDescent="0.25">
      <c r="A53" s="15" t="s">
        <v>1221</v>
      </c>
      <c r="B53" s="38">
        <v>43432</v>
      </c>
      <c r="C53" s="15" t="s">
        <v>510</v>
      </c>
      <c r="D53" s="15" t="s">
        <v>168</v>
      </c>
      <c r="E53" s="15" t="s">
        <v>260</v>
      </c>
      <c r="F53" s="15" t="s">
        <v>104</v>
      </c>
      <c r="G53" s="15" t="s">
        <v>45</v>
      </c>
      <c r="H53" s="15" t="s">
        <v>99</v>
      </c>
      <c r="I53" s="15" t="s">
        <v>18</v>
      </c>
      <c r="J53" s="36">
        <v>1</v>
      </c>
      <c r="K53" s="15" t="s">
        <v>316</v>
      </c>
      <c r="L53" s="15" t="s">
        <v>116</v>
      </c>
      <c r="M53" s="15" t="s">
        <v>56</v>
      </c>
      <c r="N53" s="15" t="s">
        <v>40</v>
      </c>
      <c r="O53" s="15" t="s">
        <v>18</v>
      </c>
      <c r="P53" s="36">
        <v>0.5</v>
      </c>
      <c r="V53" s="36">
        <v>0</v>
      </c>
      <c r="W53" s="15" t="s">
        <v>426</v>
      </c>
      <c r="X53" s="15" t="s">
        <v>124</v>
      </c>
      <c r="Y53" s="15" t="s">
        <v>33</v>
      </c>
      <c r="Z53" s="15" t="s">
        <v>57</v>
      </c>
      <c r="AA53" s="15" t="s">
        <v>18</v>
      </c>
      <c r="AB53" s="36">
        <v>133</v>
      </c>
      <c r="AE53" s="15" t="s">
        <v>567</v>
      </c>
    </row>
    <row r="54" spans="1:31" x14ac:dyDescent="0.25">
      <c r="A54" s="15" t="s">
        <v>1222</v>
      </c>
      <c r="B54" s="38">
        <v>43433</v>
      </c>
      <c r="C54" s="15" t="s">
        <v>510</v>
      </c>
      <c r="D54" s="15" t="s">
        <v>168</v>
      </c>
      <c r="E54" s="15" t="s">
        <v>260</v>
      </c>
      <c r="F54" s="15" t="s">
        <v>104</v>
      </c>
      <c r="G54" s="15" t="s">
        <v>45</v>
      </c>
      <c r="H54" s="15" t="s">
        <v>99</v>
      </c>
      <c r="I54" s="15" t="s">
        <v>18</v>
      </c>
      <c r="J54" s="36">
        <v>1</v>
      </c>
      <c r="K54" s="15" t="s">
        <v>316</v>
      </c>
      <c r="L54" s="15" t="s">
        <v>116</v>
      </c>
      <c r="M54" s="15" t="s">
        <v>56</v>
      </c>
      <c r="N54" s="15" t="s">
        <v>40</v>
      </c>
      <c r="O54" s="15" t="s">
        <v>18</v>
      </c>
      <c r="P54" s="36">
        <v>0.5</v>
      </c>
      <c r="V54" s="36">
        <v>0</v>
      </c>
      <c r="W54" s="15" t="s">
        <v>396</v>
      </c>
      <c r="X54" s="15" t="s">
        <v>54</v>
      </c>
      <c r="Y54" s="15" t="s">
        <v>33</v>
      </c>
      <c r="Z54" s="15" t="s">
        <v>87</v>
      </c>
      <c r="AA54" s="15" t="s">
        <v>18</v>
      </c>
      <c r="AB54" s="36">
        <v>1</v>
      </c>
      <c r="AE54" s="15" t="s">
        <v>567</v>
      </c>
    </row>
    <row r="55" spans="1:31" x14ac:dyDescent="0.25">
      <c r="A55" s="15" t="s">
        <v>1223</v>
      </c>
      <c r="B55" s="38">
        <v>43434</v>
      </c>
      <c r="C55" s="15" t="s">
        <v>510</v>
      </c>
      <c r="D55" s="15" t="s">
        <v>168</v>
      </c>
      <c r="E55" s="15" t="s">
        <v>260</v>
      </c>
      <c r="F55" s="15" t="s">
        <v>104</v>
      </c>
      <c r="G55" s="15" t="s">
        <v>45</v>
      </c>
      <c r="H55" s="15" t="s">
        <v>99</v>
      </c>
      <c r="I55" s="15" t="s">
        <v>18</v>
      </c>
      <c r="J55" s="36">
        <v>1</v>
      </c>
      <c r="K55" s="15" t="s">
        <v>334</v>
      </c>
      <c r="L55" s="15" t="s">
        <v>147</v>
      </c>
      <c r="M55" s="15" t="s">
        <v>80</v>
      </c>
      <c r="N55" s="15" t="s">
        <v>34</v>
      </c>
      <c r="O55" s="15" t="s">
        <v>18</v>
      </c>
      <c r="P55" s="36">
        <v>1</v>
      </c>
      <c r="V55" s="36">
        <v>0</v>
      </c>
      <c r="W55" s="15" t="s">
        <v>426</v>
      </c>
      <c r="X55" s="15" t="s">
        <v>124</v>
      </c>
      <c r="Y55" s="15" t="s">
        <v>33</v>
      </c>
      <c r="Z55" s="15" t="s">
        <v>57</v>
      </c>
      <c r="AA55" s="15" t="s">
        <v>18</v>
      </c>
      <c r="AB55" s="36">
        <v>134</v>
      </c>
      <c r="AE55" s="15" t="s">
        <v>567</v>
      </c>
    </row>
    <row r="56" spans="1:31" x14ac:dyDescent="0.25">
      <c r="A56" s="15" t="s">
        <v>1341</v>
      </c>
      <c r="B56" s="38">
        <v>43407</v>
      </c>
      <c r="C56" s="15" t="s">
        <v>510</v>
      </c>
      <c r="D56" s="15" t="s">
        <v>168</v>
      </c>
      <c r="J56" s="36">
        <v>0</v>
      </c>
      <c r="P56" s="36">
        <v>0</v>
      </c>
      <c r="V56" s="36">
        <v>0</v>
      </c>
      <c r="W56" s="15" t="s">
        <v>450</v>
      </c>
      <c r="X56" s="15" t="s">
        <v>157</v>
      </c>
      <c r="Y56" s="15" t="s">
        <v>62</v>
      </c>
      <c r="Z56" s="15" t="s">
        <v>111</v>
      </c>
      <c r="AA56" s="15" t="s">
        <v>25</v>
      </c>
      <c r="AB56" s="36">
        <v>1</v>
      </c>
      <c r="AE56" s="15" t="s">
        <v>570</v>
      </c>
    </row>
    <row r="57" spans="1:31" x14ac:dyDescent="0.25">
      <c r="A57" s="15" t="s">
        <v>1342</v>
      </c>
      <c r="B57" s="38">
        <v>43408</v>
      </c>
      <c r="C57" s="15" t="s">
        <v>510</v>
      </c>
      <c r="D57" s="15" t="s">
        <v>168</v>
      </c>
      <c r="J57" s="36">
        <v>0</v>
      </c>
      <c r="P57" s="36">
        <v>0</v>
      </c>
      <c r="V57" s="36">
        <v>0</v>
      </c>
      <c r="W57" s="15" t="s">
        <v>452</v>
      </c>
      <c r="X57" s="15" t="s">
        <v>159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570</v>
      </c>
    </row>
    <row r="58" spans="1:31" x14ac:dyDescent="0.25">
      <c r="A58" s="15" t="s">
        <v>1343</v>
      </c>
      <c r="B58" s="38">
        <v>43414</v>
      </c>
      <c r="C58" s="15" t="s">
        <v>510</v>
      </c>
      <c r="D58" s="15" t="s">
        <v>168</v>
      </c>
      <c r="J58" s="36">
        <v>0</v>
      </c>
      <c r="P58" s="36">
        <v>0</v>
      </c>
      <c r="V58" s="36">
        <v>0</v>
      </c>
      <c r="W58" s="15" t="s">
        <v>440</v>
      </c>
      <c r="X58" s="15" t="s">
        <v>145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570</v>
      </c>
    </row>
    <row r="59" spans="1:31" x14ac:dyDescent="0.25">
      <c r="A59" s="15" t="s">
        <v>1344</v>
      </c>
      <c r="B59" s="38">
        <v>43415</v>
      </c>
      <c r="C59" s="15" t="s">
        <v>510</v>
      </c>
      <c r="D59" s="15" t="s">
        <v>168</v>
      </c>
      <c r="J59" s="36">
        <v>0</v>
      </c>
      <c r="P59" s="36">
        <v>0</v>
      </c>
      <c r="V59" s="36">
        <v>0</v>
      </c>
      <c r="W59" s="15" t="s">
        <v>442</v>
      </c>
      <c r="X59" s="15" t="s">
        <v>148</v>
      </c>
      <c r="Y59" s="15" t="s">
        <v>62</v>
      </c>
      <c r="Z59" s="15" t="s">
        <v>111</v>
      </c>
      <c r="AA59" s="15" t="s">
        <v>25</v>
      </c>
      <c r="AB59" s="36">
        <v>1</v>
      </c>
      <c r="AC59" s="15" t="s">
        <v>464</v>
      </c>
      <c r="AD59" s="15" t="s">
        <v>11</v>
      </c>
      <c r="AE59" s="15" t="s">
        <v>570</v>
      </c>
    </row>
    <row r="60" spans="1:31" x14ac:dyDescent="0.25">
      <c r="A60" s="15" t="s">
        <v>1345</v>
      </c>
      <c r="B60" s="38">
        <v>43421</v>
      </c>
      <c r="C60" s="15" t="s">
        <v>510</v>
      </c>
      <c r="D60" s="15" t="s">
        <v>168</v>
      </c>
      <c r="J60" s="36">
        <v>0</v>
      </c>
      <c r="P60" s="36">
        <v>0</v>
      </c>
      <c r="V60" s="36">
        <v>0</v>
      </c>
      <c r="W60" s="15" t="s">
        <v>444</v>
      </c>
      <c r="X60" s="15" t="s">
        <v>151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570</v>
      </c>
    </row>
    <row r="61" spans="1:31" x14ac:dyDescent="0.25">
      <c r="A61" s="15" t="s">
        <v>1346</v>
      </c>
      <c r="B61" s="38">
        <v>43422</v>
      </c>
      <c r="C61" s="15" t="s">
        <v>510</v>
      </c>
      <c r="D61" s="15" t="s">
        <v>168</v>
      </c>
      <c r="J61" s="36">
        <v>0</v>
      </c>
      <c r="P61" s="36">
        <v>0</v>
      </c>
      <c r="V61" s="36">
        <v>0</v>
      </c>
      <c r="W61" s="15" t="s">
        <v>446</v>
      </c>
      <c r="X61" s="15" t="s">
        <v>154</v>
      </c>
      <c r="Y61" s="15" t="s">
        <v>62</v>
      </c>
      <c r="Z61" s="15" t="s">
        <v>111</v>
      </c>
      <c r="AA61" s="15" t="s">
        <v>25</v>
      </c>
      <c r="AB61" s="36">
        <v>1</v>
      </c>
      <c r="AE61" s="15" t="s">
        <v>570</v>
      </c>
    </row>
    <row r="62" spans="1:31" x14ac:dyDescent="0.25">
      <c r="A62" s="15" t="s">
        <v>1347</v>
      </c>
      <c r="B62" s="38">
        <v>43428</v>
      </c>
      <c r="C62" s="15" t="s">
        <v>510</v>
      </c>
      <c r="D62" s="15" t="s">
        <v>168</v>
      </c>
      <c r="J62" s="36">
        <v>0</v>
      </c>
      <c r="P62" s="36">
        <v>0</v>
      </c>
      <c r="V62" s="36">
        <v>0</v>
      </c>
      <c r="W62" s="15" t="s">
        <v>448</v>
      </c>
      <c r="X62" s="15" t="s">
        <v>102</v>
      </c>
      <c r="Y62" s="15" t="s">
        <v>62</v>
      </c>
      <c r="Z62" s="15" t="s">
        <v>140</v>
      </c>
      <c r="AA62" s="15" t="s">
        <v>25</v>
      </c>
      <c r="AB62" s="36">
        <v>1</v>
      </c>
      <c r="AE62" s="15" t="s">
        <v>570</v>
      </c>
    </row>
    <row r="63" spans="1:31" x14ac:dyDescent="0.25">
      <c r="A63" s="15" t="s">
        <v>1348</v>
      </c>
      <c r="B63" s="38">
        <v>43429</v>
      </c>
      <c r="C63" s="15" t="s">
        <v>510</v>
      </c>
      <c r="D63" s="15" t="s">
        <v>168</v>
      </c>
      <c r="J63" s="36">
        <v>0</v>
      </c>
      <c r="P63" s="36">
        <v>0</v>
      </c>
      <c r="V63" s="36">
        <v>0</v>
      </c>
      <c r="W63" s="15" t="s">
        <v>450</v>
      </c>
      <c r="X63" s="15" t="s">
        <v>157</v>
      </c>
      <c r="Y63" s="15" t="s">
        <v>62</v>
      </c>
      <c r="Z63" s="15" t="s">
        <v>111</v>
      </c>
      <c r="AA63" s="15" t="s">
        <v>25</v>
      </c>
      <c r="AB63" s="36">
        <v>1</v>
      </c>
      <c r="AE63" s="15" t="s">
        <v>570</v>
      </c>
    </row>
  </sheetData>
  <mergeCells count="1">
    <mergeCell ref="A1:A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Décembre"/>
  <dimension ref="A1:AE65"/>
  <sheetViews>
    <sheetView workbookViewId="0">
      <selection activeCell="A65" sqref="A65"/>
    </sheetView>
  </sheetViews>
  <sheetFormatPr baseColWidth="10" defaultColWidth="11.07421875" defaultRowHeight="13.2" x14ac:dyDescent="0.25"/>
  <cols>
    <col min="1" max="1" width="11.07421875" style="15"/>
    <col min="2" max="2" width="17.15234375" style="38" bestFit="1" customWidth="1"/>
    <col min="3" max="3" width="15.4609375" style="15" bestFit="1" customWidth="1"/>
    <col min="4" max="4" width="12" style="15" bestFit="1" customWidth="1"/>
    <col min="5" max="5" width="8.69140625" style="15" bestFit="1" customWidth="1"/>
    <col min="6" max="6" width="5.3828125" style="15" bestFit="1" customWidth="1"/>
    <col min="7" max="7" width="20.61328125" style="15" bestFit="1" customWidth="1"/>
    <col min="8" max="8" width="31.84375" style="15" bestFit="1" customWidth="1"/>
    <col min="9" max="9" width="12.4609375" style="15" bestFit="1" customWidth="1"/>
    <col min="10" max="10" width="10.07421875" style="36" bestFit="1" customWidth="1"/>
    <col min="11" max="11" width="8.53515625" style="15" bestFit="1" customWidth="1"/>
    <col min="12" max="12" width="15" style="15" bestFit="1" customWidth="1"/>
    <col min="13" max="13" width="13.921875" style="15" bestFit="1" customWidth="1"/>
    <col min="14" max="14" width="19.07421875" style="15" bestFit="1" customWidth="1"/>
    <col min="15" max="15" width="12.23046875" style="15" bestFit="1" customWidth="1"/>
    <col min="16" max="16" width="10.53515625" style="36" bestFit="1" customWidth="1"/>
    <col min="17" max="17" width="11.84375" style="15" bestFit="1" customWidth="1"/>
    <col min="18" max="18" width="8.69140625" style="15" bestFit="1" customWidth="1"/>
    <col min="19" max="19" width="11.4609375" style="15" bestFit="1" customWidth="1"/>
    <col min="20" max="20" width="19.07421875" style="15" bestFit="1" customWidth="1"/>
    <col min="21" max="21" width="15.53515625" style="15" bestFit="1" customWidth="1"/>
    <col min="22" max="22" width="13.84375" style="36" bestFit="1" customWidth="1"/>
    <col min="23" max="23" width="8.15234375" style="15" bestFit="1" customWidth="1"/>
    <col min="24" max="24" width="10.53515625" style="15" bestFit="1" customWidth="1"/>
    <col min="25" max="25" width="13.921875" style="15" bestFit="1" customWidth="1"/>
    <col min="26" max="26" width="29.69140625" style="15" bestFit="1" customWidth="1"/>
    <col min="27" max="27" width="11.84375" style="15" bestFit="1" customWidth="1"/>
    <col min="28" max="28" width="9.84375" style="36" customWidth="1"/>
    <col min="29" max="29" width="12.07421875" style="15" bestFit="1" customWidth="1"/>
    <col min="30" max="30" width="8.07421875" style="15" bestFit="1" customWidth="1"/>
    <col min="31" max="31" width="18.07421875" style="15" bestFit="1" customWidth="1"/>
    <col min="32" max="16384" width="11.07421875" style="15"/>
  </cols>
  <sheetData>
    <row r="1" spans="1:31" x14ac:dyDescent="0.25">
      <c r="A1" s="69" t="s">
        <v>858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3" spans="1:31" s="1" customFormat="1" x14ac:dyDescent="0.25">
      <c r="A3" s="1" t="s">
        <v>514</v>
      </c>
      <c r="B3" s="39" t="s">
        <v>515</v>
      </c>
      <c r="C3" s="1" t="s">
        <v>221</v>
      </c>
      <c r="D3" s="1" t="s">
        <v>9</v>
      </c>
      <c r="E3" s="1" t="s">
        <v>516</v>
      </c>
      <c r="F3" s="1" t="s">
        <v>517</v>
      </c>
      <c r="G3" s="16" t="s">
        <v>518</v>
      </c>
      <c r="H3" s="16" t="s">
        <v>519</v>
      </c>
      <c r="I3" s="1" t="s">
        <v>534</v>
      </c>
      <c r="J3" s="17" t="s">
        <v>520</v>
      </c>
      <c r="K3" s="1" t="s">
        <v>521</v>
      </c>
      <c r="L3" s="16" t="s">
        <v>522</v>
      </c>
      <c r="M3" s="16" t="s">
        <v>523</v>
      </c>
      <c r="N3" s="1" t="s">
        <v>524</v>
      </c>
      <c r="O3" s="1" t="s">
        <v>535</v>
      </c>
      <c r="P3" s="17" t="s">
        <v>525</v>
      </c>
      <c r="Q3" s="1" t="s">
        <v>201</v>
      </c>
      <c r="R3" s="1" t="s">
        <v>6</v>
      </c>
      <c r="S3" s="1" t="s">
        <v>225</v>
      </c>
      <c r="T3" s="1" t="s">
        <v>202</v>
      </c>
      <c r="U3" s="1" t="s">
        <v>203</v>
      </c>
      <c r="V3" s="17" t="s">
        <v>526</v>
      </c>
      <c r="W3" s="1" t="s">
        <v>527</v>
      </c>
      <c r="X3" s="42" t="s">
        <v>528</v>
      </c>
      <c r="Y3" s="16" t="s">
        <v>529</v>
      </c>
      <c r="Z3" s="16" t="s">
        <v>530</v>
      </c>
      <c r="AA3" s="1" t="s">
        <v>536</v>
      </c>
      <c r="AB3" s="17" t="s">
        <v>531</v>
      </c>
      <c r="AC3" s="1" t="s">
        <v>532</v>
      </c>
      <c r="AD3" s="1" t="s">
        <v>533</v>
      </c>
      <c r="AE3" s="16" t="s">
        <v>185</v>
      </c>
    </row>
    <row r="4" spans="1:31" x14ac:dyDescent="0.25">
      <c r="A4" s="15" t="s">
        <v>857</v>
      </c>
      <c r="B4" s="38">
        <v>43437</v>
      </c>
      <c r="C4" s="15" t="s">
        <v>512</v>
      </c>
      <c r="D4" s="15" t="s">
        <v>169</v>
      </c>
      <c r="E4" s="15" t="s">
        <v>272</v>
      </c>
      <c r="F4" s="15" t="s">
        <v>104</v>
      </c>
      <c r="G4" s="15" t="s">
        <v>39</v>
      </c>
      <c r="H4" s="15" t="s">
        <v>99</v>
      </c>
      <c r="I4" s="15" t="s">
        <v>10</v>
      </c>
      <c r="J4" s="36">
        <v>1</v>
      </c>
      <c r="K4" s="15" t="s">
        <v>376</v>
      </c>
      <c r="L4" s="15" t="s">
        <v>141</v>
      </c>
      <c r="M4" s="15" t="s">
        <v>39</v>
      </c>
      <c r="N4" s="15" t="s">
        <v>224</v>
      </c>
      <c r="O4" s="15" t="s">
        <v>10</v>
      </c>
      <c r="P4" s="36">
        <v>0.5</v>
      </c>
      <c r="V4" s="36">
        <v>0</v>
      </c>
      <c r="W4" s="15" t="s">
        <v>459</v>
      </c>
      <c r="X4" s="15" t="s">
        <v>165</v>
      </c>
      <c r="Y4" s="15" t="s">
        <v>39</v>
      </c>
      <c r="Z4" s="15" t="s">
        <v>63</v>
      </c>
      <c r="AA4" s="15" t="s">
        <v>10</v>
      </c>
      <c r="AB4" s="36">
        <v>100</v>
      </c>
      <c r="AE4" s="15" t="s">
        <v>556</v>
      </c>
    </row>
    <row r="5" spans="1:31" x14ac:dyDescent="0.25">
      <c r="A5" s="15" t="s">
        <v>860</v>
      </c>
      <c r="B5" s="38">
        <v>43438</v>
      </c>
      <c r="C5" s="15" t="s">
        <v>512</v>
      </c>
      <c r="D5" s="15" t="s">
        <v>169</v>
      </c>
      <c r="E5" s="15" t="s">
        <v>272</v>
      </c>
      <c r="F5" s="15" t="s">
        <v>104</v>
      </c>
      <c r="G5" s="15" t="s">
        <v>39</v>
      </c>
      <c r="H5" s="15" t="s">
        <v>99</v>
      </c>
      <c r="I5" s="15" t="s">
        <v>10</v>
      </c>
      <c r="J5" s="36">
        <v>1</v>
      </c>
      <c r="K5" s="15" t="s">
        <v>378</v>
      </c>
      <c r="L5" s="15" t="s">
        <v>93</v>
      </c>
      <c r="M5" s="15" t="s">
        <v>39</v>
      </c>
      <c r="N5" s="15" t="s">
        <v>125</v>
      </c>
      <c r="O5" s="15" t="s">
        <v>10</v>
      </c>
      <c r="P5" s="36">
        <v>25</v>
      </c>
      <c r="V5" s="36">
        <v>0</v>
      </c>
      <c r="W5" s="15" t="s">
        <v>459</v>
      </c>
      <c r="X5" s="15" t="s">
        <v>165</v>
      </c>
      <c r="Y5" s="15" t="s">
        <v>39</v>
      </c>
      <c r="Z5" s="15" t="s">
        <v>63</v>
      </c>
      <c r="AA5" s="15" t="s">
        <v>10</v>
      </c>
      <c r="AB5" s="36">
        <v>100</v>
      </c>
      <c r="AE5" s="15" t="s">
        <v>556</v>
      </c>
    </row>
    <row r="6" spans="1:31" x14ac:dyDescent="0.25">
      <c r="A6" s="15" t="s">
        <v>861</v>
      </c>
      <c r="B6" s="38">
        <v>43439</v>
      </c>
      <c r="C6" s="15" t="s">
        <v>512</v>
      </c>
      <c r="D6" s="15" t="s">
        <v>169</v>
      </c>
      <c r="E6" s="15" t="s">
        <v>272</v>
      </c>
      <c r="F6" s="15" t="s">
        <v>104</v>
      </c>
      <c r="G6" s="15" t="s">
        <v>39</v>
      </c>
      <c r="H6" s="15" t="s">
        <v>99</v>
      </c>
      <c r="I6" s="15" t="s">
        <v>10</v>
      </c>
      <c r="J6" s="36">
        <v>1</v>
      </c>
      <c r="K6" s="15" t="s">
        <v>380</v>
      </c>
      <c r="L6" s="15" t="s">
        <v>144</v>
      </c>
      <c r="M6" s="15" t="s">
        <v>39</v>
      </c>
      <c r="N6" s="15" t="s">
        <v>149</v>
      </c>
      <c r="O6" s="15" t="s">
        <v>10</v>
      </c>
      <c r="P6" s="36">
        <v>1</v>
      </c>
      <c r="V6" s="36">
        <v>0</v>
      </c>
      <c r="W6" s="15" t="s">
        <v>459</v>
      </c>
      <c r="X6" s="15" t="s">
        <v>165</v>
      </c>
      <c r="Y6" s="15" t="s">
        <v>39</v>
      </c>
      <c r="Z6" s="15" t="s">
        <v>63</v>
      </c>
      <c r="AA6" s="15" t="s">
        <v>10</v>
      </c>
      <c r="AB6" s="36">
        <v>100</v>
      </c>
      <c r="AE6" s="15" t="s">
        <v>556</v>
      </c>
    </row>
    <row r="7" spans="1:31" x14ac:dyDescent="0.25">
      <c r="A7" s="15" t="s">
        <v>859</v>
      </c>
      <c r="B7" s="38">
        <v>43440</v>
      </c>
      <c r="C7" s="15" t="s">
        <v>512</v>
      </c>
      <c r="D7" s="15" t="s">
        <v>169</v>
      </c>
      <c r="E7" s="15" t="s">
        <v>272</v>
      </c>
      <c r="F7" s="15" t="s">
        <v>104</v>
      </c>
      <c r="G7" s="15" t="s">
        <v>39</v>
      </c>
      <c r="H7" s="15" t="s">
        <v>99</v>
      </c>
      <c r="I7" s="15" t="s">
        <v>10</v>
      </c>
      <c r="J7" s="36">
        <v>1</v>
      </c>
      <c r="K7" s="15" t="s">
        <v>382</v>
      </c>
      <c r="L7" s="15" t="s">
        <v>150</v>
      </c>
      <c r="M7" s="15" t="s">
        <v>39</v>
      </c>
      <c r="N7" s="15" t="s">
        <v>155</v>
      </c>
      <c r="O7" s="15" t="s">
        <v>10</v>
      </c>
      <c r="P7" s="36">
        <v>2</v>
      </c>
      <c r="V7" s="36">
        <v>0</v>
      </c>
      <c r="W7" s="15" t="s">
        <v>459</v>
      </c>
      <c r="X7" s="15" t="s">
        <v>165</v>
      </c>
      <c r="Y7" s="15" t="s">
        <v>39</v>
      </c>
      <c r="Z7" s="15" t="s">
        <v>63</v>
      </c>
      <c r="AA7" s="15" t="s">
        <v>10</v>
      </c>
      <c r="AB7" s="36">
        <v>100</v>
      </c>
      <c r="AE7" s="15" t="s">
        <v>556</v>
      </c>
    </row>
    <row r="8" spans="1:31" x14ac:dyDescent="0.25">
      <c r="A8" s="15" t="s">
        <v>862</v>
      </c>
      <c r="B8" s="38">
        <v>43441</v>
      </c>
      <c r="C8" s="15" t="s">
        <v>512</v>
      </c>
      <c r="D8" s="15" t="s">
        <v>169</v>
      </c>
      <c r="E8" s="15" t="s">
        <v>272</v>
      </c>
      <c r="F8" s="15" t="s">
        <v>104</v>
      </c>
      <c r="G8" s="15" t="s">
        <v>39</v>
      </c>
      <c r="H8" s="15" t="s">
        <v>99</v>
      </c>
      <c r="I8" s="15" t="s">
        <v>10</v>
      </c>
      <c r="J8" s="36">
        <v>1</v>
      </c>
      <c r="K8" s="15" t="s">
        <v>350</v>
      </c>
      <c r="L8" s="15" t="s">
        <v>15</v>
      </c>
      <c r="M8" s="15" t="s">
        <v>39</v>
      </c>
      <c r="N8" s="15" t="s">
        <v>34</v>
      </c>
      <c r="O8" s="15" t="s">
        <v>10</v>
      </c>
      <c r="P8" s="36">
        <v>1</v>
      </c>
      <c r="V8" s="36">
        <v>0</v>
      </c>
      <c r="W8" s="15" t="s">
        <v>459</v>
      </c>
      <c r="X8" s="15" t="s">
        <v>165</v>
      </c>
      <c r="Y8" s="15" t="s">
        <v>39</v>
      </c>
      <c r="Z8" s="15" t="s">
        <v>63</v>
      </c>
      <c r="AA8" s="15" t="s">
        <v>10</v>
      </c>
      <c r="AB8" s="36">
        <v>100</v>
      </c>
      <c r="AE8" s="15" t="s">
        <v>556</v>
      </c>
    </row>
    <row r="9" spans="1:31" x14ac:dyDescent="0.25">
      <c r="A9" s="15" t="s">
        <v>863</v>
      </c>
      <c r="B9" s="38">
        <v>43444</v>
      </c>
      <c r="C9" s="15" t="s">
        <v>512</v>
      </c>
      <c r="D9" s="15" t="s">
        <v>169</v>
      </c>
      <c r="E9" s="15" t="s">
        <v>272</v>
      </c>
      <c r="F9" s="15" t="s">
        <v>104</v>
      </c>
      <c r="G9" s="15" t="s">
        <v>39</v>
      </c>
      <c r="H9" s="15" t="s">
        <v>99</v>
      </c>
      <c r="I9" s="15" t="s">
        <v>10</v>
      </c>
      <c r="J9" s="36">
        <v>1</v>
      </c>
      <c r="K9" s="15" t="s">
        <v>352</v>
      </c>
      <c r="L9" s="15" t="s">
        <v>123</v>
      </c>
      <c r="M9" s="15" t="s">
        <v>39</v>
      </c>
      <c r="N9" s="15" t="s">
        <v>140</v>
      </c>
      <c r="O9" s="15" t="s">
        <v>10</v>
      </c>
      <c r="P9" s="36">
        <v>1</v>
      </c>
      <c r="V9" s="36">
        <v>0</v>
      </c>
      <c r="W9" s="15" t="s">
        <v>462</v>
      </c>
      <c r="X9" s="15" t="s">
        <v>166</v>
      </c>
      <c r="Y9" s="15" t="s">
        <v>39</v>
      </c>
      <c r="Z9" s="15" t="s">
        <v>63</v>
      </c>
      <c r="AA9" s="15" t="s">
        <v>10</v>
      </c>
      <c r="AB9" s="36">
        <v>100</v>
      </c>
      <c r="AE9" s="15" t="s">
        <v>556</v>
      </c>
    </row>
    <row r="10" spans="1:31" x14ac:dyDescent="0.25">
      <c r="A10" s="15" t="s">
        <v>864</v>
      </c>
      <c r="B10" s="38">
        <v>43445</v>
      </c>
      <c r="C10" s="15" t="s">
        <v>512</v>
      </c>
      <c r="D10" s="15" t="s">
        <v>169</v>
      </c>
      <c r="E10" s="15" t="s">
        <v>272</v>
      </c>
      <c r="F10" s="15" t="s">
        <v>104</v>
      </c>
      <c r="G10" s="15" t="s">
        <v>39</v>
      </c>
      <c r="H10" s="15" t="s">
        <v>99</v>
      </c>
      <c r="I10" s="15" t="s">
        <v>10</v>
      </c>
      <c r="J10" s="36">
        <v>1</v>
      </c>
      <c r="K10" s="15" t="s">
        <v>354</v>
      </c>
      <c r="L10" s="15" t="s">
        <v>129</v>
      </c>
      <c r="M10" s="15" t="s">
        <v>39</v>
      </c>
      <c r="N10" s="15" t="s">
        <v>155</v>
      </c>
      <c r="O10" s="15" t="s">
        <v>10</v>
      </c>
      <c r="P10" s="36">
        <v>2</v>
      </c>
      <c r="V10" s="36">
        <v>0</v>
      </c>
      <c r="W10" s="15" t="s">
        <v>462</v>
      </c>
      <c r="X10" s="15" t="s">
        <v>166</v>
      </c>
      <c r="Y10" s="15" t="s">
        <v>39</v>
      </c>
      <c r="Z10" s="15" t="s">
        <v>63</v>
      </c>
      <c r="AA10" s="15" t="s">
        <v>10</v>
      </c>
      <c r="AB10" s="36">
        <v>100</v>
      </c>
      <c r="AE10" s="15" t="s">
        <v>556</v>
      </c>
    </row>
    <row r="11" spans="1:31" x14ac:dyDescent="0.25">
      <c r="A11" s="15" t="s">
        <v>865</v>
      </c>
      <c r="B11" s="38">
        <v>43446</v>
      </c>
      <c r="C11" s="15" t="s">
        <v>512</v>
      </c>
      <c r="D11" s="15" t="s">
        <v>169</v>
      </c>
      <c r="E11" s="15" t="s">
        <v>272</v>
      </c>
      <c r="F11" s="15" t="s">
        <v>104</v>
      </c>
      <c r="G11" s="15" t="s">
        <v>39</v>
      </c>
      <c r="H11" s="15" t="s">
        <v>99</v>
      </c>
      <c r="I11" s="15" t="s">
        <v>10</v>
      </c>
      <c r="J11" s="36">
        <v>1</v>
      </c>
      <c r="K11" s="15" t="s">
        <v>356</v>
      </c>
      <c r="L11" s="15" t="s">
        <v>132</v>
      </c>
      <c r="M11" s="15" t="s">
        <v>39</v>
      </c>
      <c r="N11" s="15" t="s">
        <v>134</v>
      </c>
      <c r="O11" s="15" t="s">
        <v>10</v>
      </c>
      <c r="P11" s="36">
        <v>1</v>
      </c>
      <c r="V11" s="36">
        <v>0</v>
      </c>
      <c r="W11" s="15" t="s">
        <v>462</v>
      </c>
      <c r="X11" s="15" t="s">
        <v>166</v>
      </c>
      <c r="Y11" s="15" t="s">
        <v>39</v>
      </c>
      <c r="Z11" s="15" t="s">
        <v>63</v>
      </c>
      <c r="AA11" s="15" t="s">
        <v>10</v>
      </c>
      <c r="AB11" s="36">
        <v>100</v>
      </c>
      <c r="AE11" s="15" t="s">
        <v>556</v>
      </c>
    </row>
    <row r="12" spans="1:31" x14ac:dyDescent="0.25">
      <c r="A12" s="15" t="s">
        <v>866</v>
      </c>
      <c r="B12" s="38">
        <v>43447</v>
      </c>
      <c r="C12" s="15" t="s">
        <v>512</v>
      </c>
      <c r="D12" s="15" t="s">
        <v>169</v>
      </c>
      <c r="E12" s="15" t="s">
        <v>272</v>
      </c>
      <c r="F12" s="15" t="s">
        <v>104</v>
      </c>
      <c r="G12" s="15" t="s">
        <v>39</v>
      </c>
      <c r="H12" s="15" t="s">
        <v>99</v>
      </c>
      <c r="I12" s="15" t="s">
        <v>10</v>
      </c>
      <c r="J12" s="36">
        <v>1</v>
      </c>
      <c r="K12" s="15" t="s">
        <v>358</v>
      </c>
      <c r="L12" s="15" t="s">
        <v>135</v>
      </c>
      <c r="M12" s="15" t="s">
        <v>39</v>
      </c>
      <c r="N12" s="15" t="s">
        <v>34</v>
      </c>
      <c r="O12" s="15" t="s">
        <v>10</v>
      </c>
      <c r="P12" s="36">
        <v>1</v>
      </c>
      <c r="V12" s="36">
        <v>0</v>
      </c>
      <c r="W12" s="15" t="s">
        <v>462</v>
      </c>
      <c r="X12" s="15" t="s">
        <v>166</v>
      </c>
      <c r="Y12" s="15" t="s">
        <v>39</v>
      </c>
      <c r="Z12" s="15" t="s">
        <v>63</v>
      </c>
      <c r="AA12" s="15" t="s">
        <v>10</v>
      </c>
      <c r="AB12" s="36">
        <v>100</v>
      </c>
      <c r="AE12" s="15" t="s">
        <v>556</v>
      </c>
    </row>
    <row r="13" spans="1:31" x14ac:dyDescent="0.25">
      <c r="A13" s="15" t="s">
        <v>867</v>
      </c>
      <c r="B13" s="38">
        <v>43448</v>
      </c>
      <c r="C13" s="15" t="s">
        <v>512</v>
      </c>
      <c r="D13" s="15" t="s">
        <v>169</v>
      </c>
      <c r="E13" s="15" t="s">
        <v>272</v>
      </c>
      <c r="F13" s="15" t="s">
        <v>104</v>
      </c>
      <c r="G13" s="15" t="s">
        <v>39</v>
      </c>
      <c r="H13" s="15" t="s">
        <v>99</v>
      </c>
      <c r="I13" s="15" t="s">
        <v>10</v>
      </c>
      <c r="J13" s="36">
        <v>1</v>
      </c>
      <c r="K13" s="15" t="s">
        <v>360</v>
      </c>
      <c r="L13" s="15" t="s">
        <v>138</v>
      </c>
      <c r="M13" s="15" t="s">
        <v>39</v>
      </c>
      <c r="N13" s="15" t="s">
        <v>140</v>
      </c>
      <c r="O13" s="15" t="s">
        <v>10</v>
      </c>
      <c r="P13" s="36">
        <v>1</v>
      </c>
      <c r="V13" s="36">
        <v>0</v>
      </c>
      <c r="W13" s="15" t="s">
        <v>462</v>
      </c>
      <c r="X13" s="15" t="s">
        <v>166</v>
      </c>
      <c r="Y13" s="15" t="s">
        <v>39</v>
      </c>
      <c r="Z13" s="15" t="s">
        <v>63</v>
      </c>
      <c r="AA13" s="15" t="s">
        <v>10</v>
      </c>
      <c r="AB13" s="36">
        <v>100</v>
      </c>
      <c r="AE13" s="15" t="s">
        <v>556</v>
      </c>
    </row>
    <row r="14" spans="1:31" x14ac:dyDescent="0.25">
      <c r="A14" s="15" t="s">
        <v>868</v>
      </c>
      <c r="B14" s="38">
        <v>43451</v>
      </c>
      <c r="C14" s="15" t="s">
        <v>512</v>
      </c>
      <c r="D14" s="15" t="s">
        <v>169</v>
      </c>
      <c r="E14" s="15" t="s">
        <v>272</v>
      </c>
      <c r="F14" s="15" t="s">
        <v>104</v>
      </c>
      <c r="G14" s="15" t="s">
        <v>39</v>
      </c>
      <c r="H14" s="15" t="s">
        <v>99</v>
      </c>
      <c r="I14" s="15" t="s">
        <v>10</v>
      </c>
      <c r="J14" s="36">
        <v>1</v>
      </c>
      <c r="K14" s="15" t="s">
        <v>362</v>
      </c>
      <c r="L14" s="15" t="s">
        <v>42</v>
      </c>
      <c r="M14" s="15" t="s">
        <v>39</v>
      </c>
      <c r="N14" s="15" t="s">
        <v>125</v>
      </c>
      <c r="O14" s="15" t="s">
        <v>10</v>
      </c>
      <c r="P14" s="36">
        <v>25</v>
      </c>
      <c r="V14" s="36">
        <v>0</v>
      </c>
      <c r="W14" s="15" t="s">
        <v>454</v>
      </c>
      <c r="X14" s="15" t="s">
        <v>161</v>
      </c>
      <c r="Y14" s="15" t="s">
        <v>39</v>
      </c>
      <c r="Z14" s="15" t="s">
        <v>63</v>
      </c>
      <c r="AA14" s="15" t="s">
        <v>10</v>
      </c>
      <c r="AB14" s="36">
        <v>100</v>
      </c>
      <c r="AE14" s="15" t="s">
        <v>556</v>
      </c>
    </row>
    <row r="15" spans="1:31" x14ac:dyDescent="0.25">
      <c r="A15" s="15" t="s">
        <v>869</v>
      </c>
      <c r="B15" s="38">
        <v>43452</v>
      </c>
      <c r="C15" s="15" t="s">
        <v>512</v>
      </c>
      <c r="D15" s="15" t="s">
        <v>169</v>
      </c>
      <c r="E15" s="15" t="s">
        <v>272</v>
      </c>
      <c r="F15" s="15" t="s">
        <v>104</v>
      </c>
      <c r="G15" s="15" t="s">
        <v>39</v>
      </c>
      <c r="H15" s="15" t="s">
        <v>99</v>
      </c>
      <c r="I15" s="15" t="s">
        <v>10</v>
      </c>
      <c r="J15" s="36">
        <v>1</v>
      </c>
      <c r="K15" s="15" t="s">
        <v>364</v>
      </c>
      <c r="L15" s="15" t="s">
        <v>59</v>
      </c>
      <c r="M15" s="15" t="s">
        <v>39</v>
      </c>
      <c r="N15" s="15" t="s">
        <v>40</v>
      </c>
      <c r="O15" s="15" t="s">
        <v>10</v>
      </c>
      <c r="P15" s="36">
        <v>0.5</v>
      </c>
      <c r="V15" s="36">
        <v>0</v>
      </c>
      <c r="W15" s="15" t="s">
        <v>454</v>
      </c>
      <c r="X15" s="15" t="s">
        <v>161</v>
      </c>
      <c r="Y15" s="15" t="s">
        <v>39</v>
      </c>
      <c r="Z15" s="15" t="s">
        <v>63</v>
      </c>
      <c r="AA15" s="15" t="s">
        <v>10</v>
      </c>
      <c r="AB15" s="36">
        <v>100</v>
      </c>
      <c r="AE15" s="15" t="s">
        <v>556</v>
      </c>
    </row>
    <row r="16" spans="1:31" x14ac:dyDescent="0.25">
      <c r="A16" s="15" t="s">
        <v>870</v>
      </c>
      <c r="B16" s="38">
        <v>43453</v>
      </c>
      <c r="C16" s="15" t="s">
        <v>512</v>
      </c>
      <c r="D16" s="15" t="s">
        <v>169</v>
      </c>
      <c r="E16" s="15" t="s">
        <v>272</v>
      </c>
      <c r="F16" s="15" t="s">
        <v>104</v>
      </c>
      <c r="G16" s="15" t="s">
        <v>39</v>
      </c>
      <c r="H16" s="15" t="s">
        <v>99</v>
      </c>
      <c r="I16" s="15" t="s">
        <v>10</v>
      </c>
      <c r="J16" s="36">
        <v>1</v>
      </c>
      <c r="K16" s="15" t="s">
        <v>364</v>
      </c>
      <c r="L16" s="15" t="s">
        <v>59</v>
      </c>
      <c r="M16" s="15" t="s">
        <v>39</v>
      </c>
      <c r="N16" s="15" t="s">
        <v>40</v>
      </c>
      <c r="O16" s="15" t="s">
        <v>10</v>
      </c>
      <c r="P16" s="36">
        <v>0.5</v>
      </c>
      <c r="V16" s="36">
        <v>0</v>
      </c>
      <c r="W16" s="15" t="s">
        <v>454</v>
      </c>
      <c r="X16" s="15" t="s">
        <v>161</v>
      </c>
      <c r="Y16" s="15" t="s">
        <v>39</v>
      </c>
      <c r="Z16" s="15" t="s">
        <v>63</v>
      </c>
      <c r="AA16" s="15" t="s">
        <v>10</v>
      </c>
      <c r="AB16" s="36">
        <v>100</v>
      </c>
      <c r="AE16" s="15" t="s">
        <v>556</v>
      </c>
    </row>
    <row r="17" spans="1:31" x14ac:dyDescent="0.25">
      <c r="A17" s="15" t="s">
        <v>871</v>
      </c>
      <c r="B17" s="38">
        <v>43454</v>
      </c>
      <c r="C17" s="15" t="s">
        <v>512</v>
      </c>
      <c r="D17" s="15" t="s">
        <v>169</v>
      </c>
      <c r="E17" s="15" t="s">
        <v>272</v>
      </c>
      <c r="F17" s="15" t="s">
        <v>104</v>
      </c>
      <c r="G17" s="15" t="s">
        <v>39</v>
      </c>
      <c r="H17" s="15" t="s">
        <v>99</v>
      </c>
      <c r="I17" s="15" t="s">
        <v>10</v>
      </c>
      <c r="J17" s="36">
        <v>1</v>
      </c>
      <c r="K17" s="15" t="s">
        <v>366</v>
      </c>
      <c r="L17" s="15" t="s">
        <v>153</v>
      </c>
      <c r="M17" s="15" t="s">
        <v>39</v>
      </c>
      <c r="N17" s="15" t="s">
        <v>131</v>
      </c>
      <c r="O17" s="15" t="s">
        <v>10</v>
      </c>
      <c r="P17" s="36">
        <v>5</v>
      </c>
      <c r="V17" s="36">
        <v>0</v>
      </c>
      <c r="W17" s="15" t="s">
        <v>454</v>
      </c>
      <c r="X17" s="15" t="s">
        <v>161</v>
      </c>
      <c r="Y17" s="15" t="s">
        <v>39</v>
      </c>
      <c r="Z17" s="15" t="s">
        <v>63</v>
      </c>
      <c r="AA17" s="15" t="s">
        <v>10</v>
      </c>
      <c r="AB17" s="36">
        <v>100</v>
      </c>
      <c r="AE17" s="15" t="s">
        <v>556</v>
      </c>
    </row>
    <row r="18" spans="1:31" x14ac:dyDescent="0.25">
      <c r="A18" s="15" t="s">
        <v>872</v>
      </c>
      <c r="B18" s="38">
        <v>43455</v>
      </c>
      <c r="C18" s="15" t="s">
        <v>512</v>
      </c>
      <c r="D18" s="15" t="s">
        <v>169</v>
      </c>
      <c r="E18" s="15" t="s">
        <v>272</v>
      </c>
      <c r="F18" s="15" t="s">
        <v>104</v>
      </c>
      <c r="G18" s="15" t="s">
        <v>39</v>
      </c>
      <c r="H18" s="15" t="s">
        <v>99</v>
      </c>
      <c r="I18" s="15" t="s">
        <v>10</v>
      </c>
      <c r="J18" s="36">
        <v>1</v>
      </c>
      <c r="K18" s="15" t="s">
        <v>368</v>
      </c>
      <c r="L18" s="15" t="s">
        <v>156</v>
      </c>
      <c r="M18" s="15" t="s">
        <v>39</v>
      </c>
      <c r="N18" s="15" t="s">
        <v>131</v>
      </c>
      <c r="O18" s="15" t="s">
        <v>10</v>
      </c>
      <c r="P18" s="36">
        <v>5</v>
      </c>
      <c r="V18" s="36">
        <v>0</v>
      </c>
      <c r="W18" s="15" t="s">
        <v>454</v>
      </c>
      <c r="X18" s="15" t="s">
        <v>161</v>
      </c>
      <c r="Y18" s="15" t="s">
        <v>39</v>
      </c>
      <c r="Z18" s="15" t="s">
        <v>63</v>
      </c>
      <c r="AA18" s="15" t="s">
        <v>10</v>
      </c>
      <c r="AB18" s="36">
        <v>100</v>
      </c>
      <c r="AE18" s="15" t="s">
        <v>556</v>
      </c>
    </row>
    <row r="19" spans="1:31" x14ac:dyDescent="0.25">
      <c r="A19" s="15" t="s">
        <v>873</v>
      </c>
      <c r="B19" s="38">
        <v>43458</v>
      </c>
      <c r="C19" s="15" t="s">
        <v>512</v>
      </c>
      <c r="D19" s="15" t="s">
        <v>169</v>
      </c>
      <c r="E19" s="15" t="s">
        <v>272</v>
      </c>
      <c r="F19" s="15" t="s">
        <v>104</v>
      </c>
      <c r="G19" s="15" t="s">
        <v>39</v>
      </c>
      <c r="H19" s="15" t="s">
        <v>99</v>
      </c>
      <c r="I19" s="15" t="s">
        <v>10</v>
      </c>
      <c r="J19" s="36">
        <v>1</v>
      </c>
      <c r="K19" s="15" t="s">
        <v>370</v>
      </c>
      <c r="L19" s="15" t="s">
        <v>71</v>
      </c>
      <c r="M19" s="15" t="s">
        <v>39</v>
      </c>
      <c r="N19" s="15" t="s">
        <v>140</v>
      </c>
      <c r="O19" s="15" t="s">
        <v>10</v>
      </c>
      <c r="P19" s="36">
        <v>1</v>
      </c>
      <c r="V19" s="36">
        <v>0</v>
      </c>
      <c r="W19" s="15" t="s">
        <v>456</v>
      </c>
      <c r="X19" s="15" t="s">
        <v>163</v>
      </c>
      <c r="Y19" s="15" t="s">
        <v>39</v>
      </c>
      <c r="Z19" s="15" t="s">
        <v>63</v>
      </c>
      <c r="AA19" s="15" t="s">
        <v>10</v>
      </c>
      <c r="AB19" s="36">
        <v>100</v>
      </c>
      <c r="AE19" s="15" t="s">
        <v>556</v>
      </c>
    </row>
    <row r="20" spans="1:31" x14ac:dyDescent="0.25">
      <c r="A20" s="15" t="s">
        <v>874</v>
      </c>
      <c r="B20" s="38">
        <v>43459</v>
      </c>
      <c r="C20" s="15" t="s">
        <v>512</v>
      </c>
      <c r="D20" s="15" t="s">
        <v>169</v>
      </c>
      <c r="E20" s="15" t="s">
        <v>272</v>
      </c>
      <c r="F20" s="15" t="s">
        <v>104</v>
      </c>
      <c r="G20" s="15" t="s">
        <v>39</v>
      </c>
      <c r="H20" s="15" t="s">
        <v>99</v>
      </c>
      <c r="I20" s="15" t="s">
        <v>10</v>
      </c>
      <c r="J20" s="36">
        <v>1</v>
      </c>
      <c r="K20" s="15" t="s">
        <v>372</v>
      </c>
      <c r="L20" s="15" t="s">
        <v>77</v>
      </c>
      <c r="M20" s="15" t="s">
        <v>39</v>
      </c>
      <c r="N20" s="15" t="s">
        <v>140</v>
      </c>
      <c r="O20" s="15" t="s">
        <v>10</v>
      </c>
      <c r="P20" s="36">
        <v>1</v>
      </c>
      <c r="V20" s="36">
        <v>0</v>
      </c>
      <c r="W20" s="15" t="s">
        <v>456</v>
      </c>
      <c r="X20" s="15" t="s">
        <v>163</v>
      </c>
      <c r="Y20" s="15" t="s">
        <v>39</v>
      </c>
      <c r="Z20" s="15" t="s">
        <v>63</v>
      </c>
      <c r="AA20" s="15" t="s">
        <v>10</v>
      </c>
      <c r="AB20" s="36">
        <v>100</v>
      </c>
      <c r="AC20" s="15" t="s">
        <v>480</v>
      </c>
      <c r="AD20" s="15" t="s">
        <v>61</v>
      </c>
      <c r="AE20" s="15" t="s">
        <v>556</v>
      </c>
    </row>
    <row r="21" spans="1:31" x14ac:dyDescent="0.25">
      <c r="A21" s="15" t="s">
        <v>875</v>
      </c>
      <c r="B21" s="38">
        <v>43460</v>
      </c>
      <c r="C21" s="15" t="s">
        <v>512</v>
      </c>
      <c r="D21" s="15" t="s">
        <v>169</v>
      </c>
      <c r="E21" s="15" t="s">
        <v>272</v>
      </c>
      <c r="F21" s="15" t="s">
        <v>104</v>
      </c>
      <c r="G21" s="15" t="s">
        <v>39</v>
      </c>
      <c r="H21" s="15" t="s">
        <v>99</v>
      </c>
      <c r="I21" s="15" t="s">
        <v>10</v>
      </c>
      <c r="J21" s="36">
        <v>1</v>
      </c>
      <c r="K21" s="15" t="s">
        <v>374</v>
      </c>
      <c r="L21" s="15" t="s">
        <v>83</v>
      </c>
      <c r="M21" s="15" t="s">
        <v>39</v>
      </c>
      <c r="N21" s="15" t="s">
        <v>125</v>
      </c>
      <c r="O21" s="15" t="s">
        <v>10</v>
      </c>
      <c r="P21" s="36">
        <v>25</v>
      </c>
      <c r="V21" s="36">
        <v>0</v>
      </c>
      <c r="W21" s="15" t="s">
        <v>456</v>
      </c>
      <c r="X21" s="15" t="s">
        <v>163</v>
      </c>
      <c r="Y21" s="15" t="s">
        <v>39</v>
      </c>
      <c r="Z21" s="15" t="s">
        <v>63</v>
      </c>
      <c r="AA21" s="15" t="s">
        <v>10</v>
      </c>
      <c r="AB21" s="36">
        <v>100</v>
      </c>
      <c r="AE21" s="15" t="s">
        <v>556</v>
      </c>
    </row>
    <row r="22" spans="1:31" x14ac:dyDescent="0.25">
      <c r="A22" s="15" t="s">
        <v>876</v>
      </c>
      <c r="B22" s="38">
        <v>43461</v>
      </c>
      <c r="C22" s="15" t="s">
        <v>512</v>
      </c>
      <c r="D22" s="15" t="s">
        <v>169</v>
      </c>
      <c r="E22" s="15" t="s">
        <v>272</v>
      </c>
      <c r="F22" s="15" t="s">
        <v>104</v>
      </c>
      <c r="G22" s="15" t="s">
        <v>39</v>
      </c>
      <c r="H22" s="15" t="s">
        <v>99</v>
      </c>
      <c r="I22" s="15" t="s">
        <v>10</v>
      </c>
      <c r="J22" s="36">
        <v>1</v>
      </c>
      <c r="K22" s="15" t="s">
        <v>376</v>
      </c>
      <c r="L22" s="15" t="s">
        <v>141</v>
      </c>
      <c r="M22" s="15" t="s">
        <v>39</v>
      </c>
      <c r="N22" s="15" t="s">
        <v>224</v>
      </c>
      <c r="O22" s="15" t="s">
        <v>10</v>
      </c>
      <c r="P22" s="36">
        <v>0.5</v>
      </c>
      <c r="V22" s="36">
        <v>0</v>
      </c>
      <c r="W22" s="15" t="s">
        <v>456</v>
      </c>
      <c r="X22" s="15" t="s">
        <v>163</v>
      </c>
      <c r="Y22" s="15" t="s">
        <v>39</v>
      </c>
      <c r="Z22" s="15" t="s">
        <v>63</v>
      </c>
      <c r="AA22" s="15" t="s">
        <v>10</v>
      </c>
      <c r="AB22" s="36">
        <v>100</v>
      </c>
      <c r="AE22" s="15" t="s">
        <v>556</v>
      </c>
    </row>
    <row r="23" spans="1:31" x14ac:dyDescent="0.25">
      <c r="A23" s="15" t="s">
        <v>877</v>
      </c>
      <c r="B23" s="38">
        <v>43462</v>
      </c>
      <c r="C23" s="15" t="s">
        <v>512</v>
      </c>
      <c r="D23" s="15" t="s">
        <v>169</v>
      </c>
      <c r="E23" s="15" t="s">
        <v>272</v>
      </c>
      <c r="F23" s="15" t="s">
        <v>104</v>
      </c>
      <c r="G23" s="15" t="s">
        <v>39</v>
      </c>
      <c r="H23" s="15" t="s">
        <v>99</v>
      </c>
      <c r="I23" s="15" t="s">
        <v>10</v>
      </c>
      <c r="J23" s="36">
        <v>1</v>
      </c>
      <c r="K23" s="15" t="s">
        <v>376</v>
      </c>
      <c r="L23" s="15" t="s">
        <v>141</v>
      </c>
      <c r="M23" s="15" t="s">
        <v>39</v>
      </c>
      <c r="N23" s="15" t="s">
        <v>224</v>
      </c>
      <c r="O23" s="15" t="s">
        <v>10</v>
      </c>
      <c r="P23" s="36">
        <v>0.5</v>
      </c>
      <c r="V23" s="36">
        <v>0</v>
      </c>
      <c r="W23" s="15" t="s">
        <v>456</v>
      </c>
      <c r="X23" s="15" t="s">
        <v>163</v>
      </c>
      <c r="Y23" s="15" t="s">
        <v>39</v>
      </c>
      <c r="Z23" s="15" t="s">
        <v>63</v>
      </c>
      <c r="AA23" s="15" t="s">
        <v>10</v>
      </c>
      <c r="AB23" s="36">
        <v>100</v>
      </c>
      <c r="AE23" s="15" t="s">
        <v>556</v>
      </c>
    </row>
    <row r="24" spans="1:31" x14ac:dyDescent="0.25">
      <c r="A24" s="15" t="s">
        <v>878</v>
      </c>
      <c r="B24" s="38">
        <v>43465</v>
      </c>
      <c r="C24" s="15" t="s">
        <v>512</v>
      </c>
      <c r="D24" s="15" t="s">
        <v>169</v>
      </c>
      <c r="E24" s="15" t="s">
        <v>272</v>
      </c>
      <c r="F24" s="15" t="s">
        <v>104</v>
      </c>
      <c r="G24" s="15" t="s">
        <v>39</v>
      </c>
      <c r="H24" s="15" t="s">
        <v>99</v>
      </c>
      <c r="I24" s="15" t="s">
        <v>10</v>
      </c>
      <c r="J24" s="36">
        <v>1</v>
      </c>
      <c r="K24" s="15" t="s">
        <v>378</v>
      </c>
      <c r="L24" s="15" t="s">
        <v>93</v>
      </c>
      <c r="M24" s="15" t="s">
        <v>39</v>
      </c>
      <c r="N24" s="15" t="s">
        <v>125</v>
      </c>
      <c r="O24" s="15" t="s">
        <v>10</v>
      </c>
      <c r="P24" s="36">
        <v>25</v>
      </c>
      <c r="V24" s="36">
        <v>0</v>
      </c>
      <c r="W24" s="15" t="s">
        <v>457</v>
      </c>
      <c r="X24" s="15" t="s">
        <v>164</v>
      </c>
      <c r="Y24" s="15" t="s">
        <v>39</v>
      </c>
      <c r="Z24" s="15" t="s">
        <v>63</v>
      </c>
      <c r="AA24" s="15" t="s">
        <v>10</v>
      </c>
      <c r="AB24" s="36">
        <v>100</v>
      </c>
      <c r="AE24" s="15" t="s">
        <v>556</v>
      </c>
    </row>
    <row r="25" spans="1:31" x14ac:dyDescent="0.25">
      <c r="A25" s="15" t="s">
        <v>1224</v>
      </c>
      <c r="B25" s="38">
        <v>43435</v>
      </c>
      <c r="C25" s="15" t="s">
        <v>512</v>
      </c>
      <c r="D25" s="15" t="s">
        <v>169</v>
      </c>
      <c r="E25" s="15" t="s">
        <v>246</v>
      </c>
      <c r="F25" s="15" t="s">
        <v>70</v>
      </c>
      <c r="G25" s="15" t="s">
        <v>68</v>
      </c>
      <c r="H25" s="15" t="s">
        <v>40</v>
      </c>
      <c r="I25" s="15" t="s">
        <v>18</v>
      </c>
      <c r="J25" s="36">
        <v>1</v>
      </c>
      <c r="K25" s="15" t="s">
        <v>340</v>
      </c>
      <c r="L25" s="15" t="s">
        <v>156</v>
      </c>
      <c r="M25" s="15" t="s">
        <v>74</v>
      </c>
      <c r="N25" s="15" t="s">
        <v>131</v>
      </c>
      <c r="O25" s="15" t="s">
        <v>18</v>
      </c>
      <c r="P25" s="36">
        <v>10</v>
      </c>
      <c r="V25" s="36">
        <v>0</v>
      </c>
      <c r="W25" s="15" t="s">
        <v>398</v>
      </c>
      <c r="X25" s="15" t="s">
        <v>60</v>
      </c>
      <c r="Y25" s="15" t="s">
        <v>33</v>
      </c>
      <c r="Z25" s="15" t="s">
        <v>87</v>
      </c>
      <c r="AA25" s="15" t="s">
        <v>18</v>
      </c>
      <c r="AB25" s="36">
        <v>1</v>
      </c>
      <c r="AE25" s="15" t="s">
        <v>568</v>
      </c>
    </row>
    <row r="26" spans="1:31" x14ac:dyDescent="0.25">
      <c r="A26" s="15" t="s">
        <v>1225</v>
      </c>
      <c r="B26" s="38">
        <v>43436</v>
      </c>
      <c r="C26" s="15" t="s">
        <v>512</v>
      </c>
      <c r="D26" s="15" t="s">
        <v>169</v>
      </c>
      <c r="E26" s="15" t="s">
        <v>246</v>
      </c>
      <c r="F26" s="15" t="s">
        <v>70</v>
      </c>
      <c r="G26" s="15" t="s">
        <v>68</v>
      </c>
      <c r="H26" s="15" t="s">
        <v>40</v>
      </c>
      <c r="I26" s="15" t="s">
        <v>18</v>
      </c>
      <c r="J26" s="36">
        <v>1</v>
      </c>
      <c r="K26" s="15" t="s">
        <v>344</v>
      </c>
      <c r="L26" s="15" t="s">
        <v>160</v>
      </c>
      <c r="M26" s="15" t="s">
        <v>20</v>
      </c>
      <c r="N26" s="15" t="s">
        <v>103</v>
      </c>
      <c r="O26" s="15" t="s">
        <v>18</v>
      </c>
      <c r="P26" s="36">
        <v>1</v>
      </c>
      <c r="V26" s="36">
        <v>0</v>
      </c>
      <c r="W26" s="15" t="s">
        <v>426</v>
      </c>
      <c r="X26" s="15" t="s">
        <v>124</v>
      </c>
      <c r="Y26" s="15" t="s">
        <v>33</v>
      </c>
      <c r="Z26" s="15" t="s">
        <v>57</v>
      </c>
      <c r="AA26" s="15" t="s">
        <v>18</v>
      </c>
      <c r="AB26" s="36">
        <v>133</v>
      </c>
      <c r="AE26" s="15" t="s">
        <v>568</v>
      </c>
    </row>
    <row r="27" spans="1:31" x14ac:dyDescent="0.25">
      <c r="A27" s="15" t="s">
        <v>1226</v>
      </c>
      <c r="B27" s="38">
        <v>43437</v>
      </c>
      <c r="C27" s="15" t="s">
        <v>512</v>
      </c>
      <c r="D27" s="15" t="s">
        <v>169</v>
      </c>
      <c r="E27" s="15" t="s">
        <v>260</v>
      </c>
      <c r="F27" s="15" t="s">
        <v>104</v>
      </c>
      <c r="G27" s="15" t="s">
        <v>45</v>
      </c>
      <c r="H27" s="15" t="s">
        <v>99</v>
      </c>
      <c r="I27" s="15" t="s">
        <v>18</v>
      </c>
      <c r="J27" s="36">
        <v>1</v>
      </c>
      <c r="K27" s="15" t="s">
        <v>294</v>
      </c>
      <c r="L27" s="15" t="s">
        <v>71</v>
      </c>
      <c r="M27" s="15" t="s">
        <v>51</v>
      </c>
      <c r="N27" s="15" t="s">
        <v>140</v>
      </c>
      <c r="O27" s="15" t="s">
        <v>18</v>
      </c>
      <c r="P27" s="36">
        <v>1</v>
      </c>
      <c r="V27" s="36">
        <v>0</v>
      </c>
      <c r="W27" s="15" t="s">
        <v>398</v>
      </c>
      <c r="X27" s="15" t="s">
        <v>60</v>
      </c>
      <c r="Y27" s="15" t="s">
        <v>33</v>
      </c>
      <c r="Z27" s="15" t="s">
        <v>87</v>
      </c>
      <c r="AA27" s="15" t="s">
        <v>18</v>
      </c>
      <c r="AB27" s="36">
        <v>1</v>
      </c>
      <c r="AE27" s="15" t="s">
        <v>568</v>
      </c>
    </row>
    <row r="28" spans="1:31" x14ac:dyDescent="0.25">
      <c r="A28" s="15" t="s">
        <v>1227</v>
      </c>
      <c r="B28" s="38">
        <v>43438</v>
      </c>
      <c r="C28" s="15" t="s">
        <v>512</v>
      </c>
      <c r="D28" s="15" t="s">
        <v>169</v>
      </c>
      <c r="E28" s="15" t="s">
        <v>260</v>
      </c>
      <c r="F28" s="15" t="s">
        <v>104</v>
      </c>
      <c r="G28" s="15" t="s">
        <v>45</v>
      </c>
      <c r="H28" s="15" t="s">
        <v>99</v>
      </c>
      <c r="I28" s="15" t="s">
        <v>18</v>
      </c>
      <c r="J28" s="36">
        <v>1</v>
      </c>
      <c r="K28" s="15" t="s">
        <v>294</v>
      </c>
      <c r="L28" s="15" t="s">
        <v>71</v>
      </c>
      <c r="M28" s="15" t="s">
        <v>51</v>
      </c>
      <c r="N28" s="15" t="s">
        <v>140</v>
      </c>
      <c r="O28" s="15" t="s">
        <v>18</v>
      </c>
      <c r="P28" s="36">
        <v>1</v>
      </c>
      <c r="V28" s="36">
        <v>0</v>
      </c>
      <c r="W28" s="15" t="s">
        <v>426</v>
      </c>
      <c r="X28" s="15" t="s">
        <v>124</v>
      </c>
      <c r="Y28" s="15" t="s">
        <v>33</v>
      </c>
      <c r="Z28" s="15" t="s">
        <v>57</v>
      </c>
      <c r="AA28" s="15" t="s">
        <v>18</v>
      </c>
      <c r="AB28" s="36">
        <v>133</v>
      </c>
      <c r="AE28" s="15" t="s">
        <v>568</v>
      </c>
    </row>
    <row r="29" spans="1:31" x14ac:dyDescent="0.25">
      <c r="A29" s="15" t="s">
        <v>1228</v>
      </c>
      <c r="B29" s="38">
        <v>43439</v>
      </c>
      <c r="C29" s="15" t="s">
        <v>512</v>
      </c>
      <c r="D29" s="15" t="s">
        <v>169</v>
      </c>
      <c r="E29" s="15" t="s">
        <v>260</v>
      </c>
      <c r="F29" s="15" t="s">
        <v>104</v>
      </c>
      <c r="G29" s="15" t="s">
        <v>45</v>
      </c>
      <c r="H29" s="15" t="s">
        <v>99</v>
      </c>
      <c r="I29" s="15" t="s">
        <v>18</v>
      </c>
      <c r="J29" s="36">
        <v>1</v>
      </c>
      <c r="K29" s="15" t="s">
        <v>306</v>
      </c>
      <c r="L29" s="15" t="s">
        <v>97</v>
      </c>
      <c r="M29" s="15" t="s">
        <v>56</v>
      </c>
      <c r="N29" s="15" t="s">
        <v>40</v>
      </c>
      <c r="O29" s="15" t="s">
        <v>18</v>
      </c>
      <c r="P29" s="36">
        <v>0.5</v>
      </c>
      <c r="V29" s="36">
        <v>0</v>
      </c>
      <c r="W29" s="15" t="s">
        <v>400</v>
      </c>
      <c r="X29" s="15" t="s">
        <v>66</v>
      </c>
      <c r="Y29" s="15" t="s">
        <v>33</v>
      </c>
      <c r="Z29" s="15" t="s">
        <v>87</v>
      </c>
      <c r="AA29" s="15" t="s">
        <v>18</v>
      </c>
      <c r="AB29" s="36">
        <v>1</v>
      </c>
      <c r="AE29" s="15" t="s">
        <v>568</v>
      </c>
    </row>
    <row r="30" spans="1:31" x14ac:dyDescent="0.25">
      <c r="A30" s="15" t="s">
        <v>1229</v>
      </c>
      <c r="B30" s="38">
        <v>43440</v>
      </c>
      <c r="C30" s="15" t="s">
        <v>512</v>
      </c>
      <c r="D30" s="15" t="s">
        <v>169</v>
      </c>
      <c r="E30" s="15" t="s">
        <v>260</v>
      </c>
      <c r="F30" s="15" t="s">
        <v>104</v>
      </c>
      <c r="G30" s="15" t="s">
        <v>45</v>
      </c>
      <c r="H30" s="15" t="s">
        <v>99</v>
      </c>
      <c r="I30" s="15" t="s">
        <v>18</v>
      </c>
      <c r="J30" s="36">
        <v>1</v>
      </c>
      <c r="K30" s="15" t="s">
        <v>306</v>
      </c>
      <c r="L30" s="15" t="s">
        <v>97</v>
      </c>
      <c r="M30" s="15" t="s">
        <v>56</v>
      </c>
      <c r="N30" s="15" t="s">
        <v>40</v>
      </c>
      <c r="O30" s="15" t="s">
        <v>18</v>
      </c>
      <c r="P30" s="36">
        <v>0.5</v>
      </c>
      <c r="V30" s="36">
        <v>0</v>
      </c>
      <c r="W30" s="15" t="s">
        <v>426</v>
      </c>
      <c r="X30" s="15" t="s">
        <v>124</v>
      </c>
      <c r="Y30" s="15" t="s">
        <v>33</v>
      </c>
      <c r="Z30" s="15" t="s">
        <v>57</v>
      </c>
      <c r="AA30" s="15" t="s">
        <v>18</v>
      </c>
      <c r="AB30" s="36">
        <v>134</v>
      </c>
      <c r="AE30" s="15" t="s">
        <v>568</v>
      </c>
    </row>
    <row r="31" spans="1:31" x14ac:dyDescent="0.25">
      <c r="A31" s="15" t="s">
        <v>1230</v>
      </c>
      <c r="B31" s="38">
        <v>43441</v>
      </c>
      <c r="C31" s="15" t="s">
        <v>512</v>
      </c>
      <c r="D31" s="15" t="s">
        <v>169</v>
      </c>
      <c r="E31" s="15" t="s">
        <v>260</v>
      </c>
      <c r="F31" s="15" t="s">
        <v>104</v>
      </c>
      <c r="G31" s="15" t="s">
        <v>45</v>
      </c>
      <c r="H31" s="15" t="s">
        <v>99</v>
      </c>
      <c r="I31" s="15" t="s">
        <v>18</v>
      </c>
      <c r="J31" s="36">
        <v>1</v>
      </c>
      <c r="K31" s="15" t="s">
        <v>336</v>
      </c>
      <c r="L31" s="15" t="s">
        <v>150</v>
      </c>
      <c r="M31" s="15" t="s">
        <v>80</v>
      </c>
      <c r="N31" s="15" t="s">
        <v>155</v>
      </c>
      <c r="O31" s="15" t="s">
        <v>18</v>
      </c>
      <c r="P31" s="36">
        <v>2</v>
      </c>
      <c r="V31" s="36">
        <v>0</v>
      </c>
      <c r="W31" s="15" t="s">
        <v>400</v>
      </c>
      <c r="X31" s="15" t="s">
        <v>66</v>
      </c>
      <c r="Y31" s="15" t="s">
        <v>33</v>
      </c>
      <c r="Z31" s="15" t="s">
        <v>87</v>
      </c>
      <c r="AA31" s="15" t="s">
        <v>18</v>
      </c>
      <c r="AB31" s="36">
        <v>1</v>
      </c>
      <c r="AE31" s="15" t="s">
        <v>568</v>
      </c>
    </row>
    <row r="32" spans="1:31" x14ac:dyDescent="0.25">
      <c r="A32" s="15" t="s">
        <v>1231</v>
      </c>
      <c r="B32" s="38">
        <v>43442</v>
      </c>
      <c r="C32" s="15" t="s">
        <v>512</v>
      </c>
      <c r="D32" s="15" t="s">
        <v>169</v>
      </c>
      <c r="E32" s="15" t="s">
        <v>248</v>
      </c>
      <c r="F32" s="15" t="s">
        <v>76</v>
      </c>
      <c r="G32" s="15" t="s">
        <v>68</v>
      </c>
      <c r="H32" s="15" t="s">
        <v>152</v>
      </c>
      <c r="I32" s="15" t="s">
        <v>18</v>
      </c>
      <c r="J32" s="36">
        <v>8</v>
      </c>
      <c r="K32" s="15" t="s">
        <v>342</v>
      </c>
      <c r="L32" s="15" t="s">
        <v>158</v>
      </c>
      <c r="M32" s="15" t="s">
        <v>74</v>
      </c>
      <c r="N32" s="15" t="s">
        <v>131</v>
      </c>
      <c r="O32" s="15" t="s">
        <v>18</v>
      </c>
      <c r="P32" s="36">
        <v>10</v>
      </c>
      <c r="V32" s="36">
        <v>0</v>
      </c>
      <c r="W32" s="15" t="s">
        <v>426</v>
      </c>
      <c r="X32" s="15" t="s">
        <v>124</v>
      </c>
      <c r="Y32" s="15" t="s">
        <v>33</v>
      </c>
      <c r="Z32" s="15" t="s">
        <v>57</v>
      </c>
      <c r="AA32" s="15" t="s">
        <v>18</v>
      </c>
      <c r="AB32" s="36">
        <v>133</v>
      </c>
      <c r="AE32" s="15" t="s">
        <v>568</v>
      </c>
    </row>
    <row r="33" spans="1:31" x14ac:dyDescent="0.25">
      <c r="A33" s="15" t="s">
        <v>1232</v>
      </c>
      <c r="B33" s="38">
        <v>43443</v>
      </c>
      <c r="C33" s="15" t="s">
        <v>512</v>
      </c>
      <c r="D33" s="15" t="s">
        <v>169</v>
      </c>
      <c r="E33" s="15" t="s">
        <v>248</v>
      </c>
      <c r="F33" s="15" t="s">
        <v>76</v>
      </c>
      <c r="G33" s="15" t="s">
        <v>68</v>
      </c>
      <c r="H33" s="15" t="s">
        <v>152</v>
      </c>
      <c r="I33" s="15" t="s">
        <v>18</v>
      </c>
      <c r="J33" s="36">
        <v>8</v>
      </c>
      <c r="K33" s="15" t="s">
        <v>346</v>
      </c>
      <c r="L33" s="15" t="s">
        <v>162</v>
      </c>
      <c r="M33" s="15" t="s">
        <v>12</v>
      </c>
      <c r="N33" s="15" t="s">
        <v>121</v>
      </c>
      <c r="O33" s="15" t="s">
        <v>18</v>
      </c>
      <c r="P33" s="36">
        <v>20</v>
      </c>
      <c r="Q33" s="15" t="s">
        <v>274</v>
      </c>
      <c r="R33" s="15" t="s">
        <v>15</v>
      </c>
      <c r="S33" s="15" t="s">
        <v>27</v>
      </c>
      <c r="T33" s="15" t="s">
        <v>13</v>
      </c>
      <c r="U33" s="15" t="s">
        <v>18</v>
      </c>
      <c r="V33" s="36">
        <v>1</v>
      </c>
      <c r="W33" s="15" t="s">
        <v>402</v>
      </c>
      <c r="X33" s="15" t="s">
        <v>72</v>
      </c>
      <c r="Y33" s="15" t="s">
        <v>33</v>
      </c>
      <c r="Z33" s="15" t="s">
        <v>114</v>
      </c>
      <c r="AA33" s="15" t="s">
        <v>18</v>
      </c>
      <c r="AB33" s="36">
        <v>0.5</v>
      </c>
      <c r="AE33" s="15" t="s">
        <v>568</v>
      </c>
    </row>
    <row r="34" spans="1:31" x14ac:dyDescent="0.25">
      <c r="A34" s="15" t="s">
        <v>1233</v>
      </c>
      <c r="B34" s="38">
        <v>43444</v>
      </c>
      <c r="C34" s="15" t="s">
        <v>512</v>
      </c>
      <c r="D34" s="15" t="s">
        <v>169</v>
      </c>
      <c r="E34" s="15" t="s">
        <v>260</v>
      </c>
      <c r="F34" s="15" t="s">
        <v>104</v>
      </c>
      <c r="G34" s="15" t="s">
        <v>45</v>
      </c>
      <c r="H34" s="15" t="s">
        <v>99</v>
      </c>
      <c r="I34" s="15" t="s">
        <v>18</v>
      </c>
      <c r="J34" s="36">
        <v>1</v>
      </c>
      <c r="K34" s="15" t="s">
        <v>296</v>
      </c>
      <c r="L34" s="15" t="s">
        <v>77</v>
      </c>
      <c r="M34" s="15" t="s">
        <v>51</v>
      </c>
      <c r="N34" s="15" t="s">
        <v>140</v>
      </c>
      <c r="O34" s="15" t="s">
        <v>18</v>
      </c>
      <c r="P34" s="36">
        <v>1</v>
      </c>
      <c r="V34" s="36">
        <v>0</v>
      </c>
      <c r="W34" s="15" t="s">
        <v>426</v>
      </c>
      <c r="X34" s="15" t="s">
        <v>124</v>
      </c>
      <c r="Y34" s="15" t="s">
        <v>33</v>
      </c>
      <c r="Z34" s="15" t="s">
        <v>57</v>
      </c>
      <c r="AA34" s="15" t="s">
        <v>18</v>
      </c>
      <c r="AB34" s="36">
        <v>133</v>
      </c>
      <c r="AE34" s="15" t="s">
        <v>568</v>
      </c>
    </row>
    <row r="35" spans="1:31" x14ac:dyDescent="0.25">
      <c r="A35" s="15" t="s">
        <v>1234</v>
      </c>
      <c r="B35" s="38">
        <v>43445</v>
      </c>
      <c r="C35" s="15" t="s">
        <v>512</v>
      </c>
      <c r="D35" s="15" t="s">
        <v>169</v>
      </c>
      <c r="E35" s="15" t="s">
        <v>260</v>
      </c>
      <c r="F35" s="15" t="s">
        <v>104</v>
      </c>
      <c r="G35" s="15" t="s">
        <v>45</v>
      </c>
      <c r="H35" s="15" t="s">
        <v>99</v>
      </c>
      <c r="I35" s="15" t="s">
        <v>18</v>
      </c>
      <c r="J35" s="36">
        <v>1</v>
      </c>
      <c r="K35" s="15" t="s">
        <v>296</v>
      </c>
      <c r="L35" s="15" t="s">
        <v>77</v>
      </c>
      <c r="M35" s="15" t="s">
        <v>51</v>
      </c>
      <c r="N35" s="15" t="s">
        <v>140</v>
      </c>
      <c r="O35" s="15" t="s">
        <v>18</v>
      </c>
      <c r="P35" s="36">
        <v>1</v>
      </c>
      <c r="V35" s="36">
        <v>0</v>
      </c>
      <c r="W35" s="15" t="s">
        <v>402</v>
      </c>
      <c r="X35" s="15" t="s">
        <v>72</v>
      </c>
      <c r="Y35" s="15" t="s">
        <v>33</v>
      </c>
      <c r="Z35" s="15" t="s">
        <v>114</v>
      </c>
      <c r="AA35" s="15" t="s">
        <v>18</v>
      </c>
      <c r="AB35" s="36">
        <v>0.5</v>
      </c>
      <c r="AE35" s="15" t="s">
        <v>568</v>
      </c>
    </row>
    <row r="36" spans="1:31" x14ac:dyDescent="0.25">
      <c r="A36" s="15" t="s">
        <v>1235</v>
      </c>
      <c r="B36" s="38">
        <v>43446</v>
      </c>
      <c r="C36" s="15" t="s">
        <v>512</v>
      </c>
      <c r="D36" s="15" t="s">
        <v>169</v>
      </c>
      <c r="E36" s="15" t="s">
        <v>260</v>
      </c>
      <c r="F36" s="15" t="s">
        <v>104</v>
      </c>
      <c r="G36" s="15" t="s">
        <v>45</v>
      </c>
      <c r="H36" s="15" t="s">
        <v>99</v>
      </c>
      <c r="I36" s="15" t="s">
        <v>18</v>
      </c>
      <c r="J36" s="36">
        <v>1</v>
      </c>
      <c r="K36" s="15" t="s">
        <v>308</v>
      </c>
      <c r="L36" s="15" t="s">
        <v>101</v>
      </c>
      <c r="M36" s="15" t="s">
        <v>56</v>
      </c>
      <c r="N36" s="15" t="s">
        <v>40</v>
      </c>
      <c r="O36" s="15" t="s">
        <v>18</v>
      </c>
      <c r="P36" s="36">
        <v>0.5</v>
      </c>
      <c r="V36" s="36">
        <v>0</v>
      </c>
      <c r="W36" s="15" t="s">
        <v>426</v>
      </c>
      <c r="X36" s="15" t="s">
        <v>124</v>
      </c>
      <c r="Y36" s="15" t="s">
        <v>33</v>
      </c>
      <c r="Z36" s="15" t="s">
        <v>57</v>
      </c>
      <c r="AA36" s="15" t="s">
        <v>18</v>
      </c>
      <c r="AB36" s="36">
        <v>134</v>
      </c>
      <c r="AE36" s="15" t="s">
        <v>568</v>
      </c>
    </row>
    <row r="37" spans="1:31" x14ac:dyDescent="0.25">
      <c r="A37" s="15" t="s">
        <v>1236</v>
      </c>
      <c r="B37" s="38">
        <v>43447</v>
      </c>
      <c r="C37" s="15" t="s">
        <v>512</v>
      </c>
      <c r="D37" s="15" t="s">
        <v>169</v>
      </c>
      <c r="E37" s="15" t="s">
        <v>260</v>
      </c>
      <c r="F37" s="15" t="s">
        <v>104</v>
      </c>
      <c r="G37" s="15" t="s">
        <v>45</v>
      </c>
      <c r="H37" s="15" t="s">
        <v>99</v>
      </c>
      <c r="I37" s="15" t="s">
        <v>18</v>
      </c>
      <c r="J37" s="36">
        <v>1</v>
      </c>
      <c r="K37" s="15" t="s">
        <v>308</v>
      </c>
      <c r="L37" s="15" t="s">
        <v>101</v>
      </c>
      <c r="M37" s="15" t="s">
        <v>56</v>
      </c>
      <c r="N37" s="15" t="s">
        <v>40</v>
      </c>
      <c r="O37" s="15" t="s">
        <v>18</v>
      </c>
      <c r="P37" s="36">
        <v>0.5</v>
      </c>
      <c r="V37" s="36">
        <v>0</v>
      </c>
      <c r="W37" s="15" t="s">
        <v>404</v>
      </c>
      <c r="X37" s="15" t="s">
        <v>78</v>
      </c>
      <c r="Y37" s="15" t="s">
        <v>33</v>
      </c>
      <c r="Z37" s="15" t="s">
        <v>87</v>
      </c>
      <c r="AA37" s="15" t="s">
        <v>18</v>
      </c>
      <c r="AB37" s="36">
        <v>0.5</v>
      </c>
      <c r="AE37" s="15" t="s">
        <v>568</v>
      </c>
    </row>
    <row r="38" spans="1:31" x14ac:dyDescent="0.25">
      <c r="A38" s="15" t="s">
        <v>1237</v>
      </c>
      <c r="B38" s="38">
        <v>43448</v>
      </c>
      <c r="C38" s="15" t="s">
        <v>512</v>
      </c>
      <c r="D38" s="15" t="s">
        <v>169</v>
      </c>
      <c r="E38" s="15" t="s">
        <v>260</v>
      </c>
      <c r="F38" s="15" t="s">
        <v>104</v>
      </c>
      <c r="G38" s="15" t="s">
        <v>45</v>
      </c>
      <c r="H38" s="15" t="s">
        <v>99</v>
      </c>
      <c r="I38" s="15" t="s">
        <v>18</v>
      </c>
      <c r="J38" s="36">
        <v>1</v>
      </c>
      <c r="K38" s="15" t="s">
        <v>304</v>
      </c>
      <c r="L38" s="15" t="s">
        <v>15</v>
      </c>
      <c r="M38" s="15" t="s">
        <v>80</v>
      </c>
      <c r="N38" s="15" t="s">
        <v>13</v>
      </c>
      <c r="O38" s="15" t="s">
        <v>18</v>
      </c>
      <c r="P38" s="36">
        <v>1</v>
      </c>
      <c r="V38" s="36">
        <v>0</v>
      </c>
      <c r="W38" s="15" t="s">
        <v>426</v>
      </c>
      <c r="X38" s="15" t="s">
        <v>124</v>
      </c>
      <c r="Y38" s="15" t="s">
        <v>33</v>
      </c>
      <c r="Z38" s="15" t="s">
        <v>57</v>
      </c>
      <c r="AA38" s="15" t="s">
        <v>18</v>
      </c>
      <c r="AB38" s="36">
        <v>133</v>
      </c>
      <c r="AE38" s="15" t="s">
        <v>568</v>
      </c>
    </row>
    <row r="39" spans="1:31" x14ac:dyDescent="0.25">
      <c r="A39" s="15" t="s">
        <v>1238</v>
      </c>
      <c r="B39" s="38">
        <v>43449</v>
      </c>
      <c r="C39" s="15" t="s">
        <v>512</v>
      </c>
      <c r="D39" s="15" t="s">
        <v>169</v>
      </c>
      <c r="E39" s="15" t="s">
        <v>250</v>
      </c>
      <c r="F39" s="15" t="s">
        <v>82</v>
      </c>
      <c r="G39" s="15" t="s">
        <v>68</v>
      </c>
      <c r="H39" s="15" t="s">
        <v>69</v>
      </c>
      <c r="I39" s="15" t="s">
        <v>18</v>
      </c>
      <c r="J39" s="36">
        <v>2</v>
      </c>
      <c r="K39" s="15" t="s">
        <v>338</v>
      </c>
      <c r="L39" s="15" t="s">
        <v>153</v>
      </c>
      <c r="M39" s="15" t="s">
        <v>74</v>
      </c>
      <c r="N39" s="15" t="s">
        <v>131</v>
      </c>
      <c r="O39" s="15" t="s">
        <v>18</v>
      </c>
      <c r="P39" s="36">
        <v>10</v>
      </c>
      <c r="V39" s="36">
        <v>0</v>
      </c>
      <c r="W39" s="15" t="s">
        <v>404</v>
      </c>
      <c r="X39" s="15" t="s">
        <v>78</v>
      </c>
      <c r="Y39" s="15" t="s">
        <v>33</v>
      </c>
      <c r="Z39" s="15" t="s">
        <v>87</v>
      </c>
      <c r="AA39" s="15" t="s">
        <v>18</v>
      </c>
      <c r="AB39" s="36">
        <v>0.5</v>
      </c>
      <c r="AE39" s="15" t="s">
        <v>568</v>
      </c>
    </row>
    <row r="40" spans="1:31" x14ac:dyDescent="0.25">
      <c r="A40" s="15" t="s">
        <v>1239</v>
      </c>
      <c r="B40" s="38">
        <v>43450</v>
      </c>
      <c r="C40" s="15" t="s">
        <v>512</v>
      </c>
      <c r="D40" s="15" t="s">
        <v>169</v>
      </c>
      <c r="E40" s="15" t="s">
        <v>250</v>
      </c>
      <c r="F40" s="15" t="s">
        <v>82</v>
      </c>
      <c r="G40" s="15" t="s">
        <v>68</v>
      </c>
      <c r="H40" s="15" t="s">
        <v>69</v>
      </c>
      <c r="I40" s="15" t="s">
        <v>18</v>
      </c>
      <c r="J40" s="36">
        <v>2</v>
      </c>
      <c r="K40" s="15" t="s">
        <v>348</v>
      </c>
      <c r="L40" s="15" t="s">
        <v>53</v>
      </c>
      <c r="M40" s="15" t="s">
        <v>20</v>
      </c>
      <c r="N40" s="15" t="s">
        <v>40</v>
      </c>
      <c r="O40" s="15" t="s">
        <v>18</v>
      </c>
      <c r="P40" s="36">
        <v>1</v>
      </c>
      <c r="V40" s="36">
        <v>0</v>
      </c>
      <c r="W40" s="15" t="s">
        <v>426</v>
      </c>
      <c r="X40" s="15" t="s">
        <v>124</v>
      </c>
      <c r="Y40" s="15" t="s">
        <v>33</v>
      </c>
      <c r="Z40" s="15" t="s">
        <v>57</v>
      </c>
      <c r="AA40" s="15" t="s">
        <v>18</v>
      </c>
      <c r="AB40" s="36">
        <v>133</v>
      </c>
      <c r="AE40" s="15" t="s">
        <v>568</v>
      </c>
    </row>
    <row r="41" spans="1:31" x14ac:dyDescent="0.25">
      <c r="A41" s="15" t="s">
        <v>1240</v>
      </c>
      <c r="B41" s="38">
        <v>43451</v>
      </c>
      <c r="C41" s="15" t="s">
        <v>512</v>
      </c>
      <c r="D41" s="15" t="s">
        <v>169</v>
      </c>
      <c r="E41" s="15" t="s">
        <v>260</v>
      </c>
      <c r="F41" s="15" t="s">
        <v>104</v>
      </c>
      <c r="G41" s="15" t="s">
        <v>45</v>
      </c>
      <c r="H41" s="15" t="s">
        <v>99</v>
      </c>
      <c r="I41" s="15" t="s">
        <v>18</v>
      </c>
      <c r="J41" s="36">
        <v>1</v>
      </c>
      <c r="K41" s="15" t="s">
        <v>298</v>
      </c>
      <c r="L41" s="15" t="s">
        <v>83</v>
      </c>
      <c r="M41" s="15" t="s">
        <v>51</v>
      </c>
      <c r="N41" s="15" t="s">
        <v>125</v>
      </c>
      <c r="O41" s="15" t="s">
        <v>18</v>
      </c>
      <c r="P41" s="36">
        <v>25</v>
      </c>
      <c r="V41" s="36">
        <v>0</v>
      </c>
      <c r="W41" s="15" t="s">
        <v>406</v>
      </c>
      <c r="X41" s="15" t="s">
        <v>84</v>
      </c>
      <c r="Y41" s="15" t="s">
        <v>33</v>
      </c>
      <c r="Z41" s="15" t="s">
        <v>87</v>
      </c>
      <c r="AA41" s="15" t="s">
        <v>18</v>
      </c>
      <c r="AB41" s="36">
        <v>0.5</v>
      </c>
      <c r="AE41" s="15" t="s">
        <v>568</v>
      </c>
    </row>
    <row r="42" spans="1:31" x14ac:dyDescent="0.25">
      <c r="A42" s="15" t="s">
        <v>1241</v>
      </c>
      <c r="B42" s="38">
        <v>43452</v>
      </c>
      <c r="C42" s="15" t="s">
        <v>512</v>
      </c>
      <c r="D42" s="15" t="s">
        <v>169</v>
      </c>
      <c r="E42" s="15" t="s">
        <v>260</v>
      </c>
      <c r="F42" s="15" t="s">
        <v>104</v>
      </c>
      <c r="G42" s="15" t="s">
        <v>45</v>
      </c>
      <c r="H42" s="15" t="s">
        <v>99</v>
      </c>
      <c r="I42" s="15" t="s">
        <v>18</v>
      </c>
      <c r="J42" s="36">
        <v>1</v>
      </c>
      <c r="K42" s="15" t="s">
        <v>298</v>
      </c>
      <c r="L42" s="15" t="s">
        <v>83</v>
      </c>
      <c r="M42" s="15" t="s">
        <v>51</v>
      </c>
      <c r="N42" s="15" t="s">
        <v>125</v>
      </c>
      <c r="O42" s="15" t="s">
        <v>18</v>
      </c>
      <c r="P42" s="36">
        <v>25</v>
      </c>
      <c r="V42" s="36">
        <v>0</v>
      </c>
      <c r="W42" s="15" t="s">
        <v>426</v>
      </c>
      <c r="X42" s="15" t="s">
        <v>124</v>
      </c>
      <c r="Y42" s="15" t="s">
        <v>33</v>
      </c>
      <c r="Z42" s="15" t="s">
        <v>57</v>
      </c>
      <c r="AA42" s="15" t="s">
        <v>18</v>
      </c>
      <c r="AB42" s="36">
        <v>134</v>
      </c>
      <c r="AE42" s="15" t="s">
        <v>568</v>
      </c>
    </row>
    <row r="43" spans="1:31" x14ac:dyDescent="0.25">
      <c r="A43" s="15" t="s">
        <v>1242</v>
      </c>
      <c r="B43" s="38">
        <v>43453</v>
      </c>
      <c r="C43" s="15" t="s">
        <v>512</v>
      </c>
      <c r="D43" s="15" t="s">
        <v>169</v>
      </c>
      <c r="E43" s="15" t="s">
        <v>260</v>
      </c>
      <c r="F43" s="15" t="s">
        <v>104</v>
      </c>
      <c r="G43" s="15" t="s">
        <v>45</v>
      </c>
      <c r="H43" s="15" t="s">
        <v>99</v>
      </c>
      <c r="I43" s="15" t="s">
        <v>18</v>
      </c>
      <c r="J43" s="36">
        <v>1</v>
      </c>
      <c r="K43" s="15" t="s">
        <v>310</v>
      </c>
      <c r="L43" s="15" t="s">
        <v>105</v>
      </c>
      <c r="M43" s="15" t="s">
        <v>56</v>
      </c>
      <c r="N43" s="15" t="s">
        <v>40</v>
      </c>
      <c r="O43" s="15" t="s">
        <v>18</v>
      </c>
      <c r="P43" s="36">
        <v>0.5</v>
      </c>
      <c r="V43" s="36">
        <v>0</v>
      </c>
      <c r="W43" s="15" t="s">
        <v>406</v>
      </c>
      <c r="X43" s="15" t="s">
        <v>84</v>
      </c>
      <c r="Y43" s="15" t="s">
        <v>33</v>
      </c>
      <c r="Z43" s="15" t="s">
        <v>87</v>
      </c>
      <c r="AA43" s="15" t="s">
        <v>18</v>
      </c>
      <c r="AB43" s="36">
        <v>0.5</v>
      </c>
      <c r="AE43" s="15" t="s">
        <v>568</v>
      </c>
    </row>
    <row r="44" spans="1:31" x14ac:dyDescent="0.25">
      <c r="A44" s="15" t="s">
        <v>1243</v>
      </c>
      <c r="B44" s="38">
        <v>43454</v>
      </c>
      <c r="C44" s="15" t="s">
        <v>512</v>
      </c>
      <c r="D44" s="15" t="s">
        <v>169</v>
      </c>
      <c r="E44" s="15" t="s">
        <v>260</v>
      </c>
      <c r="F44" s="15" t="s">
        <v>104</v>
      </c>
      <c r="G44" s="15" t="s">
        <v>45</v>
      </c>
      <c r="H44" s="15" t="s">
        <v>99</v>
      </c>
      <c r="I44" s="15" t="s">
        <v>18</v>
      </c>
      <c r="J44" s="36">
        <v>1</v>
      </c>
      <c r="K44" s="15" t="s">
        <v>310</v>
      </c>
      <c r="L44" s="15" t="s">
        <v>105</v>
      </c>
      <c r="M44" s="15" t="s">
        <v>56</v>
      </c>
      <c r="N44" s="15" t="s">
        <v>40</v>
      </c>
      <c r="O44" s="15" t="s">
        <v>18</v>
      </c>
      <c r="P44" s="36">
        <v>0.5</v>
      </c>
      <c r="V44" s="36">
        <v>0</v>
      </c>
      <c r="W44" s="15" t="s">
        <v>426</v>
      </c>
      <c r="X44" s="15" t="s">
        <v>124</v>
      </c>
      <c r="Y44" s="15" t="s">
        <v>33</v>
      </c>
      <c r="Z44" s="15" t="s">
        <v>57</v>
      </c>
      <c r="AA44" s="15" t="s">
        <v>18</v>
      </c>
      <c r="AB44" s="36">
        <v>133</v>
      </c>
      <c r="AE44" s="15" t="s">
        <v>568</v>
      </c>
    </row>
    <row r="45" spans="1:31" x14ac:dyDescent="0.25">
      <c r="A45" s="15" t="s">
        <v>1244</v>
      </c>
      <c r="B45" s="38">
        <v>43455</v>
      </c>
      <c r="C45" s="15" t="s">
        <v>512</v>
      </c>
      <c r="D45" s="15" t="s">
        <v>169</v>
      </c>
      <c r="E45" s="15" t="s">
        <v>260</v>
      </c>
      <c r="F45" s="15" t="s">
        <v>104</v>
      </c>
      <c r="G45" s="15" t="s">
        <v>45</v>
      </c>
      <c r="H45" s="15" t="s">
        <v>99</v>
      </c>
      <c r="I45" s="15" t="s">
        <v>18</v>
      </c>
      <c r="J45" s="36">
        <v>1</v>
      </c>
      <c r="K45" s="15" t="s">
        <v>318</v>
      </c>
      <c r="L45" s="15" t="s">
        <v>123</v>
      </c>
      <c r="M45" s="15" t="s">
        <v>80</v>
      </c>
      <c r="N45" s="15" t="s">
        <v>140</v>
      </c>
      <c r="O45" s="15" t="s">
        <v>18</v>
      </c>
      <c r="P45" s="36">
        <v>1</v>
      </c>
      <c r="V45" s="36">
        <v>0</v>
      </c>
      <c r="W45" s="15" t="s">
        <v>408</v>
      </c>
      <c r="X45" s="15" t="s">
        <v>90</v>
      </c>
      <c r="Y45" s="15" t="s">
        <v>33</v>
      </c>
      <c r="Z45" s="15" t="s">
        <v>87</v>
      </c>
      <c r="AA45" s="15" t="s">
        <v>18</v>
      </c>
      <c r="AB45" s="36">
        <v>0.5</v>
      </c>
      <c r="AE45" s="15" t="s">
        <v>568</v>
      </c>
    </row>
    <row r="46" spans="1:31" x14ac:dyDescent="0.25">
      <c r="A46" s="15" t="s">
        <v>1245</v>
      </c>
      <c r="B46" s="38">
        <v>43456</v>
      </c>
      <c r="C46" s="15" t="s">
        <v>512</v>
      </c>
      <c r="D46" s="15" t="s">
        <v>169</v>
      </c>
      <c r="E46" s="15" t="s">
        <v>252</v>
      </c>
      <c r="F46" s="15" t="s">
        <v>88</v>
      </c>
      <c r="G46" s="15" t="s">
        <v>68</v>
      </c>
      <c r="H46" s="15" t="s">
        <v>40</v>
      </c>
      <c r="I46" s="15" t="s">
        <v>18</v>
      </c>
      <c r="J46" s="36">
        <v>2</v>
      </c>
      <c r="K46" s="15" t="s">
        <v>340</v>
      </c>
      <c r="L46" s="15" t="s">
        <v>156</v>
      </c>
      <c r="M46" s="15" t="s">
        <v>74</v>
      </c>
      <c r="N46" s="15" t="s">
        <v>131</v>
      </c>
      <c r="O46" s="15" t="s">
        <v>18</v>
      </c>
      <c r="P46" s="36">
        <v>10</v>
      </c>
      <c r="V46" s="36">
        <v>0</v>
      </c>
      <c r="W46" s="15" t="s">
        <v>426</v>
      </c>
      <c r="X46" s="15" t="s">
        <v>124</v>
      </c>
      <c r="Y46" s="15" t="s">
        <v>33</v>
      </c>
      <c r="Z46" s="15" t="s">
        <v>57</v>
      </c>
      <c r="AA46" s="15" t="s">
        <v>18</v>
      </c>
      <c r="AB46" s="36">
        <v>133</v>
      </c>
      <c r="AE46" s="15" t="s">
        <v>568</v>
      </c>
    </row>
    <row r="47" spans="1:31" x14ac:dyDescent="0.25">
      <c r="A47" s="15" t="s">
        <v>1246</v>
      </c>
      <c r="B47" s="38">
        <v>43457</v>
      </c>
      <c r="C47" s="15" t="s">
        <v>512</v>
      </c>
      <c r="D47" s="15" t="s">
        <v>169</v>
      </c>
      <c r="E47" s="15" t="s">
        <v>252</v>
      </c>
      <c r="F47" s="15" t="s">
        <v>88</v>
      </c>
      <c r="G47" s="15" t="s">
        <v>68</v>
      </c>
      <c r="H47" s="15" t="s">
        <v>40</v>
      </c>
      <c r="I47" s="15" t="s">
        <v>18</v>
      </c>
      <c r="J47" s="36">
        <v>2</v>
      </c>
      <c r="K47" s="15" t="s">
        <v>344</v>
      </c>
      <c r="L47" s="15" t="s">
        <v>160</v>
      </c>
      <c r="M47" s="15" t="s">
        <v>20</v>
      </c>
      <c r="N47" s="15" t="s">
        <v>103</v>
      </c>
      <c r="O47" s="15" t="s">
        <v>18</v>
      </c>
      <c r="P47" s="36">
        <v>1</v>
      </c>
      <c r="V47" s="36">
        <v>0</v>
      </c>
      <c r="W47" s="15" t="s">
        <v>408</v>
      </c>
      <c r="X47" s="15" t="s">
        <v>90</v>
      </c>
      <c r="Y47" s="15" t="s">
        <v>33</v>
      </c>
      <c r="Z47" s="15" t="s">
        <v>87</v>
      </c>
      <c r="AA47" s="15" t="s">
        <v>18</v>
      </c>
      <c r="AB47" s="36">
        <v>0.5</v>
      </c>
      <c r="AE47" s="15" t="s">
        <v>568</v>
      </c>
    </row>
    <row r="48" spans="1:31" x14ac:dyDescent="0.25">
      <c r="A48" s="15" t="s">
        <v>1247</v>
      </c>
      <c r="B48" s="38">
        <v>43458</v>
      </c>
      <c r="C48" s="15" t="s">
        <v>512</v>
      </c>
      <c r="D48" s="15" t="s">
        <v>169</v>
      </c>
      <c r="E48" s="15" t="s">
        <v>260</v>
      </c>
      <c r="F48" s="15" t="s">
        <v>104</v>
      </c>
      <c r="G48" s="15" t="s">
        <v>45</v>
      </c>
      <c r="H48" s="15" t="s">
        <v>99</v>
      </c>
      <c r="I48" s="15" t="s">
        <v>18</v>
      </c>
      <c r="J48" s="36">
        <v>1</v>
      </c>
      <c r="K48" s="15" t="s">
        <v>300</v>
      </c>
      <c r="L48" s="15" t="s">
        <v>89</v>
      </c>
      <c r="M48" s="15" t="s">
        <v>51</v>
      </c>
      <c r="N48" s="15" t="s">
        <v>40</v>
      </c>
      <c r="O48" s="15" t="s">
        <v>18</v>
      </c>
      <c r="P48" s="36">
        <v>0.5</v>
      </c>
      <c r="V48" s="36">
        <v>0</v>
      </c>
      <c r="W48" s="15" t="s">
        <v>426</v>
      </c>
      <c r="X48" s="15" t="s">
        <v>124</v>
      </c>
      <c r="Y48" s="15" t="s">
        <v>33</v>
      </c>
      <c r="Z48" s="15" t="s">
        <v>57</v>
      </c>
      <c r="AA48" s="15" t="s">
        <v>18</v>
      </c>
      <c r="AB48" s="36">
        <v>134</v>
      </c>
      <c r="AE48" s="15" t="s">
        <v>568</v>
      </c>
    </row>
    <row r="49" spans="1:31" x14ac:dyDescent="0.25">
      <c r="A49" s="15" t="s">
        <v>1248</v>
      </c>
      <c r="B49" s="38">
        <v>43459</v>
      </c>
      <c r="C49" s="15" t="s">
        <v>512</v>
      </c>
      <c r="D49" s="15" t="s">
        <v>169</v>
      </c>
      <c r="E49" s="15" t="s">
        <v>260</v>
      </c>
      <c r="F49" s="15" t="s">
        <v>104</v>
      </c>
      <c r="G49" s="15" t="s">
        <v>45</v>
      </c>
      <c r="H49" s="15" t="s">
        <v>99</v>
      </c>
      <c r="I49" s="15" t="s">
        <v>18</v>
      </c>
      <c r="J49" s="36">
        <v>1</v>
      </c>
      <c r="K49" s="15" t="s">
        <v>300</v>
      </c>
      <c r="L49" s="15" t="s">
        <v>89</v>
      </c>
      <c r="M49" s="15" t="s">
        <v>51</v>
      </c>
      <c r="N49" s="15" t="s">
        <v>40</v>
      </c>
      <c r="O49" s="15" t="s">
        <v>18</v>
      </c>
      <c r="P49" s="36">
        <v>0.5</v>
      </c>
      <c r="V49" s="36">
        <v>0</v>
      </c>
      <c r="W49" s="15" t="s">
        <v>410</v>
      </c>
      <c r="X49" s="15" t="s">
        <v>94</v>
      </c>
      <c r="Y49" s="15" t="s">
        <v>33</v>
      </c>
      <c r="Z49" s="15" t="s">
        <v>21</v>
      </c>
      <c r="AA49" s="15" t="s">
        <v>18</v>
      </c>
      <c r="AB49" s="36">
        <v>3</v>
      </c>
      <c r="AC49" s="15" t="s">
        <v>480</v>
      </c>
      <c r="AD49" s="15" t="s">
        <v>61</v>
      </c>
      <c r="AE49" s="15" t="s">
        <v>568</v>
      </c>
    </row>
    <row r="50" spans="1:31" x14ac:dyDescent="0.25">
      <c r="A50" s="15" t="s">
        <v>1249</v>
      </c>
      <c r="B50" s="38">
        <v>43460</v>
      </c>
      <c r="C50" s="15" t="s">
        <v>512</v>
      </c>
      <c r="D50" s="15" t="s">
        <v>169</v>
      </c>
      <c r="E50" s="15" t="s">
        <v>260</v>
      </c>
      <c r="F50" s="15" t="s">
        <v>104</v>
      </c>
      <c r="G50" s="15" t="s">
        <v>45</v>
      </c>
      <c r="H50" s="15" t="s">
        <v>99</v>
      </c>
      <c r="I50" s="15" t="s">
        <v>18</v>
      </c>
      <c r="J50" s="36">
        <v>1</v>
      </c>
      <c r="K50" s="15" t="s">
        <v>312</v>
      </c>
      <c r="L50" s="15" t="s">
        <v>109</v>
      </c>
      <c r="M50" s="15" t="s">
        <v>56</v>
      </c>
      <c r="N50" s="15" t="s">
        <v>40</v>
      </c>
      <c r="O50" s="15" t="s">
        <v>18</v>
      </c>
      <c r="P50" s="36">
        <v>0.5</v>
      </c>
      <c r="V50" s="36">
        <v>0</v>
      </c>
      <c r="W50" s="15" t="s">
        <v>426</v>
      </c>
      <c r="X50" s="15" t="s">
        <v>124</v>
      </c>
      <c r="Y50" s="15" t="s">
        <v>33</v>
      </c>
      <c r="Z50" s="15" t="s">
        <v>57</v>
      </c>
      <c r="AA50" s="15" t="s">
        <v>18</v>
      </c>
      <c r="AB50" s="36">
        <v>133</v>
      </c>
      <c r="AE50" s="15" t="s">
        <v>568</v>
      </c>
    </row>
    <row r="51" spans="1:31" x14ac:dyDescent="0.25">
      <c r="A51" s="15" t="s">
        <v>1250</v>
      </c>
      <c r="B51" s="38">
        <v>43461</v>
      </c>
      <c r="C51" s="15" t="s">
        <v>512</v>
      </c>
      <c r="D51" s="15" t="s">
        <v>169</v>
      </c>
      <c r="E51" s="15" t="s">
        <v>260</v>
      </c>
      <c r="F51" s="15" t="s">
        <v>104</v>
      </c>
      <c r="G51" s="15" t="s">
        <v>45</v>
      </c>
      <c r="H51" s="15" t="s">
        <v>99</v>
      </c>
      <c r="I51" s="15" t="s">
        <v>18</v>
      </c>
      <c r="J51" s="36">
        <v>1</v>
      </c>
      <c r="K51" s="15" t="s">
        <v>312</v>
      </c>
      <c r="L51" s="15" t="s">
        <v>109</v>
      </c>
      <c r="M51" s="15" t="s">
        <v>56</v>
      </c>
      <c r="N51" s="15" t="s">
        <v>40</v>
      </c>
      <c r="O51" s="15" t="s">
        <v>18</v>
      </c>
      <c r="P51" s="36">
        <v>0.5</v>
      </c>
      <c r="V51" s="36">
        <v>0</v>
      </c>
      <c r="W51" s="15" t="s">
        <v>410</v>
      </c>
      <c r="X51" s="15" t="s">
        <v>94</v>
      </c>
      <c r="Y51" s="15" t="s">
        <v>33</v>
      </c>
      <c r="Z51" s="15" t="s">
        <v>21</v>
      </c>
      <c r="AA51" s="15" t="s">
        <v>18</v>
      </c>
      <c r="AB51" s="36">
        <v>3</v>
      </c>
      <c r="AE51" s="15" t="s">
        <v>568</v>
      </c>
    </row>
    <row r="52" spans="1:31" x14ac:dyDescent="0.25">
      <c r="A52" s="15" t="s">
        <v>1251</v>
      </c>
      <c r="B52" s="38">
        <v>43462</v>
      </c>
      <c r="C52" s="15" t="s">
        <v>512</v>
      </c>
      <c r="D52" s="15" t="s">
        <v>169</v>
      </c>
      <c r="E52" s="15" t="s">
        <v>260</v>
      </c>
      <c r="F52" s="15" t="s">
        <v>104</v>
      </c>
      <c r="G52" s="15" t="s">
        <v>45</v>
      </c>
      <c r="H52" s="15" t="s">
        <v>99</v>
      </c>
      <c r="I52" s="15" t="s">
        <v>18</v>
      </c>
      <c r="J52" s="36">
        <v>1</v>
      </c>
      <c r="K52" s="15" t="s">
        <v>320</v>
      </c>
      <c r="L52" s="15" t="s">
        <v>126</v>
      </c>
      <c r="M52" s="15" t="s">
        <v>80</v>
      </c>
      <c r="N52" s="15" t="s">
        <v>140</v>
      </c>
      <c r="O52" s="15" t="s">
        <v>18</v>
      </c>
      <c r="P52" s="36">
        <v>1</v>
      </c>
      <c r="V52" s="36">
        <v>0</v>
      </c>
      <c r="W52" s="15" t="s">
        <v>426</v>
      </c>
      <c r="X52" s="15" t="s">
        <v>124</v>
      </c>
      <c r="Y52" s="15" t="s">
        <v>33</v>
      </c>
      <c r="Z52" s="15" t="s">
        <v>57</v>
      </c>
      <c r="AA52" s="15" t="s">
        <v>18</v>
      </c>
      <c r="AB52" s="36">
        <v>133</v>
      </c>
      <c r="AE52" s="15" t="s">
        <v>568</v>
      </c>
    </row>
    <row r="53" spans="1:31" x14ac:dyDescent="0.25">
      <c r="A53" s="15" t="s">
        <v>1252</v>
      </c>
      <c r="B53" s="38">
        <v>43463</v>
      </c>
      <c r="C53" s="15" t="s">
        <v>512</v>
      </c>
      <c r="D53" s="15" t="s">
        <v>169</v>
      </c>
      <c r="E53" s="15" t="s">
        <v>254</v>
      </c>
      <c r="F53" s="15" t="s">
        <v>92</v>
      </c>
      <c r="G53" s="15" t="s">
        <v>68</v>
      </c>
      <c r="H53" s="15" t="s">
        <v>69</v>
      </c>
      <c r="I53" s="15" t="s">
        <v>18</v>
      </c>
      <c r="J53" s="36">
        <v>2</v>
      </c>
      <c r="K53" s="15" t="s">
        <v>342</v>
      </c>
      <c r="L53" s="15" t="s">
        <v>158</v>
      </c>
      <c r="M53" s="15" t="s">
        <v>74</v>
      </c>
      <c r="N53" s="15" t="s">
        <v>131</v>
      </c>
      <c r="O53" s="15" t="s">
        <v>18</v>
      </c>
      <c r="P53" s="36">
        <v>10</v>
      </c>
      <c r="V53" s="36">
        <v>0</v>
      </c>
      <c r="W53" s="15" t="s">
        <v>412</v>
      </c>
      <c r="X53" s="15" t="s">
        <v>98</v>
      </c>
      <c r="Y53" s="15" t="s">
        <v>33</v>
      </c>
      <c r="Z53" s="15" t="s">
        <v>87</v>
      </c>
      <c r="AA53" s="15" t="s">
        <v>18</v>
      </c>
      <c r="AB53" s="36">
        <v>0.5</v>
      </c>
      <c r="AE53" s="15" t="s">
        <v>568</v>
      </c>
    </row>
    <row r="54" spans="1:31" x14ac:dyDescent="0.25">
      <c r="A54" s="15" t="s">
        <v>1253</v>
      </c>
      <c r="B54" s="38">
        <v>43464</v>
      </c>
      <c r="C54" s="15" t="s">
        <v>512</v>
      </c>
      <c r="D54" s="15" t="s">
        <v>169</v>
      </c>
      <c r="E54" s="15" t="s">
        <v>254</v>
      </c>
      <c r="F54" s="15" t="s">
        <v>92</v>
      </c>
      <c r="G54" s="15" t="s">
        <v>68</v>
      </c>
      <c r="H54" s="15" t="s">
        <v>69</v>
      </c>
      <c r="I54" s="15" t="s">
        <v>18</v>
      </c>
      <c r="J54" s="36">
        <v>2</v>
      </c>
      <c r="K54" s="15" t="s">
        <v>346</v>
      </c>
      <c r="L54" s="15" t="s">
        <v>162</v>
      </c>
      <c r="M54" s="15" t="s">
        <v>12</v>
      </c>
      <c r="N54" s="15" t="s">
        <v>121</v>
      </c>
      <c r="O54" s="15" t="s">
        <v>18</v>
      </c>
      <c r="P54" s="36">
        <v>20</v>
      </c>
      <c r="Q54" s="15" t="s">
        <v>274</v>
      </c>
      <c r="R54" s="15" t="s">
        <v>15</v>
      </c>
      <c r="S54" s="15" t="s">
        <v>27</v>
      </c>
      <c r="T54" s="15" t="s">
        <v>13</v>
      </c>
      <c r="U54" s="15" t="s">
        <v>18</v>
      </c>
      <c r="V54" s="36">
        <v>1</v>
      </c>
      <c r="W54" s="15" t="s">
        <v>426</v>
      </c>
      <c r="X54" s="15" t="s">
        <v>124</v>
      </c>
      <c r="Y54" s="15" t="s">
        <v>33</v>
      </c>
      <c r="Z54" s="15" t="s">
        <v>57</v>
      </c>
      <c r="AA54" s="15" t="s">
        <v>18</v>
      </c>
      <c r="AB54" s="36">
        <v>133</v>
      </c>
      <c r="AE54" s="15" t="s">
        <v>568</v>
      </c>
    </row>
    <row r="55" spans="1:31" x14ac:dyDescent="0.25">
      <c r="A55" s="15" t="s">
        <v>1254</v>
      </c>
      <c r="B55" s="38">
        <v>43465</v>
      </c>
      <c r="C55" s="15" t="s">
        <v>512</v>
      </c>
      <c r="D55" s="15" t="s">
        <v>169</v>
      </c>
      <c r="E55" s="15" t="s">
        <v>260</v>
      </c>
      <c r="F55" s="15" t="s">
        <v>104</v>
      </c>
      <c r="G55" s="15" t="s">
        <v>45</v>
      </c>
      <c r="H55" s="15" t="s">
        <v>99</v>
      </c>
      <c r="I55" s="15" t="s">
        <v>18</v>
      </c>
      <c r="J55" s="36">
        <v>1</v>
      </c>
      <c r="K55" s="15" t="s">
        <v>302</v>
      </c>
      <c r="L55" s="15" t="s">
        <v>93</v>
      </c>
      <c r="M55" s="15" t="s">
        <v>51</v>
      </c>
      <c r="N55" s="15" t="s">
        <v>125</v>
      </c>
      <c r="O55" s="15" t="s">
        <v>18</v>
      </c>
      <c r="P55" s="36">
        <v>25</v>
      </c>
      <c r="V55" s="36">
        <v>0</v>
      </c>
      <c r="W55" s="15" t="s">
        <v>412</v>
      </c>
      <c r="X55" s="15" t="s">
        <v>98</v>
      </c>
      <c r="Y55" s="15" t="s">
        <v>33</v>
      </c>
      <c r="Z55" s="15" t="s">
        <v>87</v>
      </c>
      <c r="AA55" s="15" t="s">
        <v>18</v>
      </c>
      <c r="AB55" s="36">
        <v>0.5</v>
      </c>
      <c r="AE55" s="15" t="s">
        <v>568</v>
      </c>
    </row>
    <row r="56" spans="1:31" x14ac:dyDescent="0.25">
      <c r="A56" s="15" t="s">
        <v>1349</v>
      </c>
      <c r="B56" s="38">
        <v>43435</v>
      </c>
      <c r="C56" s="15" t="s">
        <v>512</v>
      </c>
      <c r="D56" s="15" t="s">
        <v>169</v>
      </c>
      <c r="J56" s="36">
        <v>0</v>
      </c>
      <c r="P56" s="36">
        <v>0</v>
      </c>
      <c r="V56" s="36">
        <v>0</v>
      </c>
      <c r="W56" s="15" t="s">
        <v>452</v>
      </c>
      <c r="X56" s="15" t="s">
        <v>159</v>
      </c>
      <c r="Y56" s="15" t="s">
        <v>62</v>
      </c>
      <c r="Z56" s="15" t="s">
        <v>111</v>
      </c>
      <c r="AA56" s="15" t="s">
        <v>25</v>
      </c>
      <c r="AB56" s="36">
        <v>1</v>
      </c>
      <c r="AE56" s="15" t="s">
        <v>570</v>
      </c>
    </row>
    <row r="57" spans="1:31" x14ac:dyDescent="0.25">
      <c r="A57" s="15" t="s">
        <v>1350</v>
      </c>
      <c r="B57" s="38">
        <v>43436</v>
      </c>
      <c r="C57" s="15" t="s">
        <v>512</v>
      </c>
      <c r="D57" s="15" t="s">
        <v>169</v>
      </c>
      <c r="J57" s="36">
        <v>0</v>
      </c>
      <c r="P57" s="36">
        <v>0</v>
      </c>
      <c r="V57" s="36">
        <v>0</v>
      </c>
      <c r="W57" s="15" t="s">
        <v>440</v>
      </c>
      <c r="X57" s="15" t="s">
        <v>145</v>
      </c>
      <c r="Y57" s="15" t="s">
        <v>62</v>
      </c>
      <c r="Z57" s="15" t="s">
        <v>111</v>
      </c>
      <c r="AA57" s="15" t="s">
        <v>25</v>
      </c>
      <c r="AB57" s="36">
        <v>1</v>
      </c>
      <c r="AE57" s="15" t="s">
        <v>570</v>
      </c>
    </row>
    <row r="58" spans="1:31" x14ac:dyDescent="0.25">
      <c r="A58" s="15" t="s">
        <v>1351</v>
      </c>
      <c r="B58" s="38">
        <v>43442</v>
      </c>
      <c r="C58" s="15" t="s">
        <v>512</v>
      </c>
      <c r="D58" s="15" t="s">
        <v>169</v>
      </c>
      <c r="J58" s="36">
        <v>0</v>
      </c>
      <c r="P58" s="36">
        <v>0</v>
      </c>
      <c r="V58" s="36">
        <v>0</v>
      </c>
      <c r="W58" s="15" t="s">
        <v>442</v>
      </c>
      <c r="X58" s="15" t="s">
        <v>148</v>
      </c>
      <c r="Y58" s="15" t="s">
        <v>62</v>
      </c>
      <c r="Z58" s="15" t="s">
        <v>111</v>
      </c>
      <c r="AA58" s="15" t="s">
        <v>25</v>
      </c>
      <c r="AB58" s="36">
        <v>1</v>
      </c>
      <c r="AE58" s="15" t="s">
        <v>570</v>
      </c>
    </row>
    <row r="59" spans="1:31" x14ac:dyDescent="0.25">
      <c r="A59" s="15" t="s">
        <v>1352</v>
      </c>
      <c r="B59" s="38">
        <v>43443</v>
      </c>
      <c r="C59" s="15" t="s">
        <v>512</v>
      </c>
      <c r="D59" s="15" t="s">
        <v>169</v>
      </c>
      <c r="J59" s="36">
        <v>0</v>
      </c>
      <c r="P59" s="36">
        <v>0</v>
      </c>
      <c r="V59" s="36">
        <v>0</v>
      </c>
      <c r="W59" s="15" t="s">
        <v>444</v>
      </c>
      <c r="X59" s="15" t="s">
        <v>151</v>
      </c>
      <c r="Y59" s="15" t="s">
        <v>62</v>
      </c>
      <c r="Z59" s="15" t="s">
        <v>111</v>
      </c>
      <c r="AA59" s="15" t="s">
        <v>25</v>
      </c>
      <c r="AB59" s="36">
        <v>1</v>
      </c>
      <c r="AE59" s="15" t="s">
        <v>570</v>
      </c>
    </row>
    <row r="60" spans="1:31" x14ac:dyDescent="0.25">
      <c r="A60" s="15" t="s">
        <v>1353</v>
      </c>
      <c r="B60" s="38">
        <v>43449</v>
      </c>
      <c r="C60" s="15" t="s">
        <v>512</v>
      </c>
      <c r="D60" s="15" t="s">
        <v>169</v>
      </c>
      <c r="J60" s="36">
        <v>0</v>
      </c>
      <c r="P60" s="36">
        <v>0</v>
      </c>
      <c r="V60" s="36">
        <v>0</v>
      </c>
      <c r="W60" s="15" t="s">
        <v>446</v>
      </c>
      <c r="X60" s="15" t="s">
        <v>154</v>
      </c>
      <c r="Y60" s="15" t="s">
        <v>62</v>
      </c>
      <c r="Z60" s="15" t="s">
        <v>111</v>
      </c>
      <c r="AA60" s="15" t="s">
        <v>25</v>
      </c>
      <c r="AB60" s="36">
        <v>1</v>
      </c>
      <c r="AE60" s="15" t="s">
        <v>570</v>
      </c>
    </row>
    <row r="61" spans="1:31" x14ac:dyDescent="0.25">
      <c r="A61" s="15" t="s">
        <v>1354</v>
      </c>
      <c r="B61" s="38">
        <v>43450</v>
      </c>
      <c r="C61" s="15" t="s">
        <v>512</v>
      </c>
      <c r="D61" s="15" t="s">
        <v>169</v>
      </c>
      <c r="J61" s="36">
        <v>0</v>
      </c>
      <c r="P61" s="36">
        <v>0</v>
      </c>
      <c r="V61" s="36">
        <v>0</v>
      </c>
      <c r="W61" s="15" t="s">
        <v>448</v>
      </c>
      <c r="X61" s="15" t="s">
        <v>102</v>
      </c>
      <c r="Y61" s="15" t="s">
        <v>62</v>
      </c>
      <c r="Z61" s="15" t="s">
        <v>140</v>
      </c>
      <c r="AA61" s="15" t="s">
        <v>25</v>
      </c>
      <c r="AB61" s="36">
        <v>1</v>
      </c>
      <c r="AE61" s="15" t="s">
        <v>570</v>
      </c>
    </row>
    <row r="62" spans="1:31" x14ac:dyDescent="0.25">
      <c r="A62" s="15" t="s">
        <v>1355</v>
      </c>
      <c r="B62" s="38">
        <v>43456</v>
      </c>
      <c r="C62" s="15" t="s">
        <v>512</v>
      </c>
      <c r="D62" s="15" t="s">
        <v>169</v>
      </c>
      <c r="J62" s="36">
        <v>0</v>
      </c>
      <c r="P62" s="36">
        <v>0</v>
      </c>
      <c r="V62" s="36">
        <v>0</v>
      </c>
      <c r="W62" s="15" t="s">
        <v>450</v>
      </c>
      <c r="X62" s="15" t="s">
        <v>157</v>
      </c>
      <c r="Y62" s="15" t="s">
        <v>62</v>
      </c>
      <c r="Z62" s="15" t="s">
        <v>111</v>
      </c>
      <c r="AA62" s="15" t="s">
        <v>25</v>
      </c>
      <c r="AB62" s="36">
        <v>1</v>
      </c>
      <c r="AE62" s="15" t="s">
        <v>570</v>
      </c>
    </row>
    <row r="63" spans="1:31" x14ac:dyDescent="0.25">
      <c r="A63" s="15" t="s">
        <v>1356</v>
      </c>
      <c r="B63" s="38">
        <v>43457</v>
      </c>
      <c r="C63" s="15" t="s">
        <v>512</v>
      </c>
      <c r="D63" s="15" t="s">
        <v>169</v>
      </c>
      <c r="J63" s="36">
        <v>0</v>
      </c>
      <c r="P63" s="36">
        <v>0</v>
      </c>
      <c r="V63" s="36">
        <v>0</v>
      </c>
      <c r="W63" s="15" t="s">
        <v>452</v>
      </c>
      <c r="X63" s="15" t="s">
        <v>159</v>
      </c>
      <c r="Y63" s="15" t="s">
        <v>62</v>
      </c>
      <c r="Z63" s="15" t="s">
        <v>111</v>
      </c>
      <c r="AA63" s="15" t="s">
        <v>25</v>
      </c>
      <c r="AB63" s="36">
        <v>1</v>
      </c>
      <c r="AE63" s="15" t="s">
        <v>570</v>
      </c>
    </row>
    <row r="64" spans="1:31" x14ac:dyDescent="0.25">
      <c r="A64" s="15" t="s">
        <v>1357</v>
      </c>
      <c r="B64" s="38">
        <v>43463</v>
      </c>
      <c r="C64" s="15" t="s">
        <v>512</v>
      </c>
      <c r="D64" s="15" t="s">
        <v>169</v>
      </c>
      <c r="J64" s="36">
        <v>0</v>
      </c>
      <c r="P64" s="36">
        <v>0</v>
      </c>
      <c r="V64" s="36">
        <v>0</v>
      </c>
      <c r="W64" s="15" t="s">
        <v>440</v>
      </c>
      <c r="X64" s="15" t="s">
        <v>145</v>
      </c>
      <c r="Y64" s="15" t="s">
        <v>62</v>
      </c>
      <c r="Z64" s="15" t="s">
        <v>111</v>
      </c>
      <c r="AA64" s="15" t="s">
        <v>25</v>
      </c>
      <c r="AB64" s="36">
        <v>1</v>
      </c>
      <c r="AE64" s="15" t="s">
        <v>570</v>
      </c>
    </row>
    <row r="65" spans="1:31" x14ac:dyDescent="0.25">
      <c r="A65" s="15" t="s">
        <v>1358</v>
      </c>
      <c r="B65" s="38">
        <v>43464</v>
      </c>
      <c r="C65" s="15" t="s">
        <v>512</v>
      </c>
      <c r="D65" s="15" t="s">
        <v>169</v>
      </c>
      <c r="J65" s="36">
        <v>0</v>
      </c>
      <c r="P65" s="36">
        <v>0</v>
      </c>
      <c r="V65" s="36">
        <v>0</v>
      </c>
      <c r="W65" s="15" t="s">
        <v>442</v>
      </c>
      <c r="X65" s="15" t="s">
        <v>148</v>
      </c>
      <c r="Y65" s="15" t="s">
        <v>62</v>
      </c>
      <c r="Z65" s="15" t="s">
        <v>111</v>
      </c>
      <c r="AA65" s="15" t="s">
        <v>25</v>
      </c>
      <c r="AB65" s="36">
        <v>1</v>
      </c>
      <c r="AE65" s="15" t="s">
        <v>570</v>
      </c>
    </row>
  </sheetData>
  <mergeCells count="1">
    <mergeCell ref="A1:AE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QuantitéDesserts"/>
  <dimension ref="A1:O33"/>
  <sheetViews>
    <sheetView tabSelected="1" workbookViewId="0">
      <selection sqref="A1:O1"/>
    </sheetView>
  </sheetViews>
  <sheetFormatPr baseColWidth="10" defaultColWidth="11.07421875" defaultRowHeight="10.199999999999999" x14ac:dyDescent="0.2"/>
  <cols>
    <col min="1" max="1" width="7.53515625" style="22" bestFit="1" customWidth="1"/>
    <col min="2" max="2" width="15.07421875" style="22" bestFit="1" customWidth="1"/>
    <col min="3" max="3" width="4.23046875" style="22" customWidth="1"/>
    <col min="4" max="4" width="4.15234375" style="22" customWidth="1"/>
    <col min="5" max="5" width="3.15234375" style="22" customWidth="1"/>
    <col min="6" max="6" width="3.61328125" style="22" customWidth="1"/>
    <col min="7" max="8" width="3.07421875" style="22" customWidth="1"/>
    <col min="9" max="9" width="3.61328125" style="22" customWidth="1"/>
    <col min="10" max="10" width="3.07421875" style="22" customWidth="1"/>
    <col min="11" max="11" width="6.23046875" style="22" customWidth="1"/>
    <col min="12" max="12" width="4.61328125" style="22" customWidth="1"/>
    <col min="13" max="14" width="5.84375" style="22" customWidth="1"/>
    <col min="15" max="15" width="4" style="22" customWidth="1"/>
    <col min="16" max="16384" width="11.07421875" style="22"/>
  </cols>
  <sheetData>
    <row r="1" spans="1:15" ht="11.4" thickTop="1" thickBot="1" x14ac:dyDescent="0.25">
      <c r="A1" s="70" t="s">
        <v>1362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12.75" thickTop="1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1.4" thickTop="1" thickBot="1" x14ac:dyDescent="0.25">
      <c r="A3" s="58" t="s">
        <v>516</v>
      </c>
      <c r="B3" s="59" t="s">
        <v>517</v>
      </c>
      <c r="C3" s="59" t="s">
        <v>173</v>
      </c>
      <c r="D3" s="59" t="s">
        <v>174</v>
      </c>
      <c r="E3" s="59" t="s">
        <v>175</v>
      </c>
      <c r="F3" s="59" t="s">
        <v>176</v>
      </c>
      <c r="G3" s="59" t="s">
        <v>177</v>
      </c>
      <c r="H3" s="59" t="s">
        <v>178</v>
      </c>
      <c r="I3" s="59" t="s">
        <v>179</v>
      </c>
      <c r="J3" s="59" t="s">
        <v>180</v>
      </c>
      <c r="K3" s="59" t="s">
        <v>181</v>
      </c>
      <c r="L3" s="59" t="s">
        <v>182</v>
      </c>
      <c r="M3" s="59" t="s">
        <v>168</v>
      </c>
      <c r="N3" s="59" t="s">
        <v>169</v>
      </c>
      <c r="O3" s="59" t="s">
        <v>576</v>
      </c>
    </row>
    <row r="4" spans="1:15" ht="10.199999999999999" customHeight="1" thickTop="1" thickBot="1" x14ac:dyDescent="0.25">
      <c r="A4" s="58" t="s">
        <v>227</v>
      </c>
      <c r="B4" s="58" t="s">
        <v>14</v>
      </c>
      <c r="C4" s="62">
        <f>SUMIFS(Janvier!$J$4:$J$750,Janvier!$D$4:$D$750,"Janvier",Janvier!$F$4:$F$750,"Ananas")</f>
        <v>0</v>
      </c>
      <c r="D4" s="62">
        <f>SUMIFS(Février!$J$4:$J$750,Février!$D$4:$D$750,"Février",Février!$F$4:$F$750,"Ananas")</f>
        <v>0</v>
      </c>
      <c r="E4" s="62">
        <f>SUMIFS(Mars!$J$4:$J$750,Mars!$D$4:$D$750,"Mars",Mars!$F$4:$F$750,"Ananas")</f>
        <v>0</v>
      </c>
      <c r="F4" s="62">
        <f>SUMIFS(Avril!$J$4:$J$749,Avril!$D$4:$D$749,"Avril",Avril!$F$4:$F$749,"Ananas")</f>
        <v>0</v>
      </c>
      <c r="G4" s="62">
        <f>SUMIFS(Mai!$J$4:$J$750,Mai!$D$4:$D$750,"Mai",Mai!$F$4:$F$750,"Ananas")</f>
        <v>1</v>
      </c>
      <c r="H4" s="62">
        <f>SUMIFS(Juin!$J$4:$J$750,Juin!$D$4:$D$750,"Juin",Juin!$F$4:$F$750,"Ananas")</f>
        <v>0</v>
      </c>
      <c r="I4" s="62">
        <f>SUMIFS(Juillet!$J$4:$J$750,Juillet!$D$4:$D$750,"Juillet",Juillet!$F$4:$F$750,"Ananas")</f>
        <v>0</v>
      </c>
      <c r="J4" s="62">
        <f>SUMIFS(Août!$J$4:$J$750,Août!$D$4:$D$750,"Août",Août!$F$4:$F$750,"Ananas")</f>
        <v>0</v>
      </c>
      <c r="K4" s="62">
        <f>SUMIFS(Septembre!$J$4:$J$750,Septembre!$D$4:$D$750,"Septembre",Septembre!$F$4:$F$750,"Ananas")</f>
        <v>1</v>
      </c>
      <c r="L4" s="62">
        <f>SUMIFS(Octobre!$J$4:$J$750,Octobre!$D$4:$D$750,"Octobre",Octobre!$F$4:$F$750,"Ananas")</f>
        <v>0</v>
      </c>
      <c r="M4" s="62">
        <f>SUMIFS(Novembre!$J$4:$J$750,Novembre!$D$4:$D$750,"Novembre",Novembre!$F$4:$F$750,"Ananas")</f>
        <v>0</v>
      </c>
      <c r="N4" s="62">
        <f>SUMIFS(Décembre!$J$4:$J$750,Décembre!$D$4:$D$750,"Décembre",Décembre!$F$4:$F$750,"Ananas")</f>
        <v>0</v>
      </c>
      <c r="O4" s="62">
        <f>SUM($C4:$N4)</f>
        <v>2</v>
      </c>
    </row>
    <row r="5" spans="1:15" ht="9.6" customHeight="1" thickTop="1" thickBot="1" x14ac:dyDescent="0.25">
      <c r="A5" s="58" t="s">
        <v>228</v>
      </c>
      <c r="B5" s="58" t="s">
        <v>22</v>
      </c>
      <c r="C5" s="62">
        <f>SUMIFS(Janvier!$J$4:$J$750,Janvier!$D$4:$D$750,"Janvier",Janvier!$F$4:$F$750,"Autres fruits")</f>
        <v>0</v>
      </c>
      <c r="D5" s="62">
        <f>SUMIFS(Février!$J$4:$J$750,Février!$D$4:$D$750,"Février",Février!$F$4:$F$750,"Autres fruits")</f>
        <v>0</v>
      </c>
      <c r="E5" s="62">
        <f>SUMIFS(Mars!$J$4:$J$750,Mars!$D$4:$D$750,"Mars",Mars!$F$4:$F$750,"Autres fruits")</f>
        <v>0</v>
      </c>
      <c r="F5" s="62">
        <f>SUMIFS(Avril!$J$4:$J$749,Avril!$D$4:$D$749,"Avril",Avril!$F$4:$F$749,"Autres fruits")</f>
        <v>0</v>
      </c>
      <c r="G5" s="62">
        <f>SUMIFS(Mai!$J$4:$J$750,Mai!$D$4:$D$750,"Mai",Mai!$F$4:$F$750,"Autres fruits")</f>
        <v>16</v>
      </c>
      <c r="H5" s="62">
        <f>SUMIFS(Juin!$J$4:$J$750,Juin!$D$4:$D$750,"Juin",Juin!$F$4:$F$750,"Autres fruits")</f>
        <v>0</v>
      </c>
      <c r="I5" s="62">
        <f>SUMIFS(Juillet!$J$4:$J$750,Juillet!$D$4:$D$750,"Juillet",Juillet!$F$4:$F$750,"Autres fruits")</f>
        <v>0</v>
      </c>
      <c r="J5" s="62">
        <f>SUMIFS(Août!$J$4:$J$750,Août!$D$4:$D$750,"Août",Août!$F$4:$F$750,"Autres fruits")</f>
        <v>0</v>
      </c>
      <c r="K5" s="62">
        <f>SUMIFS(Septembre!$J$4:$J$750,Septembre!$D$4:$D$750,"Septembre",Septembre!$F$4:$F$750,"Autres fruits")</f>
        <v>0</v>
      </c>
      <c r="L5" s="62">
        <f>SUMIFS(Octobre!$J$4:$J$750,Octobre!$D$4:$D$750,"Octobre",Octobre!$F$4:$F$750,"Autres fruits")</f>
        <v>16</v>
      </c>
      <c r="M5" s="62">
        <f>SUMIFS(Novembre!$J$4:$J$750,Novembre!$D$4:$D$750,"Novembre",Novembre!$F$4:$F$750,"Autres fruits")</f>
        <v>0</v>
      </c>
      <c r="N5" s="62">
        <f>SUMIFS(Décembre!$J$4:$J$750,Décembre!$D$4:$D$750,"Décembre",Décembre!$F$4:$F$750,"Autres fruits")</f>
        <v>0</v>
      </c>
      <c r="O5" s="62">
        <f t="shared" ref="O5:O25" si="0">SUM($C5:$N5)</f>
        <v>32</v>
      </c>
    </row>
    <row r="6" spans="1:15" ht="12.75" thickTop="1" thickBot="1" x14ac:dyDescent="0.25">
      <c r="A6" s="63" t="s">
        <v>229</v>
      </c>
      <c r="B6" s="58" t="s">
        <v>29</v>
      </c>
      <c r="C6" s="62">
        <f>SUMIFS(Janvier!$J$4:$J$750,Janvier!$D$4:$D$750,"Janvier",Janvier!$F$4:$F$750,"Avocats")</f>
        <v>0</v>
      </c>
      <c r="D6" s="62">
        <f>SUMIFS(Février!$J$4:$J$750,Février!$D$4:$D$750,"Février",Février!$F$4:$F$750,"Avocats")</f>
        <v>0</v>
      </c>
      <c r="E6" s="62">
        <f>SUMIFS(Mars!$J$4:$J$750,Mars!$D$4:$D$750,"Mars",Mars!$F$4:$F$750,"Avocats")</f>
        <v>0</v>
      </c>
      <c r="F6" s="62">
        <f>SUMIFS(Avril!$J$4:$J$749,Avril!$D$4:$D$749,"Avril",Avril!$F$4:$F$749,"Avocats")</f>
        <v>0</v>
      </c>
      <c r="G6" s="62">
        <f>SUMIFS(Mai!$J$4:$J$750,Mai!$D$4:$D$750,"Mai",Mai!$F$4:$F$750,"Avocats")</f>
        <v>4</v>
      </c>
      <c r="H6" s="62">
        <f>SUMIFS(Juin!$J$4:$J$750,Juin!$D$4:$D$750,"Juin",Juin!$F$4:$F$750,"Avocats")</f>
        <v>0</v>
      </c>
      <c r="I6" s="62">
        <f>SUMIFS(Juillet!$J$4:$J$750,Juillet!$D$4:$D$750,"Juillet",Juillet!$F$4:$F$750,"Avocats")</f>
        <v>0</v>
      </c>
      <c r="J6" s="62">
        <f>SUMIFS(Août!$J$4:$J$750,Août!$D$4:$D$750,"Août",Août!$F$4:$F$750,"Avocats")</f>
        <v>0</v>
      </c>
      <c r="K6" s="62">
        <f>SUMIFS(Septembre!$J$4:$J$750,Septembre!$D$4:$D$750,"Septembre",Septembre!$F$4:$F$750,"Avocats")</f>
        <v>0</v>
      </c>
      <c r="L6" s="62">
        <f>SUMIFS(Octobre!$J$4:$J$750,Octobre!$D$4:$D$750,"Octobre",Octobre!$F$4:$F$750,"Avocats")</f>
        <v>4</v>
      </c>
      <c r="M6" s="62">
        <f>SUMIFS(Novembre!$J$4:$J$750,Novembre!$D$4:$D$750,"Novembre",Novembre!$F$4:$F$750,"Avocats")</f>
        <v>0</v>
      </c>
      <c r="N6" s="62">
        <f>SUMIFS(Décembre!$J$4:$J$750,Décembre!$D$4:$D$750,"Décembre",Décembre!$F$4:$F$750,"Avocats")</f>
        <v>0</v>
      </c>
      <c r="O6" s="62">
        <f t="shared" si="0"/>
        <v>8</v>
      </c>
    </row>
    <row r="7" spans="1:15" ht="12.75" thickTop="1" thickBot="1" x14ac:dyDescent="0.25">
      <c r="A7" s="58" t="s">
        <v>230</v>
      </c>
      <c r="B7" s="58" t="s">
        <v>35</v>
      </c>
      <c r="C7" s="62">
        <f>SUMIFS(Janvier!$J$4:$J$750,Janvier!$D$4:$D$750,"Janvier",Janvier!$F$4:$F$750,"Bananes")</f>
        <v>0</v>
      </c>
      <c r="D7" s="62">
        <f>SUMIFS(Février!$J$4:$J$750,Février!$D$4:$D$750,"Février",Février!$F$4:$F$750,"Bananes")</f>
        <v>0</v>
      </c>
      <c r="E7" s="62">
        <f>SUMIFS(Mars!$J$4:$J$750,Mars!$D$4:$D$750,"Mars",Mars!$F$4:$F$750,"Bananes")</f>
        <v>0</v>
      </c>
      <c r="F7" s="62">
        <f>SUMIFS(Avril!$J$4:$J$749,Avril!$D$4:$D$749,"Avril",Avril!$F$4:$F$749,"Bananes")</f>
        <v>0</v>
      </c>
      <c r="G7" s="62">
        <f>SUMIFS(Mai!$J$4:$J$750,Mai!$D$4:$D$750,"Mai",Mai!$F$4:$F$750,"Bananes")</f>
        <v>4</v>
      </c>
      <c r="H7" s="62">
        <f>SUMIFS(Juin!$J$4:$J$750,Juin!$D$4:$D$750,"Juin",Juin!$F$4:$F$750,"Bananes")</f>
        <v>0</v>
      </c>
      <c r="I7" s="62">
        <f>SUMIFS(Juillet!$J$4:$J$750,Juillet!$D$4:$D$750,"Juillet",Juillet!$F$4:$F$750,"Bananes")</f>
        <v>0</v>
      </c>
      <c r="J7" s="62">
        <f>SUMIFS(Août!$J$4:$J$750,Août!$D$4:$D$750,"Août",Août!$F$4:$F$750,"Bananes")</f>
        <v>0</v>
      </c>
      <c r="K7" s="62">
        <f>SUMIFS(Septembre!$J$4:$J$750,Septembre!$D$4:$D$750,"Septembre",Septembre!$F$4:$F$750,"Bananes")</f>
        <v>0</v>
      </c>
      <c r="L7" s="62">
        <f>SUMIFS(Octobre!$J$4:$J$750,Octobre!$D$4:$D$750,"Octobre",Octobre!$F$4:$F$750,"Bananes")</f>
        <v>4</v>
      </c>
      <c r="M7" s="62">
        <f>SUMIFS(Novembre!$J$4:$J$750,Novembre!$D$4:$D$750,"Novembre",Novembre!$F$4:$F$750,"Bananes")</f>
        <v>0</v>
      </c>
      <c r="N7" s="62">
        <f>SUMIFS(Décembre!$J$4:$J$750,Décembre!$D$4:$D$750,"Décembre",Décembre!$F$4:$F$750,"Bananes")</f>
        <v>0</v>
      </c>
      <c r="O7" s="62">
        <f t="shared" si="0"/>
        <v>8</v>
      </c>
    </row>
    <row r="8" spans="1:15" ht="11.4" thickTop="1" thickBot="1" x14ac:dyDescent="0.25">
      <c r="A8" s="58" t="s">
        <v>231</v>
      </c>
      <c r="B8" s="58" t="s">
        <v>41</v>
      </c>
      <c r="C8" s="62">
        <f>SUMIFS(Janvier!$J$4:$J$750,Janvier!$D$4:$D$750,"Janvier",Janvier!$F$4:$F$750,"Clémentines")</f>
        <v>16</v>
      </c>
      <c r="D8" s="62">
        <f>SUMIFS(Février!$J$4:$J$750,Février!$D$4:$D$750,"Février",Février!$F$4:$F$750,"Clémentines")</f>
        <v>0</v>
      </c>
      <c r="E8" s="62">
        <f>SUMIFS(Mars!$J$4:$J$750,Mars!$D$4:$D$750,"Mars",Mars!$F$4:$F$750,"Clémentines")</f>
        <v>0</v>
      </c>
      <c r="F8" s="62">
        <f>SUMIFS(Avril!$J$4:$J$749,Avril!$D$4:$D$749,"Avril",Avril!$F$4:$F$749,"Clémentines")</f>
        <v>0</v>
      </c>
      <c r="G8" s="62">
        <f>SUMIFS(Mai!$J$4:$J$750,Mai!$D$4:$D$750,"Mai",Mai!$F$4:$F$750,"Clémentines")</f>
        <v>0</v>
      </c>
      <c r="H8" s="62">
        <f>SUMIFS(Juin!$J$4:$J$750,Juin!$D$4:$D$750,"Juin",Juin!$F$4:$F$750,"Clémentines")</f>
        <v>16</v>
      </c>
      <c r="I8" s="62">
        <f>SUMIFS(Juillet!$J$4:$J$750,Juillet!$D$4:$D$750,"Juillet",Juillet!$F$4:$F$750,"Clémentines")</f>
        <v>0</v>
      </c>
      <c r="J8" s="62">
        <f>SUMIFS(Août!$J$4:$J$750,Août!$D$4:$D$750,"Août",Août!$F$4:$F$750,"Clémentines")</f>
        <v>0</v>
      </c>
      <c r="K8" s="62">
        <f>SUMIFS(Septembre!$J$4:$J$750,Septembre!$D$4:$D$750,"Septembre",Septembre!$F$4:$F$750,"Clémentines")</f>
        <v>0</v>
      </c>
      <c r="L8" s="62">
        <f>SUMIFS(Octobre!$J$4:$J$750,Octobre!$D$4:$D$750,"Octobre",Octobre!$F$4:$F$750,"Clémentines")</f>
        <v>16</v>
      </c>
      <c r="M8" s="62">
        <f>SUMIFS(Novembre!$J$4:$J$750,Novembre!$D$4:$D$750,"Novembre",Novembre!$F$4:$F$750,"Clémentines")</f>
        <v>0</v>
      </c>
      <c r="N8" s="62">
        <f>SUMIFS(Décembre!$J$4:$J$750,Décembre!$D$4:$D$750,"Décembre",Décembre!$F$4:$F$750,"Clémentines")</f>
        <v>0</v>
      </c>
      <c r="O8" s="62">
        <f t="shared" si="0"/>
        <v>48</v>
      </c>
    </row>
    <row r="9" spans="1:15" ht="11.4" thickTop="1" thickBot="1" x14ac:dyDescent="0.25">
      <c r="A9" s="58" t="s">
        <v>238</v>
      </c>
      <c r="B9" s="58" t="s">
        <v>47</v>
      </c>
      <c r="C9" s="62">
        <f>SUMIFS(Janvier!$J$4:$J$750,Janvier!$D$4:$D$750,"Janvier",Janvier!$F$4:$F$750,"Crème")</f>
        <v>1</v>
      </c>
      <c r="D9" s="62">
        <f>SUMIFS(Février!$J$4:$J$750,Février!$D$4:$D$750,"Février",Février!$F$4:$F$750,"Crème")</f>
        <v>0</v>
      </c>
      <c r="E9" s="62">
        <f>SUMIFS(Mars!$J$4:$J$750,Mars!$D$4:$D$750,"Mars",Mars!$F$4:$F$750,"Crème")</f>
        <v>0</v>
      </c>
      <c r="F9" s="62">
        <f>SUMIFS(Avril!$J$4:$J$749,Avril!$D$4:$D$749,"Avril",Avril!$F$4:$F$749,"Crème")</f>
        <v>0</v>
      </c>
      <c r="G9" s="62">
        <f>SUMIFS(Mai!$J$4:$J$750,Mai!$D$4:$D$750,"Mai",Mai!$F$4:$F$750,"Crème")</f>
        <v>0</v>
      </c>
      <c r="H9" s="62">
        <f>SUMIFS(Juin!$J$4:$J$750,Juin!$D$4:$D$750,"Juin",Juin!$F$4:$F$750,"Crème")</f>
        <v>0.5</v>
      </c>
      <c r="I9" s="62">
        <f>SUMIFS(Juillet!$J$4:$J$750,Juillet!$D$4:$D$750,"Juillet",Juillet!$F$4:$F$750,"Crème")</f>
        <v>0</v>
      </c>
      <c r="J9" s="62">
        <f>SUMIFS(Août!$J$4:$J$750,Août!$D$4:$D$750,"Août",Août!$F$4:$F$750,"Crème")</f>
        <v>0</v>
      </c>
      <c r="K9" s="62">
        <f>SUMIFS(Septembre!$J$4:$J$750,Septembre!$D$4:$D$750,"Septembre",Septembre!$F$4:$F$750,"Crème")</f>
        <v>0</v>
      </c>
      <c r="L9" s="62">
        <f>SUMIFS(Octobre!$J$4:$J$750,Octobre!$D$4:$D$750,"Octobre",Octobre!$F$4:$F$750,"Crème")</f>
        <v>0</v>
      </c>
      <c r="M9" s="62">
        <f>SUMIFS(Novembre!$J$4:$J$750,Novembre!$D$4:$D$750,"Novembre",Novembre!$F$4:$F$750,"Crème")</f>
        <v>1</v>
      </c>
      <c r="N9" s="62">
        <f>SUMIFS(Décembre!$J$4:$J$750,Décembre!$D$4:$D$750,"Décembre",Décembre!$F$4:$F$750,"Crème")</f>
        <v>0</v>
      </c>
      <c r="O9" s="62">
        <f t="shared" si="0"/>
        <v>2.5</v>
      </c>
    </row>
    <row r="10" spans="1:15" ht="12.75" thickTop="1" thickBot="1" x14ac:dyDescent="0.25">
      <c r="A10" s="58" t="s">
        <v>240</v>
      </c>
      <c r="B10" s="58" t="s">
        <v>52</v>
      </c>
      <c r="C10" s="62">
        <f>SUMIFS(Janvier!$J$4:$J$750,Janvier!$D$4:$D$750,"Janvier",Janvier!$F$4:$F$750,"Dattes")</f>
        <v>1</v>
      </c>
      <c r="D10" s="62">
        <f>SUMIFS(Février!$J$4:$J$750,Février!$D$4:$D$750,"Février",Février!$F$4:$F$750,"Dattes")</f>
        <v>0</v>
      </c>
      <c r="E10" s="62">
        <f>SUMIFS(Mars!$J$4:$J$750,Mars!$D$4:$D$750,"Mars",Mars!$F$4:$F$750,"Dattes")</f>
        <v>0</v>
      </c>
      <c r="F10" s="62">
        <f>SUMIFS(Avril!$J$4:$J$749,Avril!$D$4:$D$749,"Avril",Avril!$F$4:$F$749,"Dattes")</f>
        <v>0</v>
      </c>
      <c r="G10" s="62">
        <f>SUMIFS(Mai!$J$4:$J$750,Mai!$D$4:$D$750,"Mai",Mai!$F$4:$F$750,"Dattes")</f>
        <v>0</v>
      </c>
      <c r="H10" s="62">
        <f>SUMIFS(Juin!$J$4:$J$750,Juin!$D$4:$D$750,"Juin",Juin!$F$4:$F$750,"Dattes")</f>
        <v>1</v>
      </c>
      <c r="I10" s="62">
        <f>SUMIFS(Juillet!$J$4:$J$750,Juillet!$D$4:$D$750,"Juillet",Juillet!$F$4:$F$750,"Dattes")</f>
        <v>0</v>
      </c>
      <c r="J10" s="62">
        <f>SUMIFS(Août!$J$4:$J$750,Août!$D$4:$D$750,"Août",Août!$F$4:$F$750,"Dattes")</f>
        <v>0</v>
      </c>
      <c r="K10" s="62">
        <f>SUMIFS(Septembre!$J$4:$J$750,Septembre!$D$4:$D$750,"Septembre",Septembre!$F$4:$F$750,"Dattes")</f>
        <v>0</v>
      </c>
      <c r="L10" s="62">
        <f>SUMIFS(Octobre!$J$4:$J$750,Octobre!$D$4:$D$750,"Octobre",Octobre!$F$4:$F$750,"Dattes")</f>
        <v>0</v>
      </c>
      <c r="M10" s="62">
        <f>SUMIFS(Novembre!$J$4:$J$750,Novembre!$D$4:$D$750,"Novembre",Novembre!$F$4:$F$750,"Dattes")</f>
        <v>1</v>
      </c>
      <c r="N10" s="62">
        <f>SUMIFS(Décembre!$J$4:$J$750,Décembre!$D$4:$D$750,"Décembre",Décembre!$F$4:$F$750,"Dattes")</f>
        <v>0</v>
      </c>
      <c r="O10" s="62">
        <f t="shared" si="0"/>
        <v>3</v>
      </c>
    </row>
    <row r="11" spans="1:15" ht="12.75" thickTop="1" thickBot="1" x14ac:dyDescent="0.25">
      <c r="A11" s="58" t="s">
        <v>242</v>
      </c>
      <c r="B11" s="58" t="s">
        <v>58</v>
      </c>
      <c r="C11" s="62">
        <f>SUMIFS(Janvier!$J$4:$J$750,Janvier!$D$4:$D$750,"Janvier",Janvier!$F$4:$F$750,"Figues")</f>
        <v>1</v>
      </c>
      <c r="D11" s="62">
        <f>SUMIFS(Février!$J$4:$J$750,Février!$D$4:$D$750,"Février",Février!$F$4:$F$750,"Figues")</f>
        <v>0</v>
      </c>
      <c r="E11" s="62">
        <f>SUMIFS(Mars!$J$4:$J$750,Mars!$D$4:$D$750,"Mars",Mars!$F$4:$F$750,"Figues")</f>
        <v>0</v>
      </c>
      <c r="F11" s="62">
        <f>SUMIFS(Avril!$J$4:$J$749,Avril!$D$4:$D$749,"Avril",Avril!$F$4:$F$749,"Figues")</f>
        <v>0</v>
      </c>
      <c r="G11" s="62">
        <f>SUMIFS(Mai!$J$4:$J$750,Mai!$D$4:$D$750,"Mai",Mai!$F$4:$F$750,"Figues")</f>
        <v>0</v>
      </c>
      <c r="H11" s="62">
        <f>SUMIFS(Juin!$J$4:$J$750,Juin!$D$4:$D$750,"Juin",Juin!$F$4:$F$750,"Figues")</f>
        <v>1</v>
      </c>
      <c r="I11" s="62">
        <f>SUMIFS(Juillet!$J$4:$J$750,Juillet!$D$4:$D$750,"Juillet",Juillet!$F$4:$F$750,"Figues")</f>
        <v>0</v>
      </c>
      <c r="J11" s="62">
        <f>SUMIFS(Août!$J$4:$J$750,Août!$D$4:$D$750,"Août",Août!$F$4:$F$750,"Figues")</f>
        <v>0</v>
      </c>
      <c r="K11" s="62">
        <f>SUMIFS(Septembre!$J$4:$J$750,Septembre!$D$4:$D$750,"Septembre",Septembre!$F$4:$F$750,"Figues")</f>
        <v>0</v>
      </c>
      <c r="L11" s="62">
        <f>SUMIFS(Octobre!$J$4:$J$750,Octobre!$D$4:$D$750,"Octobre",Octobre!$F$4:$F$750,"Figues")</f>
        <v>0</v>
      </c>
      <c r="M11" s="62">
        <f>SUMIFS(Novembre!$J$4:$J$750,Novembre!$D$4:$D$750,"Novembre",Novembre!$F$4:$F$750,"Figues")</f>
        <v>1</v>
      </c>
      <c r="N11" s="62">
        <f>SUMIFS(Décembre!$J$4:$J$750,Décembre!$D$4:$D$750,"Décembre",Décembre!$F$4:$F$750,"Figues")</f>
        <v>0</v>
      </c>
      <c r="O11" s="62">
        <f t="shared" si="0"/>
        <v>3</v>
      </c>
    </row>
    <row r="12" spans="1:15" ht="12.75" thickTop="1" thickBot="1" x14ac:dyDescent="0.25">
      <c r="A12" s="58" t="s">
        <v>244</v>
      </c>
      <c r="B12" s="58" t="s">
        <v>64</v>
      </c>
      <c r="C12" s="62">
        <f>SUMIFS(Janvier!$J$4:$J$750,Janvier!$D$4:$D$750,"Janvier",Janvier!$F$4:$F$750,"Fromage blanc")</f>
        <v>0</v>
      </c>
      <c r="D12" s="62">
        <f>SUMIFS(Février!$J$4:$J$750,Février!$D$4:$D$750,"Février",Février!$F$4:$F$750,"Fromage blanc")</f>
        <v>4</v>
      </c>
      <c r="E12" s="62">
        <f>SUMIFS(Mars!$J$4:$J$750,Mars!$D$4:$D$750,"Mars",Mars!$F$4:$F$750,"Fromage blanc")</f>
        <v>0</v>
      </c>
      <c r="F12" s="62">
        <f>SUMIFS(Avril!$J$4:$J$749,Avril!$D$4:$D$749,"Avril",Avril!$F$4:$F$749,"Fromage blanc")</f>
        <v>0</v>
      </c>
      <c r="G12" s="62">
        <f>SUMIFS(Mai!$J$4:$J$750,Mai!$D$4:$D$750,"Mai",Mai!$F$4:$F$750,"Fromage blanc")</f>
        <v>0</v>
      </c>
      <c r="H12" s="62">
        <f>SUMIFS(Juin!$J$4:$J$750,Juin!$D$4:$D$750,"Juin",Juin!$F$4:$F$750,"Fromage blanc")</f>
        <v>2</v>
      </c>
      <c r="I12" s="62">
        <f>SUMIFS(Juillet!$J$4:$J$750,Juillet!$D$4:$D$750,"Juillet",Juillet!$F$4:$F$750,"Fromage blanc")</f>
        <v>2</v>
      </c>
      <c r="J12" s="62">
        <f>SUMIFS(Août!$J$4:$J$750,Août!$D$4:$D$750,"Août",Août!$F$4:$F$750,"Fromage blanc")</f>
        <v>0</v>
      </c>
      <c r="K12" s="62">
        <f>SUMIFS(Septembre!$J$4:$J$750,Septembre!$D$4:$D$750,"Septembre",Septembre!$F$4:$F$750,"Fromage blanc")</f>
        <v>0</v>
      </c>
      <c r="L12" s="62">
        <f>SUMIFS(Octobre!$J$4:$J$750,Octobre!$D$4:$D$750,"Octobre",Octobre!$F$4:$F$750,"Fromage blanc")</f>
        <v>0</v>
      </c>
      <c r="M12" s="62">
        <f>SUMIFS(Novembre!$J$4:$J$750,Novembre!$D$4:$D$750,"Novembre",Novembre!$F$4:$F$750,"Fromage blanc")</f>
        <v>4</v>
      </c>
      <c r="N12" s="62">
        <f>SUMIFS(Décembre!$J$4:$J$750,Décembre!$D$4:$D$750,"Décembre",Décembre!$F$4:$F$750,"Fromage blanc")</f>
        <v>0</v>
      </c>
      <c r="O12" s="62">
        <f t="shared" si="0"/>
        <v>12</v>
      </c>
    </row>
    <row r="13" spans="1:15" ht="12.75" thickTop="1" thickBot="1" x14ac:dyDescent="0.25">
      <c r="A13" s="58" t="s">
        <v>246</v>
      </c>
      <c r="B13" s="58" t="s">
        <v>70</v>
      </c>
      <c r="C13" s="62">
        <f>SUMIFS(Janvier!$J$4:$J$750,Janvier!$D$4:$D$750,"Janvier",Janvier!$F$4:$F$750,"Fruits au sirop")</f>
        <v>0</v>
      </c>
      <c r="D13" s="62">
        <f>SUMIFS(Février!$J$4:$J$750,Février!$D$4:$D$750,"Février",Février!$F$4:$F$750,"Fruits au sirop")</f>
        <v>2</v>
      </c>
      <c r="E13" s="62">
        <f>SUMIFS(Mars!$J$4:$J$750,Mars!$D$4:$D$750,"Mars",Mars!$F$4:$F$750,"Fruits au sirop")</f>
        <v>0</v>
      </c>
      <c r="F13" s="62">
        <f>SUMIFS(Avril!$J$4:$J$749,Avril!$D$4:$D$749,"Avril",Avril!$F$4:$F$749,"Fruits au sirop")</f>
        <v>0</v>
      </c>
      <c r="G13" s="62">
        <f>SUMIFS(Mai!$J$4:$J$750,Mai!$D$4:$D$750,"Mai",Mai!$F$4:$F$750,"Fruits au sirop")</f>
        <v>0</v>
      </c>
      <c r="H13" s="62">
        <f>SUMIFS(Juin!$J$4:$J$750,Juin!$D$4:$D$750,"Juin",Juin!$F$4:$F$750,"Fruits au sirop")</f>
        <v>0</v>
      </c>
      <c r="I13" s="62">
        <f>SUMIFS(Juillet!$J$4:$J$750,Juillet!$D$4:$D$750,"Juillet",Juillet!$F$4:$F$750,"Fruits au sirop")</f>
        <v>2</v>
      </c>
      <c r="J13" s="62">
        <f>SUMIFS(Août!$J$4:$J$750,Août!$D$4:$D$750,"Août",Août!$F$4:$F$750,"Fruits au sirop")</f>
        <v>0</v>
      </c>
      <c r="K13" s="62">
        <f>SUMIFS(Septembre!$J$4:$J$750,Septembre!$D$4:$D$750,"Septembre",Septembre!$F$4:$F$750,"Fruits au sirop")</f>
        <v>0</v>
      </c>
      <c r="L13" s="62">
        <f>SUMIFS(Octobre!$J$4:$J$750,Octobre!$D$4:$D$750,"Octobre",Octobre!$F$4:$F$750,"Fruits au sirop")</f>
        <v>0</v>
      </c>
      <c r="M13" s="62">
        <f>SUMIFS(Novembre!$J$4:$J$750,Novembre!$D$4:$D$750,"Novembre",Novembre!$F$4:$F$750,"Fruits au sirop")</f>
        <v>0</v>
      </c>
      <c r="N13" s="62">
        <f>SUMIFS(Décembre!$J$4:$J$750,Décembre!$D$4:$D$750,"Décembre",Décembre!$F$4:$F$750,"Fruits au sirop")</f>
        <v>2</v>
      </c>
      <c r="O13" s="62">
        <f t="shared" si="0"/>
        <v>6</v>
      </c>
    </row>
    <row r="14" spans="1:15" ht="12.75" thickTop="1" thickBot="1" x14ac:dyDescent="0.25">
      <c r="A14" s="58" t="s">
        <v>248</v>
      </c>
      <c r="B14" s="58" t="s">
        <v>76</v>
      </c>
      <c r="C14" s="62">
        <f>SUMIFS(Janvier!$J$4:$J$750,Janvier!$D$4:$D$750,"Janvier",Janvier!$F$4:$F$750,"Fruits de saison")</f>
        <v>0</v>
      </c>
      <c r="D14" s="62">
        <f>SUMIFS(Février!$J$4:$J$750,Février!$D$4:$D$750,"Février",Février!$F$4:$F$750,"Fruits de saison")</f>
        <v>16</v>
      </c>
      <c r="E14" s="62">
        <f>SUMIFS(Mars!$J$4:$J$750,Mars!$D$4:$D$750,"Mars",Mars!$F$4:$F$750,"Fruits de saison")</f>
        <v>0</v>
      </c>
      <c r="F14" s="62">
        <f>SUMIFS(Avril!$J$4:$J$749,Avril!$D$4:$D$749,"Avril",Avril!$F$4:$F$749,"Fruits de saison")</f>
        <v>0</v>
      </c>
      <c r="G14" s="62">
        <f>SUMIFS(Mai!$J$4:$J$750,Mai!$D$4:$D$750,"Mai",Mai!$F$4:$F$750,"Fruits de saison")</f>
        <v>0</v>
      </c>
      <c r="H14" s="62">
        <f>SUMIFS(Juin!$J$4:$J$750,Juin!$D$4:$D$750,"Juin",Juin!$F$4:$F$750,"Fruits de saison")</f>
        <v>0</v>
      </c>
      <c r="I14" s="62">
        <f>SUMIFS(Juillet!$J$4:$J$750,Juillet!$D$4:$D$750,"Juillet",Juillet!$F$4:$F$750,"Fruits de saison")</f>
        <v>16</v>
      </c>
      <c r="J14" s="62">
        <f>SUMIFS(Août!$J$4:$J$750,Août!$D$4:$D$750,"Août",Août!$F$4:$F$750,"Fruits de saison")</f>
        <v>0</v>
      </c>
      <c r="K14" s="62">
        <f>SUMIFS(Septembre!$J$4:$J$750,Septembre!$D$4:$D$750,"Septembre",Septembre!$F$4:$F$750,"Fruits de saison")</f>
        <v>0</v>
      </c>
      <c r="L14" s="62">
        <f>SUMIFS(Octobre!$J$4:$J$750,Octobre!$D$4:$D$750,"Octobre",Octobre!$F$4:$F$750,"Fruits de saison")</f>
        <v>0</v>
      </c>
      <c r="M14" s="62">
        <f>SUMIFS(Novembre!$J$4:$J$750,Novembre!$D$4:$D$750,"Novembre",Novembre!$F$4:$F$750,"Fruits de saison")</f>
        <v>0</v>
      </c>
      <c r="N14" s="62">
        <f>SUMIFS(Décembre!$J$4:$J$750,Décembre!$D$4:$D$750,"Décembre",Décembre!$F$4:$F$750,"Fruits de saison")</f>
        <v>16</v>
      </c>
      <c r="O14" s="62">
        <f t="shared" si="0"/>
        <v>48</v>
      </c>
    </row>
    <row r="15" spans="1:15" ht="11.4" thickTop="1" thickBot="1" x14ac:dyDescent="0.25">
      <c r="A15" s="58" t="s">
        <v>250</v>
      </c>
      <c r="B15" s="58" t="s">
        <v>82</v>
      </c>
      <c r="C15" s="62">
        <f>SUMIFS(Janvier!$J$4:$J$750,Janvier!$D$4:$D$750,"Janvier",Janvier!$F$4:$F$750,"Gâteau de riz")</f>
        <v>0</v>
      </c>
      <c r="D15" s="62">
        <f>SUMIFS(Février!$J$4:$J$750,Février!$D$4:$D$750,"Février",Février!$F$4:$F$750,"Gâteau de riz")</f>
        <v>4</v>
      </c>
      <c r="E15" s="62">
        <f>SUMIFS(Mars!$J$4:$J$750,Mars!$D$4:$D$750,"Mars",Mars!$F$4:$F$750,"Gâteau de riz")</f>
        <v>0</v>
      </c>
      <c r="F15" s="62">
        <f>SUMIFS(Avril!$J$4:$J$749,Avril!$D$4:$D$749,"Avril",Avril!$F$4:$F$749,"Gâteau de riz")</f>
        <v>0</v>
      </c>
      <c r="G15" s="62">
        <f>SUMIFS(Mai!$J$4:$J$750,Mai!$D$4:$D$750,"Mai",Mai!$F$4:$F$750,"Gâteau de riz")</f>
        <v>0</v>
      </c>
      <c r="H15" s="62">
        <f>SUMIFS(Juin!$J$4:$J$750,Juin!$D$4:$D$750,"Juin",Juin!$F$4:$F$750,"Gâteau de riz")</f>
        <v>0</v>
      </c>
      <c r="I15" s="62">
        <f>SUMIFS(Juillet!$J$4:$J$750,Juillet!$D$4:$D$750,"Juillet",Juillet!$F$4:$F$750,"Gâteau de riz")</f>
        <v>4</v>
      </c>
      <c r="J15" s="62">
        <f>SUMIFS(Août!$J$4:$J$750,Août!$D$4:$D$750,"Août",Août!$F$4:$F$750,"Gâteau de riz")</f>
        <v>0</v>
      </c>
      <c r="K15" s="62">
        <f>SUMIFS(Septembre!$J$4:$J$750,Septembre!$D$4:$D$750,"Septembre",Septembre!$F$4:$F$750,"Gâteau de riz")</f>
        <v>0</v>
      </c>
      <c r="L15" s="62">
        <f>SUMIFS(Octobre!$J$4:$J$750,Octobre!$D$4:$D$750,"Octobre",Octobre!$F$4:$F$750,"Gâteau de riz")</f>
        <v>0</v>
      </c>
      <c r="M15" s="62">
        <f>SUMIFS(Novembre!$J$4:$J$750,Novembre!$D$4:$D$750,"Novembre",Novembre!$F$4:$F$750,"Gâteau de riz")</f>
        <v>0</v>
      </c>
      <c r="N15" s="62">
        <f>SUMIFS(Décembre!$J$4:$J$750,Décembre!$D$4:$D$750,"Décembre",Décembre!$F$4:$F$750,"Gâteau de riz")</f>
        <v>4</v>
      </c>
      <c r="O15" s="62">
        <f t="shared" si="0"/>
        <v>12</v>
      </c>
    </row>
    <row r="16" spans="1:15" ht="11.4" thickTop="1" thickBot="1" x14ac:dyDescent="0.25">
      <c r="A16" s="58" t="s">
        <v>252</v>
      </c>
      <c r="B16" s="58" t="s">
        <v>88</v>
      </c>
      <c r="C16" s="62">
        <f>SUMIFS(Janvier!$J$4:$J$750,Janvier!$D$4:$D$750,"Janvier",Janvier!$F$4:$F$750,"Gâteaux samedi et dimanche")</f>
        <v>0</v>
      </c>
      <c r="D16" s="62">
        <f>SUMIFS(Février!$J$4:$J$750,Février!$D$4:$D$750,"Février",Février!$F$4:$F$750,"Gâteaux samedi et dimanche")</f>
        <v>0</v>
      </c>
      <c r="E16" s="62">
        <f>SUMIFS(Mars!$J$4:$J$750,Mars!$D$4:$D$750,"Mars",Mars!$F$4:$F$750,"Gâteaux samedi et dimanche")</f>
        <v>4</v>
      </c>
      <c r="F16" s="62">
        <f>SUMIFS(Avril!$J$4:$J$749,Avril!$D$4:$D$749,"Avril",Avril!$F$4:$F$749,"Gâteaux samedi et dimanche")</f>
        <v>0</v>
      </c>
      <c r="G16" s="62">
        <f>SUMIFS(Mai!$J$4:$J$750,Mai!$D$4:$D$750,"Mai",Mai!$F$4:$F$750,"Gâteaux samedi et dimanche")</f>
        <v>0</v>
      </c>
      <c r="H16" s="62">
        <f>SUMIFS(Juin!$J$4:$J$750,Juin!$D$4:$D$750,"Juin",Juin!$F$4:$F$750,"Gâteaux samedi et dimanche")</f>
        <v>0</v>
      </c>
      <c r="I16" s="62">
        <f>SUMIFS(Juillet!$J$4:$J$750,Juillet!$D$4:$D$750,"Juillet",Juillet!$F$4:$F$750,"Gâteaux samedi et dimanche")</f>
        <v>4</v>
      </c>
      <c r="J16" s="62">
        <f>SUMIFS(Août!$J$4:$J$750,Août!$D$4:$D$750,"Août",Août!$F$4:$F$750,"Gâteaux samedi et dimanche")</f>
        <v>0</v>
      </c>
      <c r="K16" s="62">
        <f>SUMIFS(Septembre!$J$4:$J$750,Septembre!$D$4:$D$750,"Septembre",Septembre!$F$4:$F$750,"Gâteaux samedi et dimanche")</f>
        <v>0</v>
      </c>
      <c r="L16" s="62">
        <f>SUMIFS(Octobre!$J$4:$J$750,Octobre!$D$4:$D$750,"Octobre",Octobre!$F$4:$F$750,"Gâteaux samedi et dimanche")</f>
        <v>0</v>
      </c>
      <c r="M16" s="62">
        <f>SUMIFS(Novembre!$J$4:$J$750,Novembre!$D$4:$D$750,"Novembre",Novembre!$F$4:$F$750,"Gâteaux samedi et dimanche")</f>
        <v>0</v>
      </c>
      <c r="N16" s="62">
        <f>SUMIFS(Décembre!$J$4:$J$750,Décembre!$D$4:$D$750,"Décembre",Décembre!$F$4:$F$750,"Gâteaux samedi et dimanche")</f>
        <v>4</v>
      </c>
      <c r="O16" s="62">
        <f t="shared" si="0"/>
        <v>12</v>
      </c>
    </row>
    <row r="17" spans="1:15" ht="12.75" thickTop="1" thickBot="1" x14ac:dyDescent="0.25">
      <c r="A17" s="58" t="s">
        <v>254</v>
      </c>
      <c r="B17" s="58" t="s">
        <v>92</v>
      </c>
      <c r="C17" s="62">
        <f>SUMIFS(Janvier!$J$4:$J$750,Janvier!$D$4:$D$750,"Janvier",Janvier!$F$4:$F$750,"Mousse au chocolat")</f>
        <v>0</v>
      </c>
      <c r="D17" s="62">
        <f>SUMIFS(Février!$J$4:$J$750,Février!$D$4:$D$750,"Février",Février!$F$4:$F$750,"Mousse au chocolat")</f>
        <v>0</v>
      </c>
      <c r="E17" s="62">
        <f>SUMIFS(Mars!$J$4:$J$750,Mars!$D$4:$D$750,"Mars",Mars!$F$4:$F$750,"Mousse au chocolat")</f>
        <v>4</v>
      </c>
      <c r="F17" s="62">
        <f>SUMIFS(Avril!$J$4:$J$749,Avril!$D$4:$D$749,"Avril",Avril!$F$4:$F$749,"Mousse au chocolat")</f>
        <v>0</v>
      </c>
      <c r="G17" s="62">
        <f>SUMIFS(Mai!$J$4:$J$750,Mai!$D$4:$D$750,"Mai",Mai!$F$4:$F$750,"Mousse au chocolat")</f>
        <v>0</v>
      </c>
      <c r="H17" s="62">
        <f>SUMIFS(Juin!$J$4:$J$750,Juin!$D$4:$D$750,"Juin",Juin!$F$4:$F$750,"Mousse au chocolat")</f>
        <v>0</v>
      </c>
      <c r="I17" s="62">
        <f>SUMIFS(Juillet!$J$4:$J$750,Juillet!$D$4:$D$750,"Juillet",Juillet!$F$4:$F$750,"Mousse au chocolat")</f>
        <v>0</v>
      </c>
      <c r="J17" s="62">
        <f>SUMIFS(Août!$J$4:$J$750,Août!$D$4:$D$750,"Août",Août!$F$4:$F$750,"Mousse au chocolat")</f>
        <v>4</v>
      </c>
      <c r="K17" s="62">
        <f>SUMIFS(Septembre!$J$4:$J$750,Septembre!$D$4:$D$750,"Septembre",Septembre!$F$4:$F$750,"Mousse au chocolat")</f>
        <v>0</v>
      </c>
      <c r="L17" s="62">
        <f>SUMIFS(Octobre!$J$4:$J$750,Octobre!$D$4:$D$750,"Octobre",Octobre!$F$4:$F$750,"Mousse au chocolat")</f>
        <v>0</v>
      </c>
      <c r="M17" s="62">
        <f>SUMIFS(Novembre!$J$4:$J$750,Novembre!$D$4:$D$750,"Novembre",Novembre!$F$4:$F$750,"Mousse au chocolat")</f>
        <v>0</v>
      </c>
      <c r="N17" s="62">
        <f>SUMIFS(Décembre!$J$4:$J$750,Décembre!$D$4:$D$750,"Décembre",Décembre!$F$4:$F$750,"Mousse au chocolat")</f>
        <v>4</v>
      </c>
      <c r="O17" s="62">
        <f t="shared" si="0"/>
        <v>12</v>
      </c>
    </row>
    <row r="18" spans="1:15" ht="12.75" thickTop="1" thickBot="1" x14ac:dyDescent="0.25">
      <c r="A18" s="58" t="s">
        <v>256</v>
      </c>
      <c r="B18" s="58" t="s">
        <v>96</v>
      </c>
      <c r="C18" s="62">
        <f>SUMIFS(Janvier!$J$4:$J$750,Janvier!$D$4:$D$750,"Janvier",Janvier!$F$4:$F$750,"Oranges")</f>
        <v>0</v>
      </c>
      <c r="D18" s="62">
        <f>SUMIFS(Février!$J$4:$J$750,Février!$D$4:$D$750,"Février",Février!$F$4:$F$750,"Oranges")</f>
        <v>0</v>
      </c>
      <c r="E18" s="62">
        <f>SUMIFS(Mars!$J$4:$J$750,Mars!$D$4:$D$750,"Mars",Mars!$F$4:$F$750,"Oranges")</f>
        <v>4</v>
      </c>
      <c r="F18" s="62">
        <f>SUMIFS(Avril!$J$4:$J$749,Avril!$D$4:$D$749,"Avril",Avril!$F$4:$F$749,"Oranges")</f>
        <v>0</v>
      </c>
      <c r="G18" s="62">
        <f>SUMIFS(Mai!$J$4:$J$750,Mai!$D$4:$D$750,"Mai",Mai!$F$4:$F$750,"Oranges")</f>
        <v>0</v>
      </c>
      <c r="H18" s="62">
        <f>SUMIFS(Juin!$J$4:$J$750,Juin!$D$4:$D$750,"Juin",Juin!$F$4:$F$750,"Oranges")</f>
        <v>0</v>
      </c>
      <c r="I18" s="62">
        <f>SUMIFS(Juillet!$J$4:$J$750,Juillet!$D$4:$D$750,"Juillet",Juillet!$F$4:$F$750,"Oranges")</f>
        <v>0</v>
      </c>
      <c r="J18" s="62">
        <f>SUMIFS(Août!$J$4:$J$750,Août!$D$4:$D$750,"Août",Août!$F$4:$F$750,"Oranges")</f>
        <v>4</v>
      </c>
      <c r="K18" s="62">
        <f>SUMIFS(Septembre!$J$4:$J$750,Septembre!$D$4:$D$750,"Septembre",Septembre!$F$4:$F$750,"Oranges")</f>
        <v>0</v>
      </c>
      <c r="L18" s="62">
        <f>SUMIFS(Octobre!$J$4:$J$750,Octobre!$D$4:$D$750,"Octobre",Octobre!$F$4:$F$750,"Oranges")</f>
        <v>0</v>
      </c>
      <c r="M18" s="62">
        <f>SUMIFS(Novembre!$J$4:$J$750,Novembre!$D$4:$D$750,"Novembre",Novembre!$F$4:$F$750,"Oranges")</f>
        <v>0</v>
      </c>
      <c r="N18" s="62">
        <f>SUMIFS(Décembre!$J$4:$J$750,Décembre!$D$4:$D$750,"Décembre",Décembre!$F$4:$F$750,"Oranges")</f>
        <v>0</v>
      </c>
      <c r="O18" s="62">
        <f t="shared" si="0"/>
        <v>8</v>
      </c>
    </row>
    <row r="19" spans="1:15" ht="12.75" thickTop="1" thickBot="1" x14ac:dyDescent="0.25">
      <c r="A19" s="58" t="s">
        <v>258</v>
      </c>
      <c r="B19" s="58" t="s">
        <v>100</v>
      </c>
      <c r="C19" s="62">
        <f>SUMIFS(Janvier!$J$4:$J$750,Janvier!$D$4:$D$750,"Janvier",Janvier!$F$4:$F$750,"Petits suisses")</f>
        <v>0</v>
      </c>
      <c r="D19" s="62">
        <f>SUMIFS(Février!$J$4:$J$750,Février!$D$4:$D$750,"Février",Février!$F$4:$F$750,"Petits suisses")</f>
        <v>0</v>
      </c>
      <c r="E19" s="62">
        <f>SUMIFS(Mars!$J$4:$J$750,Mars!$D$4:$D$750,"Mars",Mars!$F$4:$F$750,"Petits suisses")</f>
        <v>12</v>
      </c>
      <c r="F19" s="62">
        <f>SUMIFS(Avril!$J$4:$J$749,Avril!$D$4:$D$749,"Avril",Avril!$F$4:$F$749,"Petits suisses")</f>
        <v>0</v>
      </c>
      <c r="G19" s="62">
        <f>SUMIFS(Mai!$J$4:$J$750,Mai!$D$4:$D$750,"Mai",Mai!$F$4:$F$750,"Petits suisses")</f>
        <v>0</v>
      </c>
      <c r="H19" s="62">
        <f>SUMIFS(Juin!$J$4:$J$750,Juin!$D$4:$D$750,"Juin",Juin!$F$4:$F$750,"Petits suisses")</f>
        <v>0</v>
      </c>
      <c r="I19" s="62">
        <f>SUMIFS(Juillet!$J$4:$J$750,Juillet!$D$4:$D$750,"Juillet",Juillet!$F$4:$F$750,"Petits suisses")</f>
        <v>0</v>
      </c>
      <c r="J19" s="62">
        <f>SUMIFS(Août!$J$4:$J$750,Août!$D$4:$D$750,"Août",Août!$F$4:$F$750,"Petits suisses")</f>
        <v>12</v>
      </c>
      <c r="K19" s="62">
        <f>SUMIFS(Septembre!$J$4:$J$750,Septembre!$D$4:$D$750,"Septembre",Septembre!$F$4:$F$750,"Petits suisses")</f>
        <v>0</v>
      </c>
      <c r="L19" s="62">
        <f>SUMIFS(Octobre!$J$4:$J$750,Octobre!$D$4:$D$750,"Octobre",Octobre!$F$4:$F$750,"Petits suisses")</f>
        <v>0</v>
      </c>
      <c r="M19" s="62">
        <f>SUMIFS(Novembre!$J$4:$J$750,Novembre!$D$4:$D$750,"Novembre",Novembre!$F$4:$F$750,"Petits suisses")</f>
        <v>0</v>
      </c>
      <c r="N19" s="62">
        <f>SUMIFS(Décembre!$J$4:$J$750,Décembre!$D$4:$D$750,"Décembre",Décembre!$F$4:$F$750,"Petits suisses")</f>
        <v>0</v>
      </c>
      <c r="O19" s="62">
        <f t="shared" si="0"/>
        <v>24</v>
      </c>
    </row>
    <row r="20" spans="1:15" ht="12.75" thickTop="1" thickBot="1" x14ac:dyDescent="0.25">
      <c r="A20" s="58" t="s">
        <v>260</v>
      </c>
      <c r="B20" s="58" t="s">
        <v>104</v>
      </c>
      <c r="C20" s="62">
        <f>SUMIFS(Janvier!$J$4:$J$750,Janvier!$D$4:$D$750,"Janvier",Janvier!$F$4:$F$750,"Pomme")</f>
        <v>46</v>
      </c>
      <c r="D20" s="62">
        <f>SUMIFS(Février!$J$4:$J$750,Février!$D$4:$D$750,"Février",Février!$F$4:$F$750,"Pomme")</f>
        <v>40</v>
      </c>
      <c r="E20" s="62">
        <f>SUMIFS(Mars!$J$4:$J$750,Mars!$D$4:$D$750,"Mars",Mars!$F$4:$F$750,"Pomme")</f>
        <v>44</v>
      </c>
      <c r="F20" s="62">
        <f>SUMIFS(Avril!$J$4:$J$749,Avril!$D$4:$D$749,"Avril",Avril!$F$4:$F$749,"Pomme")</f>
        <v>42</v>
      </c>
      <c r="G20" s="62">
        <f>SUMIFS(Mai!$J$4:$J$750,Mai!$D$4:$D$750,"Mai",Mai!$F$4:$F$750,"Pomme")</f>
        <v>46</v>
      </c>
      <c r="H20" s="62">
        <f>SUMIFS(Juin!$J$4:$J$750,Juin!$D$4:$D$750,"Juin",Juin!$F$4:$F$750,"Pomme")</f>
        <v>41</v>
      </c>
      <c r="I20" s="62">
        <f>SUMIFS(Juillet!$J$4:$J$750,Juillet!$D$4:$D$750,"Juillet",Juillet!$F$4:$F$750,"Pomme")</f>
        <v>44</v>
      </c>
      <c r="J20" s="62">
        <f>SUMIFS(Août!$J$4:$J$750,Août!$D$4:$D$750,"Août",Août!$F$4:$F$750,"Pomme")</f>
        <v>50</v>
      </c>
      <c r="K20" s="62">
        <f>SUMIFS(Septembre!$J$4:$J$750,Septembre!$D$4:$D$750,"Septembre",Septembre!$F$4:$F$750,"Pomme")</f>
        <v>40</v>
      </c>
      <c r="L20" s="62">
        <f>SUMIFS(Octobre!$J$4:$J$750,Octobre!$D$4:$D$750,"Octobre",Octobre!$F$4:$F$750,"Pomme")</f>
        <v>46</v>
      </c>
      <c r="M20" s="62">
        <f>SUMIFS(Novembre!$J$4:$J$750,Novembre!$D$4:$D$750,"Novembre",Novembre!$F$4:$F$750,"Pomme")</f>
        <v>44</v>
      </c>
      <c r="N20" s="62">
        <f>SUMIFS(Décembre!$J$4:$J$750,Décembre!$D$4:$D$750,"Décembre",Décembre!$F$4:$F$750,"Pomme")</f>
        <v>42</v>
      </c>
      <c r="O20" s="62">
        <f t="shared" si="0"/>
        <v>525</v>
      </c>
    </row>
    <row r="21" spans="1:15" ht="12.75" thickTop="1" thickBot="1" x14ac:dyDescent="0.25">
      <c r="A21" s="58" t="s">
        <v>262</v>
      </c>
      <c r="B21" s="58" t="s">
        <v>108</v>
      </c>
      <c r="C21" s="62">
        <f>SUMIFS(Janvier!$J$4:$J$750,Janvier!$D$4:$D$750,"Janvier",Janvier!$F$4:$F$750,"Pruneaux")</f>
        <v>0</v>
      </c>
      <c r="D21" s="62">
        <f>SUMIFS(Février!$J$4:$J$750,Février!$D$4:$D$750,"Février",Février!$F$4:$F$750,"Pruneaux")</f>
        <v>0</v>
      </c>
      <c r="E21" s="62">
        <f>SUMIFS(Mars!$J$4:$J$750,Mars!$D$4:$D$750,"Mars",Mars!$F$4:$F$750,"Pruneaux")</f>
        <v>0.5</v>
      </c>
      <c r="F21" s="62">
        <f>SUMIFS(Avril!$J$4:$J$749,Avril!$D$4:$D$749,"Avril",Avril!$F$4:$F$749,"Pruneaux")</f>
        <v>0.5</v>
      </c>
      <c r="G21" s="62">
        <f>SUMIFS(Mai!$J$4:$J$750,Mai!$D$4:$D$750,"Mai",Mai!$F$4:$F$750,"Pruneaux")</f>
        <v>0</v>
      </c>
      <c r="H21" s="62">
        <f>SUMIFS(Juin!$J$4:$J$750,Juin!$D$4:$D$750,"Juin",Juin!$F$4:$F$750,"Pruneaux")</f>
        <v>0</v>
      </c>
      <c r="I21" s="62">
        <f>SUMIFS(Juillet!$J$4:$J$750,Juillet!$D$4:$D$750,"Juillet",Juillet!$F$4:$F$750,"Pruneaux")</f>
        <v>0</v>
      </c>
      <c r="J21" s="62">
        <f>SUMIFS(Août!$J$4:$J$750,Août!$D$4:$D$750,"Août",Août!$F$4:$F$750,"Pruneaux")</f>
        <v>1</v>
      </c>
      <c r="K21" s="62">
        <f>SUMIFS(Septembre!$J$4:$J$750,Septembre!$D$4:$D$750,"Septembre",Septembre!$F$4:$F$750,"Pruneaux")</f>
        <v>0</v>
      </c>
      <c r="L21" s="62">
        <f>SUMIFS(Octobre!$J$4:$J$750,Octobre!$D$4:$D$750,"Octobre",Octobre!$F$4:$F$750,"Pruneaux")</f>
        <v>0</v>
      </c>
      <c r="M21" s="62">
        <f>SUMIFS(Novembre!$J$4:$J$750,Novembre!$D$4:$D$750,"Novembre",Novembre!$F$4:$F$750,"Pruneaux")</f>
        <v>0</v>
      </c>
      <c r="N21" s="62">
        <f>SUMIFS(Décembre!$J$4:$J$750,Décembre!$D$4:$D$750,"Décembre",Décembre!$F$4:$F$750,"Pruneaux")</f>
        <v>0</v>
      </c>
      <c r="O21" s="62">
        <f t="shared" si="0"/>
        <v>2</v>
      </c>
    </row>
    <row r="22" spans="1:15" ht="12.75" thickTop="1" thickBot="1" x14ac:dyDescent="0.25">
      <c r="A22" s="58" t="s">
        <v>264</v>
      </c>
      <c r="B22" s="58" t="s">
        <v>93</v>
      </c>
      <c r="C22" s="62">
        <f>SUMIFS(Janvier!$J$4:$J$750,Janvier!$D$4:$D$750,"Janvier",Janvier!$F$4:$F$750,"Riz")</f>
        <v>0</v>
      </c>
      <c r="D22" s="62">
        <f>SUMIFS(Février!$J$4:$J$750,Février!$D$4:$D$750,"Février",Février!$F$4:$F$750,"Riz")</f>
        <v>0</v>
      </c>
      <c r="E22" s="62">
        <f>SUMIFS(Mars!$J$4:$J$750,Mars!$D$4:$D$750,"Mars",Mars!$F$4:$F$750,"Riz")</f>
        <v>0</v>
      </c>
      <c r="F22" s="62">
        <f>SUMIFS(Avril!$J$4:$J$749,Avril!$D$4:$D$749,"Avril",Avril!$F$4:$F$749,"Riz")</f>
        <v>4</v>
      </c>
      <c r="G22" s="62">
        <f>SUMIFS(Mai!$J$4:$J$750,Mai!$D$4:$D$750,"Mai",Mai!$F$4:$F$750,"Riz")</f>
        <v>0</v>
      </c>
      <c r="H22" s="62">
        <f>SUMIFS(Juin!$J$4:$J$750,Juin!$D$4:$D$750,"Juin",Juin!$F$4:$F$750,"Riz")</f>
        <v>0</v>
      </c>
      <c r="I22" s="62">
        <f>SUMIFS(Juillet!$J$4:$J$750,Juillet!$D$4:$D$750,"Juillet",Juillet!$F$4:$F$750,"Riz")</f>
        <v>0</v>
      </c>
      <c r="J22" s="62">
        <f>SUMIFS(Août!$J$4:$J$750,Août!$D$4:$D$750,"Août",Août!$F$4:$F$750,"Riz")</f>
        <v>0</v>
      </c>
      <c r="K22" s="62">
        <f>SUMIFS(Septembre!$J$4:$J$750,Septembre!$D$4:$D$750,"Septembre",Septembre!$F$4:$F$750,"Riz")</f>
        <v>4</v>
      </c>
      <c r="L22" s="62">
        <f>SUMIFS(Octobre!$J$4:$J$750,Octobre!$D$4:$D$750,"Octobre",Octobre!$F$4:$F$750,"Riz")</f>
        <v>0</v>
      </c>
      <c r="M22" s="62">
        <f>SUMIFS(Novembre!$J$4:$J$750,Novembre!$D$4:$D$750,"Novembre",Novembre!$F$4:$F$750,"Riz")</f>
        <v>0</v>
      </c>
      <c r="N22" s="62">
        <f>SUMIFS(Décembre!$J$4:$J$750,Décembre!$D$4:$D$750,"Décembre",Décembre!$F$4:$F$750,"Riz")</f>
        <v>0</v>
      </c>
      <c r="O22" s="62">
        <f t="shared" si="0"/>
        <v>8</v>
      </c>
    </row>
    <row r="23" spans="1:15" ht="11.4" thickTop="1" thickBot="1" x14ac:dyDescent="0.25">
      <c r="A23" s="58" t="s">
        <v>266</v>
      </c>
      <c r="B23" s="58" t="s">
        <v>115</v>
      </c>
      <c r="C23" s="62">
        <f>SUMIFS(Janvier!$J$4:$J$750,Janvier!$D$4:$D$750,"Janvier",Janvier!$F$4:$F$750,"Semoule de blé")</f>
        <v>0</v>
      </c>
      <c r="D23" s="62">
        <f>SUMIFS(Février!$J$4:$J$750,Février!$D$4:$D$750,"Février",Février!$F$4:$F$750,"Semoule de blé")</f>
        <v>0</v>
      </c>
      <c r="E23" s="62">
        <f>SUMIFS(Mars!$J$4:$J$750,Mars!$D$4:$D$750,"Mars",Mars!$F$4:$F$750,"Semoule de blé")</f>
        <v>0</v>
      </c>
      <c r="F23" s="62">
        <f>SUMIFS(Avril!$J$4:$J$749,Avril!$D$4:$D$749,"Avril",Avril!$F$4:$F$749,"Semoule de blé")</f>
        <v>4</v>
      </c>
      <c r="G23" s="62">
        <f>SUMIFS(Mai!$J$4:$J$750,Mai!$D$4:$D$750,"Mai",Mai!$F$4:$F$750,"Semoule de blé")</f>
        <v>0</v>
      </c>
      <c r="H23" s="62">
        <f>SUMIFS(Juin!$J$4:$J$750,Juin!$D$4:$D$750,"Juin",Juin!$F$4:$F$750,"Semoule de blé")</f>
        <v>0</v>
      </c>
      <c r="I23" s="62">
        <f>SUMIFS(Juillet!$J$4:$J$750,Juillet!$D$4:$D$750,"Juillet",Juillet!$F$4:$F$750,"Semoule de blé")</f>
        <v>0</v>
      </c>
      <c r="J23" s="62">
        <f>SUMIFS(Août!$J$4:$J$750,Août!$D$4:$D$750,"Août",Août!$F$4:$F$750,"Semoule de blé")</f>
        <v>0</v>
      </c>
      <c r="K23" s="62">
        <f>SUMIFS(Septembre!$J$4:$J$750,Septembre!$D$4:$D$750,"Septembre",Septembre!$F$4:$F$750,"Semoule de blé")</f>
        <v>4</v>
      </c>
      <c r="L23" s="62">
        <f>SUMIFS(Octobre!$J$4:$J$750,Octobre!$D$4:$D$750,"Octobre",Octobre!$F$4:$F$750,"Semoule de blé")</f>
        <v>0</v>
      </c>
      <c r="M23" s="62">
        <f>SUMIFS(Novembre!$J$4:$J$750,Novembre!$D$4:$D$750,"Novembre",Novembre!$F$4:$F$750,"Semoule de blé")</f>
        <v>0</v>
      </c>
      <c r="N23" s="62">
        <f>SUMIFS(Décembre!$J$4:$J$750,Décembre!$D$4:$D$750,"Décembre",Décembre!$F$4:$F$750,"Semoule de blé")</f>
        <v>0</v>
      </c>
      <c r="O23" s="62">
        <f t="shared" si="0"/>
        <v>8</v>
      </c>
    </row>
    <row r="24" spans="1:15" ht="12.75" thickTop="1" thickBot="1" x14ac:dyDescent="0.25">
      <c r="A24" s="58" t="s">
        <v>268</v>
      </c>
      <c r="B24" s="58" t="s">
        <v>119</v>
      </c>
      <c r="C24" s="62">
        <f>SUMIFS(Janvier!$J$4:$J$750,Janvier!$D$4:$D$750,"Janvier",Janvier!$F$4:$F$750,"Tapioca")</f>
        <v>0</v>
      </c>
      <c r="D24" s="62">
        <f>SUMIFS(Février!$J$4:$J$750,Février!$D$4:$D$750,"Février",Février!$F$4:$F$750,"Tapioca")</f>
        <v>0</v>
      </c>
      <c r="E24" s="62">
        <f>SUMIFS(Mars!$J$4:$J$750,Mars!$D$4:$D$750,"Mars",Mars!$F$4:$F$750,"Tapioca")</f>
        <v>0</v>
      </c>
      <c r="F24" s="62">
        <f>SUMIFS(Avril!$J$4:$J$749,Avril!$D$4:$D$749,"Avril",Avril!$F$4:$F$749,"Tapioca")</f>
        <v>100</v>
      </c>
      <c r="G24" s="62">
        <f>SUMIFS(Mai!$J$4:$J$750,Mai!$D$4:$D$750,"Mai",Mai!$F$4:$F$750,"Tapioca")</f>
        <v>0</v>
      </c>
      <c r="H24" s="62">
        <f>SUMIFS(Juin!$J$4:$J$750,Juin!$D$4:$D$750,"Juin",Juin!$F$4:$F$750,"Tapioca")</f>
        <v>0</v>
      </c>
      <c r="I24" s="62">
        <f>SUMIFS(Juillet!$J$4:$J$750,Juillet!$D$4:$D$750,"Juillet",Juillet!$F$4:$F$750,"Tapioca")</f>
        <v>0</v>
      </c>
      <c r="J24" s="62">
        <f>SUMIFS(Août!$J$4:$J$750,Août!$D$4:$D$750,"Août",Août!$F$4:$F$750,"Tapioca")</f>
        <v>0</v>
      </c>
      <c r="K24" s="62">
        <f>SUMIFS(Septembre!$J$4:$J$750,Septembre!$D$4:$D$750,"Septembre",Septembre!$F$4:$F$750,"Tapioca")</f>
        <v>100</v>
      </c>
      <c r="L24" s="62">
        <f>SUMIFS(Octobre!$J$4:$J$750,Octobre!$D$4:$D$750,"Octobre",Octobre!$F$4:$F$750,"Tapioca")</f>
        <v>0</v>
      </c>
      <c r="M24" s="62">
        <f>SUMIFS(Novembre!$J$4:$J$750,Novembre!$D$4:$D$750,"Novembre",Novembre!$F$4:$F$750,"Tapioca")</f>
        <v>0</v>
      </c>
      <c r="N24" s="62">
        <f>SUMIFS(Décembre!$J$4:$J$750,Décembre!$D$4:$D$750,"Décembre",Décembre!$F$4:$F$750,"Tapioca")</f>
        <v>0</v>
      </c>
      <c r="O24" s="62">
        <f t="shared" si="0"/>
        <v>200</v>
      </c>
    </row>
    <row r="25" spans="1:15" ht="12.75" thickTop="1" thickBot="1" x14ac:dyDescent="0.25">
      <c r="A25" s="58" t="s">
        <v>270</v>
      </c>
      <c r="B25" s="58" t="s">
        <v>122</v>
      </c>
      <c r="C25" s="62">
        <f>SUMIFS(Janvier!$J$4:$J$750,Janvier!$D$4:$D$750,"Janvier",Janvier!$F$4:$F$750,"Yaourts")</f>
        <v>0</v>
      </c>
      <c r="D25" s="62">
        <f>SUMIFS(Février!$J$4:$J$750,Février!$D$4:$D$750,"Février",Février!$F$4:$F$750,"Yaourts")</f>
        <v>0</v>
      </c>
      <c r="E25" s="62">
        <f>SUMIFS(Mars!$J$4:$J$750,Mars!$D$4:$D$750,"Mars",Mars!$F$4:$F$750,"Yaourts")</f>
        <v>0</v>
      </c>
      <c r="F25" s="62">
        <f>SUMIFS(Avril!$J$4:$J$749,Avril!$D$4:$D$749,"Avril",Avril!$F$4:$F$749,"Yaourts")</f>
        <v>4</v>
      </c>
      <c r="G25" s="62">
        <f>SUMIFS(Mai!$J$4:$J$750,Mai!$D$4:$D$750,"Mai",Mai!$F$4:$F$750,"Yaourts")</f>
        <v>0</v>
      </c>
      <c r="H25" s="62">
        <f>SUMIFS(Juin!$J$4:$J$750,Juin!$D$4:$D$750,"Juin",Juin!$F$4:$F$750,"Yaourts")</f>
        <v>0</v>
      </c>
      <c r="I25" s="62">
        <f>SUMIFS(Juillet!$J$4:$J$750,Juillet!$D$4:$D$750,"Juillet",Juillet!$F$4:$F$750,"Yaourts")</f>
        <v>0</v>
      </c>
      <c r="J25" s="62">
        <f>SUMIFS(Août!$J$4:$J$750,Août!$D$4:$D$750,"Août",Août!$F$4:$F$750,"Yaourts")</f>
        <v>0</v>
      </c>
      <c r="K25" s="62">
        <f>SUMIFS(Septembre!$J$4:$J$750,Septembre!$D$4:$D$750,"Septembre",Septembre!$F$4:$F$750,"Yaourts")</f>
        <v>4</v>
      </c>
      <c r="L25" s="62">
        <f>SUMIFS(Octobre!$J$4:$J$750,Octobre!$D$4:$D$750,"Octobre",Octobre!$F$4:$F$750,"Yaourts")</f>
        <v>0</v>
      </c>
      <c r="M25" s="62">
        <f>SUMIFS(Novembre!$J$4:$J$750,Novembre!$D$4:$D$750,"Novembre",Novembre!$F$4:$F$750,"Yaourts")</f>
        <v>0</v>
      </c>
      <c r="N25" s="62">
        <f>SUMIFS(Décembre!$J$4:$J$750,Décembre!$D$4:$D$750,"Décembre",Décembre!$F$4:$F$750,"Yaourts")</f>
        <v>0</v>
      </c>
      <c r="O25" s="62">
        <f t="shared" si="0"/>
        <v>8</v>
      </c>
    </row>
    <row r="26" spans="1:15" ht="11.4" thickTop="1" thickBot="1" x14ac:dyDescent="0.25">
      <c r="A26" s="70" t="s">
        <v>1359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</row>
    <row r="27" spans="1:15" ht="12" thickTop="1" x14ac:dyDescent="0.2"/>
    <row r="33" ht="12.6" customHeight="1" x14ac:dyDescent="0.2"/>
  </sheetData>
  <mergeCells count="2">
    <mergeCell ref="A1:O1"/>
    <mergeCell ref="A26:O26"/>
  </mergeCells>
  <printOptions horizontalCentered="1" verticalCentered="1"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QuantitéLégumes"/>
  <dimension ref="A1:O43"/>
  <sheetViews>
    <sheetView workbookViewId="0">
      <selection sqref="A1:O1"/>
    </sheetView>
  </sheetViews>
  <sheetFormatPr baseColWidth="10" defaultColWidth="11.07421875" defaultRowHeight="10.199999999999999" customHeight="1" x14ac:dyDescent="0.2"/>
  <cols>
    <col min="1" max="1" width="7.3828125" style="21" bestFit="1" customWidth="1"/>
    <col min="2" max="2" width="15.4609375" style="21" customWidth="1"/>
    <col min="3" max="3" width="4.23046875" style="21" bestFit="1" customWidth="1"/>
    <col min="4" max="4" width="4.15234375" style="21" bestFit="1" customWidth="1"/>
    <col min="5" max="5" width="3.15234375" style="21" bestFit="1" customWidth="1"/>
    <col min="6" max="8" width="3.07421875" style="21" bestFit="1" customWidth="1"/>
    <col min="9" max="9" width="3.61328125" style="21" bestFit="1" customWidth="1"/>
    <col min="10" max="10" width="3.07421875" style="21" bestFit="1" customWidth="1"/>
    <col min="11" max="11" width="6.23046875" style="21" bestFit="1" customWidth="1"/>
    <col min="12" max="12" width="4.61328125" style="21" bestFit="1" customWidth="1"/>
    <col min="13" max="14" width="5.84375" style="21" bestFit="1" customWidth="1"/>
    <col min="15" max="15" width="4" style="21" bestFit="1" customWidth="1"/>
    <col min="16" max="16384" width="11.07421875" style="21"/>
  </cols>
  <sheetData>
    <row r="1" spans="1:15" s="22" customFormat="1" ht="10.199999999999999" customHeight="1" thickTop="1" thickBot="1" x14ac:dyDescent="0.25">
      <c r="A1" s="70" t="s">
        <v>1360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s="22" customFormat="1" ht="10.199999999999999" customHeight="1" thickTop="1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s="22" customFormat="1" ht="10.199999999999999" customHeight="1" thickTop="1" thickBot="1" x14ac:dyDescent="0.25">
      <c r="A3" s="58" t="s">
        <v>521</v>
      </c>
      <c r="B3" s="59" t="s">
        <v>522</v>
      </c>
      <c r="C3" s="59" t="s">
        <v>173</v>
      </c>
      <c r="D3" s="59" t="s">
        <v>174</v>
      </c>
      <c r="E3" s="59" t="s">
        <v>175</v>
      </c>
      <c r="F3" s="59" t="s">
        <v>176</v>
      </c>
      <c r="G3" s="59" t="s">
        <v>177</v>
      </c>
      <c r="H3" s="59" t="s">
        <v>178</v>
      </c>
      <c r="I3" s="59" t="s">
        <v>179</v>
      </c>
      <c r="J3" s="59" t="s">
        <v>180</v>
      </c>
      <c r="K3" s="59" t="s">
        <v>181</v>
      </c>
      <c r="L3" s="59" t="s">
        <v>182</v>
      </c>
      <c r="M3" s="59" t="s">
        <v>168</v>
      </c>
      <c r="N3" s="59" t="s">
        <v>169</v>
      </c>
      <c r="O3" s="59" t="s">
        <v>576</v>
      </c>
    </row>
    <row r="4" spans="1:15" ht="10.199999999999999" customHeight="1" thickTop="1" thickBot="1" x14ac:dyDescent="0.25">
      <c r="A4" s="58" t="s">
        <v>275</v>
      </c>
      <c r="B4" s="58" t="s">
        <v>16</v>
      </c>
      <c r="C4" s="60">
        <f>SUMIFS(Janvier!$P$4:$P$750,Janvier!$D$4:$D$750,"Janvier",Janvier!$L$4:$L$750,"Cassoulet")</f>
        <v>0</v>
      </c>
      <c r="D4" s="60">
        <f>SUMIFS(Février!$P$4:$P$751,Février!$D$4:$D$751,"Février",Février!$L$4:$L$751,"Cassoulet")</f>
        <v>0</v>
      </c>
      <c r="E4" s="60">
        <f>SUMIFS(Mars!$P$4:$P$751,Mars!$D$4:$D$751,"Mars",Mars!$L$4:$L$751,"Cassoulet")</f>
        <v>1</v>
      </c>
      <c r="F4" s="60">
        <f>SUMIFS(Avril!$P$4:$P$749,Avril!$D$4:$D$749,"Avril",Avril!$L$4:$L$749,"Cassoulet")</f>
        <v>0</v>
      </c>
      <c r="G4" s="60">
        <f>SUMIFS(Mai!$P$4:$P$750,Mai!$D$4:$D$750,"Mai",Mai!$L$4:$L$750,"Cassoulet")</f>
        <v>0</v>
      </c>
      <c r="H4" s="60">
        <f>SUMIFS(Juin!$P$4:$P$750,Juin!$D$4:$D$750,"Juin",Juin!$L$4:$L$750,"Cassoulet")</f>
        <v>1</v>
      </c>
      <c r="I4" s="60">
        <f>SUMIFS(Juillet!$P$4:$P$750,Juillet!$D$4:$D$750,"Juillet",Juillet!$L$4:$L$750,"Cassoulet")</f>
        <v>0</v>
      </c>
      <c r="J4" s="60">
        <f>SUMIFS(Août!$P$4:$P$750,Août!$D$4:$D$750,"Août",Août!$L$4:$L$750,"Cassoulet")</f>
        <v>0</v>
      </c>
      <c r="K4" s="60">
        <f>SUMIFS(Septembre!$P$4:$P$750,Septembre!$D$4:$D$750,"Septembre",Septembre!$L$4:$L$750,"Cassoulet")</f>
        <v>0</v>
      </c>
      <c r="L4" s="60">
        <f>SUMIFS(Octobre!$P$4:$P$750,Octobre!$D$4:$D$750,"Octobre",Octobre!$L$4:$L$750,"Cassoulet")</f>
        <v>1</v>
      </c>
      <c r="M4" s="60">
        <f>SUMIFS(Novembre!$P$4:$P$750,Novembre!$D$4:$D$750,"Novembre",Novembre!$L$4:$L$750,"Cassoulet")</f>
        <v>0</v>
      </c>
      <c r="N4" s="60">
        <f>SUMIFS(Décembre!$P$4:$P$750,Décembre!$D$4:$D$750,"Décembre",Décembre!$L$4:$L$750,"Cassoulet")</f>
        <v>0</v>
      </c>
      <c r="O4" s="60">
        <f>SUM($C4:$N4)</f>
        <v>3</v>
      </c>
    </row>
    <row r="5" spans="1:15" ht="10.199999999999999" customHeight="1" thickTop="1" thickBot="1" x14ac:dyDescent="0.25">
      <c r="A5" s="58" t="s">
        <v>278</v>
      </c>
      <c r="B5" s="58" t="s">
        <v>23</v>
      </c>
      <c r="C5" s="60">
        <f>SUMIFS(Janvier!$P$4:$P$750,Janvier!$D$4:$D$750,"Janvier",Janvier!$L$4:$L$750,"Choucroute")</f>
        <v>0</v>
      </c>
      <c r="D5" s="60">
        <f>SUMIFS(Février!$P$4:$P$751,Février!$D$4:$D$751,"Février",Février!$L$4:$L$751,"Choucroute")</f>
        <v>0</v>
      </c>
      <c r="E5" s="60">
        <f>SUMIFS(Mars!$P$4:$P$751,Mars!$D$4:$D$751,"Mars",Mars!$L$4:$L$751,"Choucroute")</f>
        <v>1</v>
      </c>
      <c r="F5" s="60">
        <f>SUMIFS(Avril!$P$4:$P$749,Avril!$D$4:$D$749,"Avril",Avril!$L$4:$L$749,"Choucroute")</f>
        <v>0</v>
      </c>
      <c r="G5" s="60">
        <f>SUMIFS(Mai!$P$4:$P$750,Mai!$D$4:$D$750,"Mai",Mai!$L$4:$L$750,"Choucroute")</f>
        <v>0</v>
      </c>
      <c r="H5" s="60">
        <f>SUMIFS(Juin!$P$4:$P$750,Juin!$D$4:$D$750,"Juin",Juin!$L$4:$L$750,"Choucroute")</f>
        <v>0</v>
      </c>
      <c r="I5" s="60">
        <f>SUMIFS(Juillet!$P$4:$P$750,Juillet!$D$4:$D$750,"Juillet",Juillet!$L$4:$L$750,"Choucroute")</f>
        <v>1</v>
      </c>
      <c r="J5" s="60">
        <f>SUMIFS(Août!$P$4:$P$750,Août!$D$4:$D$750,"Août",Août!$L$4:$L$750,"Choucroute")</f>
        <v>0</v>
      </c>
      <c r="K5" s="60">
        <f>SUMIFS(Septembre!$P$4:$P$750,Septembre!$D$4:$D$750,"Septembre",Septembre!$L$4:$L$750,"Choucroute")</f>
        <v>0</v>
      </c>
      <c r="L5" s="60">
        <f>SUMIFS(Octobre!$P$4:$P$750,Octobre!$D$4:$D$750,"Octobre",Octobre!$L$4:$L$750,"Choucroute")</f>
        <v>1</v>
      </c>
      <c r="M5" s="60">
        <f>SUMIFS(Novembre!$P$4:$P$750,Novembre!$D$4:$D$750,"Novembre",Novembre!$L$4:$L$750,"Choucroute")</f>
        <v>0</v>
      </c>
      <c r="N5" s="60">
        <f>SUMIFS(Décembre!$P$4:$P$750,Décembre!$D$4:$D$750,"Décembre",Décembre!$L$4:$L$750,"Choucroute")</f>
        <v>0</v>
      </c>
      <c r="O5" s="60">
        <f t="shared" ref="O5:O40" si="0">SUM($C5:$N5)</f>
        <v>3</v>
      </c>
    </row>
    <row r="6" spans="1:15" ht="10.199999999999999" customHeight="1" thickTop="1" thickBot="1" x14ac:dyDescent="0.25">
      <c r="A6" s="58" t="s">
        <v>279</v>
      </c>
      <c r="B6" s="58" t="s">
        <v>30</v>
      </c>
      <c r="C6" s="60">
        <f>SUMIFS(Janvier!$P$4:$P$750,Janvier!$D$4:$D$750,"Janvier",Janvier!$L$4:$L$750,"Chou-fleur")</f>
        <v>0</v>
      </c>
      <c r="D6" s="60">
        <f>SUMIFS(Février!$P$4:$P$751,Février!$D$4:$D$751,"Février",Février!$L$4:$L$751,"Chou-fleur")</f>
        <v>0</v>
      </c>
      <c r="E6" s="60">
        <f>SUMIFS(Mars!$P$4:$P$751,Mars!$D$4:$D$751,"Mars",Mars!$L$4:$L$751,"Chou-fleur")</f>
        <v>0</v>
      </c>
      <c r="F6" s="60">
        <f>SUMIFS(Avril!$P$4:$P$749,Avril!$D$4:$D$749,"Avril",Avril!$L$4:$L$749,"Chou-fleur")</f>
        <v>1</v>
      </c>
      <c r="G6" s="60">
        <f>SUMIFS(Mai!$P$4:$P$750,Mai!$D$4:$D$750,"Mai",Mai!$L$4:$L$750,"Chou-fleur")</f>
        <v>0</v>
      </c>
      <c r="H6" s="60">
        <f>SUMIFS(Juin!$P$4:$P$750,Juin!$D$4:$D$750,"Juin",Juin!$L$4:$L$750,"Chou-fleur")</f>
        <v>0</v>
      </c>
      <c r="I6" s="60">
        <f>SUMIFS(Juillet!$P$4:$P$750,Juillet!$D$4:$D$750,"Juillet",Juillet!$L$4:$L$750,"Chou-fleur")</f>
        <v>1</v>
      </c>
      <c r="J6" s="60">
        <f>SUMIFS(Août!$P$4:$P$750,Août!$D$4:$D$750,"Août",Août!$L$4:$L$750,"Chou-fleur")</f>
        <v>0</v>
      </c>
      <c r="K6" s="60">
        <f>SUMIFS(Septembre!$P$4:$P$750,Septembre!$D$4:$D$750,"Septembre",Septembre!$L$4:$L$750,"Chou-fleur")</f>
        <v>0</v>
      </c>
      <c r="L6" s="60">
        <f>SUMIFS(Octobre!$P$4:$P$750,Octobre!$D$4:$D$750,"Octobre",Octobre!$L$4:$L$750,"Chou-fleur")</f>
        <v>1</v>
      </c>
      <c r="M6" s="60">
        <f>SUMIFS(Novembre!$P$4:$P$750,Novembre!$D$4:$D$750,"Novembre",Novembre!$L$4:$L$750,"Chou-fleur")</f>
        <v>0</v>
      </c>
      <c r="N6" s="60">
        <f>SUMIFS(Décembre!$P$4:$P$750,Décembre!$D$4:$D$750,"Décembre",Décembre!$L$4:$L$750,"Chou-fleur")</f>
        <v>0</v>
      </c>
      <c r="O6" s="60">
        <f t="shared" si="0"/>
        <v>3</v>
      </c>
    </row>
    <row r="7" spans="1:15" ht="10.199999999999999" customHeight="1" thickTop="1" thickBot="1" x14ac:dyDescent="0.25">
      <c r="A7" s="58" t="s">
        <v>282</v>
      </c>
      <c r="B7" s="58" t="s">
        <v>36</v>
      </c>
      <c r="C7" s="60">
        <f>SUMIFS(Janvier!$P$4:$P$750,Janvier!$D$4:$D$750,"Janvier",Janvier!$L$4:$L$750,"Choux de Bruxelles")</f>
        <v>1</v>
      </c>
      <c r="D7" s="60">
        <f>SUMIFS(Février!$P$4:$P$751,Février!$D$4:$D$751,"Février",Février!$L$4:$L$751,"Choux de Bruxelles")</f>
        <v>0</v>
      </c>
      <c r="E7" s="60">
        <f>SUMIFS(Mars!$P$4:$P$751,Mars!$D$4:$D$751,"Mars",Mars!$L$4:$L$751,"Choux de Bruxelles")</f>
        <v>0</v>
      </c>
      <c r="F7" s="60">
        <f>SUMIFS(Avril!$P$4:$P$749,Avril!$D$4:$D$749,"Avril",Avril!$L$4:$L$749,"Choux de Bruxelles")</f>
        <v>1</v>
      </c>
      <c r="G7" s="60">
        <f>SUMIFS(Mai!$P$4:$P$750,Mai!$D$4:$D$750,"Mai",Mai!$L$4:$L$750,"Choux de Bruxelles")</f>
        <v>0</v>
      </c>
      <c r="H7" s="60">
        <f>SUMIFS(Juin!$P$4:$P$750,Juin!$D$4:$D$750,"Juin",Juin!$L$4:$L$750,"Choux de Bruxelles")</f>
        <v>0</v>
      </c>
      <c r="I7" s="60">
        <f>SUMIFS(Juillet!$P$4:$P$750,Juillet!$D$4:$D$750,"Juillet",Juillet!$L$4:$L$750,"Choux de Bruxelles")</f>
        <v>1</v>
      </c>
      <c r="J7" s="60">
        <f>SUMIFS(Août!$P$4:$P$750,Août!$D$4:$D$750,"Août",Août!$L$4:$L$750,"Choux de Bruxelles")</f>
        <v>0</v>
      </c>
      <c r="K7" s="60">
        <f>SUMIFS(Septembre!$P$4:$P$750,Septembre!$D$4:$D$750,"Septembre",Septembre!$L$4:$L$750,"Choux de Bruxelles")</f>
        <v>0</v>
      </c>
      <c r="L7" s="60">
        <f>SUMIFS(Octobre!$P$4:$P$750,Octobre!$D$4:$D$750,"Octobre",Octobre!$L$4:$L$750,"Choux de Bruxelles")</f>
        <v>1</v>
      </c>
      <c r="M7" s="60">
        <f>SUMIFS(Novembre!$P$4:$P$750,Novembre!$D$4:$D$750,"Novembre",Novembre!$L$4:$L$750,"Choux de Bruxelles")</f>
        <v>0</v>
      </c>
      <c r="N7" s="60">
        <f>SUMIFS(Décembre!$P$4:$P$750,Décembre!$D$4:$D$750,"Décembre",Décembre!$L$4:$L$750,"Choux de Bruxelles")</f>
        <v>0</v>
      </c>
      <c r="O7" s="60">
        <f t="shared" si="0"/>
        <v>4</v>
      </c>
    </row>
    <row r="8" spans="1:15" ht="10.199999999999999" customHeight="1" thickTop="1" thickBot="1" x14ac:dyDescent="0.25">
      <c r="A8" s="58" t="s">
        <v>284</v>
      </c>
      <c r="B8" s="58" t="s">
        <v>42</v>
      </c>
      <c r="C8" s="60">
        <f>SUMIFS(Janvier!$P$4:$P$750,Janvier!$D$4:$D$750,"Janvier",Janvier!$L$4:$L$750,"Couscous")</f>
        <v>76</v>
      </c>
      <c r="D8" s="60">
        <f>SUMIFS(Février!$P$4:$P$751,Février!$D$4:$D$751,"Février",Février!$L$4:$L$751,"Couscous")</f>
        <v>25</v>
      </c>
      <c r="E8" s="60">
        <f>SUMIFS(Mars!$P$4:$P$751,Mars!$D$4:$D$751,"Mars",Mars!$L$4:$L$751,"Couscous")</f>
        <v>25</v>
      </c>
      <c r="F8" s="60">
        <f>SUMIFS(Avril!$P$4:$P$749,Avril!$D$4:$D$749,"Avril",Avril!$L$4:$L$749,"Couscous")</f>
        <v>75</v>
      </c>
      <c r="G8" s="60">
        <f>SUMIFS(Mai!$P$4:$P$750,Mai!$D$4:$D$750,"Mai",Mai!$L$4:$L$750,"Couscous")</f>
        <v>25</v>
      </c>
      <c r="H8" s="60">
        <f>SUMIFS(Juin!$P$4:$P$750,Juin!$D$4:$D$750,"Juin",Juin!$L$4:$L$750,"Couscous")</f>
        <v>25</v>
      </c>
      <c r="I8" s="60">
        <f>SUMIFS(Juillet!$P$4:$P$750,Juillet!$D$4:$D$750,"Juillet",Juillet!$L$4:$L$750,"Couscous")</f>
        <v>75</v>
      </c>
      <c r="J8" s="60">
        <f>SUMIFS(Août!$P$4:$P$750,Août!$D$4:$D$750,"Août",Août!$L$4:$L$750,"Couscous")</f>
        <v>75</v>
      </c>
      <c r="K8" s="60">
        <f>SUMIFS(Septembre!$P$4:$P$750,Septembre!$D$4:$D$750,"Septembre",Septembre!$L$4:$L$750,"Couscous")</f>
        <v>25</v>
      </c>
      <c r="L8" s="60">
        <f>SUMIFS(Octobre!$P$4:$P$750,Octobre!$D$4:$D$750,"Octobre",Octobre!$L$4:$L$750,"Couscous")</f>
        <v>75</v>
      </c>
      <c r="M8" s="60">
        <f>SUMIFS(Novembre!$P$4:$P$750,Novembre!$D$4:$D$750,"Novembre",Novembre!$L$4:$L$750,"Couscous")</f>
        <v>25</v>
      </c>
      <c r="N8" s="60">
        <f>SUMIFS(Décembre!$P$4:$P$750,Décembre!$D$4:$D$750,"Décembre",Décembre!$L$4:$L$750,"Couscous")</f>
        <v>25</v>
      </c>
      <c r="O8" s="60">
        <f t="shared" si="0"/>
        <v>551</v>
      </c>
    </row>
    <row r="9" spans="1:15" ht="10.199999999999999" customHeight="1" thickTop="1" thickBot="1" x14ac:dyDescent="0.25">
      <c r="A9" s="58" t="s">
        <v>286</v>
      </c>
      <c r="B9" s="58" t="s">
        <v>48</v>
      </c>
      <c r="C9" s="60">
        <f>SUMIFS(Janvier!$P$4:$P$750,Janvier!$D$4:$D$750,"Janvier",Janvier!$L$4:$L$750,"Endives")</f>
        <v>1</v>
      </c>
      <c r="D9" s="60">
        <f>SUMIFS(Février!$P$4:$P$751,Février!$D$4:$D$751,"Février",Février!$L$4:$L$751,"Endives")</f>
        <v>0</v>
      </c>
      <c r="E9" s="60">
        <f>SUMIFS(Mars!$P$4:$P$751,Mars!$D$4:$D$751,"Mars",Mars!$L$4:$L$751,"Endives")</f>
        <v>0</v>
      </c>
      <c r="F9" s="60">
        <f>SUMIFS(Avril!$P$4:$P$749,Avril!$D$4:$D$749,"Avril",Avril!$L$4:$L$749,"Endives")</f>
        <v>1</v>
      </c>
      <c r="G9" s="60">
        <f>SUMIFS(Mai!$P$4:$P$750,Mai!$D$4:$D$750,"Mai",Mai!$L$4:$L$750,"Endives")</f>
        <v>0</v>
      </c>
      <c r="H9" s="60">
        <f>SUMIFS(Juin!$P$4:$P$750,Juin!$D$4:$D$750,"Juin",Juin!$L$4:$L$750,"Endives")</f>
        <v>0</v>
      </c>
      <c r="I9" s="60">
        <f>SUMIFS(Juillet!$P$4:$P$750,Juillet!$D$4:$D$750,"Juillet",Juillet!$L$4:$L$750,"Endives")</f>
        <v>1</v>
      </c>
      <c r="J9" s="60">
        <f>SUMIFS(Août!$P$4:$P$750,Août!$D$4:$D$750,"Août",Août!$L$4:$L$750,"Endives")</f>
        <v>0</v>
      </c>
      <c r="K9" s="60">
        <f>SUMIFS(Septembre!$P$4:$P$750,Septembre!$D$4:$D$750,"Septembre",Septembre!$L$4:$L$750,"Endives")</f>
        <v>0</v>
      </c>
      <c r="L9" s="60">
        <f>SUMIFS(Octobre!$P$4:$P$750,Octobre!$D$4:$D$750,"Octobre",Octobre!$L$4:$L$750,"Endives")</f>
        <v>0</v>
      </c>
      <c r="M9" s="60">
        <f>SUMIFS(Novembre!$P$4:$P$750,Novembre!$D$4:$D$750,"Novembre",Novembre!$L$4:$L$750,"Endives")</f>
        <v>1</v>
      </c>
      <c r="N9" s="60">
        <f>SUMIFS(Décembre!$P$4:$P$750,Décembre!$D$4:$D$750,"Décembre",Décembre!$L$4:$L$750,"Endives")</f>
        <v>0</v>
      </c>
      <c r="O9" s="60">
        <f t="shared" si="0"/>
        <v>4</v>
      </c>
    </row>
    <row r="10" spans="1:15" ht="10.199999999999999" customHeight="1" thickTop="1" thickBot="1" x14ac:dyDescent="0.25">
      <c r="A10" s="58" t="s">
        <v>288</v>
      </c>
      <c r="B10" s="58" t="s">
        <v>53</v>
      </c>
      <c r="C10" s="60">
        <f>SUMIFS(Janvier!$P$4:$P$750,Janvier!$D$4:$D$750,"Janvier",Janvier!$L$4:$L$750,"Haricots verts")</f>
        <v>2</v>
      </c>
      <c r="D10" s="60">
        <f>SUMIFS(Février!$P$4:$P$751,Février!$D$4:$D$751,"Février",Février!$L$4:$L$751,"Haricots verts")</f>
        <v>2</v>
      </c>
      <c r="E10" s="60">
        <f>SUMIFS(Mars!$P$4:$P$751,Mars!$D$4:$D$751,"Mars",Mars!$L$4:$L$751,"Haricots verts")</f>
        <v>1</v>
      </c>
      <c r="F10" s="60">
        <f>SUMIFS(Avril!$P$4:$P$749,Avril!$D$4:$D$749,"Avril",Avril!$L$4:$L$749,"Haricots verts")</f>
        <v>2.5</v>
      </c>
      <c r="G10" s="60">
        <f>SUMIFS(Mai!$P$4:$P$750,Mai!$D$4:$D$750,"Mai",Mai!$L$4:$L$750,"Haricots verts")</f>
        <v>1.5</v>
      </c>
      <c r="H10" s="60">
        <f>SUMIFS(Juin!$P$4:$P$750,Juin!$D$4:$D$750,"Juin",Juin!$L$4:$L$750,"Haricots verts")</f>
        <v>1</v>
      </c>
      <c r="I10" s="60">
        <f>SUMIFS(Juillet!$P$4:$P$750,Juillet!$D$4:$D$750,"Juillet",Juillet!$L$4:$L$750,"Haricots verts")</f>
        <v>11</v>
      </c>
      <c r="J10" s="60">
        <f>SUMIFS(Août!$P$4:$P$750,Août!$D$4:$D$750,"Août",Août!$L$4:$L$750,"Haricots verts")</f>
        <v>2</v>
      </c>
      <c r="K10" s="60">
        <f>SUMIFS(Septembre!$P$4:$P$750,Septembre!$D$4:$D$750,"Septembre",Septembre!$L$4:$L$750,"Haricots verts")</f>
        <v>2</v>
      </c>
      <c r="L10" s="60">
        <f>SUMIFS(Octobre!$P$4:$P$750,Octobre!$D$4:$D$750,"Octobre",Octobre!$L$4:$L$750,"Haricots verts")</f>
        <v>1</v>
      </c>
      <c r="M10" s="60">
        <f>SUMIFS(Novembre!$P$4:$P$750,Novembre!$D$4:$D$750,"Novembre",Novembre!$L$4:$L$750,"Haricots verts")</f>
        <v>3</v>
      </c>
      <c r="N10" s="60">
        <f>SUMIFS(Décembre!$P$4:$P$750,Décembre!$D$4:$D$750,"Décembre",Décembre!$L$4:$L$750,"Haricots verts")</f>
        <v>1</v>
      </c>
      <c r="O10" s="60">
        <f t="shared" si="0"/>
        <v>30</v>
      </c>
    </row>
    <row r="11" spans="1:15" ht="10.199999999999999" customHeight="1" thickTop="1" thickBot="1" x14ac:dyDescent="0.25">
      <c r="A11" s="58" t="s">
        <v>290</v>
      </c>
      <c r="B11" s="58" t="s">
        <v>59</v>
      </c>
      <c r="C11" s="60">
        <f>SUMIFS(Janvier!$P$4:$P$750,Janvier!$D$4:$D$750,"Janvier",Janvier!$L$4:$L$750,"Maïs")</f>
        <v>1</v>
      </c>
      <c r="D11" s="60">
        <f>SUMIFS(Février!$P$4:$P$751,Février!$D$4:$D$751,"Février",Février!$L$4:$L$751,"Maïs")</f>
        <v>1.5</v>
      </c>
      <c r="E11" s="60">
        <f>SUMIFS(Mars!$P$4:$P$751,Mars!$D$4:$D$751,"Mars",Mars!$L$4:$L$751,"Maïs")</f>
        <v>1.5</v>
      </c>
      <c r="F11" s="60">
        <f>SUMIFS(Avril!$P$4:$P$749,Avril!$D$4:$D$749,"Avril",Avril!$L$4:$L$749,"Maïs")</f>
        <v>50</v>
      </c>
      <c r="G11" s="60">
        <f>SUMIFS(Mai!$P$4:$P$750,Mai!$D$4:$D$750,"Mai",Mai!$L$4:$L$750,"Maïs")</f>
        <v>2</v>
      </c>
      <c r="H11" s="60">
        <f>SUMIFS(Juin!$P$4:$P$750,Juin!$D$4:$D$750,"Juin",Juin!$L$4:$L$750,"Maïs")</f>
        <v>1</v>
      </c>
      <c r="I11" s="60">
        <f>SUMIFS(Juillet!$P$4:$P$750,Juillet!$D$4:$D$750,"Juillet",Juillet!$L$4:$L$750,"Maïs")</f>
        <v>1</v>
      </c>
      <c r="J11" s="60">
        <f>SUMIFS(Août!$P$4:$P$750,Août!$D$4:$D$750,"Août",Août!$L$4:$L$750,"Maïs")</f>
        <v>2</v>
      </c>
      <c r="K11" s="60">
        <f>SUMIFS(Septembre!$P$4:$P$750,Septembre!$D$4:$D$750,"Septembre",Septembre!$L$4:$L$750,"Maïs")</f>
        <v>1.5</v>
      </c>
      <c r="L11" s="60">
        <f>SUMIFS(Octobre!$P$4:$P$750,Octobre!$D$4:$D$750,"Octobre",Octobre!$L$4:$L$750,"Maïs")</f>
        <v>1.5</v>
      </c>
      <c r="M11" s="60">
        <f>SUMIFS(Novembre!$P$4:$P$750,Novembre!$D$4:$D$750,"Novembre",Novembre!$L$4:$L$750,"Maïs")</f>
        <v>2</v>
      </c>
      <c r="N11" s="60">
        <f>SUMIFS(Décembre!$P$4:$P$750,Décembre!$D$4:$D$750,"Décembre",Décembre!$L$4:$L$750,"Maïs")</f>
        <v>1</v>
      </c>
      <c r="O11" s="60">
        <f t="shared" si="0"/>
        <v>66</v>
      </c>
    </row>
    <row r="12" spans="1:15" ht="10.199999999999999" customHeight="1" thickTop="1" thickBot="1" x14ac:dyDescent="0.25">
      <c r="A12" s="58" t="s">
        <v>291</v>
      </c>
      <c r="B12" s="58" t="s">
        <v>65</v>
      </c>
      <c r="C12" s="60">
        <f>SUMIFS(Janvier!$P$4:$P$750,Janvier!$D$4:$D$750,"Janvier",Janvier!$L$4:$L$750,"Paella")</f>
        <v>0</v>
      </c>
      <c r="D12" s="60">
        <f>SUMIFS(Février!$P$4:$P$751,Février!$D$4:$D$751,"Février",Février!$L$4:$L$751,"Paella")</f>
        <v>1</v>
      </c>
      <c r="E12" s="60">
        <f>SUMIFS(Mars!$P$4:$P$751,Mars!$D$4:$D$751,"Mars",Mars!$L$4:$L$751,"Paella")</f>
        <v>0</v>
      </c>
      <c r="F12" s="60">
        <f>SUMIFS(Avril!$P$4:$P$749,Avril!$D$4:$D$749,"Avril",Avril!$L$4:$L$749,"Paella")</f>
        <v>0</v>
      </c>
      <c r="G12" s="60">
        <f>SUMIFS(Mai!$P$4:$P$750,Mai!$D$4:$D$750,"Mai",Mai!$L$4:$L$750,"Paella")</f>
        <v>1</v>
      </c>
      <c r="H12" s="60">
        <f>SUMIFS(Juin!$P$4:$P$750,Juin!$D$4:$D$750,"Juin",Juin!$L$4:$L$750,"Paella")</f>
        <v>0</v>
      </c>
      <c r="I12" s="60">
        <f>SUMIFS(Juillet!$P$4:$P$750,Juillet!$D$4:$D$750,"Juillet",Juillet!$L$4:$L$750,"Paella")</f>
        <v>0</v>
      </c>
      <c r="J12" s="60">
        <f>SUMIFS(Août!$P$4:$P$750,Août!$D$4:$D$750,"Août",Août!$L$4:$L$750,"Paella")</f>
        <v>1</v>
      </c>
      <c r="K12" s="60">
        <f>SUMIFS(Septembre!$P$4:$P$750,Septembre!$D$4:$D$750,"Septembre",Septembre!$L$4:$L$750,"Paella")</f>
        <v>0</v>
      </c>
      <c r="L12" s="60">
        <f>SUMIFS(Octobre!$P$4:$P$750,Octobre!$D$4:$D$750,"Octobre",Octobre!$L$4:$L$750,"Paella")</f>
        <v>0</v>
      </c>
      <c r="M12" s="60">
        <f>SUMIFS(Novembre!$P$4:$P$750,Novembre!$D$4:$D$750,"Novembre",Novembre!$L$4:$L$750,"Paella")</f>
        <v>1</v>
      </c>
      <c r="N12" s="60">
        <f>SUMIFS(Décembre!$P$4:$P$750,Décembre!$D$4:$D$750,"Décembre",Décembre!$L$4:$L$750,"Paella")</f>
        <v>0</v>
      </c>
      <c r="O12" s="60">
        <f t="shared" si="0"/>
        <v>4</v>
      </c>
    </row>
    <row r="13" spans="1:15" ht="10.199999999999999" customHeight="1" thickTop="1" thickBot="1" x14ac:dyDescent="0.25">
      <c r="A13" s="58" t="s">
        <v>294</v>
      </c>
      <c r="B13" s="58" t="s">
        <v>71</v>
      </c>
      <c r="C13" s="60">
        <f>SUMIFS(Janvier!$P$4:$P$750,Janvier!$D$4:$D$750,"Janvier",Janvier!$L$4:$L$750,"Poireau")</f>
        <v>1</v>
      </c>
      <c r="D13" s="60">
        <f>SUMIFS(Février!$P$4:$P$751,Février!$D$4:$D$751,"Février",Février!$L$4:$L$751,"Poireau")</f>
        <v>7</v>
      </c>
      <c r="E13" s="60">
        <f>SUMIFS(Mars!$P$4:$P$751,Mars!$D$4:$D$751,"Mars",Mars!$L$4:$L$751,"Poireau")</f>
        <v>1</v>
      </c>
      <c r="F13" s="60">
        <f>SUMIFS(Avril!$P$4:$P$749,Avril!$D$4:$D$749,"Avril",Avril!$L$4:$L$749,"Poireau")</f>
        <v>2</v>
      </c>
      <c r="G13" s="60">
        <f>SUMIFS(Mai!$P$4:$P$750,Mai!$D$4:$D$750,"Mai",Mai!$L$4:$L$750,"Poireau")</f>
        <v>3</v>
      </c>
      <c r="H13" s="60">
        <f>SUMIFS(Juin!$P$4:$P$750,Juin!$D$4:$D$750,"Juin",Juin!$L$4:$L$750,"Poireau")</f>
        <v>1</v>
      </c>
      <c r="I13" s="60">
        <f>SUMIFS(Juillet!$P$4:$P$750,Juillet!$D$4:$D$750,"Juillet",Juillet!$L$4:$L$750,"Poireau")</f>
        <v>1</v>
      </c>
      <c r="J13" s="60">
        <f>SUMIFS(Août!$P$4:$P$750,Août!$D$4:$D$750,"Août",Août!$L$4:$L$750,"Poireau")</f>
        <v>3</v>
      </c>
      <c r="K13" s="60">
        <f>SUMIFS(Septembre!$P$4:$P$750,Septembre!$D$4:$D$750,"Septembre",Septembre!$L$4:$L$750,"Poireau")</f>
        <v>1</v>
      </c>
      <c r="L13" s="60">
        <f>SUMIFS(Octobre!$P$4:$P$750,Octobre!$D$4:$D$750,"Octobre",Octobre!$L$4:$L$750,"Poireau")</f>
        <v>2</v>
      </c>
      <c r="M13" s="60">
        <f>SUMIFS(Novembre!$P$4:$P$750,Novembre!$D$4:$D$750,"Novembre",Novembre!$L$4:$L$750,"Poireau")</f>
        <v>1</v>
      </c>
      <c r="N13" s="60">
        <f>SUMIFS(Décembre!$P$4:$P$750,Décembre!$D$4:$D$750,"Décembre",Décembre!$L$4:$L$750,"Poireau")</f>
        <v>3</v>
      </c>
      <c r="O13" s="60">
        <f t="shared" si="0"/>
        <v>26</v>
      </c>
    </row>
    <row r="14" spans="1:15" ht="10.199999999999999" customHeight="1" thickTop="1" thickBot="1" x14ac:dyDescent="0.25">
      <c r="A14" s="58" t="s">
        <v>296</v>
      </c>
      <c r="B14" s="58" t="s">
        <v>77</v>
      </c>
      <c r="C14" s="60">
        <f>SUMIFS(Janvier!$P$4:$P$750,Janvier!$D$4:$D$750,"Janvier",Janvier!$L$4:$L$750,"Pomme de terre")</f>
        <v>1</v>
      </c>
      <c r="D14" s="60">
        <f>SUMIFS(Février!$P$4:$P$751,Février!$D$4:$D$751,"Février",Février!$L$4:$L$751,"Pomme de terre")</f>
        <v>7</v>
      </c>
      <c r="E14" s="60">
        <f>SUMIFS(Mars!$P$4:$P$751,Mars!$D$4:$D$751,"Mars",Mars!$L$4:$L$751,"Pomme de terre")</f>
        <v>1</v>
      </c>
      <c r="F14" s="60">
        <f>SUMIFS(Avril!$P$4:$P$749,Avril!$D$4:$D$749,"Avril",Avril!$L$4:$L$749,"Pomme de terre")</f>
        <v>2</v>
      </c>
      <c r="G14" s="60">
        <f>SUMIFS(Mai!$P$4:$P$750,Mai!$D$4:$D$750,"Mai",Mai!$L$4:$L$750,"Pomme de terre")</f>
        <v>3</v>
      </c>
      <c r="H14" s="60">
        <f>SUMIFS(Juin!$P$4:$P$750,Juin!$D$4:$D$750,"Juin",Juin!$L$4:$L$750,"Pomme de terre")</f>
        <v>1</v>
      </c>
      <c r="I14" s="60">
        <f>SUMIFS(Juillet!$P$4:$P$750,Juillet!$D$4:$D$750,"Juillet",Juillet!$L$4:$L$750,"Pomme de terre")</f>
        <v>1</v>
      </c>
      <c r="J14" s="60">
        <f>SUMIFS(Août!$P$4:$P$750,Août!$D$4:$D$750,"Août",Août!$L$4:$L$750,"Pomme de terre")</f>
        <v>1</v>
      </c>
      <c r="K14" s="60">
        <f>SUMIFS(Septembre!$P$4:$P$750,Septembre!$D$4:$D$750,"Septembre",Septembre!$L$4:$L$750,"Pomme de terre")</f>
        <v>3</v>
      </c>
      <c r="L14" s="60">
        <f>SUMIFS(Octobre!$P$4:$P$750,Octobre!$D$4:$D$750,"Octobre",Octobre!$L$4:$L$750,"Pomme de terre")</f>
        <v>1</v>
      </c>
      <c r="M14" s="60">
        <f>SUMIFS(Novembre!$P$4:$P$750,Novembre!$D$4:$D$750,"Novembre",Novembre!$L$4:$L$750,"Pomme de terre")</f>
        <v>2</v>
      </c>
      <c r="N14" s="60">
        <f>SUMIFS(Décembre!$P$4:$P$750,Décembre!$D$4:$D$750,"Décembre",Décembre!$L$4:$L$750,"Pomme de terre")</f>
        <v>3</v>
      </c>
      <c r="O14" s="60">
        <f t="shared" si="0"/>
        <v>26</v>
      </c>
    </row>
    <row r="15" spans="1:15" ht="10.199999999999999" customHeight="1" thickTop="1" thickBot="1" x14ac:dyDescent="0.25">
      <c r="A15" s="58" t="s">
        <v>298</v>
      </c>
      <c r="B15" s="58" t="s">
        <v>83</v>
      </c>
      <c r="C15" s="60">
        <f>SUMIFS(Janvier!$P$4:$P$750,Janvier!$D$4:$D$750,"Janvier",Janvier!$L$4:$L$750,"Purée")</f>
        <v>25</v>
      </c>
      <c r="D15" s="60">
        <f>SUMIFS(Février!$P$4:$P$751,Février!$D$4:$D$751,"Février",Février!$L$4:$L$751,"Purée")</f>
        <v>75</v>
      </c>
      <c r="E15" s="60">
        <f>SUMIFS(Mars!$P$4:$P$751,Mars!$D$4:$D$751,"Mars",Mars!$L$4:$L$751,"Purée")</f>
        <v>25</v>
      </c>
      <c r="F15" s="60">
        <f>SUMIFS(Avril!$P$4:$P$749,Avril!$D$4:$D$749,"Avril",Avril!$L$4:$L$749,"Purée")</f>
        <v>25</v>
      </c>
      <c r="G15" s="60">
        <f>SUMIFS(Mai!$P$4:$P$750,Mai!$D$4:$D$750,"Mai",Mai!$L$4:$L$750,"Purée")</f>
        <v>50</v>
      </c>
      <c r="H15" s="60">
        <f>SUMIFS(Juin!$P$4:$P$750,Juin!$D$4:$D$750,"Juin",Juin!$L$4:$L$750,"Purée")</f>
        <v>75</v>
      </c>
      <c r="I15" s="60">
        <f>SUMIFS(Juillet!$P$4:$P$750,Juillet!$D$4:$D$750,"Juillet",Juillet!$L$4:$L$750,"Purée")</f>
        <v>25</v>
      </c>
      <c r="J15" s="60">
        <f>SUMIFS(Août!$P$4:$P$750,Août!$D$4:$D$750,"Août",Août!$L$4:$L$750,"Purée")</f>
        <v>25</v>
      </c>
      <c r="K15" s="60">
        <f>SUMIFS(Septembre!$P$4:$P$750,Septembre!$D$4:$D$750,"Septembre",Septembre!$L$4:$L$750,"Purée")</f>
        <v>75</v>
      </c>
      <c r="L15" s="60">
        <f>SUMIFS(Octobre!$P$4:$P$750,Octobre!$D$4:$D$750,"Octobre",Octobre!$L$4:$L$750,"Purée")</f>
        <v>25</v>
      </c>
      <c r="M15" s="60">
        <f>SUMIFS(Novembre!$P$4:$P$750,Novembre!$D$4:$D$750,"Novembre",Novembre!$L$4:$L$750,"Purée")</f>
        <v>50</v>
      </c>
      <c r="N15" s="60">
        <f>SUMIFS(Décembre!$P$4:$P$750,Décembre!$D$4:$D$750,"Décembre",Décembre!$L$4:$L$750,"Purée")</f>
        <v>75</v>
      </c>
      <c r="O15" s="60">
        <f t="shared" si="0"/>
        <v>550</v>
      </c>
    </row>
    <row r="16" spans="1:15" ht="10.199999999999999" customHeight="1" thickTop="1" thickBot="1" x14ac:dyDescent="0.25">
      <c r="A16" s="58" t="s">
        <v>300</v>
      </c>
      <c r="B16" s="58" t="s">
        <v>89</v>
      </c>
      <c r="C16" s="60">
        <f>SUMIFS(Janvier!$P$4:$P$750,Janvier!$D$4:$D$750,"Janvier",Janvier!$L$4:$L$750,"Quenelles")</f>
        <v>0</v>
      </c>
      <c r="D16" s="60">
        <f>SUMIFS(Février!$P$4:$P$751,Février!$D$4:$D$751,"Février",Février!$L$4:$L$751,"Quenelles")</f>
        <v>0</v>
      </c>
      <c r="E16" s="60">
        <f>SUMIFS(Mars!$P$4:$P$751,Mars!$D$4:$D$751,"Mars",Mars!$L$4:$L$751,"Quenelles")</f>
        <v>1</v>
      </c>
      <c r="F16" s="60">
        <f>SUMIFS(Avril!$P$4:$P$749,Avril!$D$4:$D$749,"Avril",Avril!$L$4:$L$749,"Quenelles")</f>
        <v>0</v>
      </c>
      <c r="G16" s="60">
        <f>SUMIFS(Mai!$P$4:$P$750,Mai!$D$4:$D$750,"Mai",Mai!$L$4:$L$750,"Quenelles")</f>
        <v>0</v>
      </c>
      <c r="H16" s="60">
        <f>SUMIFS(Juin!$P$4:$P$750,Juin!$D$4:$D$750,"Juin",Juin!$L$4:$L$750,"Quenelles")</f>
        <v>1</v>
      </c>
      <c r="I16" s="60">
        <f>SUMIFS(Juillet!$P$4:$P$750,Juillet!$D$4:$D$750,"Juillet",Juillet!$L$4:$L$750,"Quenelles")</f>
        <v>0</v>
      </c>
      <c r="J16" s="60">
        <f>SUMIFS(Août!$P$4:$P$750,Août!$D$4:$D$750,"Août",Août!$L$4:$L$750,"Quenelles")</f>
        <v>0</v>
      </c>
      <c r="K16" s="60">
        <f>SUMIFS(Septembre!$P$4:$P$750,Septembre!$D$4:$D$750,"Septembre",Septembre!$L$4:$L$750,"Quenelles")</f>
        <v>1</v>
      </c>
      <c r="L16" s="60">
        <f>SUMIFS(Octobre!$P$4:$P$750,Octobre!$D$4:$D$750,"Octobre",Octobre!$L$4:$L$750,"Quenelles")</f>
        <v>0</v>
      </c>
      <c r="M16" s="60">
        <f>SUMIFS(Novembre!$P$4:$P$750,Novembre!$D$4:$D$750,"Novembre",Novembre!$L$4:$L$750,"Quenelles")</f>
        <v>0</v>
      </c>
      <c r="N16" s="60">
        <f>SUMIFS(Décembre!$P$4:$P$750,Décembre!$D$4:$D$750,"Décembre",Décembre!$L$4:$L$750,"Quenelles")</f>
        <v>1</v>
      </c>
      <c r="O16" s="60">
        <f t="shared" si="0"/>
        <v>4</v>
      </c>
    </row>
    <row r="17" spans="1:15" ht="10.199999999999999" customHeight="1" thickTop="1" thickBot="1" x14ac:dyDescent="0.25">
      <c r="A17" s="58" t="s">
        <v>302</v>
      </c>
      <c r="B17" s="58" t="s">
        <v>93</v>
      </c>
      <c r="C17" s="60">
        <f>SUMIFS(Janvier!$P$4:$P$750,Janvier!$D$4:$D$750,"Janvier",Janvier!$L$4:$L$750,"Riz")</f>
        <v>25</v>
      </c>
      <c r="D17" s="60">
        <f>SUMIFS(Février!$P$4:$P$751,Février!$D$4:$D$751,"Février",Février!$L$4:$L$751,"Riz")</f>
        <v>25</v>
      </c>
      <c r="E17" s="60">
        <f>SUMIFS(Mars!$P$4:$P$751,Mars!$D$4:$D$751,"Mars",Mars!$L$4:$L$751,"Riz")</f>
        <v>75</v>
      </c>
      <c r="F17" s="60">
        <f>SUMIFS(Avril!$P$4:$P$749,Avril!$D$4:$D$749,"Avril",Avril!$L$4:$L$749,"Riz")</f>
        <v>0.5</v>
      </c>
      <c r="G17" s="60">
        <f>SUMIFS(Mai!$P$4:$P$750,Mai!$D$4:$D$750,"Mai",Mai!$L$4:$L$750,"Riz")</f>
        <v>50</v>
      </c>
      <c r="H17" s="60">
        <f>SUMIFS(Juin!$P$4:$P$750,Juin!$D$4:$D$750,"Juin",Juin!$L$4:$L$750,"Riz")</f>
        <v>75</v>
      </c>
      <c r="I17" s="60">
        <f>SUMIFS(Juillet!$P$4:$P$750,Juillet!$D$4:$D$750,"Juillet",Juillet!$L$4:$L$750,"Riz")</f>
        <v>25</v>
      </c>
      <c r="J17" s="60">
        <f>SUMIFS(Août!$P$4:$P$750,Août!$D$4:$D$750,"Août",Août!$L$4:$L$750,"Riz")</f>
        <v>25</v>
      </c>
      <c r="K17" s="60">
        <f>SUMIFS(Septembre!$P$4:$P$750,Septembre!$D$4:$D$750,"Septembre",Septembre!$L$4:$L$750,"Riz")</f>
        <v>75</v>
      </c>
      <c r="L17" s="60">
        <f>SUMIFS(Octobre!$P$4:$P$750,Octobre!$D$4:$D$750,"Octobre",Octobre!$L$4:$L$750,"Riz")</f>
        <v>25</v>
      </c>
      <c r="M17" s="60">
        <f>SUMIFS(Novembre!$P$4:$P$750,Novembre!$D$4:$D$750,"Novembre",Novembre!$L$4:$L$750,"Riz")</f>
        <v>25</v>
      </c>
      <c r="N17" s="60">
        <f>SUMIFS(Décembre!$P$4:$P$750,Décembre!$D$4:$D$750,"Décembre",Décembre!$L$4:$L$750,"Riz")</f>
        <v>75</v>
      </c>
      <c r="O17" s="60">
        <f t="shared" si="0"/>
        <v>500.5</v>
      </c>
    </row>
    <row r="18" spans="1:15" ht="10.199999999999999" customHeight="1" thickTop="1" thickBot="1" x14ac:dyDescent="0.25">
      <c r="A18" s="58" t="s">
        <v>306</v>
      </c>
      <c r="B18" s="58" t="s">
        <v>97</v>
      </c>
      <c r="C18" s="60">
        <f>SUMIFS(Janvier!$P$4:$P$750,Janvier!$D$4:$D$750,"Janvier",Janvier!$L$4:$L$750,"Macédoine de légumes")</f>
        <v>1</v>
      </c>
      <c r="D18" s="60">
        <f>SUMIFS(Février!$P$4:$P$751,Février!$D$4:$D$751,"Février",Février!$L$4:$L$751,"Macédoine de légumes")</f>
        <v>1</v>
      </c>
      <c r="E18" s="60">
        <f>SUMIFS(Mars!$P$4:$P$751,Mars!$D$4:$D$751,"Mars",Mars!$L$4:$L$751,"Macédoine de légumes")</f>
        <v>1</v>
      </c>
      <c r="F18" s="60">
        <f>SUMIFS(Avril!$P$4:$P$749,Avril!$D$4:$D$749,"Avril",Avril!$L$4:$L$749,"Macédoine de légumes")</f>
        <v>0</v>
      </c>
      <c r="G18" s="60">
        <f>SUMIFS(Mai!$P$4:$P$750,Mai!$D$4:$D$750,"Mai",Mai!$L$4:$L$750,"Macédoine de légumes")</f>
        <v>2</v>
      </c>
      <c r="H18" s="60">
        <f>SUMIFS(Juin!$P$4:$P$750,Juin!$D$4:$D$750,"Juin",Juin!$L$4:$L$750,"Macédoine de légumes")</f>
        <v>1</v>
      </c>
      <c r="I18" s="60">
        <f>SUMIFS(Juillet!$P$4:$P$750,Juillet!$D$4:$D$750,"Juillet",Juillet!$L$4:$L$750,"Macédoine de légumes")</f>
        <v>0</v>
      </c>
      <c r="J18" s="60">
        <f>SUMIFS(Août!$P$4:$P$750,Août!$D$4:$D$750,"Août",Août!$L$4:$L$750,"Macédoine de légumes")</f>
        <v>1</v>
      </c>
      <c r="K18" s="60">
        <f>SUMIFS(Septembre!$P$4:$P$750,Septembre!$D$4:$D$750,"Septembre",Septembre!$L$4:$L$750,"Macédoine de légumes")</f>
        <v>1</v>
      </c>
      <c r="L18" s="60">
        <f>SUMIFS(Octobre!$P$4:$P$750,Octobre!$D$4:$D$750,"Octobre",Octobre!$L$4:$L$750,"Macédoine de légumes")</f>
        <v>1</v>
      </c>
      <c r="M18" s="60">
        <f>SUMIFS(Novembre!$P$4:$P$750,Novembre!$D$4:$D$750,"Novembre",Novembre!$L$4:$L$750,"Macédoine de légumes")</f>
        <v>0</v>
      </c>
      <c r="N18" s="60">
        <f>SUMIFS(Décembre!$P$4:$P$750,Décembre!$D$4:$D$750,"Décembre",Décembre!$L$4:$L$750,"Macédoine de légumes")</f>
        <v>1</v>
      </c>
      <c r="O18" s="60">
        <f t="shared" si="0"/>
        <v>10</v>
      </c>
    </row>
    <row r="19" spans="1:15" ht="10.199999999999999" customHeight="1" thickTop="1" thickBot="1" x14ac:dyDescent="0.25">
      <c r="A19" s="58" t="s">
        <v>308</v>
      </c>
      <c r="B19" s="58" t="s">
        <v>101</v>
      </c>
      <c r="C19" s="60">
        <f>SUMIFS(Janvier!$P$4:$P$750,Janvier!$D$4:$D$750,"Janvier",Janvier!$L$4:$L$750,"Petits pois")</f>
        <v>1</v>
      </c>
      <c r="D19" s="60">
        <f>SUMIFS(Février!$P$4:$P$751,Février!$D$4:$D$751,"Février",Février!$L$4:$L$751,"Petits pois")</f>
        <v>1</v>
      </c>
      <c r="E19" s="60">
        <f>SUMIFS(Mars!$P$4:$P$751,Mars!$D$4:$D$751,"Mars",Mars!$L$4:$L$751,"Petits pois")</f>
        <v>0</v>
      </c>
      <c r="F19" s="60">
        <f>SUMIFS(Avril!$P$4:$P$749,Avril!$D$4:$D$749,"Avril",Avril!$L$4:$L$749,"Petits pois")</f>
        <v>1</v>
      </c>
      <c r="G19" s="60">
        <f>SUMIFS(Mai!$P$4:$P$750,Mai!$D$4:$D$750,"Mai",Mai!$L$4:$L$750,"Petits pois")</f>
        <v>1</v>
      </c>
      <c r="H19" s="60">
        <f>SUMIFS(Juin!$P$4:$P$750,Juin!$D$4:$D$750,"Juin",Juin!$L$4:$L$750,"Petits pois")</f>
        <v>1</v>
      </c>
      <c r="I19" s="60">
        <f>SUMIFS(Juillet!$P$4:$P$750,Juillet!$D$4:$D$750,"Juillet",Juillet!$L$4:$L$750,"Petits pois")</f>
        <v>0</v>
      </c>
      <c r="J19" s="60">
        <f>SUMIFS(Août!$P$4:$P$750,Août!$D$4:$D$750,"Août",Août!$L$4:$L$750,"Petits pois")</f>
        <v>1</v>
      </c>
      <c r="K19" s="60">
        <f>SUMIFS(Septembre!$P$4:$P$750,Septembre!$D$4:$D$750,"Septembre",Septembre!$L$4:$L$750,"Petits pois")</f>
        <v>1</v>
      </c>
      <c r="L19" s="60">
        <f>SUMIFS(Octobre!$P$4:$P$750,Octobre!$D$4:$D$750,"Octobre",Octobre!$L$4:$L$750,"Petits pois")</f>
        <v>0.5</v>
      </c>
      <c r="M19" s="60">
        <f>SUMIFS(Novembre!$P$4:$P$750,Novembre!$D$4:$D$750,"Novembre",Novembre!$L$4:$L$750,"Petits pois")</f>
        <v>0.5</v>
      </c>
      <c r="N19" s="60">
        <f>SUMIFS(Décembre!$P$4:$P$750,Décembre!$D$4:$D$750,"Décembre",Décembre!$L$4:$L$750,"Petits pois")</f>
        <v>1</v>
      </c>
      <c r="O19" s="60">
        <f t="shared" si="0"/>
        <v>9</v>
      </c>
    </row>
    <row r="20" spans="1:15" ht="10.199999999999999" customHeight="1" thickTop="1" thickBot="1" x14ac:dyDescent="0.25">
      <c r="A20" s="58" t="s">
        <v>310</v>
      </c>
      <c r="B20" s="58" t="s">
        <v>105</v>
      </c>
      <c r="C20" s="60">
        <f>SUMIFS(Janvier!$P$4:$P$750,Janvier!$D$4:$D$750,"Janvier",Janvier!$L$4:$L$750,"Petits pois et jeunes carottes")</f>
        <v>1</v>
      </c>
      <c r="D20" s="60">
        <f>SUMIFS(Février!$P$4:$P$751,Février!$D$4:$D$751,"Février",Février!$L$4:$L$751,"Petits pois et jeunes carottes")</f>
        <v>0.5</v>
      </c>
      <c r="E20" s="60">
        <f>SUMIFS(Mars!$P$4:$P$751,Mars!$D$4:$D$751,"Mars",Mars!$L$4:$L$751,"Petits pois et jeunes carottes")</f>
        <v>0.5</v>
      </c>
      <c r="F20" s="60">
        <f>SUMIFS(Avril!$P$4:$P$749,Avril!$D$4:$D$749,"Avril",Avril!$L$4:$L$749,"Petits pois et jeunes carottes")</f>
        <v>1</v>
      </c>
      <c r="G20" s="60">
        <f>SUMIFS(Mai!$P$4:$P$750,Mai!$D$4:$D$750,"Mai",Mai!$L$4:$L$750,"Petits pois et jeunes carottes")</f>
        <v>1</v>
      </c>
      <c r="H20" s="60">
        <f>SUMIFS(Juin!$P$4:$P$750,Juin!$D$4:$D$750,"Juin",Juin!$L$4:$L$750,"Petits pois et jeunes carottes")</f>
        <v>0</v>
      </c>
      <c r="I20" s="60">
        <f>SUMIFS(Juillet!$P$4:$P$750,Juillet!$D$4:$D$750,"Juillet",Juillet!$L$4:$L$750,"Petits pois et jeunes carottes")</f>
        <v>1</v>
      </c>
      <c r="J20" s="60">
        <f>SUMIFS(Août!$P$4:$P$750,Août!$D$4:$D$750,"Août",Août!$L$4:$L$750,"Petits pois et jeunes carottes")</f>
        <v>1</v>
      </c>
      <c r="K20" s="60">
        <f>SUMIFS(Septembre!$P$4:$P$750,Septembre!$D$4:$D$750,"Septembre",Septembre!$L$4:$L$750,"Petits pois et jeunes carottes")</f>
        <v>1</v>
      </c>
      <c r="L20" s="60">
        <f>SUMIFS(Octobre!$P$4:$P$750,Octobre!$D$4:$D$750,"Octobre",Octobre!$L$4:$L$750,"Petits pois et jeunes carottes")</f>
        <v>0</v>
      </c>
      <c r="M20" s="60">
        <f>SUMIFS(Novembre!$P$4:$P$750,Novembre!$D$4:$D$750,"Novembre",Novembre!$L$4:$L$750,"Petits pois et jeunes carottes")</f>
        <v>1</v>
      </c>
      <c r="N20" s="60">
        <f>SUMIFS(Décembre!$P$4:$P$750,Décembre!$D$4:$D$750,"Décembre",Décembre!$L$4:$L$750,"Petits pois et jeunes carottes")</f>
        <v>1</v>
      </c>
      <c r="O20" s="60">
        <f t="shared" si="0"/>
        <v>9</v>
      </c>
    </row>
    <row r="21" spans="1:15" ht="10.199999999999999" customHeight="1" thickTop="1" thickBot="1" x14ac:dyDescent="0.25">
      <c r="A21" s="58" t="s">
        <v>312</v>
      </c>
      <c r="B21" s="58" t="s">
        <v>109</v>
      </c>
      <c r="C21" s="60">
        <f>SUMIFS(Janvier!$P$4:$P$750,Janvier!$D$4:$D$750,"Janvier",Janvier!$L$4:$L$750,"Ratatouille")</f>
        <v>1</v>
      </c>
      <c r="D21" s="60">
        <f>SUMIFS(Février!$P$4:$P$751,Février!$D$4:$D$751,"Février",Février!$L$4:$L$751,"Ratatouille")</f>
        <v>0</v>
      </c>
      <c r="E21" s="60">
        <f>SUMIFS(Mars!$P$4:$P$751,Mars!$D$4:$D$751,"Mars",Mars!$L$4:$L$751,"Ratatouille")</f>
        <v>1</v>
      </c>
      <c r="F21" s="60">
        <f>SUMIFS(Avril!$P$4:$P$749,Avril!$D$4:$D$749,"Avril",Avril!$L$4:$L$749,"Ratatouille")</f>
        <v>1</v>
      </c>
      <c r="G21" s="60">
        <f>SUMIFS(Mai!$P$4:$P$750,Mai!$D$4:$D$750,"Mai",Mai!$L$4:$L$750,"Ratatouille")</f>
        <v>1</v>
      </c>
      <c r="H21" s="60">
        <f>SUMIFS(Juin!$P$4:$P$750,Juin!$D$4:$D$750,"Juin",Juin!$L$4:$L$750,"Ratatouille")</f>
        <v>0</v>
      </c>
      <c r="I21" s="60">
        <f>SUMIFS(Juillet!$P$4:$P$750,Juillet!$D$4:$D$750,"Juillet",Juillet!$L$4:$L$750,"Ratatouille")</f>
        <v>1</v>
      </c>
      <c r="J21" s="60">
        <f>SUMIFS(Août!$P$4:$P$750,Août!$D$4:$D$750,"Août",Août!$L$4:$L$750,"Ratatouille")</f>
        <v>1</v>
      </c>
      <c r="K21" s="60">
        <f>SUMIFS(Septembre!$P$4:$P$750,Septembre!$D$4:$D$750,"Septembre",Septembre!$L$4:$L$750,"Ratatouille")</f>
        <v>0</v>
      </c>
      <c r="L21" s="60">
        <f>SUMIFS(Octobre!$P$4:$P$750,Octobre!$D$4:$D$750,"Octobre",Octobre!$L$4:$L$750,"Ratatouille")</f>
        <v>1</v>
      </c>
      <c r="M21" s="60">
        <f>SUMIFS(Novembre!$P$4:$P$750,Novembre!$D$4:$D$750,"Novembre",Novembre!$L$4:$L$750,"Ratatouille")</f>
        <v>1</v>
      </c>
      <c r="N21" s="60">
        <f>SUMIFS(Décembre!$P$4:$P$750,Décembre!$D$4:$D$750,"Décembre",Décembre!$L$4:$L$750,"Ratatouille")</f>
        <v>1</v>
      </c>
      <c r="O21" s="60">
        <f t="shared" si="0"/>
        <v>9</v>
      </c>
    </row>
    <row r="22" spans="1:15" ht="10.199999999999999" customHeight="1" thickTop="1" thickBot="1" x14ac:dyDescent="0.25">
      <c r="A22" s="58" t="s">
        <v>314</v>
      </c>
      <c r="B22" s="58" t="s">
        <v>112</v>
      </c>
      <c r="C22" s="60">
        <f>SUMIFS(Janvier!$P$4:$P$750,Janvier!$D$4:$D$750,"Janvier",Janvier!$L$4:$L$750,"Raviolis")</f>
        <v>0.5</v>
      </c>
      <c r="D22" s="60">
        <f>SUMIFS(Février!$P$4:$P$751,Février!$D$4:$D$751,"Février",Février!$L$4:$L$751,"Raviolis")</f>
        <v>0.5</v>
      </c>
      <c r="E22" s="60">
        <f>SUMIFS(Mars!$P$4:$P$751,Mars!$D$4:$D$751,"Mars",Mars!$L$4:$L$751,"Raviolis")</f>
        <v>1</v>
      </c>
      <c r="F22" s="60">
        <f>SUMIFS(Avril!$P$4:$P$749,Avril!$D$4:$D$749,"Avril",Avril!$L$4:$L$749,"Raviolis")</f>
        <v>1</v>
      </c>
      <c r="G22" s="60">
        <f>SUMIFS(Mai!$P$4:$P$750,Mai!$D$4:$D$750,"Mai",Mai!$L$4:$L$750,"Raviolis")</f>
        <v>0</v>
      </c>
      <c r="H22" s="60">
        <f>SUMIFS(Juin!$P$4:$P$750,Juin!$D$4:$D$750,"Juin",Juin!$L$4:$L$750,"Raviolis")</f>
        <v>1</v>
      </c>
      <c r="I22" s="60">
        <f>SUMIFS(Juillet!$P$4:$P$750,Juillet!$D$4:$D$750,"Juillet",Juillet!$L$4:$L$750,"Raviolis")</f>
        <v>1</v>
      </c>
      <c r="J22" s="60">
        <f>SUMIFS(Août!$P$4:$P$750,Août!$D$4:$D$750,"Août",Août!$L$4:$L$750,"Raviolis")</f>
        <v>1</v>
      </c>
      <c r="K22" s="60">
        <f>SUMIFS(Septembre!$P$4:$P$750,Septembre!$D$4:$D$750,"Septembre",Septembre!$L$4:$L$750,"Raviolis")</f>
        <v>0</v>
      </c>
      <c r="L22" s="60">
        <f>SUMIFS(Octobre!$P$4:$P$750,Octobre!$D$4:$D$750,"Octobre",Octobre!$L$4:$L$750,"Raviolis")</f>
        <v>1</v>
      </c>
      <c r="M22" s="60">
        <f>SUMIFS(Novembre!$P$4:$P$750,Novembre!$D$4:$D$750,"Novembre",Novembre!$L$4:$L$750,"Raviolis")</f>
        <v>1</v>
      </c>
      <c r="N22" s="60">
        <f>SUMIFS(Décembre!$P$4:$P$750,Décembre!$D$4:$D$750,"Décembre",Décembre!$L$4:$L$750,"Raviolis")</f>
        <v>0</v>
      </c>
      <c r="O22" s="60">
        <f t="shared" si="0"/>
        <v>8</v>
      </c>
    </row>
    <row r="23" spans="1:15" ht="10.199999999999999" customHeight="1" thickTop="1" thickBot="1" x14ac:dyDescent="0.25">
      <c r="A23" s="58" t="s">
        <v>316</v>
      </c>
      <c r="B23" s="58" t="s">
        <v>116</v>
      </c>
      <c r="C23" s="60">
        <f>SUMIFS(Janvier!$P$4:$P$750,Janvier!$D$4:$D$750,"Janvier",Janvier!$L$4:$L$750,"Tomates pelées")</f>
        <v>0</v>
      </c>
      <c r="D23" s="60">
        <f>SUMIFS(Février!$P$4:$P$751,Février!$D$4:$D$751,"Février",Février!$L$4:$L$751,"Tomates pelées")</f>
        <v>1</v>
      </c>
      <c r="E23" s="60">
        <f>SUMIFS(Mars!$P$4:$P$751,Mars!$D$4:$D$751,"Mars",Mars!$L$4:$L$751,"Tomates pelées")</f>
        <v>1</v>
      </c>
      <c r="F23" s="60">
        <f>SUMIFS(Avril!$P$4:$P$749,Avril!$D$4:$D$749,"Avril",Avril!$L$4:$L$749,"Tomates pelées")</f>
        <v>0</v>
      </c>
      <c r="G23" s="60">
        <f>SUMIFS(Mai!$P$4:$P$750,Mai!$D$4:$D$750,"Mai",Mai!$L$4:$L$750,"Tomates pelées")</f>
        <v>1</v>
      </c>
      <c r="H23" s="60">
        <f>SUMIFS(Juin!$P$4:$P$750,Juin!$D$4:$D$750,"Juin",Juin!$L$4:$L$750,"Tomates pelées")</f>
        <v>1</v>
      </c>
      <c r="I23" s="60">
        <f>SUMIFS(Juillet!$P$4:$P$750,Juillet!$D$4:$D$750,"Juillet",Juillet!$L$4:$L$750,"Tomates pelées")</f>
        <v>1</v>
      </c>
      <c r="J23" s="60">
        <f>SUMIFS(Août!$P$4:$P$750,Août!$D$4:$D$750,"Août",Août!$L$4:$L$750,"Tomates pelées")</f>
        <v>0</v>
      </c>
      <c r="K23" s="60">
        <f>SUMIFS(Septembre!$P$4:$P$750,Septembre!$D$4:$D$750,"Septembre",Septembre!$L$4:$L$750,"Tomates pelées")</f>
        <v>1</v>
      </c>
      <c r="L23" s="60">
        <f>SUMIFS(Octobre!$P$4:$P$750,Octobre!$D$4:$D$750,"Octobre",Octobre!$L$4:$L$750,"Tomates pelées")</f>
        <v>1</v>
      </c>
      <c r="M23" s="60">
        <f>SUMIFS(Novembre!$P$4:$P$750,Novembre!$D$4:$D$750,"Novembre",Novembre!$L$4:$L$750,"Tomates pelées")</f>
        <v>1</v>
      </c>
      <c r="N23" s="60">
        <f>SUMIFS(Décembre!$P$4:$P$750,Décembre!$D$4:$D$750,"Décembre",Décembre!$L$4:$L$750,"Tomates pelées")</f>
        <v>0</v>
      </c>
      <c r="O23" s="60">
        <f t="shared" si="0"/>
        <v>8</v>
      </c>
    </row>
    <row r="24" spans="1:15" ht="10.199999999999999" customHeight="1" thickTop="1" thickBot="1" x14ac:dyDescent="0.25">
      <c r="A24" s="58" t="s">
        <v>304</v>
      </c>
      <c r="B24" s="58" t="s">
        <v>15</v>
      </c>
      <c r="C24" s="60">
        <f>SUMIFS(Janvier!$P$4:$P$750,Janvier!$D$4:$D$750,"Janvier",Janvier!$L$4:$L$750,"Asperges")</f>
        <v>1</v>
      </c>
      <c r="D24" s="60">
        <f>SUMIFS(Février!$P$4:$P$751,Février!$D$4:$D$751,"Février",Février!$L$4:$L$751,"Asperges")</f>
        <v>2</v>
      </c>
      <c r="E24" s="60">
        <f>SUMIFS(Mars!$P$4:$P$751,Mars!$D$4:$D$751,"Mars",Mars!$L$4:$L$751,"Asperges")</f>
        <v>1</v>
      </c>
      <c r="F24" s="60">
        <f>SUMIFS(Avril!$P$4:$P$749,Avril!$D$4:$D$749,"Avril",Avril!$L$4:$L$749,"Asperges")</f>
        <v>2</v>
      </c>
      <c r="G24" s="60">
        <f>SUMIFS(Mai!$P$4:$P$750,Mai!$D$4:$D$750,"Mai",Mai!$L$4:$L$750,"Asperges")</f>
        <v>1</v>
      </c>
      <c r="H24" s="60">
        <f>SUMIFS(Juin!$P$4:$P$750,Juin!$D$4:$D$750,"Juin",Juin!$L$4:$L$750,"Asperges")</f>
        <v>1</v>
      </c>
      <c r="I24" s="60">
        <f>SUMIFS(Juillet!$P$4:$P$750,Juillet!$D$4:$D$750,"Juillet",Juillet!$L$4:$L$750,"Asperges")</f>
        <v>3</v>
      </c>
      <c r="J24" s="60">
        <f>SUMIFS(Août!$P$4:$P$750,Août!$D$4:$D$750,"Août",Août!$L$4:$L$750,"Asperges")</f>
        <v>1</v>
      </c>
      <c r="K24" s="60">
        <f>SUMIFS(Septembre!$P$4:$P$750,Septembre!$D$4:$D$750,"Septembre",Septembre!$L$4:$L$750,"Asperges")</f>
        <v>2</v>
      </c>
      <c r="L24" s="60">
        <f>SUMIFS(Octobre!$P$4:$P$750,Octobre!$D$4:$D$750,"Octobre",Octobre!$L$4:$L$750,"Asperges")</f>
        <v>1</v>
      </c>
      <c r="M24" s="60">
        <f>SUMIFS(Novembre!$P$4:$P$750,Novembre!$D$4:$D$750,"Novembre",Novembre!$L$4:$L$750,"Asperges")</f>
        <v>1</v>
      </c>
      <c r="N24" s="60">
        <f>SUMIFS(Décembre!$P$4:$P$750,Décembre!$D$4:$D$750,"Décembre",Décembre!$L$4:$L$750,"Asperges")</f>
        <v>2</v>
      </c>
      <c r="O24" s="60">
        <f t="shared" si="0"/>
        <v>18</v>
      </c>
    </row>
    <row r="25" spans="1:15" ht="10.199999999999999" customHeight="1" thickTop="1" thickBot="1" x14ac:dyDescent="0.25">
      <c r="A25" s="58" t="s">
        <v>318</v>
      </c>
      <c r="B25" s="58" t="s">
        <v>123</v>
      </c>
      <c r="C25" s="60">
        <f>SUMIFS(Janvier!$P$4:$P$750,Janvier!$D$4:$D$750,"Janvier",Janvier!$L$4:$L$750,"Avocat")</f>
        <v>1</v>
      </c>
      <c r="D25" s="60">
        <f>SUMIFS(Février!$P$4:$P$751,Février!$D$4:$D$751,"Février",Février!$L$4:$L$751,"Avocat")</f>
        <v>2</v>
      </c>
      <c r="E25" s="60">
        <f>SUMIFS(Mars!$P$4:$P$751,Mars!$D$4:$D$751,"Mars",Mars!$L$4:$L$751,"Avocat")</f>
        <v>1</v>
      </c>
      <c r="F25" s="60">
        <f>SUMIFS(Avril!$P$4:$P$749,Avril!$D$4:$D$749,"Avril",Avril!$L$4:$L$749,"Avocat")</f>
        <v>1</v>
      </c>
      <c r="G25" s="60">
        <f>SUMIFS(Mai!$P$4:$P$750,Mai!$D$4:$D$750,"Mai",Mai!$L$4:$L$750,"Avocat")</f>
        <v>2</v>
      </c>
      <c r="H25" s="60">
        <f>SUMIFS(Juin!$P$4:$P$750,Juin!$D$4:$D$750,"Juin",Juin!$L$4:$L$750,"Avocat")</f>
        <v>1</v>
      </c>
      <c r="I25" s="60">
        <f>SUMIFS(Juillet!$P$4:$P$750,Juillet!$D$4:$D$750,"Juillet",Juillet!$L$4:$L$750,"Avocat")</f>
        <v>3</v>
      </c>
      <c r="J25" s="60">
        <f>SUMIFS(Août!$P$4:$P$750,Août!$D$4:$D$750,"Août",Août!$L$4:$L$750,"Avocat")</f>
        <v>1</v>
      </c>
      <c r="K25" s="60">
        <f>SUMIFS(Septembre!$P$4:$P$750,Septembre!$D$4:$D$750,"Septembre",Septembre!$L$4:$L$750,"Avocat")</f>
        <v>1</v>
      </c>
      <c r="L25" s="60">
        <f>SUMIFS(Octobre!$P$4:$P$750,Octobre!$D$4:$D$750,"Octobre",Octobre!$L$4:$L$750,"Avocat")</f>
        <v>2</v>
      </c>
      <c r="M25" s="60">
        <f>SUMIFS(Novembre!$P$4:$P$750,Novembre!$D$4:$D$750,"Novembre",Novembre!$L$4:$L$750,"Avocat")</f>
        <v>1</v>
      </c>
      <c r="N25" s="60">
        <f>SUMIFS(Décembre!$P$4:$P$750,Décembre!$D$4:$D$750,"Décembre",Décembre!$L$4:$L$750,"Avocat")</f>
        <v>2</v>
      </c>
      <c r="O25" s="60">
        <f t="shared" si="0"/>
        <v>18</v>
      </c>
    </row>
    <row r="26" spans="1:15" ht="10.199999999999999" customHeight="1" thickTop="1" thickBot="1" x14ac:dyDescent="0.25">
      <c r="A26" s="58" t="s">
        <v>320</v>
      </c>
      <c r="B26" s="58" t="s">
        <v>126</v>
      </c>
      <c r="C26" s="60">
        <f>SUMIFS(Janvier!$P$4:$P$750,Janvier!$D$4:$D$750,"Janvier",Janvier!$L$4:$L$750,"Betterave rouge")</f>
        <v>0</v>
      </c>
      <c r="D26" s="60">
        <f>SUMIFS(Février!$P$4:$P$751,Février!$D$4:$D$751,"Février",Février!$L$4:$L$751,"Betterave rouge")</f>
        <v>1</v>
      </c>
      <c r="E26" s="60">
        <f>SUMIFS(Mars!$P$4:$P$751,Mars!$D$4:$D$751,"Mars",Mars!$L$4:$L$751,"Betterave rouge")</f>
        <v>0</v>
      </c>
      <c r="F26" s="60">
        <f>SUMIFS(Avril!$P$4:$P$749,Avril!$D$4:$D$749,"Avril",Avril!$L$4:$L$749,"Betterave rouge")</f>
        <v>0</v>
      </c>
      <c r="G26" s="60">
        <f>SUMIFS(Mai!$P$4:$P$750,Mai!$D$4:$D$750,"Mai",Mai!$L$4:$L$750,"Betterave rouge")</f>
        <v>1</v>
      </c>
      <c r="H26" s="60">
        <f>SUMIFS(Juin!$P$4:$P$750,Juin!$D$4:$D$750,"Juin",Juin!$L$4:$L$750,"Betterave rouge")</f>
        <v>0</v>
      </c>
      <c r="I26" s="60">
        <f>SUMIFS(Juillet!$P$4:$P$750,Juillet!$D$4:$D$750,"Juillet",Juillet!$L$4:$L$750,"Betterave rouge")</f>
        <v>1</v>
      </c>
      <c r="J26" s="60">
        <f>SUMIFS(Août!$P$4:$P$750,Août!$D$4:$D$750,"Août",Août!$L$4:$L$750,"Betterave rouge")</f>
        <v>0</v>
      </c>
      <c r="K26" s="60">
        <f>SUMIFS(Septembre!$P$4:$P$750,Septembre!$D$4:$D$750,"Septembre",Septembre!$L$4:$L$750,"Betterave rouge")</f>
        <v>0</v>
      </c>
      <c r="L26" s="60">
        <f>SUMIFS(Octobre!$P$4:$P$750,Octobre!$D$4:$D$750,"Octobre",Octobre!$L$4:$L$750,"Betterave rouge")</f>
        <v>1</v>
      </c>
      <c r="M26" s="60">
        <f>SUMIFS(Novembre!$P$4:$P$750,Novembre!$D$4:$D$750,"Novembre",Novembre!$L$4:$L$750,"Betterave rouge")</f>
        <v>0</v>
      </c>
      <c r="N26" s="60">
        <f>SUMIFS(Décembre!$P$4:$P$750,Décembre!$D$4:$D$750,"Décembre",Décembre!$L$4:$L$750,"Betterave rouge")</f>
        <v>1</v>
      </c>
      <c r="O26" s="60">
        <f t="shared" si="0"/>
        <v>5</v>
      </c>
    </row>
    <row r="27" spans="1:15" ht="10.199999999999999" customHeight="1" thickTop="1" thickBot="1" x14ac:dyDescent="0.25">
      <c r="A27" s="58" t="s">
        <v>322</v>
      </c>
      <c r="B27" s="58" t="s">
        <v>129</v>
      </c>
      <c r="C27" s="60">
        <f>SUMIFS(Janvier!$P$4:$P$750,Janvier!$D$4:$D$750,"Janvier",Janvier!$L$4:$L$750,"Carottes")</f>
        <v>2</v>
      </c>
      <c r="D27" s="60">
        <f>SUMIFS(Février!$P$4:$P$751,Février!$D$4:$D$751,"Février",Février!$L$4:$L$751,"Carottes")</f>
        <v>1</v>
      </c>
      <c r="E27" s="60">
        <f>SUMIFS(Mars!$P$4:$P$751,Mars!$D$4:$D$751,"Mars",Mars!$L$4:$L$751,"Carottes")</f>
        <v>3</v>
      </c>
      <c r="F27" s="60">
        <f>SUMIFS(Avril!$P$4:$P$749,Avril!$D$4:$D$749,"Avril",Avril!$L$4:$L$749,"Carottes")</f>
        <v>2</v>
      </c>
      <c r="G27" s="60">
        <f>SUMIFS(Mai!$P$4:$P$750,Mai!$D$4:$D$750,"Mai",Mai!$L$4:$L$750,"Carottes")</f>
        <v>4</v>
      </c>
      <c r="H27" s="60">
        <f>SUMIFS(Juin!$P$4:$P$750,Juin!$D$4:$D$750,"Juin",Juin!$L$4:$L$750,"Carottes")</f>
        <v>2</v>
      </c>
      <c r="I27" s="60">
        <f>SUMIFS(Juillet!$P$4:$P$750,Juillet!$D$4:$D$750,"Juillet",Juillet!$L$4:$L$750,"Carottes")</f>
        <v>4</v>
      </c>
      <c r="J27" s="60">
        <f>SUMIFS(Août!$P$4:$P$750,Août!$D$4:$D$750,"Août",Août!$L$4:$L$750,"Carottes")</f>
        <v>4</v>
      </c>
      <c r="K27" s="60">
        <f>SUMIFS(Septembre!$P$4:$P$750,Septembre!$D$4:$D$750,"Septembre",Septembre!$L$4:$L$750,"Carottes")</f>
        <v>2</v>
      </c>
      <c r="L27" s="60">
        <f>SUMIFS(Octobre!$P$4:$P$750,Octobre!$D$4:$D$750,"Octobre",Octobre!$L$4:$L$750,"Carottes")</f>
        <v>4</v>
      </c>
      <c r="M27" s="60">
        <f>SUMIFS(Novembre!$P$4:$P$750,Novembre!$D$4:$D$750,"Novembre",Novembre!$L$4:$L$750,"Carottes")</f>
        <v>2</v>
      </c>
      <c r="N27" s="60">
        <f>SUMIFS(Décembre!$P$4:$P$750,Décembre!$D$4:$D$750,"Décembre",Décembre!$L$4:$L$750,"Carottes")</f>
        <v>2</v>
      </c>
      <c r="O27" s="60">
        <f t="shared" si="0"/>
        <v>32</v>
      </c>
    </row>
    <row r="28" spans="1:15" ht="10.199999999999999" customHeight="1" thickTop="1" thickBot="1" x14ac:dyDescent="0.25">
      <c r="A28" s="58" t="s">
        <v>324</v>
      </c>
      <c r="B28" s="58" t="s">
        <v>132</v>
      </c>
      <c r="C28" s="60">
        <f>SUMIFS(Janvier!$P$4:$P$750,Janvier!$D$4:$D$750,"Janvier",Janvier!$L$4:$L$750,"Céleri")</f>
        <v>3</v>
      </c>
      <c r="D28" s="60">
        <f>SUMIFS(Février!$P$4:$P$751,Février!$D$4:$D$751,"Février",Février!$L$4:$L$751,"Céleri")</f>
        <v>1</v>
      </c>
      <c r="E28" s="60">
        <f>SUMIFS(Mars!$P$4:$P$751,Mars!$D$4:$D$751,"Mars",Mars!$L$4:$L$751,"Céleri")</f>
        <v>1.5</v>
      </c>
      <c r="F28" s="60">
        <f>SUMIFS(Avril!$P$4:$P$749,Avril!$D$4:$D$749,"Avril",Avril!$L$4:$L$749,"Céleri")</f>
        <v>1</v>
      </c>
      <c r="G28" s="60">
        <f>SUMIFS(Mai!$P$4:$P$750,Mai!$D$4:$D$750,"Mai",Mai!$L$4:$L$750,"Céleri")</f>
        <v>3</v>
      </c>
      <c r="H28" s="60">
        <f>SUMIFS(Juin!$P$4:$P$750,Juin!$D$4:$D$750,"Juin",Juin!$L$4:$L$750,"Céleri")</f>
        <v>1</v>
      </c>
      <c r="I28" s="60">
        <f>SUMIFS(Juillet!$P$4:$P$750,Juillet!$D$4:$D$750,"Juillet",Juillet!$L$4:$L$750,"Céleri")</f>
        <v>1</v>
      </c>
      <c r="J28" s="60">
        <f>SUMIFS(Août!$P$4:$P$750,Août!$D$4:$D$750,"Août",Août!$L$4:$L$750,"Céleri")</f>
        <v>4</v>
      </c>
      <c r="K28" s="60">
        <f>SUMIFS(Septembre!$P$4:$P$750,Septembre!$D$4:$D$750,"Septembre",Septembre!$L$4:$L$750,"Céleri")</f>
        <v>1</v>
      </c>
      <c r="L28" s="60">
        <f>SUMIFS(Octobre!$P$4:$P$750,Octobre!$D$4:$D$750,"Octobre",Octobre!$L$4:$L$750,"Céleri")</f>
        <v>3</v>
      </c>
      <c r="M28" s="60">
        <f>SUMIFS(Novembre!$P$4:$P$750,Novembre!$D$4:$D$750,"Novembre",Novembre!$L$4:$L$750,"Céleri")</f>
        <v>1</v>
      </c>
      <c r="N28" s="60">
        <f>SUMIFS(Décembre!$P$4:$P$750,Décembre!$D$4:$D$750,"Décembre",Décembre!$L$4:$L$750,"Céleri")</f>
        <v>1</v>
      </c>
      <c r="O28" s="60">
        <f t="shared" si="0"/>
        <v>21.5</v>
      </c>
    </row>
    <row r="29" spans="1:15" ht="10.199999999999999" customHeight="1" thickTop="1" thickBot="1" x14ac:dyDescent="0.25">
      <c r="A29" s="58" t="s">
        <v>326</v>
      </c>
      <c r="B29" s="58" t="s">
        <v>135</v>
      </c>
      <c r="C29" s="60">
        <f>SUMIFS(Janvier!$P$4:$P$750,Janvier!$D$4:$D$750,"Janvier",Janvier!$L$4:$L$750,"Champignons")</f>
        <v>2</v>
      </c>
      <c r="D29" s="60">
        <f>SUMIFS(Février!$P$4:$P$751,Février!$D$4:$D$751,"Février",Février!$L$4:$L$751,"Champignons")</f>
        <v>1</v>
      </c>
      <c r="E29" s="60">
        <f>SUMIFS(Mars!$P$4:$P$751,Mars!$D$4:$D$751,"Mars",Mars!$L$4:$L$751,"Champignons")</f>
        <v>2</v>
      </c>
      <c r="F29" s="60">
        <f>SUMIFS(Avril!$P$4:$P$749,Avril!$D$4:$D$749,"Avril",Avril!$L$4:$L$749,"Champignons")</f>
        <v>1</v>
      </c>
      <c r="G29" s="60">
        <f>SUMIFS(Mai!$P$4:$P$750,Mai!$D$4:$D$750,"Mai",Mai!$L$4:$L$750,"Champignons")</f>
        <v>1</v>
      </c>
      <c r="H29" s="60">
        <f>SUMIFS(Juin!$P$4:$P$750,Juin!$D$4:$D$750,"Juin",Juin!$L$4:$L$750,"Champignons")</f>
        <v>2</v>
      </c>
      <c r="I29" s="60">
        <f>SUMIFS(Juillet!$P$4:$P$750,Juillet!$D$4:$D$750,"Juillet",Juillet!$L$4:$L$750,"Champignons")</f>
        <v>1</v>
      </c>
      <c r="J29" s="60">
        <f>SUMIFS(Août!$P$4:$P$750,Août!$D$4:$D$750,"Août",Août!$L$4:$L$750,"Champignons")</f>
        <v>4</v>
      </c>
      <c r="K29" s="60">
        <f>SUMIFS(Septembre!$P$4:$P$750,Septembre!$D$4:$D$750,"Septembre",Septembre!$L$4:$L$750,"Champignons")</f>
        <v>1</v>
      </c>
      <c r="L29" s="60">
        <f>SUMIFS(Octobre!$P$4:$P$750,Octobre!$D$4:$D$750,"Octobre",Octobre!$L$4:$L$750,"Champignons")</f>
        <v>1</v>
      </c>
      <c r="M29" s="60">
        <f>SUMIFS(Novembre!$P$4:$P$750,Novembre!$D$4:$D$750,"Novembre",Novembre!$L$4:$L$750,"Champignons")</f>
        <v>2</v>
      </c>
      <c r="N29" s="60">
        <f>SUMIFS(Décembre!$P$4:$P$750,Décembre!$D$4:$D$750,"Décembre",Décembre!$L$4:$L$750,"Champignons")</f>
        <v>1</v>
      </c>
      <c r="O29" s="60">
        <f t="shared" si="0"/>
        <v>19</v>
      </c>
    </row>
    <row r="30" spans="1:15" ht="10.199999999999999" customHeight="1" thickTop="1" thickBot="1" x14ac:dyDescent="0.25">
      <c r="A30" s="58" t="s">
        <v>328</v>
      </c>
      <c r="B30" s="58" t="s">
        <v>138</v>
      </c>
      <c r="C30" s="60">
        <f>SUMIFS(Janvier!$P$4:$P$750,Janvier!$D$4:$D$750,"Janvier",Janvier!$L$4:$L$750,"Concombre")</f>
        <v>3</v>
      </c>
      <c r="D30" s="60">
        <f>SUMIFS(Février!$P$4:$P$751,Février!$D$4:$D$751,"Février",Février!$L$4:$L$751,"Concombre")</f>
        <v>1</v>
      </c>
      <c r="E30" s="60">
        <f>SUMIFS(Mars!$P$4:$P$751,Mars!$D$4:$D$751,"Mars",Mars!$L$4:$L$751,"Concombre")</f>
        <v>2</v>
      </c>
      <c r="F30" s="60">
        <f>SUMIFS(Avril!$P$4:$P$749,Avril!$D$4:$D$749,"Avril",Avril!$L$4:$L$749,"Concombre")</f>
        <v>1</v>
      </c>
      <c r="G30" s="60">
        <f>SUMIFS(Mai!$P$4:$P$750,Mai!$D$4:$D$750,"Mai",Mai!$L$4:$L$750,"Concombre")</f>
        <v>1</v>
      </c>
      <c r="H30" s="60">
        <f>SUMIFS(Juin!$P$4:$P$750,Juin!$D$4:$D$750,"Juin",Juin!$L$4:$L$750,"Concombre")</f>
        <v>1</v>
      </c>
      <c r="I30" s="60">
        <f>SUMIFS(Juillet!$P$4:$P$750,Juillet!$D$4:$D$750,"Juillet",Juillet!$L$4:$L$750,"Concombre")</f>
        <v>1</v>
      </c>
      <c r="J30" s="60">
        <f>SUMIFS(Août!$P$4:$P$750,Août!$D$4:$D$750,"Août",Août!$L$4:$L$750,"Concombre")</f>
        <v>4</v>
      </c>
      <c r="K30" s="60">
        <f>SUMIFS(Septembre!$P$4:$P$750,Septembre!$D$4:$D$750,"Septembre",Septembre!$L$4:$L$750,"Concombre")</f>
        <v>1</v>
      </c>
      <c r="L30" s="60">
        <f>SUMIFS(Octobre!$P$4:$P$750,Octobre!$D$4:$D$750,"Octobre",Octobre!$L$4:$L$750,"Concombre")</f>
        <v>1</v>
      </c>
      <c r="M30" s="60">
        <f>SUMIFS(Novembre!$P$4:$P$750,Novembre!$D$4:$D$750,"Novembre",Novembre!$L$4:$L$750,"Concombre")</f>
        <v>2</v>
      </c>
      <c r="N30" s="60">
        <f>SUMIFS(Décembre!$P$4:$P$750,Décembre!$D$4:$D$750,"Décembre",Décembre!$L$4:$L$750,"Concombre")</f>
        <v>1</v>
      </c>
      <c r="O30" s="60">
        <f t="shared" si="0"/>
        <v>19</v>
      </c>
    </row>
    <row r="31" spans="1:15" ht="10.199999999999999" customHeight="1" thickTop="1" thickBot="1" x14ac:dyDescent="0.25">
      <c r="A31" s="58" t="s">
        <v>330</v>
      </c>
      <c r="B31" s="58" t="s">
        <v>141</v>
      </c>
      <c r="C31" s="60">
        <f>SUMIFS(Janvier!$P$4:$P$750,Janvier!$D$4:$D$750,"Janvier",Janvier!$L$4:$L$750,"Radis")</f>
        <v>1</v>
      </c>
      <c r="D31" s="60">
        <f>SUMIFS(Février!$P$4:$P$751,Février!$D$4:$D$751,"Février",Février!$L$4:$L$751,"Radis")</f>
        <v>1</v>
      </c>
      <c r="E31" s="60">
        <f>SUMIFS(Mars!$P$4:$P$751,Mars!$D$4:$D$751,"Mars",Mars!$L$4:$L$751,"Radis")</f>
        <v>1.5</v>
      </c>
      <c r="F31" s="60">
        <f>SUMIFS(Avril!$P$4:$P$749,Avril!$D$4:$D$749,"Avril",Avril!$L$4:$L$749,"Radis")</f>
        <v>1</v>
      </c>
      <c r="G31" s="60">
        <f>SUMIFS(Mai!$P$4:$P$750,Mai!$D$4:$D$750,"Mai",Mai!$L$4:$L$750,"Radis")</f>
        <v>2</v>
      </c>
      <c r="H31" s="60">
        <f>SUMIFS(Juin!$P$4:$P$750,Juin!$D$4:$D$750,"Juin",Juin!$L$4:$L$750,"Radis")</f>
        <v>2</v>
      </c>
      <c r="I31" s="60">
        <f>SUMIFS(Juillet!$P$4:$P$750,Juillet!$D$4:$D$750,"Juillet",Juillet!$L$4:$L$750,"Radis")</f>
        <v>1</v>
      </c>
      <c r="J31" s="60">
        <f>SUMIFS(Août!$P$4:$P$750,Août!$D$4:$D$750,"Août",Août!$L$4:$L$750,"Radis")</f>
        <v>2</v>
      </c>
      <c r="K31" s="60">
        <f>SUMIFS(Septembre!$P$4:$P$750,Septembre!$D$4:$D$750,"Septembre",Septembre!$L$4:$L$750,"Radis")</f>
        <v>1</v>
      </c>
      <c r="L31" s="60">
        <f>SUMIFS(Octobre!$P$4:$P$750,Octobre!$D$4:$D$750,"Octobre",Octobre!$L$4:$L$750,"Radis")</f>
        <v>1</v>
      </c>
      <c r="M31" s="60">
        <f>SUMIFS(Novembre!$P$4:$P$750,Novembre!$D$4:$D$750,"Novembre",Novembre!$L$4:$L$750,"Radis")</f>
        <v>2.5</v>
      </c>
      <c r="N31" s="60">
        <f>SUMIFS(Décembre!$P$4:$P$750,Décembre!$D$4:$D$750,"Décembre",Décembre!$L$4:$L$750,"Radis")</f>
        <v>1.5</v>
      </c>
      <c r="O31" s="60">
        <f t="shared" si="0"/>
        <v>17.5</v>
      </c>
    </row>
    <row r="32" spans="1:15" ht="10.199999999999999" customHeight="1" thickTop="1" thickBot="1" x14ac:dyDescent="0.25">
      <c r="A32" s="58" t="s">
        <v>332</v>
      </c>
      <c r="B32" s="58" t="s">
        <v>144</v>
      </c>
      <c r="C32" s="60">
        <f>SUMIFS(Janvier!$P$4:$P$750,Janvier!$D$4:$D$750,"Janvier",Janvier!$L$4:$L$750,"Salade")</f>
        <v>2</v>
      </c>
      <c r="D32" s="60">
        <f>SUMIFS(Février!$P$4:$P$751,Février!$D$4:$D$751,"Février",Février!$L$4:$L$751,"Salade")</f>
        <v>1</v>
      </c>
      <c r="E32" s="60">
        <f>SUMIFS(Mars!$P$4:$P$751,Mars!$D$4:$D$751,"Mars",Mars!$L$4:$L$751,"Salade")</f>
        <v>1</v>
      </c>
      <c r="F32" s="60">
        <f>SUMIFS(Avril!$P$4:$P$749,Avril!$D$4:$D$749,"Avril",Avril!$L$4:$L$749,"Salade")</f>
        <v>2</v>
      </c>
      <c r="G32" s="60">
        <f>SUMIFS(Mai!$P$4:$P$750,Mai!$D$4:$D$750,"Mai",Mai!$L$4:$L$750,"Salade")</f>
        <v>1</v>
      </c>
      <c r="H32" s="60">
        <f>SUMIFS(Juin!$P$4:$P$750,Juin!$D$4:$D$750,"Juin",Juin!$L$4:$L$750,"Salade")</f>
        <v>27</v>
      </c>
      <c r="I32" s="60">
        <f>SUMIFS(Juillet!$P$4:$P$750,Juillet!$D$4:$D$750,"Juillet",Juillet!$L$4:$L$750,"Salade")</f>
        <v>1</v>
      </c>
      <c r="J32" s="60">
        <f>SUMIFS(Août!$P$4:$P$750,Août!$D$4:$D$750,"Août",Août!$L$4:$L$750,"Salade")</f>
        <v>1</v>
      </c>
      <c r="K32" s="60">
        <f>SUMIFS(Septembre!$P$4:$P$750,Septembre!$D$4:$D$750,"Septembre",Septembre!$L$4:$L$750,"Salade")</f>
        <v>2</v>
      </c>
      <c r="L32" s="60">
        <f>SUMIFS(Octobre!$P$4:$P$750,Octobre!$D$4:$D$750,"Octobre",Octobre!$L$4:$L$750,"Salade")</f>
        <v>1</v>
      </c>
      <c r="M32" s="60">
        <f>SUMIFS(Novembre!$P$4:$P$750,Novembre!$D$4:$D$750,"Novembre",Novembre!$L$4:$L$750,"Salade")</f>
        <v>2</v>
      </c>
      <c r="N32" s="60">
        <f>SUMIFS(Décembre!$P$4:$P$750,Décembre!$D$4:$D$750,"Décembre",Décembre!$L$4:$L$750,"Salade")</f>
        <v>1</v>
      </c>
      <c r="O32" s="60">
        <f t="shared" si="0"/>
        <v>42</v>
      </c>
    </row>
    <row r="33" spans="1:15" ht="10.199999999999999" customHeight="1" thickTop="1" thickBot="1" x14ac:dyDescent="0.25">
      <c r="A33" s="58" t="s">
        <v>334</v>
      </c>
      <c r="B33" s="58" t="s">
        <v>147</v>
      </c>
      <c r="C33" s="60">
        <f>SUMIFS(Janvier!$P$4:$P$750,Janvier!$D$4:$D$750,"Janvier",Janvier!$L$4:$L$750,"Salsifis")</f>
        <v>1</v>
      </c>
      <c r="D33" s="60">
        <f>SUMIFS(Février!$P$4:$P$751,Février!$D$4:$D$751,"Février",Février!$L$4:$L$751,"Salsifis")</f>
        <v>0</v>
      </c>
      <c r="E33" s="60">
        <f>SUMIFS(Mars!$P$4:$P$751,Mars!$D$4:$D$751,"Mars",Mars!$L$4:$L$751,"Salsifis")</f>
        <v>0</v>
      </c>
      <c r="F33" s="60">
        <f>SUMIFS(Avril!$P$4:$P$749,Avril!$D$4:$D$749,"Avril",Avril!$L$4:$L$749,"Salsifis")</f>
        <v>1</v>
      </c>
      <c r="G33" s="60">
        <f>SUMIFS(Mai!$P$4:$P$750,Mai!$D$4:$D$750,"Mai",Mai!$L$4:$L$750,"Salsifis")</f>
        <v>0</v>
      </c>
      <c r="H33" s="60">
        <f>SUMIFS(Juin!$P$4:$P$750,Juin!$D$4:$D$750,"Juin",Juin!$L$4:$L$750,"Salsifis")</f>
        <v>1</v>
      </c>
      <c r="I33" s="60">
        <f>SUMIFS(Juillet!$P$4:$P$750,Juillet!$D$4:$D$750,"Juillet",Juillet!$L$4:$L$750,"Salsifis")</f>
        <v>0</v>
      </c>
      <c r="J33" s="60">
        <f>SUMIFS(Août!$P$4:$P$750,Août!$D$4:$D$750,"Août",Août!$L$4:$L$750,"Salsifis")</f>
        <v>0</v>
      </c>
      <c r="K33" s="60">
        <f>SUMIFS(Septembre!$P$4:$P$750,Septembre!$D$4:$D$750,"Septembre",Septembre!$L$4:$L$750,"Salsifis")</f>
        <v>1</v>
      </c>
      <c r="L33" s="60">
        <f>SUMIFS(Octobre!$P$4:$P$750,Octobre!$D$4:$D$750,"Octobre",Octobre!$L$4:$L$750,"Salsifis")</f>
        <v>0</v>
      </c>
      <c r="M33" s="60">
        <f>SUMIFS(Novembre!$P$4:$P$750,Novembre!$D$4:$D$750,"Novembre",Novembre!$L$4:$L$750,"Salsifis")</f>
        <v>1</v>
      </c>
      <c r="N33" s="60">
        <f>SUMIFS(Décembre!$P$4:$P$750,Décembre!$D$4:$D$750,"Décembre",Décembre!$L$4:$L$750,"Salsifis")</f>
        <v>0</v>
      </c>
      <c r="O33" s="60">
        <f t="shared" si="0"/>
        <v>5</v>
      </c>
    </row>
    <row r="34" spans="1:15" ht="10.199999999999999" customHeight="1" thickTop="1" thickBot="1" x14ac:dyDescent="0.25">
      <c r="A34" s="58" t="s">
        <v>336</v>
      </c>
      <c r="B34" s="58" t="s">
        <v>150</v>
      </c>
      <c r="C34" s="60">
        <f>SUMIFS(Janvier!$P$4:$P$750,Janvier!$D$4:$D$750,"Janvier",Janvier!$L$4:$L$750,"Tomates")</f>
        <v>0</v>
      </c>
      <c r="D34" s="60">
        <f>SUMIFS(Février!$P$4:$P$751,Février!$D$4:$D$751,"Février",Février!$L$4:$L$751,"Tomates")</f>
        <v>0</v>
      </c>
      <c r="E34" s="60">
        <f>SUMIFS(Mars!$P$4:$P$751,Mars!$D$4:$D$751,"Mars",Mars!$L$4:$L$751,"Tomates")</f>
        <v>0</v>
      </c>
      <c r="F34" s="60">
        <f>SUMIFS(Avril!$P$4:$P$749,Avril!$D$4:$D$749,"Avril",Avril!$L$4:$L$749,"Tomates")</f>
        <v>0</v>
      </c>
      <c r="G34" s="60">
        <f>SUMIFS(Mai!$P$4:$P$750,Mai!$D$4:$D$750,"Mai",Mai!$L$4:$L$750,"Tomates")</f>
        <v>0</v>
      </c>
      <c r="H34" s="60">
        <f>SUMIFS(Juin!$P$4:$P$750,Juin!$D$4:$D$750,"Juin",Juin!$L$4:$L$750,"Tomates")</f>
        <v>0</v>
      </c>
      <c r="I34" s="60">
        <f>SUMIFS(Juillet!$P$4:$P$750,Juillet!$D$4:$D$750,"Juillet",Juillet!$L$4:$L$750,"Tomates")</f>
        <v>0</v>
      </c>
      <c r="J34" s="60">
        <f>SUMIFS(Août!$P$4:$P$750,Août!$D$4:$D$750,"Août",Août!$L$4:$L$750,"Tomates")</f>
        <v>0</v>
      </c>
      <c r="K34" s="60">
        <f>SUMIFS(Septembre!$P$4:$P$750,Septembre!$D$4:$D$750,"Septembre",Septembre!$L$4:$L$750,"Tomates")</f>
        <v>0</v>
      </c>
      <c r="L34" s="60">
        <f>SUMIFS(Octobre!$P$4:$P$750,Octobre!$D$4:$D$750,"Octobre",Octobre!$L$4:$L$750,"Tomates")</f>
        <v>0</v>
      </c>
      <c r="M34" s="60">
        <f>SUMIFS(Novembre!$P$4:$P$750,Novembre!$D$4:$D$750,"Novembre",Novembre!$L$4:$L$750,"Tomates")</f>
        <v>0</v>
      </c>
      <c r="N34" s="60">
        <f>SUMIFS(Décembre!$P$4:$P$750,Décembre!$D$4:$D$750,"Décembre",Décembre!$L$4:$L$750,"Tomates")</f>
        <v>0</v>
      </c>
      <c r="O34" s="60">
        <f t="shared" si="0"/>
        <v>0</v>
      </c>
    </row>
    <row r="35" spans="1:15" ht="10.199999999999999" customHeight="1" thickTop="1" thickBot="1" x14ac:dyDescent="0.25">
      <c r="A35" s="58" t="s">
        <v>338</v>
      </c>
      <c r="B35" s="58" t="s">
        <v>153</v>
      </c>
      <c r="C35" s="60">
        <f>SUMIFS(Janvier!$P$4:$P$750,Janvier!$D$4:$D$750,"Janvier",Janvier!$L$4:$L$750,"Pâtes à la sauce tomates")</f>
        <v>15</v>
      </c>
      <c r="D35" s="60">
        <f>SUMIFS(Février!$P$4:$P$751,Février!$D$4:$D$751,"Février",Février!$L$4:$L$751,"Pâtes à la sauce tomates")</f>
        <v>25</v>
      </c>
      <c r="E35" s="60">
        <f>SUMIFS(Mars!$P$4:$P$751,Mars!$D$4:$D$751,"Mars",Mars!$L$4:$L$751,"Pâtes à la sauce tomates")</f>
        <v>20</v>
      </c>
      <c r="F35" s="60">
        <f>SUMIFS(Avril!$P$4:$P$749,Avril!$D$4:$D$749,"Avril",Avril!$L$4:$L$749,"Pâtes à la sauce tomates")</f>
        <v>25</v>
      </c>
      <c r="G35" s="60">
        <f>SUMIFS(Mai!$P$4:$P$750,Mai!$D$4:$D$750,"Mai",Mai!$L$4:$L$750,"Pâtes à la sauce tomates")</f>
        <v>15</v>
      </c>
      <c r="H35" s="60">
        <f>SUMIFS(Juin!$P$4:$P$750,Juin!$D$4:$D$750,"Juin",Juin!$L$4:$L$750,"Pâtes à la sauce tomates")</f>
        <v>15</v>
      </c>
      <c r="I35" s="60">
        <f>SUMIFS(Juillet!$P$4:$P$750,Juillet!$D$4:$D$750,"Juillet",Juillet!$L$4:$L$750,"Pâtes à la sauce tomates")</f>
        <v>15</v>
      </c>
      <c r="J35" s="60">
        <f>SUMIFS(Août!$P$4:$P$750,Août!$D$4:$D$750,"Août",Août!$L$4:$L$750,"Pâtes à la sauce tomates")</f>
        <v>15</v>
      </c>
      <c r="K35" s="60">
        <f>SUMIFS(Septembre!$P$4:$P$750,Septembre!$D$4:$D$750,"Septembre",Septembre!$L$4:$L$750,"Pâtes à la sauce tomates")</f>
        <v>25</v>
      </c>
      <c r="L35" s="60">
        <f>SUMIFS(Octobre!$P$4:$P$750,Octobre!$D$4:$D$750,"Octobre",Octobre!$L$4:$L$750,"Pâtes à la sauce tomates")</f>
        <v>11</v>
      </c>
      <c r="M35" s="60">
        <f>SUMIFS(Novembre!$P$4:$P$750,Novembre!$D$4:$D$750,"Novembre",Novembre!$L$4:$L$750,"Pâtes à la sauce tomates")</f>
        <v>35</v>
      </c>
      <c r="N35" s="60">
        <f>SUMIFS(Décembre!$P$4:$P$750,Décembre!$D$4:$D$750,"Décembre",Décembre!$L$4:$L$750,"Pâtes à la sauce tomates")</f>
        <v>15</v>
      </c>
      <c r="O35" s="60">
        <f t="shared" si="0"/>
        <v>231</v>
      </c>
    </row>
    <row r="36" spans="1:15" ht="10.199999999999999" customHeight="1" thickTop="1" thickBot="1" x14ac:dyDescent="0.25">
      <c r="A36" s="58" t="s">
        <v>340</v>
      </c>
      <c r="B36" s="58" t="s">
        <v>156</v>
      </c>
      <c r="C36" s="60">
        <f>SUMIFS(Janvier!$P$4:$P$750,Janvier!$D$4:$D$750,"Janvier",Janvier!$L$4:$L$750,"Pâtes au beurre")</f>
        <v>15</v>
      </c>
      <c r="D36" s="60">
        <f>SUMIFS(Février!$P$4:$P$751,Février!$D$4:$D$751,"Février",Février!$L$4:$L$751,"Pâtes au beurre")</f>
        <v>15</v>
      </c>
      <c r="E36" s="60">
        <f>SUMIFS(Mars!$P$4:$P$751,Mars!$D$4:$D$751,"Mars",Mars!$L$4:$L$751,"Pâtes au beurre")</f>
        <v>30</v>
      </c>
      <c r="F36" s="60">
        <f>SUMIFS(Avril!$P$4:$P$749,Avril!$D$4:$D$749,"Avril",Avril!$L$4:$L$749,"Pâtes au beurre")</f>
        <v>15</v>
      </c>
      <c r="G36" s="60">
        <f>SUMIFS(Mai!$P$4:$P$750,Mai!$D$4:$D$750,"Mai",Mai!$L$4:$L$750,"Pâtes au beurre")</f>
        <v>25</v>
      </c>
      <c r="H36" s="60">
        <f>SUMIFS(Juin!$P$4:$P$750,Juin!$D$4:$D$750,"Juin",Juin!$L$4:$L$750,"Pâtes au beurre")</f>
        <v>25</v>
      </c>
      <c r="I36" s="60">
        <f>SUMIFS(Juillet!$P$4:$P$750,Juillet!$D$4:$D$750,"Juillet",Juillet!$L$4:$L$750,"Pâtes au beurre")</f>
        <v>16</v>
      </c>
      <c r="J36" s="60">
        <f>SUMIFS(Août!$P$4:$P$750,Août!$D$4:$D$750,"Août",Août!$L$4:$L$750,"Pâtes au beurre")</f>
        <v>15</v>
      </c>
      <c r="K36" s="60">
        <f>SUMIFS(Septembre!$P$4:$P$750,Septembre!$D$4:$D$750,"Septembre",Septembre!$L$4:$L$750,"Pâtes au beurre")</f>
        <v>25</v>
      </c>
      <c r="L36" s="60">
        <f>SUMIFS(Octobre!$P$4:$P$750,Octobre!$D$4:$D$750,"Octobre",Octobre!$L$4:$L$750,"Pâtes au beurre")</f>
        <v>20</v>
      </c>
      <c r="M36" s="60">
        <f>SUMIFS(Novembre!$P$4:$P$750,Novembre!$D$4:$D$750,"Novembre",Novembre!$L$4:$L$750,"Pâtes au beurre")</f>
        <v>15</v>
      </c>
      <c r="N36" s="60">
        <f>SUMIFS(Décembre!$P$4:$P$750,Décembre!$D$4:$D$750,"Décembre",Décembre!$L$4:$L$750,"Pâtes au beurre")</f>
        <v>25</v>
      </c>
      <c r="O36" s="60">
        <f t="shared" si="0"/>
        <v>241</v>
      </c>
    </row>
    <row r="37" spans="1:15" ht="10.199999999999999" customHeight="1" thickTop="1" thickBot="1" x14ac:dyDescent="0.25">
      <c r="A37" s="58" t="s">
        <v>342</v>
      </c>
      <c r="B37" s="58" t="s">
        <v>158</v>
      </c>
      <c r="C37" s="60">
        <f>SUMIFS(Janvier!$P$4:$P$750,Janvier!$D$4:$D$750,"Janvier",Janvier!$L$4:$L$750,"Pâtes au fromage râpé")</f>
        <v>20</v>
      </c>
      <c r="D37" s="60">
        <f>SUMIFS(Février!$P$4:$P$751,Février!$D$4:$D$751,"Février",Février!$L$4:$L$751,"Pâtes au fromage râpé")</f>
        <v>10</v>
      </c>
      <c r="E37" s="60">
        <f>SUMIFS(Mars!$P$4:$P$751,Mars!$D$4:$D$751,"Mars",Mars!$L$4:$L$751,"Pâtes au fromage râpé")</f>
        <v>20</v>
      </c>
      <c r="F37" s="60">
        <f>SUMIFS(Avril!$P$4:$P$749,Avril!$D$4:$D$749,"Avril",Avril!$L$4:$L$749,"Pâtes au fromage râpé")</f>
        <v>10</v>
      </c>
      <c r="G37" s="60">
        <f>SUMIFS(Mai!$P$4:$P$750,Mai!$D$4:$D$750,"Mai",Mai!$L$4:$L$750,"Pâtes au fromage râpé")</f>
        <v>10</v>
      </c>
      <c r="H37" s="60">
        <f>SUMIFS(Juin!$P$4:$P$750,Juin!$D$4:$D$750,"Juin",Juin!$L$4:$L$750,"Pâtes au fromage râpé")</f>
        <v>10</v>
      </c>
      <c r="I37" s="60">
        <f>SUMIFS(Juillet!$P$4:$P$750,Juillet!$D$4:$D$750,"Juillet",Juillet!$L$4:$L$750,"Pâtes au fromage râpé")</f>
        <v>10</v>
      </c>
      <c r="J37" s="60">
        <f>SUMIFS(Août!$P$4:$P$750,Août!$D$4:$D$750,"Août",Août!$L$4:$L$750,"Pâtes au fromage râpé")</f>
        <v>20</v>
      </c>
      <c r="K37" s="60">
        <f>SUMIFS(Septembre!$P$4:$P$750,Septembre!$D$4:$D$750,"Septembre",Septembre!$L$4:$L$750,"Pâtes au fromage râpé")</f>
        <v>10</v>
      </c>
      <c r="L37" s="60">
        <f>SUMIFS(Octobre!$P$4:$P$750,Octobre!$D$4:$D$750,"Octobre",Octobre!$L$4:$L$750,"Pâtes au fromage râpé")</f>
        <v>20</v>
      </c>
      <c r="M37" s="60">
        <f>SUMIFS(Novembre!$P$4:$P$750,Novembre!$D$4:$D$750,"Novembre",Novembre!$L$4:$L$750,"Pâtes au fromage râpé")</f>
        <v>0</v>
      </c>
      <c r="N37" s="60">
        <f>SUMIFS(Décembre!$P$4:$P$750,Décembre!$D$4:$D$750,"Décembre",Décembre!$L$4:$L$750,"Pâtes au fromage râpé")</f>
        <v>20</v>
      </c>
      <c r="O37" s="60">
        <f t="shared" si="0"/>
        <v>160</v>
      </c>
    </row>
    <row r="38" spans="1:15" ht="10.199999999999999" customHeight="1" thickTop="1" thickBot="1" x14ac:dyDescent="0.25">
      <c r="A38" s="58" t="s">
        <v>344</v>
      </c>
      <c r="B38" s="58" t="s">
        <v>160</v>
      </c>
      <c r="C38" s="60">
        <f>SUMIFS(Janvier!$P$4:$P$750,Janvier!$D$4:$D$750,"Janvier",Janvier!$L$4:$L$750,"Chips")</f>
        <v>1</v>
      </c>
      <c r="D38" s="60">
        <f>SUMIFS(Février!$P$4:$P$751,Février!$D$4:$D$751,"Février",Février!$L$4:$L$751,"Chips")</f>
        <v>1</v>
      </c>
      <c r="E38" s="60">
        <f>SUMIFS(Mars!$P$4:$P$751,Mars!$D$4:$D$751,"Mars",Mars!$L$4:$L$751,"Chips")</f>
        <v>2</v>
      </c>
      <c r="F38" s="60">
        <f>SUMIFS(Avril!$P$4:$P$749,Avril!$D$4:$D$749,"Avril",Avril!$L$4:$L$749,"Chips")</f>
        <v>1</v>
      </c>
      <c r="G38" s="60">
        <f>SUMIFS(Mai!$P$4:$P$750,Mai!$D$4:$D$750,"Mai",Mai!$L$4:$L$750,"Chips")</f>
        <v>2</v>
      </c>
      <c r="H38" s="60">
        <f>SUMIFS(Juin!$P$4:$P$750,Juin!$D$4:$D$750,"Juin",Juin!$L$4:$L$750,"Chips")</f>
        <v>10</v>
      </c>
      <c r="I38" s="60">
        <f>SUMIFS(Juillet!$P$4:$P$750,Juillet!$D$4:$D$750,"Juillet",Juillet!$L$4:$L$750,"Chips")</f>
        <v>2</v>
      </c>
      <c r="J38" s="60">
        <f>SUMIFS(Août!$P$4:$P$750,Août!$D$4:$D$750,"Août",Août!$L$4:$L$750,"Chips")</f>
        <v>1</v>
      </c>
      <c r="K38" s="60">
        <f>SUMIFS(Septembre!$P$4:$P$750,Septembre!$D$4:$D$750,"Septembre",Septembre!$L$4:$L$750,"Chips")</f>
        <v>2</v>
      </c>
      <c r="L38" s="60">
        <f>SUMIFS(Octobre!$P$4:$P$750,Octobre!$D$4:$D$750,"Octobre",Octobre!$L$4:$L$750,"Chips")</f>
        <v>1</v>
      </c>
      <c r="M38" s="60">
        <f>SUMIFS(Novembre!$P$4:$P$750,Novembre!$D$4:$D$750,"Novembre",Novembre!$L$4:$L$750,"Chips")</f>
        <v>1</v>
      </c>
      <c r="N38" s="60">
        <f>SUMIFS(Décembre!$P$4:$P$750,Décembre!$D$4:$D$750,"Décembre",Décembre!$L$4:$L$750,"Chips")</f>
        <v>2</v>
      </c>
      <c r="O38" s="60">
        <f t="shared" si="0"/>
        <v>26</v>
      </c>
    </row>
    <row r="39" spans="1:15" ht="10.199999999999999" customHeight="1" thickTop="1" thickBot="1" x14ac:dyDescent="0.25">
      <c r="A39" s="58" t="s">
        <v>346</v>
      </c>
      <c r="B39" s="58" t="s">
        <v>162</v>
      </c>
      <c r="C39" s="60">
        <f>SUMIFS(Janvier!$P$4:$P$750,Janvier!$D$4:$D$750,"Janvier",Janvier!$L$4:$L$750,"Frites")</f>
        <v>40</v>
      </c>
      <c r="D39" s="60">
        <f>SUMIFS(Février!$P$4:$P$751,Février!$D$4:$D$751,"Février",Février!$L$4:$L$751,"Frites")</f>
        <v>20</v>
      </c>
      <c r="E39" s="60">
        <f>SUMIFS(Mars!$P$4:$P$751,Mars!$D$4:$D$751,"Mars",Mars!$L$4:$L$751,"Frites")</f>
        <v>20</v>
      </c>
      <c r="F39" s="60">
        <f>SUMIFS(Avril!$P$4:$P$749,Avril!$D$4:$D$749,"Avril",Avril!$L$4:$L$749,"Frites")</f>
        <v>40</v>
      </c>
      <c r="G39" s="60">
        <f>SUMIFS(Mai!$P$4:$P$750,Mai!$D$4:$D$750,"Mai",Mai!$L$4:$L$750,"Frites")</f>
        <v>20</v>
      </c>
      <c r="H39" s="60">
        <f>SUMIFS(Juin!$P$4:$P$750,Juin!$D$4:$D$750,"Juin",Juin!$L$4:$L$750,"Frites")</f>
        <v>40</v>
      </c>
      <c r="I39" s="60">
        <f>SUMIFS(Juillet!$P$4:$P$750,Juillet!$D$4:$D$750,"Juillet",Juillet!$L$4:$L$750,"Frites")</f>
        <v>20</v>
      </c>
      <c r="J39" s="60">
        <f>SUMIFS(Août!$P$4:$P$750,Août!$D$4:$D$750,"Août",Août!$L$4:$L$750,"Frites")</f>
        <v>40</v>
      </c>
      <c r="K39" s="60">
        <f>SUMIFS(Septembre!$P$4:$P$750,Septembre!$D$4:$D$750,"Septembre",Septembre!$L$4:$L$750,"Frites")</f>
        <v>20</v>
      </c>
      <c r="L39" s="60">
        <f>SUMIFS(Octobre!$P$4:$P$750,Octobre!$D$4:$D$750,"Octobre",Octobre!$L$4:$L$750,"Frites")</f>
        <v>40</v>
      </c>
      <c r="M39" s="60">
        <f>SUMIFS(Novembre!$P$4:$P$750,Novembre!$D$4:$D$750,"Novembre",Novembre!$L$4:$L$750,"Frites")</f>
        <v>20</v>
      </c>
      <c r="N39" s="60">
        <f>SUMIFS(Décembre!$P$4:$P$750,Décembre!$D$4:$D$750,"Décembre",Décembre!$L$4:$L$750,"Frites")</f>
        <v>40</v>
      </c>
      <c r="O39" s="60">
        <f t="shared" si="0"/>
        <v>360</v>
      </c>
    </row>
    <row r="40" spans="1:15" ht="10.199999999999999" customHeight="1" thickTop="1" thickBot="1" x14ac:dyDescent="0.25">
      <c r="A40" s="61" t="s">
        <v>274</v>
      </c>
      <c r="B40" s="61" t="s">
        <v>15</v>
      </c>
      <c r="C40" s="60">
        <f>SUMIFS(Janvier!$V$4:$V$750,Janvier!$D$4:$D$750,"Janvier",Janvier!$R$4:$R$750,"Asperges")</f>
        <v>2</v>
      </c>
      <c r="D40" s="60">
        <f>SUMIFS(Février!$V$4:$V$751,Février!$D$4:$D$751,"Février",Février!$R$4:$R$751,"Asperges")</f>
        <v>1</v>
      </c>
      <c r="E40" s="60">
        <f>SUMIFS(Mars!$V$4:$V$751,Mars!$D$4:$D$751,"Mars",Mars!$R$4:$R$751,"Asperges")</f>
        <v>1</v>
      </c>
      <c r="F40" s="60">
        <f>SUMIFS(Avril!$V$4:$V$749,Avril!$D$4:$D$749,"Avril",Avril!$R$4:$R$749,"Asperges")</f>
        <v>2</v>
      </c>
      <c r="G40" s="60">
        <f>SUMIFS(Mai!$V$4:$V$750,Mai!$D$4:$D$750,"Mai",Mai!$R$4:$R$750,"Asperges")</f>
        <v>1</v>
      </c>
      <c r="H40" s="60">
        <f>SUMIFS(Juin!$V$4:$V$750,Juin!$D$4:$D$750,"Juin",Juin!$R$4:$R$750,"Asperges")</f>
        <v>2</v>
      </c>
      <c r="I40" s="60">
        <f>SUMIFS(Juillet!$V$4:$V$750,Juillet!$D$4:$D$750,"Juillet",Juillet!$R$4:$R$750,"Asperges")</f>
        <v>1</v>
      </c>
      <c r="J40" s="60">
        <f>SUMIFS(Août!$V$4:$V$750,Août!$D$4:$D$750,"Août",Août!$R$4:$R$750,"Asperges")</f>
        <v>2</v>
      </c>
      <c r="K40" s="60">
        <f>SUMIFS(Septembre!$V$4:$V$750,Septembre!$D$4:$D$750,"Septembre",Septembre!$R$4:$R$750,"Asperges")</f>
        <v>1</v>
      </c>
      <c r="L40" s="60">
        <f>SUMIFS(Octobre!$V$4:$V$750,Octobre!$D$4:$D$750,"Octobre",Octobre!$R$4:$R$750,"Asperges")</f>
        <v>2</v>
      </c>
      <c r="M40" s="60">
        <f>SUMIFS(Novembre!$V$4:$V$750,Novembre!$D$4:$D$750,"Novembre",Novembre!$R$4:$R$750,"Asperges")</f>
        <v>1</v>
      </c>
      <c r="N40" s="60">
        <f>SUMIFS(Décembre!$V$4:$V$750,Décembre!$D$4:$D$750,"Décembre",Décembre!$R$4:$R$750,"Asperges")</f>
        <v>2</v>
      </c>
      <c r="O40" s="60">
        <f t="shared" si="0"/>
        <v>18</v>
      </c>
    </row>
    <row r="41" spans="1:15" ht="10.199999999999999" customHeight="1" thickTop="1" thickBot="1" x14ac:dyDescent="0.25">
      <c r="A41" s="61" t="s">
        <v>578</v>
      </c>
      <c r="B41" s="61" t="s">
        <v>15</v>
      </c>
      <c r="C41" s="60">
        <f>$C$24+$C$40</f>
        <v>3</v>
      </c>
      <c r="D41" s="60">
        <f>$D$24+$D$40</f>
        <v>3</v>
      </c>
      <c r="E41" s="60">
        <f>$E$24+$E$40</f>
        <v>2</v>
      </c>
      <c r="F41" s="60">
        <f>$F$24+$F$40</f>
        <v>4</v>
      </c>
      <c r="G41" s="60">
        <f>$G$24+$G$40</f>
        <v>2</v>
      </c>
      <c r="H41" s="60">
        <f>$H$24+$H$40</f>
        <v>3</v>
      </c>
      <c r="I41" s="60">
        <f>$I$24+$I$40</f>
        <v>4</v>
      </c>
      <c r="J41" s="60">
        <f>$J$24+$J$40</f>
        <v>3</v>
      </c>
      <c r="K41" s="60">
        <f>$K$24+$K$40</f>
        <v>3</v>
      </c>
      <c r="L41" s="60">
        <f>$L$24+$L$40</f>
        <v>3</v>
      </c>
      <c r="M41" s="60">
        <f>$M$24+$M$40</f>
        <v>2</v>
      </c>
      <c r="N41" s="60">
        <f>$N$24+$N$40</f>
        <v>4</v>
      </c>
      <c r="O41" s="60">
        <f>$O$24+$O$40</f>
        <v>36</v>
      </c>
    </row>
    <row r="42" spans="1:15" ht="11.4" thickTop="1" thickBot="1" x14ac:dyDescent="0.25">
      <c r="A42" s="70" t="s">
        <v>1359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</row>
    <row r="43" spans="1:15" ht="10.199999999999999" customHeight="1" thickTop="1" x14ac:dyDescent="0.2"/>
  </sheetData>
  <mergeCells count="2">
    <mergeCell ref="A1:O1"/>
    <mergeCell ref="A42:O42"/>
  </mergeCells>
  <printOptions horizontalCentered="1" verticalCentered="1"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QuantitéViandes"/>
  <dimension ref="A1:O44"/>
  <sheetViews>
    <sheetView workbookViewId="0">
      <selection sqref="A1:O1"/>
    </sheetView>
  </sheetViews>
  <sheetFormatPr baseColWidth="10" defaultColWidth="11.07421875" defaultRowHeight="10.199999999999999" x14ac:dyDescent="0.2"/>
  <cols>
    <col min="1" max="1" width="6.84375" style="21" customWidth="1"/>
    <col min="2" max="2" width="12.3828125" style="21" bestFit="1" customWidth="1"/>
    <col min="3" max="10" width="4.4609375" style="21" customWidth="1"/>
    <col min="11" max="11" width="6.23046875" style="21" customWidth="1"/>
    <col min="12" max="12" width="4.61328125" style="21" customWidth="1"/>
    <col min="13" max="14" width="5.84375" style="21" customWidth="1"/>
    <col min="15" max="15" width="5" style="21" customWidth="1"/>
    <col min="16" max="16384" width="11.07421875" style="21"/>
  </cols>
  <sheetData>
    <row r="1" spans="1:15" s="22" customFormat="1" ht="10.199999999999999" customHeight="1" thickTop="1" thickBot="1" x14ac:dyDescent="0.25">
      <c r="A1" s="70" t="s">
        <v>1361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s="22" customFormat="1" ht="10.199999999999999" customHeight="1" thickTop="1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s="22" customFormat="1" ht="10.199999999999999" customHeight="1" thickTop="1" thickBot="1" x14ac:dyDescent="0.25">
      <c r="A3" s="58" t="s">
        <v>527</v>
      </c>
      <c r="B3" s="59" t="s">
        <v>528</v>
      </c>
      <c r="C3" s="59" t="s">
        <v>173</v>
      </c>
      <c r="D3" s="59" t="s">
        <v>174</v>
      </c>
      <c r="E3" s="59" t="s">
        <v>175</v>
      </c>
      <c r="F3" s="59" t="s">
        <v>176</v>
      </c>
      <c r="G3" s="59" t="s">
        <v>177</v>
      </c>
      <c r="H3" s="59" t="s">
        <v>178</v>
      </c>
      <c r="I3" s="59" t="s">
        <v>179</v>
      </c>
      <c r="J3" s="59" t="s">
        <v>180</v>
      </c>
      <c r="K3" s="59" t="s">
        <v>181</v>
      </c>
      <c r="L3" s="59" t="s">
        <v>182</v>
      </c>
      <c r="M3" s="59" t="s">
        <v>168</v>
      </c>
      <c r="N3" s="59" t="s">
        <v>169</v>
      </c>
      <c r="O3" s="59" t="s">
        <v>576</v>
      </c>
    </row>
    <row r="4" spans="1:15" ht="11.4" thickTop="1" thickBot="1" x14ac:dyDescent="0.25">
      <c r="A4" s="58" t="s">
        <v>384</v>
      </c>
      <c r="B4" s="58" t="s">
        <v>17</v>
      </c>
      <c r="C4" s="60">
        <f>SUMIFS(Janvier!$AB$4:$AB$750,Janvier!$D$4:$D$750,"Janvier",Janvier!$X$4:$X$750,"Bifteck haché de bœuf")</f>
        <v>2</v>
      </c>
      <c r="D4" s="60">
        <f>SUMIFS(Février!$AB$4:$AB$751,Février!$D$4:$D$751,"Février",Février!$X$4:$X$751,"Bifteck haché de bœuf")</f>
        <v>0</v>
      </c>
      <c r="E4" s="60">
        <f>SUMIFS(Mars!$AB$4:$AB$751,Mars!$D$4:$D$751,"Mars",Mars!$X$4:$X$751,"Bifteck haché de bœuf")</f>
        <v>0</v>
      </c>
      <c r="F4" s="60">
        <f>SUMIFS(Avril!$AB$4:$AB$749,Avril!$D$4:$D$749,"Avril",Avril!$X$4:$X$749,"Bifteck haché de bœuf")</f>
        <v>2</v>
      </c>
      <c r="G4" s="60">
        <f>SUMIFS(Mai!$AB$4:$AB$750,Mai!$D$4:$D$750,"Mai",Mai!$X$4:$X$750,"Bifteck haché de bœuf")</f>
        <v>0</v>
      </c>
      <c r="H4" s="60">
        <f>SUMIFS(Juin!$AB$4:$AB$750,Juin!$D$4:$D$750,"Juin",Juin!$X$4:$X$750,"Bifteck haché de bœuf")</f>
        <v>0</v>
      </c>
      <c r="I4" s="60">
        <f>SUMIFS(Juillet!$AB$4:$AB$750,Juillet!$D$4:$D$750,"Juillet",Juillet!$X$4:$X$750,"Bifteck haché de bœuf")</f>
        <v>133</v>
      </c>
      <c r="J4" s="60">
        <f>SUMIFS(Août!$AB$4:$AB$750,Août!$D$4:$D$750,"Août",Août!$X$4:$X$750,"Bifteck haché de bœuf")</f>
        <v>1</v>
      </c>
      <c r="K4" s="60">
        <f>SUMIFS(Septembre!$AB$4:$AB$750,Septembre!$D$4:$D$750,"Septembre",Septembre!$X$4:$X$750,"Bifteck haché de bœuf")</f>
        <v>0</v>
      </c>
      <c r="L4" s="60">
        <f>SUMIFS(Octobre!$AB$4:$AB$750,Octobre!$D$4:$D$750,"Octobre",Octobre!$X$4:$X$750,"Bifteck haché de bœuf")</f>
        <v>0</v>
      </c>
      <c r="M4" s="60">
        <f>SUMIFS(Novembre!$AB$4:$AB$750,Novembre!$D$4:$D$750,"Novembre",Novembre!$X$4:$X$750,"Bifteck haché de bœuf")</f>
        <v>2</v>
      </c>
      <c r="N4" s="60">
        <f>SUMIFS(Décembre!$AB$4:$AB$750,Décembre!$D$4:$D$750,"Décembre",Décembre!$X$4:$X$750,"Bifteck haché de bœuf")</f>
        <v>0</v>
      </c>
      <c r="O4" s="60">
        <f>SUM($C4:$N4)</f>
        <v>140</v>
      </c>
    </row>
    <row r="5" spans="1:15" ht="11.4" thickTop="1" thickBot="1" x14ac:dyDescent="0.25">
      <c r="A5" s="58" t="s">
        <v>386</v>
      </c>
      <c r="B5" s="58" t="s">
        <v>24</v>
      </c>
      <c r="C5" s="60">
        <f>SUMIFS(Janvier!$AB$4:$AB$750,Janvier!$D$4:$D$750,"Janvier",Janvier!$X$4:$X$750,"Bifteck haché de cheval")</f>
        <v>125</v>
      </c>
      <c r="D5" s="60">
        <f>SUMIFS(Février!$AB$4:$AB$751,Février!$D$4:$D$751,"Février",Février!$X$4:$X$751,"Bifteck haché de cheval")</f>
        <v>0</v>
      </c>
      <c r="E5" s="60">
        <f>SUMIFS(Mars!$AB$4:$AB$751,Mars!$D$4:$D$751,"Mars",Mars!$X$4:$X$751,"Bifteck haché de cheval")</f>
        <v>0</v>
      </c>
      <c r="F5" s="60">
        <f>SUMIFS(Avril!$AB$4:$AB$749,Avril!$D$4:$D$749,"Avril",Avril!$X$4:$X$749,"Bifteck haché de cheval")</f>
        <v>125</v>
      </c>
      <c r="G5" s="60">
        <f>SUMIFS(Mai!$AB$4:$AB$750,Mai!$D$4:$D$750,"Mai",Mai!$X$4:$X$750,"Bifteck haché de cheval")</f>
        <v>0</v>
      </c>
      <c r="H5" s="60">
        <f>SUMIFS(Juin!$AB$4:$AB$750,Juin!$D$4:$D$750,"Juin",Juin!$X$4:$X$750,"Bifteck haché de cheval")</f>
        <v>0</v>
      </c>
      <c r="I5" s="60">
        <f>SUMIFS(Juillet!$AB$4:$AB$750,Juillet!$D$4:$D$750,"Juillet",Juillet!$X$4:$X$750,"Bifteck haché de cheval")</f>
        <v>0</v>
      </c>
      <c r="J5" s="60">
        <f>SUMIFS(Août!$AB$4:$AB$750,Août!$D$4:$D$750,"Août",Août!$X$4:$X$750,"Bifteck haché de cheval")</f>
        <v>125</v>
      </c>
      <c r="K5" s="60">
        <f>SUMIFS(Septembre!$AB$4:$AB$750,Septembre!$D$4:$D$750,"Septembre",Septembre!$X$4:$X$750,"Bifteck haché de cheval")</f>
        <v>0</v>
      </c>
      <c r="L5" s="60">
        <f>SUMIFS(Octobre!$AB$4:$AB$750,Octobre!$D$4:$D$750,"Octobre",Octobre!$X$4:$X$750,"Bifteck haché de cheval")</f>
        <v>0</v>
      </c>
      <c r="M5" s="60">
        <f>SUMIFS(Novembre!$AB$4:$AB$750,Novembre!$D$4:$D$750,"Novembre",Novembre!$X$4:$X$750,"Bifteck haché de cheval")</f>
        <v>125</v>
      </c>
      <c r="N5" s="60">
        <f>SUMIFS(Décembre!$AB$4:$AB$750,Décembre!$D$4:$D$750,"Décembre",Décembre!$X$4:$X$750,"Bifteck haché de cheval")</f>
        <v>0</v>
      </c>
      <c r="O5" s="60">
        <f t="shared" ref="O5:O42" si="0">SUM($C5:$N5)</f>
        <v>500</v>
      </c>
    </row>
    <row r="6" spans="1:15" ht="11.4" thickTop="1" thickBot="1" x14ac:dyDescent="0.25">
      <c r="A6" s="58" t="s">
        <v>388</v>
      </c>
      <c r="B6" s="58" t="s">
        <v>31</v>
      </c>
      <c r="C6" s="60">
        <f>SUMIFS(Janvier!$AB$4:$AB$750,Janvier!$D$4:$D$750,"Janvier",Janvier!$X$4:$X$750,"Bifteck haché de veau")</f>
        <v>2</v>
      </c>
      <c r="D6" s="60">
        <f>SUMIFS(Février!$AB$4:$AB$751,Février!$D$4:$D$751,"Février",Février!$X$4:$X$751,"Bifteck haché de veau")</f>
        <v>0</v>
      </c>
      <c r="E6" s="60">
        <f>SUMIFS(Mars!$AB$4:$AB$751,Mars!$D$4:$D$751,"Mars",Mars!$X$4:$X$751,"Bifteck haché de veau")</f>
        <v>0</v>
      </c>
      <c r="F6" s="60">
        <f>SUMIFS(Avril!$AB$4:$AB$749,Avril!$D$4:$D$749,"Avril",Avril!$X$4:$X$749,"Bifteck haché de veau")</f>
        <v>0</v>
      </c>
      <c r="G6" s="60">
        <f>SUMIFS(Mai!$AB$4:$AB$750,Mai!$D$4:$D$750,"Mai",Mai!$X$4:$X$750,"Bifteck haché de veau")</f>
        <v>2</v>
      </c>
      <c r="H6" s="60">
        <f>SUMIFS(Juin!$AB$4:$AB$750,Juin!$D$4:$D$750,"Juin",Juin!$X$4:$X$750,"Bifteck haché de veau")</f>
        <v>0</v>
      </c>
      <c r="I6" s="60">
        <f>SUMIFS(Juillet!$AB$4:$AB$750,Juillet!$D$4:$D$750,"Juillet",Juillet!$X$4:$X$750,"Bifteck haché de veau")</f>
        <v>0</v>
      </c>
      <c r="J6" s="60">
        <f>SUMIFS(Août!$AB$4:$AB$750,Août!$D$4:$D$750,"Août",Août!$X$4:$X$750,"Bifteck haché de veau")</f>
        <v>2</v>
      </c>
      <c r="K6" s="60">
        <f>SUMIFS(Septembre!$AB$4:$AB$750,Septembre!$D$4:$D$750,"Septembre",Septembre!$X$4:$X$750,"Bifteck haché de veau")</f>
        <v>0</v>
      </c>
      <c r="L6" s="60">
        <f>SUMIFS(Octobre!$AB$4:$AB$750,Octobre!$D$4:$D$750,"Octobre",Octobre!$X$4:$X$750,"Bifteck haché de veau")</f>
        <v>0</v>
      </c>
      <c r="M6" s="60">
        <f>SUMIFS(Novembre!$AB$4:$AB$750,Novembre!$D$4:$D$750,"Novembre",Novembre!$X$4:$X$750,"Bifteck haché de veau")</f>
        <v>2</v>
      </c>
      <c r="N6" s="60">
        <f>SUMIFS(Décembre!$AB$4:$AB$750,Décembre!$D$4:$D$750,"Décembre",Décembre!$X$4:$X$750,"Bifteck haché de veau")</f>
        <v>0</v>
      </c>
      <c r="O6" s="60">
        <f t="shared" si="0"/>
        <v>8</v>
      </c>
    </row>
    <row r="7" spans="1:15" ht="11.4" thickTop="1" thickBot="1" x14ac:dyDescent="0.25">
      <c r="A7" s="58" t="s">
        <v>390</v>
      </c>
      <c r="B7" s="58" t="s">
        <v>37</v>
      </c>
      <c r="C7" s="60">
        <f>SUMIFS(Janvier!$AB$4:$AB$750,Janvier!$D$4:$D$750,"Janvier",Janvier!$X$4:$X$750,"Bouchée à la reine")</f>
        <v>2</v>
      </c>
      <c r="D7" s="60">
        <f>SUMIFS(Février!$AB$4:$AB$751,Février!$D$4:$D$751,"Février",Février!$X$4:$X$751,"Bouchée à la reine")</f>
        <v>0</v>
      </c>
      <c r="E7" s="60">
        <f>SUMIFS(Mars!$AB$4:$AB$751,Mars!$D$4:$D$751,"Mars",Mars!$X$4:$X$751,"Bouchée à la reine")</f>
        <v>0</v>
      </c>
      <c r="F7" s="60">
        <f>SUMIFS(Avril!$AB$4:$AB$749,Avril!$D$4:$D$749,"Avril",Avril!$X$4:$X$749,"Bouchée à la reine")</f>
        <v>0</v>
      </c>
      <c r="G7" s="60">
        <f>SUMIFS(Mai!$AB$4:$AB$750,Mai!$D$4:$D$750,"Mai",Mai!$X$4:$X$750,"Bouchée à la reine")</f>
        <v>2</v>
      </c>
      <c r="H7" s="60">
        <f>SUMIFS(Juin!$AB$4:$AB$750,Juin!$D$4:$D$750,"Juin",Juin!$X$4:$X$750,"Bouchée à la reine")</f>
        <v>0</v>
      </c>
      <c r="I7" s="60">
        <f>SUMIFS(Juillet!$AB$4:$AB$750,Juillet!$D$4:$D$750,"Juillet",Juillet!$X$4:$X$750,"Bouchée à la reine")</f>
        <v>0</v>
      </c>
      <c r="J7" s="60">
        <f>SUMIFS(Août!$AB$4:$AB$750,Août!$D$4:$D$750,"Août",Août!$X$4:$X$750,"Bouchée à la reine")</f>
        <v>2</v>
      </c>
      <c r="K7" s="60">
        <f>SUMIFS(Septembre!$AB$4:$AB$750,Septembre!$D$4:$D$750,"Septembre",Septembre!$X$4:$X$750,"Bouchée à la reine")</f>
        <v>0</v>
      </c>
      <c r="L7" s="60">
        <f>SUMIFS(Octobre!$AB$4:$AB$750,Octobre!$D$4:$D$750,"Octobre",Octobre!$X$4:$X$750,"Bouchée à la reine")</f>
        <v>0</v>
      </c>
      <c r="M7" s="60">
        <f>SUMIFS(Novembre!$AB$4:$AB$750,Novembre!$D$4:$D$750,"Novembre",Novembre!$X$4:$X$750,"Bouchée à la reine")</f>
        <v>2</v>
      </c>
      <c r="N7" s="60">
        <f>SUMIFS(Décembre!$AB$4:$AB$750,Décembre!$D$4:$D$750,"Décembre",Décembre!$X$4:$X$750,"Bouchée à la reine")</f>
        <v>0</v>
      </c>
      <c r="O7" s="60">
        <f t="shared" si="0"/>
        <v>8</v>
      </c>
    </row>
    <row r="8" spans="1:15" ht="12.75" thickTop="1" thickBot="1" x14ac:dyDescent="0.25">
      <c r="A8" s="58" t="s">
        <v>392</v>
      </c>
      <c r="B8" s="58" t="s">
        <v>43</v>
      </c>
      <c r="C8" s="60">
        <f>SUMIFS(Janvier!$AB$4:$AB$750,Janvier!$D$4:$D$750,"Janvier",Janvier!$X$4:$X$750,"Boudin")</f>
        <v>0</v>
      </c>
      <c r="D8" s="60">
        <f>SUMIFS(Février!$AB$4:$AB$751,Février!$D$4:$D$751,"Février",Février!$X$4:$X$751,"Boudin")</f>
        <v>1</v>
      </c>
      <c r="E8" s="60">
        <f>SUMIFS(Mars!$AB$4:$AB$751,Mars!$D$4:$D$751,"Mars",Mars!$X$4:$X$751,"Boudin")</f>
        <v>0</v>
      </c>
      <c r="F8" s="60">
        <f>SUMIFS(Avril!$AB$4:$AB$749,Avril!$D$4:$D$749,"Avril",Avril!$X$4:$X$749,"Boudin")</f>
        <v>0</v>
      </c>
      <c r="G8" s="60">
        <f>SUMIFS(Mai!$AB$4:$AB$750,Mai!$D$4:$D$750,"Mai",Mai!$X$4:$X$750,"Boudin")</f>
        <v>1</v>
      </c>
      <c r="H8" s="60">
        <f>SUMIFS(Juin!$AB$4:$AB$750,Juin!$D$4:$D$750,"Juin",Juin!$X$4:$X$750,"Boudin")</f>
        <v>0</v>
      </c>
      <c r="I8" s="60">
        <f>SUMIFS(Juillet!$AB$4:$AB$750,Juillet!$D$4:$D$750,"Juillet",Juillet!$X$4:$X$750,"Boudin")</f>
        <v>0</v>
      </c>
      <c r="J8" s="60">
        <f>SUMIFS(Août!$AB$4:$AB$750,Août!$D$4:$D$750,"Août",Août!$X$4:$X$750,"Boudin")</f>
        <v>1</v>
      </c>
      <c r="K8" s="60">
        <f>SUMIFS(Septembre!$AB$4:$AB$750,Septembre!$D$4:$D$750,"Septembre",Septembre!$X$4:$X$750,"Boudin")</f>
        <v>0</v>
      </c>
      <c r="L8" s="60">
        <f>SUMIFS(Octobre!$AB$4:$AB$750,Octobre!$D$4:$D$750,"Octobre",Octobre!$X$4:$X$750,"Boudin")</f>
        <v>0</v>
      </c>
      <c r="M8" s="60">
        <f>SUMIFS(Novembre!$AB$4:$AB$750,Novembre!$D$4:$D$750,"Novembre",Novembre!$X$4:$X$750,"Boudin")</f>
        <v>1</v>
      </c>
      <c r="N8" s="60">
        <f>SUMIFS(Décembre!$AB$4:$AB$750,Décembre!$D$4:$D$750,"Décembre",Décembre!$X$4:$X$750,"Boudin")</f>
        <v>0</v>
      </c>
      <c r="O8" s="60">
        <f t="shared" si="0"/>
        <v>4</v>
      </c>
    </row>
    <row r="9" spans="1:15" ht="12.75" thickTop="1" thickBot="1" x14ac:dyDescent="0.25">
      <c r="A9" s="58" t="s">
        <v>394</v>
      </c>
      <c r="B9" s="58" t="s">
        <v>49</v>
      </c>
      <c r="C9" s="60">
        <f>SUMIFS(Janvier!$AB$4:$AB$750,Janvier!$D$4:$D$750,"Janvier",Janvier!$X$4:$X$750,"Cervelas")</f>
        <v>0</v>
      </c>
      <c r="D9" s="60">
        <f>SUMIFS(Février!$AB$4:$AB$751,Février!$D$4:$D$751,"Février",Février!$X$4:$X$751,"Cervelas")</f>
        <v>1</v>
      </c>
      <c r="E9" s="60">
        <f>SUMIFS(Mars!$AB$4:$AB$751,Mars!$D$4:$D$751,"Mars",Mars!$X$4:$X$751,"Cervelas")</f>
        <v>0</v>
      </c>
      <c r="F9" s="60">
        <f>SUMIFS(Avril!$AB$4:$AB$749,Avril!$D$4:$D$749,"Avril",Avril!$X$4:$X$749,"Cervelas")</f>
        <v>0</v>
      </c>
      <c r="G9" s="60">
        <f>SUMIFS(Mai!$AB$4:$AB$750,Mai!$D$4:$D$750,"Mai",Mai!$X$4:$X$750,"Cervelas")</f>
        <v>1</v>
      </c>
      <c r="H9" s="60">
        <f>SUMIFS(Juin!$AB$4:$AB$750,Juin!$D$4:$D$750,"Juin",Juin!$X$4:$X$750,"Cervelas")</f>
        <v>0</v>
      </c>
      <c r="I9" s="60">
        <f>SUMIFS(Juillet!$AB$4:$AB$750,Juillet!$D$4:$D$750,"Juillet",Juillet!$X$4:$X$750,"Cervelas")</f>
        <v>0</v>
      </c>
      <c r="J9" s="60">
        <f>SUMIFS(Août!$AB$4:$AB$750,Août!$D$4:$D$750,"Août",Août!$X$4:$X$750,"Cervelas")</f>
        <v>1</v>
      </c>
      <c r="K9" s="60">
        <f>SUMIFS(Septembre!$AB$4:$AB$750,Septembre!$D$4:$D$750,"Septembre",Septembre!$X$4:$X$750,"Cervelas")</f>
        <v>0</v>
      </c>
      <c r="L9" s="60">
        <f>SUMIFS(Octobre!$AB$4:$AB$750,Octobre!$D$4:$D$750,"Octobre",Octobre!$X$4:$X$750,"Cervelas")</f>
        <v>0</v>
      </c>
      <c r="M9" s="60">
        <f>SUMIFS(Novembre!$AB$4:$AB$750,Novembre!$D$4:$D$750,"Novembre",Novembre!$X$4:$X$750,"Cervelas")</f>
        <v>1</v>
      </c>
      <c r="N9" s="60">
        <f>SUMIFS(Décembre!$AB$4:$AB$750,Décembre!$D$4:$D$750,"Décembre",Décembre!$X$4:$X$750,"Cervelas")</f>
        <v>0</v>
      </c>
      <c r="O9" s="60">
        <f t="shared" si="0"/>
        <v>4</v>
      </c>
    </row>
    <row r="10" spans="1:15" ht="11.4" thickTop="1" thickBot="1" x14ac:dyDescent="0.25">
      <c r="A10" s="58" t="s">
        <v>396</v>
      </c>
      <c r="B10" s="58" t="s">
        <v>54</v>
      </c>
      <c r="C10" s="60">
        <f>SUMIFS(Janvier!$AB$4:$AB$750,Janvier!$D$4:$D$750,"Janvier",Janvier!$X$4:$X$750,"Cœur")</f>
        <v>0</v>
      </c>
      <c r="D10" s="60">
        <f>SUMIFS(Février!$AB$4:$AB$751,Février!$D$4:$D$751,"Février",Février!$X$4:$X$751,"Cœur")</f>
        <v>2</v>
      </c>
      <c r="E10" s="60">
        <f>SUMIFS(Mars!$AB$4:$AB$751,Mars!$D$4:$D$751,"Mars",Mars!$X$4:$X$751,"Cœur")</f>
        <v>0</v>
      </c>
      <c r="F10" s="60">
        <f>SUMIFS(Avril!$AB$4:$AB$749,Avril!$D$4:$D$749,"Avril",Avril!$X$4:$X$749,"Cœur")</f>
        <v>0</v>
      </c>
      <c r="G10" s="60">
        <f>SUMIFS(Mai!$AB$4:$AB$750,Mai!$D$4:$D$750,"Mai",Mai!$X$4:$X$750,"Cœur")</f>
        <v>2</v>
      </c>
      <c r="H10" s="60">
        <f>SUMIFS(Juin!$AB$4:$AB$750,Juin!$D$4:$D$750,"Juin",Juin!$X$4:$X$750,"Cœur")</f>
        <v>0</v>
      </c>
      <c r="I10" s="60">
        <f>SUMIFS(Juillet!$AB$4:$AB$750,Juillet!$D$4:$D$750,"Juillet",Juillet!$X$4:$X$750,"Cœur")</f>
        <v>0</v>
      </c>
      <c r="J10" s="60">
        <f>SUMIFS(Août!$AB$4:$AB$750,Août!$D$4:$D$750,"Août",Août!$X$4:$X$750,"Cœur")</f>
        <v>2</v>
      </c>
      <c r="K10" s="60">
        <f>SUMIFS(Septembre!$AB$4:$AB$750,Septembre!$D$4:$D$750,"Septembre",Septembre!$X$4:$X$750,"Cœur")</f>
        <v>0</v>
      </c>
      <c r="L10" s="60">
        <f>SUMIFS(Octobre!$AB$4:$AB$750,Octobre!$D$4:$D$750,"Octobre",Octobre!$X$4:$X$750,"Cœur")</f>
        <v>0</v>
      </c>
      <c r="M10" s="60">
        <f>SUMIFS(Novembre!$AB$4:$AB$750,Novembre!$D$4:$D$750,"Novembre",Novembre!$X$4:$X$750,"Cœur")</f>
        <v>2</v>
      </c>
      <c r="N10" s="60">
        <f>SUMIFS(Décembre!$AB$4:$AB$750,Décembre!$D$4:$D$750,"Décembre",Décembre!$X$4:$X$750,"Cœur")</f>
        <v>0</v>
      </c>
      <c r="O10" s="60">
        <f t="shared" si="0"/>
        <v>8</v>
      </c>
    </row>
    <row r="11" spans="1:15" ht="12.75" thickTop="1" thickBot="1" x14ac:dyDescent="0.25">
      <c r="A11" s="58" t="s">
        <v>398</v>
      </c>
      <c r="B11" s="58" t="s">
        <v>60</v>
      </c>
      <c r="C11" s="60">
        <f>SUMIFS(Janvier!$AB$4:$AB$750,Janvier!$D$4:$D$750,"Janvier",Janvier!$X$4:$X$750,"Croque-monsieur")</f>
        <v>0</v>
      </c>
      <c r="D11" s="60">
        <f>SUMIFS(Février!$AB$4:$AB$751,Février!$D$4:$D$751,"Février",Février!$X$4:$X$751,"Croque-monsieur")</f>
        <v>2</v>
      </c>
      <c r="E11" s="60">
        <f>SUMIFS(Mars!$AB$4:$AB$751,Mars!$D$4:$D$751,"Mars",Mars!$X$4:$X$751,"Croque-monsieur")</f>
        <v>0</v>
      </c>
      <c r="F11" s="60">
        <f>SUMIFS(Avril!$AB$4:$AB$749,Avril!$D$4:$D$749,"Avril",Avril!$X$4:$X$749,"Croque-monsieur")</f>
        <v>0</v>
      </c>
      <c r="G11" s="60">
        <f>SUMIFS(Mai!$AB$4:$AB$750,Mai!$D$4:$D$750,"Mai",Mai!$X$4:$X$750,"Croque-monsieur")</f>
        <v>2</v>
      </c>
      <c r="H11" s="60">
        <f>SUMIFS(Juin!$AB$4:$AB$750,Juin!$D$4:$D$750,"Juin",Juin!$X$4:$X$750,"Croque-monsieur")</f>
        <v>0</v>
      </c>
      <c r="I11" s="60">
        <f>SUMIFS(Juillet!$AB$4:$AB$750,Juillet!$D$4:$D$750,"Juillet",Juillet!$X$4:$X$750,"Croque-monsieur")</f>
        <v>0</v>
      </c>
      <c r="J11" s="60">
        <f>SUMIFS(Août!$AB$4:$AB$750,Août!$D$4:$D$750,"Août",Août!$X$4:$X$750,"Croque-monsieur")</f>
        <v>2</v>
      </c>
      <c r="K11" s="60">
        <f>SUMIFS(Septembre!$AB$4:$AB$750,Septembre!$D$4:$D$750,"Septembre",Septembre!$X$4:$X$750,"Croque-monsieur")</f>
        <v>0</v>
      </c>
      <c r="L11" s="60">
        <f>SUMIFS(Octobre!$AB$4:$AB$750,Octobre!$D$4:$D$750,"Octobre",Octobre!$X$4:$X$750,"Croque-monsieur")</f>
        <v>0</v>
      </c>
      <c r="M11" s="60">
        <f>SUMIFS(Novembre!$AB$4:$AB$750,Novembre!$D$4:$D$750,"Novembre",Novembre!$X$4:$X$750,"Croque-monsieur")</f>
        <v>0</v>
      </c>
      <c r="N11" s="60">
        <f>SUMIFS(Décembre!$AB$4:$AB$750,Décembre!$D$4:$D$750,"Décembre",Décembre!$X$4:$X$750,"Croque-monsieur")</f>
        <v>2</v>
      </c>
      <c r="O11" s="60">
        <f t="shared" si="0"/>
        <v>8</v>
      </c>
    </row>
    <row r="12" spans="1:15" ht="12.75" thickTop="1" thickBot="1" x14ac:dyDescent="0.25">
      <c r="A12" s="58" t="s">
        <v>400</v>
      </c>
      <c r="B12" s="58" t="s">
        <v>66</v>
      </c>
      <c r="C12" s="60">
        <f>SUMIFS(Janvier!$AB$4:$AB$750,Janvier!$D$4:$D$750,"Janvier",Janvier!$X$4:$X$750,"Foie")</f>
        <v>0</v>
      </c>
      <c r="D12" s="60">
        <f>SUMIFS(Février!$AB$4:$AB$751,Février!$D$4:$D$751,"Février",Février!$X$4:$X$751,"Foie")</f>
        <v>2</v>
      </c>
      <c r="E12" s="60">
        <f>SUMIFS(Mars!$AB$4:$AB$751,Mars!$D$4:$D$751,"Mars",Mars!$X$4:$X$751,"Foie")</f>
        <v>0</v>
      </c>
      <c r="F12" s="60">
        <f>SUMIFS(Avril!$AB$4:$AB$749,Avril!$D$4:$D$749,"Avril",Avril!$X$4:$X$749,"Foie")</f>
        <v>0</v>
      </c>
      <c r="G12" s="60">
        <f>SUMIFS(Mai!$AB$4:$AB$750,Mai!$D$4:$D$750,"Mai",Mai!$X$4:$X$750,"Foie")</f>
        <v>2</v>
      </c>
      <c r="H12" s="60">
        <f>SUMIFS(Juin!$AB$4:$AB$750,Juin!$D$4:$D$750,"Juin",Juin!$X$4:$X$750,"Foie")</f>
        <v>0</v>
      </c>
      <c r="I12" s="60">
        <f>SUMIFS(Juillet!$AB$4:$AB$750,Juillet!$D$4:$D$750,"Juillet",Juillet!$X$4:$X$750,"Foie")</f>
        <v>0</v>
      </c>
      <c r="J12" s="60">
        <f>SUMIFS(Août!$AB$4:$AB$750,Août!$D$4:$D$750,"Août",Août!$X$4:$X$750,"Foie")</f>
        <v>1</v>
      </c>
      <c r="K12" s="60">
        <f>SUMIFS(Septembre!$AB$4:$AB$750,Septembre!$D$4:$D$750,"Septembre",Septembre!$X$4:$X$750,"Foie")</f>
        <v>1</v>
      </c>
      <c r="L12" s="60">
        <f>SUMIFS(Octobre!$AB$4:$AB$750,Octobre!$D$4:$D$750,"Octobre",Octobre!$X$4:$X$750,"Foie")</f>
        <v>0</v>
      </c>
      <c r="M12" s="60">
        <f>SUMIFS(Novembre!$AB$4:$AB$750,Novembre!$D$4:$D$750,"Novembre",Novembre!$X$4:$X$750,"Foie")</f>
        <v>0</v>
      </c>
      <c r="N12" s="60">
        <f>SUMIFS(Décembre!$AB$4:$AB$750,Décembre!$D$4:$D$750,"Décembre",Décembre!$X$4:$X$750,"Foie")</f>
        <v>2</v>
      </c>
      <c r="O12" s="60">
        <f t="shared" si="0"/>
        <v>8</v>
      </c>
    </row>
    <row r="13" spans="1:15" ht="11.4" thickTop="1" thickBot="1" x14ac:dyDescent="0.25">
      <c r="A13" s="58" t="s">
        <v>402</v>
      </c>
      <c r="B13" s="58" t="s">
        <v>72</v>
      </c>
      <c r="C13" s="60">
        <f>SUMIFS(Janvier!$AB$4:$AB$750,Janvier!$D$4:$D$750,"Janvier",Janvier!$X$4:$X$750,"Fromage de tête")</f>
        <v>0</v>
      </c>
      <c r="D13" s="60">
        <f>SUMIFS(Février!$AB$4:$AB$751,Février!$D$4:$D$751,"Février",Février!$X$4:$X$751,"Fromage de tête")</f>
        <v>1</v>
      </c>
      <c r="E13" s="60">
        <f>SUMIFS(Mars!$AB$4:$AB$751,Mars!$D$4:$D$751,"Mars",Mars!$X$4:$X$751,"Fromage de tête")</f>
        <v>0</v>
      </c>
      <c r="F13" s="60">
        <f>SUMIFS(Avril!$AB$4:$AB$749,Avril!$D$4:$D$749,"Avril",Avril!$X$4:$X$749,"Fromage de tête")</f>
        <v>0</v>
      </c>
      <c r="G13" s="60">
        <f>SUMIFS(Mai!$AB$4:$AB$750,Mai!$D$4:$D$750,"Mai",Mai!$X$4:$X$750,"Fromage de tête")</f>
        <v>0.5</v>
      </c>
      <c r="H13" s="60">
        <f>SUMIFS(Juin!$AB$4:$AB$750,Juin!$D$4:$D$750,"Juin",Juin!$X$4:$X$750,"Fromage de tête")</f>
        <v>0.5</v>
      </c>
      <c r="I13" s="60">
        <f>SUMIFS(Juillet!$AB$4:$AB$750,Juillet!$D$4:$D$750,"Juillet",Juillet!$X$4:$X$750,"Fromage de tête")</f>
        <v>0</v>
      </c>
      <c r="J13" s="60">
        <f>SUMIFS(Août!$AB$4:$AB$750,Août!$D$4:$D$750,"Août",Août!$X$4:$X$750,"Fromage de tête")</f>
        <v>0</v>
      </c>
      <c r="K13" s="60">
        <f>SUMIFS(Septembre!$AB$4:$AB$750,Septembre!$D$4:$D$750,"Septembre",Septembre!$X$4:$X$750,"Fromage de tête")</f>
        <v>1</v>
      </c>
      <c r="L13" s="60">
        <f>SUMIFS(Octobre!$AB$4:$AB$750,Octobre!$D$4:$D$750,"Octobre",Octobre!$X$4:$X$750,"Fromage de tête")</f>
        <v>0</v>
      </c>
      <c r="M13" s="60">
        <f>SUMIFS(Novembre!$AB$4:$AB$750,Novembre!$D$4:$D$750,"Novembre",Novembre!$X$4:$X$750,"Fromage de tête")</f>
        <v>0</v>
      </c>
      <c r="N13" s="60">
        <f>SUMIFS(Décembre!$AB$4:$AB$750,Décembre!$D$4:$D$750,"Décembre",Décembre!$X$4:$X$750,"Fromage de tête")</f>
        <v>1</v>
      </c>
      <c r="O13" s="60">
        <f t="shared" si="0"/>
        <v>4</v>
      </c>
    </row>
    <row r="14" spans="1:15" ht="12.75" thickTop="1" thickBot="1" x14ac:dyDescent="0.25">
      <c r="A14" s="58" t="s">
        <v>404</v>
      </c>
      <c r="B14" s="58" t="s">
        <v>78</v>
      </c>
      <c r="C14" s="60">
        <f>SUMIFS(Janvier!$AB$4:$AB$750,Janvier!$D$4:$D$750,"Janvier",Janvier!$X$4:$X$750,"Jambon")</f>
        <v>0</v>
      </c>
      <c r="D14" s="60">
        <f>SUMIFS(Février!$AB$4:$AB$751,Février!$D$4:$D$751,"Février",Février!$X$4:$X$751,"Jambon")</f>
        <v>0.5</v>
      </c>
      <c r="E14" s="60">
        <f>SUMIFS(Mars!$AB$4:$AB$751,Mars!$D$4:$D$751,"Mars",Mars!$X$4:$X$751,"Jambon")</f>
        <v>0.5</v>
      </c>
      <c r="F14" s="60">
        <f>SUMIFS(Avril!$AB$4:$AB$749,Avril!$D$4:$D$749,"Avril",Avril!$X$4:$X$749,"Jambon")</f>
        <v>0</v>
      </c>
      <c r="G14" s="60">
        <f>SUMIFS(Mai!$AB$4:$AB$750,Mai!$D$4:$D$750,"Mai",Mai!$X$4:$X$750,"Jambon")</f>
        <v>0</v>
      </c>
      <c r="H14" s="60">
        <f>SUMIFS(Juin!$AB$4:$AB$750,Juin!$D$4:$D$750,"Juin",Juin!$X$4:$X$750,"Jambon")</f>
        <v>1</v>
      </c>
      <c r="I14" s="60">
        <f>SUMIFS(Juillet!$AB$4:$AB$750,Juillet!$D$4:$D$750,"Juillet",Juillet!$X$4:$X$750,"Jambon")</f>
        <v>0</v>
      </c>
      <c r="J14" s="60">
        <f>SUMIFS(Août!$AB$4:$AB$750,Août!$D$4:$D$750,"Août",Août!$X$4:$X$750,"Jambon")</f>
        <v>0</v>
      </c>
      <c r="K14" s="60">
        <f>SUMIFS(Septembre!$AB$4:$AB$750,Septembre!$D$4:$D$750,"Septembre",Septembre!$X$4:$X$750,"Jambon")</f>
        <v>1</v>
      </c>
      <c r="L14" s="60">
        <f>SUMIFS(Octobre!$AB$4:$AB$750,Octobre!$D$4:$D$750,"Octobre",Octobre!$X$4:$X$750,"Jambon")</f>
        <v>0</v>
      </c>
      <c r="M14" s="60">
        <f>SUMIFS(Novembre!$AB$4:$AB$750,Novembre!$D$4:$D$750,"Novembre",Novembre!$X$4:$X$750,"Jambon")</f>
        <v>0</v>
      </c>
      <c r="N14" s="60">
        <f>SUMIFS(Décembre!$AB$4:$AB$750,Décembre!$D$4:$D$750,"Décembre",Décembre!$X$4:$X$750,"Jambon")</f>
        <v>1</v>
      </c>
      <c r="O14" s="60">
        <f t="shared" si="0"/>
        <v>4</v>
      </c>
    </row>
    <row r="15" spans="1:15" ht="12.75" thickTop="1" thickBot="1" x14ac:dyDescent="0.25">
      <c r="A15" s="58" t="s">
        <v>406</v>
      </c>
      <c r="B15" s="58" t="s">
        <v>84</v>
      </c>
      <c r="C15" s="60">
        <f>SUMIFS(Janvier!$AB$4:$AB$750,Janvier!$D$4:$D$750,"Janvier",Janvier!$X$4:$X$750,"Jambonneau")</f>
        <v>0</v>
      </c>
      <c r="D15" s="60">
        <f>SUMIFS(Février!$AB$4:$AB$751,Février!$D$4:$D$751,"Février",Février!$X$4:$X$751,"Jambonneau")</f>
        <v>0</v>
      </c>
      <c r="E15" s="60">
        <f>SUMIFS(Mars!$AB$4:$AB$751,Mars!$D$4:$D$751,"Mars",Mars!$X$4:$X$751,"Jambonneau")</f>
        <v>1</v>
      </c>
      <c r="F15" s="60">
        <f>SUMIFS(Avril!$AB$4:$AB$749,Avril!$D$4:$D$749,"Avril",Avril!$X$4:$X$749,"Jambonneau")</f>
        <v>0</v>
      </c>
      <c r="G15" s="60">
        <f>SUMIFS(Mai!$AB$4:$AB$750,Mai!$D$4:$D$750,"Mai",Mai!$X$4:$X$750,"Jambonneau")</f>
        <v>0</v>
      </c>
      <c r="H15" s="60">
        <f>SUMIFS(Juin!$AB$4:$AB$750,Juin!$D$4:$D$750,"Juin",Juin!$X$4:$X$750,"Jambonneau")</f>
        <v>0.5</v>
      </c>
      <c r="I15" s="60">
        <f>SUMIFS(Juillet!$AB$4:$AB$750,Juillet!$D$4:$D$750,"Juillet",Juillet!$X$4:$X$750,"Jambonneau")</f>
        <v>0</v>
      </c>
      <c r="J15" s="60">
        <f>SUMIFS(Août!$AB$4:$AB$750,Août!$D$4:$D$750,"Août",Août!$X$4:$X$750,"Jambonneau")</f>
        <v>0</v>
      </c>
      <c r="K15" s="60">
        <f>SUMIFS(Septembre!$AB$4:$AB$750,Septembre!$D$4:$D$750,"Septembre",Septembre!$X$4:$X$750,"Jambonneau")</f>
        <v>1</v>
      </c>
      <c r="L15" s="60">
        <f>SUMIFS(Octobre!$AB$4:$AB$750,Octobre!$D$4:$D$750,"Octobre",Octobre!$X$4:$X$750,"Jambonneau")</f>
        <v>0</v>
      </c>
      <c r="M15" s="60">
        <f>SUMIFS(Novembre!$AB$4:$AB$750,Novembre!$D$4:$D$750,"Novembre",Novembre!$X$4:$X$750,"Jambonneau")</f>
        <v>0</v>
      </c>
      <c r="N15" s="60">
        <f>SUMIFS(Décembre!$AB$4:$AB$750,Décembre!$D$4:$D$750,"Décembre",Décembre!$X$4:$X$750,"Jambonneau")</f>
        <v>1</v>
      </c>
      <c r="O15" s="60">
        <f t="shared" si="0"/>
        <v>3.5</v>
      </c>
    </row>
    <row r="16" spans="1:15" ht="12.75" thickTop="1" thickBot="1" x14ac:dyDescent="0.25">
      <c r="A16" s="58" t="s">
        <v>408</v>
      </c>
      <c r="B16" s="58" t="s">
        <v>90</v>
      </c>
      <c r="C16" s="60">
        <f>SUMIFS(Janvier!$AB$4:$AB$750,Janvier!$D$4:$D$750,"Janvier",Janvier!$X$4:$X$750,"Mortadelle")</f>
        <v>0</v>
      </c>
      <c r="D16" s="60">
        <f>SUMIFS(Février!$AB$4:$AB$751,Février!$D$4:$D$751,"Février",Février!$X$4:$X$751,"Mortadelle")</f>
        <v>0</v>
      </c>
      <c r="E16" s="60">
        <f>SUMIFS(Mars!$AB$4:$AB$751,Mars!$D$4:$D$751,"Mars",Mars!$X$4:$X$751,"Mortadelle")</f>
        <v>1</v>
      </c>
      <c r="F16" s="60">
        <f>SUMIFS(Avril!$AB$4:$AB$749,Avril!$D$4:$D$749,"Avril",Avril!$X$4:$X$749,"Mortadelle")</f>
        <v>0</v>
      </c>
      <c r="G16" s="60">
        <f>SUMIFS(Mai!$AB$4:$AB$750,Mai!$D$4:$D$750,"Mai",Mai!$X$4:$X$750,"Mortadelle")</f>
        <v>0</v>
      </c>
      <c r="H16" s="60">
        <f>SUMIFS(Juin!$AB$4:$AB$750,Juin!$D$4:$D$750,"Juin",Juin!$X$4:$X$750,"Mortadelle")</f>
        <v>1</v>
      </c>
      <c r="I16" s="60">
        <f>SUMIFS(Juillet!$AB$4:$AB$750,Juillet!$D$4:$D$750,"Juillet",Juillet!$X$4:$X$750,"Mortadelle")</f>
        <v>0</v>
      </c>
      <c r="J16" s="60">
        <f>SUMIFS(Août!$AB$4:$AB$750,Août!$D$4:$D$750,"Août",Août!$X$4:$X$750,"Mortadelle")</f>
        <v>0</v>
      </c>
      <c r="K16" s="60">
        <f>SUMIFS(Septembre!$AB$4:$AB$750,Septembre!$D$4:$D$750,"Septembre",Septembre!$X$4:$X$750,"Mortadelle")</f>
        <v>1</v>
      </c>
      <c r="L16" s="60">
        <f>SUMIFS(Octobre!$AB$4:$AB$750,Octobre!$D$4:$D$750,"Octobre",Octobre!$X$4:$X$750,"Mortadelle")</f>
        <v>0</v>
      </c>
      <c r="M16" s="60">
        <f>SUMIFS(Novembre!$AB$4:$AB$750,Novembre!$D$4:$D$750,"Novembre",Novembre!$X$4:$X$750,"Mortadelle")</f>
        <v>0</v>
      </c>
      <c r="N16" s="60">
        <f>SUMIFS(Décembre!$AB$4:$AB$750,Décembre!$D$4:$D$750,"Décembre",Décembre!$X$4:$X$750,"Mortadelle")</f>
        <v>1</v>
      </c>
      <c r="O16" s="60">
        <f t="shared" si="0"/>
        <v>4</v>
      </c>
    </row>
    <row r="17" spans="1:15" ht="11.4" thickTop="1" thickBot="1" x14ac:dyDescent="0.25">
      <c r="A17" s="58" t="s">
        <v>410</v>
      </c>
      <c r="B17" s="58" t="s">
        <v>94</v>
      </c>
      <c r="C17" s="60">
        <f>SUMIFS(Janvier!$AB$4:$AB$750,Janvier!$D$4:$D$750,"Janvier",Janvier!$X$4:$X$750,"Œufs")</f>
        <v>0</v>
      </c>
      <c r="D17" s="60">
        <f>SUMIFS(Février!$AB$4:$AB$751,Février!$D$4:$D$751,"Février",Février!$X$4:$X$751,"Œufs")</f>
        <v>0</v>
      </c>
      <c r="E17" s="60">
        <f>SUMIFS(Mars!$AB$4:$AB$751,Mars!$D$4:$D$751,"Mars",Mars!$X$4:$X$751,"Œufs")</f>
        <v>6</v>
      </c>
      <c r="F17" s="60">
        <f>SUMIFS(Avril!$AB$4:$AB$749,Avril!$D$4:$D$749,"Avril",Avril!$X$4:$X$749,"Œufs")</f>
        <v>0</v>
      </c>
      <c r="G17" s="60">
        <f>SUMIFS(Mai!$AB$4:$AB$750,Mai!$D$4:$D$750,"Mai",Mai!$X$4:$X$750,"Œufs")</f>
        <v>0</v>
      </c>
      <c r="H17" s="60">
        <f>SUMIFS(Juin!$AB$4:$AB$750,Juin!$D$4:$D$750,"Juin",Juin!$X$4:$X$750,"Œufs")</f>
        <v>6</v>
      </c>
      <c r="I17" s="60">
        <f>SUMIFS(Juillet!$AB$4:$AB$750,Juillet!$D$4:$D$750,"Juillet",Juillet!$X$4:$X$750,"Œufs")</f>
        <v>0</v>
      </c>
      <c r="J17" s="60">
        <f>SUMIFS(Août!$AB$4:$AB$750,Août!$D$4:$D$750,"Août",Août!$X$4:$X$750,"Œufs")</f>
        <v>0</v>
      </c>
      <c r="K17" s="60">
        <f>SUMIFS(Septembre!$AB$4:$AB$750,Septembre!$D$4:$D$750,"Septembre",Septembre!$X$4:$X$750,"Œufs")</f>
        <v>6</v>
      </c>
      <c r="L17" s="60">
        <f>SUMIFS(Octobre!$AB$4:$AB$750,Octobre!$D$4:$D$750,"Octobre",Octobre!$X$4:$X$750,"Œufs")</f>
        <v>0</v>
      </c>
      <c r="M17" s="60">
        <f>SUMIFS(Novembre!$AB$4:$AB$750,Novembre!$D$4:$D$750,"Novembre",Novembre!$X$4:$X$750,"Œufs")</f>
        <v>0</v>
      </c>
      <c r="N17" s="60">
        <f>SUMIFS(Décembre!$AB$4:$AB$750,Décembre!$D$4:$D$750,"Décembre",Décembre!$X$4:$X$750,"Œufs")</f>
        <v>6</v>
      </c>
      <c r="O17" s="60">
        <f t="shared" si="0"/>
        <v>24</v>
      </c>
    </row>
    <row r="18" spans="1:15" ht="12.75" thickTop="1" thickBot="1" x14ac:dyDescent="0.25">
      <c r="A18" s="58" t="s">
        <v>412</v>
      </c>
      <c r="B18" s="58" t="s">
        <v>98</v>
      </c>
      <c r="C18" s="60">
        <f>SUMIFS(Janvier!$AB$4:$AB$750,Janvier!$D$4:$D$750,"Janvier",Janvier!$X$4:$X$750,"Pizza")</f>
        <v>0</v>
      </c>
      <c r="D18" s="60">
        <f>SUMIFS(Février!$AB$4:$AB$751,Février!$D$4:$D$751,"Février",Février!$X$4:$X$751,"Pizza")</f>
        <v>0</v>
      </c>
      <c r="E18" s="60">
        <f>SUMIFS(Mars!$AB$4:$AB$751,Mars!$D$4:$D$751,"Mars",Mars!$X$4:$X$751,"Pizza")</f>
        <v>1</v>
      </c>
      <c r="F18" s="60">
        <f>SUMIFS(Avril!$AB$4:$AB$749,Avril!$D$4:$D$749,"Avril",Avril!$X$4:$X$749,"Pizza")</f>
        <v>0</v>
      </c>
      <c r="G18" s="60">
        <f>SUMIFS(Mai!$AB$4:$AB$750,Mai!$D$4:$D$750,"Mai",Mai!$X$4:$X$750,"Pizza")</f>
        <v>0</v>
      </c>
      <c r="H18" s="60">
        <f>SUMIFS(Juin!$AB$4:$AB$750,Juin!$D$4:$D$750,"Juin",Juin!$X$4:$X$750,"Pizza")</f>
        <v>1</v>
      </c>
      <c r="I18" s="60">
        <f>SUMIFS(Juillet!$AB$4:$AB$750,Juillet!$D$4:$D$750,"Juillet",Juillet!$X$4:$X$750,"Pizza")</f>
        <v>0</v>
      </c>
      <c r="J18" s="60">
        <f>SUMIFS(Août!$AB$4:$AB$750,Août!$D$4:$D$750,"Août",Août!$X$4:$X$750,"Pizza")</f>
        <v>0</v>
      </c>
      <c r="K18" s="60">
        <f>SUMIFS(Septembre!$AB$4:$AB$750,Septembre!$D$4:$D$750,"Septembre",Septembre!$X$4:$X$750,"Pizza")</f>
        <v>1</v>
      </c>
      <c r="L18" s="60">
        <f>SUMIFS(Octobre!$AB$4:$AB$750,Octobre!$D$4:$D$750,"Octobre",Octobre!$X$4:$X$750,"Pizza")</f>
        <v>0</v>
      </c>
      <c r="M18" s="60">
        <f>SUMIFS(Novembre!$AB$4:$AB$750,Novembre!$D$4:$D$750,"Novembre",Novembre!$X$4:$X$750,"Pizza")</f>
        <v>0</v>
      </c>
      <c r="N18" s="60">
        <f>SUMIFS(Décembre!$AB$4:$AB$750,Décembre!$D$4:$D$750,"Décembre",Décembre!$X$4:$X$750,"Pizza")</f>
        <v>1</v>
      </c>
      <c r="O18" s="60">
        <f t="shared" si="0"/>
        <v>4</v>
      </c>
    </row>
    <row r="19" spans="1:15" ht="12.75" thickTop="1" thickBot="1" x14ac:dyDescent="0.25">
      <c r="A19" s="58" t="s">
        <v>414</v>
      </c>
      <c r="B19" s="58" t="s">
        <v>102</v>
      </c>
      <c r="C19" s="60">
        <f>SUMIFS(Janvier!$AB$4:$AB$750,Janvier!$D$4:$D$750,"Janvier",Janvier!$X$4:$X$750,"Poisson")</f>
        <v>1</v>
      </c>
      <c r="D19" s="60">
        <f>SUMIFS(Février!$AB$4:$AB$751,Février!$D$4:$D$751,"Février",Février!$X$4:$X$751,"Poisson")</f>
        <v>2</v>
      </c>
      <c r="E19" s="60">
        <f>SUMIFS(Mars!$AB$4:$AB$751,Mars!$D$4:$D$751,"Mars",Mars!$X$4:$X$751,"Poisson")</f>
        <v>2</v>
      </c>
      <c r="F19" s="60">
        <f>SUMIFS(Avril!$AB$4:$AB$749,Avril!$D$4:$D$749,"Avril",Avril!$X$4:$X$749,"Poisson")</f>
        <v>1</v>
      </c>
      <c r="G19" s="60">
        <f>SUMIFS(Mai!$AB$4:$AB$750,Mai!$D$4:$D$750,"Mai",Mai!$X$4:$X$750,"Poisson")</f>
        <v>1</v>
      </c>
      <c r="H19" s="60">
        <f>SUMIFS(Juin!$AB$4:$AB$750,Juin!$D$4:$D$750,"Juin",Juin!$X$4:$X$750,"Poisson")</f>
        <v>3</v>
      </c>
      <c r="I19" s="60">
        <f>SUMIFS(Juillet!$AB$4:$AB$750,Juillet!$D$4:$D$750,"Juillet",Juillet!$X$4:$X$750,"Poisson")</f>
        <v>1</v>
      </c>
      <c r="J19" s="60">
        <f>SUMIFS(Août!$AB$4:$AB$750,Août!$D$4:$D$750,"Août",Août!$X$4:$X$750,"Poisson")</f>
        <v>1</v>
      </c>
      <c r="K19" s="60">
        <f>SUMIFS(Septembre!$AB$4:$AB$750,Septembre!$D$4:$D$750,"Septembre",Septembre!$X$4:$X$750,"Poisson")</f>
        <v>2</v>
      </c>
      <c r="L19" s="60">
        <f>SUMIFS(Octobre!$AB$4:$AB$750,Octobre!$D$4:$D$750,"Octobre",Octobre!$X$4:$X$750,"Poisson")</f>
        <v>2</v>
      </c>
      <c r="M19" s="60">
        <f>SUMIFS(Novembre!$AB$4:$AB$750,Novembre!$D$4:$D$750,"Novembre",Novembre!$X$4:$X$750,"Poisson")</f>
        <v>1</v>
      </c>
      <c r="N19" s="60">
        <f>SUMIFS(Décembre!$AB$4:$AB$750,Décembre!$D$4:$D$750,"Décembre",Décembre!$X$4:$X$750,"Poisson")</f>
        <v>1</v>
      </c>
      <c r="O19" s="60">
        <f t="shared" si="0"/>
        <v>18</v>
      </c>
    </row>
    <row r="20" spans="1:15" ht="12.75" thickTop="1" thickBot="1" x14ac:dyDescent="0.25">
      <c r="A20" s="58" t="s">
        <v>416</v>
      </c>
      <c r="B20" s="58" t="s">
        <v>106</v>
      </c>
      <c r="C20" s="60">
        <f>SUMIFS(Janvier!$AB$4:$AB$750,Janvier!$D$4:$D$750,"Janvier",Janvier!$X$4:$X$750,"Quiche lorraine")</f>
        <v>0</v>
      </c>
      <c r="D20" s="60">
        <f>SUMIFS(Février!$AB$4:$AB$751,Février!$D$4:$D$751,"Février",Février!$X$4:$X$751,"Quiche lorraine")</f>
        <v>0</v>
      </c>
      <c r="E20" s="60">
        <f>SUMIFS(Mars!$AB$4:$AB$751,Mars!$D$4:$D$751,"Mars",Mars!$X$4:$X$751,"Quiche lorraine")</f>
        <v>2</v>
      </c>
      <c r="F20" s="60">
        <f>SUMIFS(Avril!$AB$4:$AB$749,Avril!$D$4:$D$749,"Avril",Avril!$X$4:$X$749,"Quiche lorraine")</f>
        <v>0</v>
      </c>
      <c r="G20" s="60">
        <f>SUMIFS(Mai!$AB$4:$AB$750,Mai!$D$4:$D$750,"Mai",Mai!$X$4:$X$750,"Quiche lorraine")</f>
        <v>0</v>
      </c>
      <c r="H20" s="60">
        <f>SUMIFS(Juin!$AB$4:$AB$750,Juin!$D$4:$D$750,"Juin",Juin!$X$4:$X$750,"Quiche lorraine")</f>
        <v>2</v>
      </c>
      <c r="I20" s="60">
        <f>SUMIFS(Juillet!$AB$4:$AB$750,Juillet!$D$4:$D$750,"Juillet",Juillet!$X$4:$X$750,"Quiche lorraine")</f>
        <v>0</v>
      </c>
      <c r="J20" s="60">
        <f>SUMIFS(Août!$AB$4:$AB$750,Août!$D$4:$D$750,"Août",Août!$X$4:$X$750,"Quiche lorraine")</f>
        <v>0</v>
      </c>
      <c r="K20" s="60">
        <f>SUMIFS(Septembre!$AB$4:$AB$750,Septembre!$D$4:$D$750,"Septembre",Septembre!$X$4:$X$750,"Quiche lorraine")</f>
        <v>1</v>
      </c>
      <c r="L20" s="60">
        <f>SUMIFS(Octobre!$AB$4:$AB$750,Octobre!$D$4:$D$750,"Octobre",Octobre!$X$4:$X$750,"Quiche lorraine")</f>
        <v>1</v>
      </c>
      <c r="M20" s="60">
        <f>SUMIFS(Novembre!$AB$4:$AB$750,Novembre!$D$4:$D$750,"Novembre",Novembre!$X$4:$X$750,"Quiche lorraine")</f>
        <v>0</v>
      </c>
      <c r="N20" s="60">
        <f>SUMIFS(Décembre!$AB$4:$AB$750,Décembre!$D$4:$D$750,"Décembre",Décembre!$X$4:$X$750,"Quiche lorraine")</f>
        <v>0</v>
      </c>
      <c r="O20" s="60">
        <f t="shared" si="0"/>
        <v>6</v>
      </c>
    </row>
    <row r="21" spans="1:15" ht="11.4" thickTop="1" thickBot="1" x14ac:dyDescent="0.25">
      <c r="A21" s="58" t="s">
        <v>418</v>
      </c>
      <c r="B21" s="58" t="s">
        <v>110</v>
      </c>
      <c r="C21" s="60">
        <f>SUMIFS(Janvier!$AB$4:$AB$750,Janvier!$D$4:$D$750,"Janvier",Janvier!$X$4:$X$750,"Roulade à la pistache")</f>
        <v>0</v>
      </c>
      <c r="D21" s="60">
        <f>SUMIFS(Février!$AB$4:$AB$751,Février!$D$4:$D$751,"Février",Février!$X$4:$X$751,"Roulade à la pistache")</f>
        <v>0</v>
      </c>
      <c r="E21" s="60">
        <f>SUMIFS(Mars!$AB$4:$AB$751,Mars!$D$4:$D$751,"Mars",Mars!$X$4:$X$751,"Roulade à la pistache")</f>
        <v>3</v>
      </c>
      <c r="F21" s="60">
        <f>SUMIFS(Avril!$AB$4:$AB$749,Avril!$D$4:$D$749,"Avril",Avril!$X$4:$X$749,"Roulade à la pistache")</f>
        <v>3</v>
      </c>
      <c r="G21" s="60">
        <f>SUMIFS(Mai!$AB$4:$AB$750,Mai!$D$4:$D$750,"Mai",Mai!$X$4:$X$750,"Roulade à la pistache")</f>
        <v>0</v>
      </c>
      <c r="H21" s="60">
        <f>SUMIFS(Juin!$AB$4:$AB$750,Juin!$D$4:$D$750,"Juin",Juin!$X$4:$X$750,"Roulade à la pistache")</f>
        <v>0</v>
      </c>
      <c r="I21" s="60">
        <f>SUMIFS(Juillet!$AB$4:$AB$750,Juillet!$D$4:$D$750,"Juillet",Juillet!$X$4:$X$750,"Roulade à la pistache")</f>
        <v>6</v>
      </c>
      <c r="J21" s="60">
        <f>SUMIFS(Août!$AB$4:$AB$750,Août!$D$4:$D$750,"Août",Août!$X$4:$X$750,"Roulade à la pistache")</f>
        <v>0</v>
      </c>
      <c r="K21" s="60">
        <f>SUMIFS(Septembre!$AB$4:$AB$750,Septembre!$D$4:$D$750,"Septembre",Septembre!$X$4:$X$750,"Roulade à la pistache")</f>
        <v>0</v>
      </c>
      <c r="L21" s="60">
        <f>SUMIFS(Octobre!$AB$4:$AB$750,Octobre!$D$4:$D$750,"Octobre",Octobre!$X$4:$X$750,"Roulade à la pistache")</f>
        <v>6</v>
      </c>
      <c r="M21" s="60">
        <f>SUMIFS(Novembre!$AB$4:$AB$750,Novembre!$D$4:$D$750,"Novembre",Novembre!$X$4:$X$750,"Roulade à la pistache")</f>
        <v>0</v>
      </c>
      <c r="N21" s="60">
        <f>SUMIFS(Décembre!$AB$4:$AB$750,Décembre!$D$4:$D$750,"Décembre",Décembre!$X$4:$X$750,"Roulade à la pistache")</f>
        <v>0</v>
      </c>
      <c r="O21" s="60">
        <f t="shared" si="0"/>
        <v>18</v>
      </c>
    </row>
    <row r="22" spans="1:15" ht="11.4" thickTop="1" thickBot="1" x14ac:dyDescent="0.25">
      <c r="A22" s="58" t="s">
        <v>420</v>
      </c>
      <c r="B22" s="58" t="s">
        <v>113</v>
      </c>
      <c r="C22" s="60">
        <f>SUMIFS(Janvier!$AB$4:$AB$750,Janvier!$D$4:$D$750,"Janvier",Janvier!$X$4:$X$750,"Roulé au fromage")</f>
        <v>0</v>
      </c>
      <c r="D22" s="60">
        <f>SUMIFS(Février!$AB$4:$AB$751,Février!$D$4:$D$751,"Février",Février!$X$4:$X$751,"Roulé au fromage")</f>
        <v>0</v>
      </c>
      <c r="E22" s="60">
        <f>SUMIFS(Mars!$AB$4:$AB$751,Mars!$D$4:$D$751,"Mars",Mars!$X$4:$X$751,"Roulé au fromage")</f>
        <v>0</v>
      </c>
      <c r="F22" s="60">
        <f>SUMIFS(Avril!$AB$4:$AB$749,Avril!$D$4:$D$749,"Avril",Avril!$X$4:$X$749,"Roulé au fromage")</f>
        <v>2</v>
      </c>
      <c r="G22" s="60">
        <f>SUMIFS(Mai!$AB$4:$AB$750,Mai!$D$4:$D$750,"Mai",Mai!$X$4:$X$750,"Roulé au fromage")</f>
        <v>0</v>
      </c>
      <c r="H22" s="60">
        <f>SUMIFS(Juin!$AB$4:$AB$750,Juin!$D$4:$D$750,"Juin",Juin!$X$4:$X$750,"Roulé au fromage")</f>
        <v>0</v>
      </c>
      <c r="I22" s="60">
        <f>SUMIFS(Juillet!$AB$4:$AB$750,Juillet!$D$4:$D$750,"Juillet",Juillet!$X$4:$X$750,"Roulé au fromage")</f>
        <v>2</v>
      </c>
      <c r="J22" s="60">
        <f>SUMIFS(Août!$AB$4:$AB$750,Août!$D$4:$D$750,"Août",Août!$X$4:$X$750,"Roulé au fromage")</f>
        <v>0</v>
      </c>
      <c r="K22" s="60">
        <f>SUMIFS(Septembre!$AB$4:$AB$750,Septembre!$D$4:$D$750,"Septembre",Septembre!$X$4:$X$750,"Roulé au fromage")</f>
        <v>0</v>
      </c>
      <c r="L22" s="60">
        <f>SUMIFS(Octobre!$AB$4:$AB$750,Octobre!$D$4:$D$750,"Octobre",Octobre!$X$4:$X$750,"Roulé au fromage")</f>
        <v>2</v>
      </c>
      <c r="M22" s="60">
        <f>SUMIFS(Novembre!$AB$4:$AB$750,Novembre!$D$4:$D$750,"Novembre",Novembre!$X$4:$X$750,"Roulé au fromage")</f>
        <v>0</v>
      </c>
      <c r="N22" s="60">
        <f>SUMIFS(Décembre!$AB$4:$AB$750,Décembre!$D$4:$D$750,"Décembre",Décembre!$X$4:$X$750,"Roulé au fromage")</f>
        <v>0</v>
      </c>
      <c r="O22" s="60">
        <f t="shared" si="0"/>
        <v>6</v>
      </c>
    </row>
    <row r="23" spans="1:15" ht="12.75" thickTop="1" thickBot="1" x14ac:dyDescent="0.25">
      <c r="A23" s="58" t="s">
        <v>422</v>
      </c>
      <c r="B23" s="58" t="s">
        <v>117</v>
      </c>
      <c r="C23" s="60">
        <f>SUMIFS(Janvier!$AB$4:$AB$750,Janvier!$D$4:$D$750,"Janvier",Janvier!$X$4:$X$750,"Salami")</f>
        <v>1</v>
      </c>
      <c r="D23" s="60">
        <f>SUMIFS(Février!$AB$4:$AB$751,Février!$D$4:$D$751,"Février",Février!$X$4:$X$751,"Salami")</f>
        <v>0</v>
      </c>
      <c r="E23" s="60">
        <f>SUMIFS(Mars!$AB$4:$AB$751,Mars!$D$4:$D$751,"Mars",Mars!$X$4:$X$751,"Salami")</f>
        <v>0</v>
      </c>
      <c r="F23" s="60">
        <f>SUMIFS(Avril!$AB$4:$AB$749,Avril!$D$4:$D$749,"Avril",Avril!$X$4:$X$749,"Salami")</f>
        <v>1</v>
      </c>
      <c r="G23" s="60">
        <f>SUMIFS(Mai!$AB$4:$AB$750,Mai!$D$4:$D$750,"Mai",Mai!$X$4:$X$750,"Salami")</f>
        <v>0</v>
      </c>
      <c r="H23" s="60">
        <f>SUMIFS(Juin!$AB$4:$AB$750,Juin!$D$4:$D$750,"Juin",Juin!$X$4:$X$750,"Salami")</f>
        <v>0</v>
      </c>
      <c r="I23" s="60">
        <f>SUMIFS(Juillet!$AB$4:$AB$750,Juillet!$D$4:$D$750,"Juillet",Juillet!$X$4:$X$750,"Salami")</f>
        <v>1</v>
      </c>
      <c r="J23" s="60">
        <f>SUMIFS(Août!$AB$4:$AB$750,Août!$D$4:$D$750,"Août",Août!$X$4:$X$750,"Salami")</f>
        <v>0</v>
      </c>
      <c r="K23" s="60">
        <f>SUMIFS(Septembre!$AB$4:$AB$750,Septembre!$D$4:$D$750,"Septembre",Septembre!$X$4:$X$750,"Salami")</f>
        <v>0</v>
      </c>
      <c r="L23" s="60">
        <f>SUMIFS(Octobre!$AB$4:$AB$750,Octobre!$D$4:$D$750,"Octobre",Octobre!$X$4:$X$750,"Salami")</f>
        <v>1</v>
      </c>
      <c r="M23" s="60">
        <f>SUMIFS(Novembre!$AB$4:$AB$750,Novembre!$D$4:$D$750,"Novembre",Novembre!$X$4:$X$750,"Salami")</f>
        <v>0</v>
      </c>
      <c r="N23" s="60">
        <f>SUMIFS(Décembre!$AB$4:$AB$750,Décembre!$D$4:$D$750,"Décembre",Décembre!$X$4:$X$750,"Salami")</f>
        <v>0</v>
      </c>
      <c r="O23" s="60">
        <f t="shared" si="0"/>
        <v>4</v>
      </c>
    </row>
    <row r="24" spans="1:15" ht="12.75" thickTop="1" thickBot="1" x14ac:dyDescent="0.25">
      <c r="A24" s="58" t="s">
        <v>424</v>
      </c>
      <c r="B24" s="58" t="s">
        <v>120</v>
      </c>
      <c r="C24" s="60">
        <f>SUMIFS(Janvier!$AB$4:$AB$750,Janvier!$D$4:$D$750,"Janvier",Janvier!$X$4:$X$750,"Saucisses")</f>
        <v>1</v>
      </c>
      <c r="D24" s="60">
        <f>SUMIFS(Février!$AB$4:$AB$751,Février!$D$4:$D$751,"Février",Février!$X$4:$X$751,"Saucisses")</f>
        <v>0</v>
      </c>
      <c r="E24" s="60">
        <f>SUMIFS(Mars!$AB$4:$AB$751,Mars!$D$4:$D$751,"Mars",Mars!$X$4:$X$751,"Saucisses")</f>
        <v>0</v>
      </c>
      <c r="F24" s="60">
        <f>SUMIFS(Avril!$AB$4:$AB$749,Avril!$D$4:$D$749,"Avril",Avril!$X$4:$X$749,"Saucisses")</f>
        <v>1</v>
      </c>
      <c r="G24" s="60">
        <f>SUMIFS(Mai!$AB$4:$AB$750,Mai!$D$4:$D$750,"Mai",Mai!$X$4:$X$750,"Saucisses")</f>
        <v>0</v>
      </c>
      <c r="H24" s="60">
        <f>SUMIFS(Juin!$AB$4:$AB$750,Juin!$D$4:$D$750,"Juin",Juin!$X$4:$X$750,"Saucisses")</f>
        <v>0</v>
      </c>
      <c r="I24" s="60">
        <f>SUMIFS(Juillet!$AB$4:$AB$750,Juillet!$D$4:$D$750,"Juillet",Juillet!$X$4:$X$750,"Saucisses")</f>
        <v>1</v>
      </c>
      <c r="J24" s="60">
        <f>SUMIFS(Août!$AB$4:$AB$750,Août!$D$4:$D$750,"Août",Août!$X$4:$X$750,"Saucisses")</f>
        <v>0</v>
      </c>
      <c r="K24" s="60">
        <f>SUMIFS(Septembre!$AB$4:$AB$750,Septembre!$D$4:$D$750,"Septembre",Septembre!$X$4:$X$750,"Saucisses")</f>
        <v>0</v>
      </c>
      <c r="L24" s="60">
        <f>SUMIFS(Octobre!$AB$4:$AB$750,Octobre!$D$4:$D$750,"Octobre",Octobre!$X$4:$X$750,"Saucisses")</f>
        <v>1</v>
      </c>
      <c r="M24" s="60">
        <f>SUMIFS(Novembre!$AB$4:$AB$750,Novembre!$D$4:$D$750,"Novembre",Novembre!$X$4:$X$750,"Saucisses")</f>
        <v>0</v>
      </c>
      <c r="N24" s="60">
        <f>SUMIFS(Décembre!$AB$4:$AB$750,Décembre!$D$4:$D$750,"Décembre",Décembre!$X$4:$X$750,"Saucisses")</f>
        <v>0</v>
      </c>
      <c r="O24" s="60">
        <f t="shared" si="0"/>
        <v>4</v>
      </c>
    </row>
    <row r="25" spans="1:15" ht="12.75" thickTop="1" thickBot="1" x14ac:dyDescent="0.25">
      <c r="A25" s="58" t="s">
        <v>426</v>
      </c>
      <c r="B25" s="58" t="s">
        <v>124</v>
      </c>
      <c r="C25" s="60">
        <f>SUMIFS(Janvier!$AB$4:$AB$750,Janvier!$D$4:$D$750,"Janvier",Janvier!$X$4:$X$750,"Saucisson")</f>
        <v>2000</v>
      </c>
      <c r="D25" s="60">
        <f>SUMIFS(Février!$AB$4:$AB$751,Février!$D$4:$D$751,"Février",Février!$X$4:$X$751,"Saucisson")</f>
        <v>1734</v>
      </c>
      <c r="E25" s="60">
        <f>SUMIFS(Mars!$AB$4:$AB$751,Mars!$D$4:$D$751,"Mars",Mars!$X$4:$X$751,"Saucisson")</f>
        <v>1866</v>
      </c>
      <c r="F25" s="60">
        <f>SUMIFS(Avril!$AB$4:$AB$749,Avril!$D$4:$D$749,"Avril",Avril!$X$4:$X$749,"Saucisson")</f>
        <v>2000</v>
      </c>
      <c r="G25" s="60">
        <f>SUMIFS(Mai!$AB$4:$AB$750,Mai!$D$4:$D$750,"Mai",Mai!$X$4:$X$750,"Saucisson")</f>
        <v>1867</v>
      </c>
      <c r="H25" s="60">
        <f>SUMIFS(Juin!$AB$4:$AB$750,Juin!$D$4:$D$750,"Juin",Juin!$X$4:$X$750,"Saucisson")</f>
        <v>1734</v>
      </c>
      <c r="I25" s="60">
        <f>SUMIFS(Juillet!$AB$4:$AB$750,Juillet!$D$4:$D$750,"Juillet",Juillet!$X$4:$X$750,"Saucisson")</f>
        <v>2000</v>
      </c>
      <c r="J25" s="60">
        <f>SUMIFS(Août!$AB$4:$AB$750,Août!$D$4:$D$750,"Août",Août!$X$4:$X$750,"Saucisson")</f>
        <v>1866</v>
      </c>
      <c r="K25" s="60">
        <f>SUMIFS(Septembre!$AB$4:$AB$750,Septembre!$D$4:$D$750,"Septembre",Septembre!$X$4:$X$750,"Saucisson")</f>
        <v>2000</v>
      </c>
      <c r="L25" s="60">
        <f>SUMIFS(Octobre!$AB$4:$AB$750,Octobre!$D$4:$D$750,"Octobre",Octobre!$X$4:$X$750,"Saucisson")</f>
        <v>1867</v>
      </c>
      <c r="M25" s="60">
        <f>SUMIFS(Novembre!$AB$4:$AB$750,Novembre!$D$4:$D$750,"Novembre",Novembre!$X$4:$X$750,"Saucisson")</f>
        <v>1867</v>
      </c>
      <c r="N25" s="60">
        <f>SUMIFS(Décembre!$AB$4:$AB$750,Décembre!$D$4:$D$750,"Décembre",Décembre!$X$4:$X$750,"Saucisson")</f>
        <v>1999</v>
      </c>
      <c r="O25" s="60">
        <f t="shared" si="0"/>
        <v>22800</v>
      </c>
    </row>
    <row r="26" spans="1:15" ht="11.4" thickTop="1" thickBot="1" x14ac:dyDescent="0.25">
      <c r="A26" s="58" t="s">
        <v>428</v>
      </c>
      <c r="B26" s="58" t="s">
        <v>127</v>
      </c>
      <c r="C26" s="60">
        <f>SUMIFS(Janvier!$AB$4:$AB$750,Janvier!$D$4:$D$750,"Janvier",Janvier!$X$4:$X$750,"Tête persillée")</f>
        <v>1</v>
      </c>
      <c r="D26" s="60">
        <f>SUMIFS(Février!$AB$4:$AB$751,Février!$D$4:$D$751,"Février",Février!$X$4:$X$751,"Tête persillée")</f>
        <v>0</v>
      </c>
      <c r="E26" s="60">
        <f>SUMIFS(Mars!$AB$4:$AB$751,Mars!$D$4:$D$751,"Mars",Mars!$X$4:$X$751,"Tête persillée")</f>
        <v>0</v>
      </c>
      <c r="F26" s="60">
        <f>SUMIFS(Avril!$AB$4:$AB$749,Avril!$D$4:$D$749,"Avril",Avril!$X$4:$X$749,"Tête persillée")</f>
        <v>1</v>
      </c>
      <c r="G26" s="60">
        <f>SUMIFS(Mai!$AB$4:$AB$750,Mai!$D$4:$D$750,"Mai",Mai!$X$4:$X$750,"Tête persillée")</f>
        <v>0</v>
      </c>
      <c r="H26" s="60">
        <f>SUMIFS(Juin!$AB$4:$AB$750,Juin!$D$4:$D$750,"Juin",Juin!$X$4:$X$750,"Tête persillée")</f>
        <v>0</v>
      </c>
      <c r="I26" s="60">
        <f>SUMIFS(Juillet!$AB$4:$AB$750,Juillet!$D$4:$D$750,"Juillet",Juillet!$X$4:$X$750,"Tête persillée")</f>
        <v>1</v>
      </c>
      <c r="J26" s="60">
        <f>SUMIFS(Août!$AB$4:$AB$750,Août!$D$4:$D$750,"Août",Août!$X$4:$X$750,"Tête persillée")</f>
        <v>0</v>
      </c>
      <c r="K26" s="60">
        <f>SUMIFS(Septembre!$AB$4:$AB$750,Septembre!$D$4:$D$750,"Septembre",Septembre!$X$4:$X$750,"Tête persillée")</f>
        <v>0</v>
      </c>
      <c r="L26" s="60">
        <f>SUMIFS(Octobre!$AB$4:$AB$750,Octobre!$D$4:$D$750,"Octobre",Octobre!$X$4:$X$750,"Tête persillée")</f>
        <v>1</v>
      </c>
      <c r="M26" s="60">
        <f>SUMIFS(Novembre!$AB$4:$AB$750,Novembre!$D$4:$D$750,"Novembre",Novembre!$X$4:$X$750,"Tête persillée")</f>
        <v>0</v>
      </c>
      <c r="N26" s="60">
        <f>SUMIFS(Décembre!$AB$4:$AB$750,Décembre!$D$4:$D$750,"Décembre",Décembre!$X$4:$X$750,"Tête persillée")</f>
        <v>0</v>
      </c>
      <c r="O26" s="60">
        <f t="shared" si="0"/>
        <v>4</v>
      </c>
    </row>
    <row r="27" spans="1:15" ht="11.4" thickTop="1" thickBot="1" x14ac:dyDescent="0.25">
      <c r="A27" s="58" t="s">
        <v>430</v>
      </c>
      <c r="B27" s="58" t="s">
        <v>130</v>
      </c>
      <c r="C27" s="60">
        <f>SUMIFS(Janvier!$AB$4:$AB$750,Janvier!$D$4:$D$750,"Janvier",Janvier!$X$4:$X$750,"Tête roulée")</f>
        <v>1</v>
      </c>
      <c r="D27" s="60">
        <f>SUMIFS(Février!$AB$4:$AB$751,Février!$D$4:$D$751,"Février",Février!$X$4:$X$751,"Tête roulée")</f>
        <v>0</v>
      </c>
      <c r="E27" s="60">
        <f>SUMIFS(Mars!$AB$4:$AB$751,Mars!$D$4:$D$751,"Mars",Mars!$X$4:$X$751,"Tête roulée")</f>
        <v>0</v>
      </c>
      <c r="F27" s="60">
        <f>SUMIFS(Avril!$AB$4:$AB$749,Avril!$D$4:$D$749,"Avril",Avril!$X$4:$X$749,"Tête roulée")</f>
        <v>1</v>
      </c>
      <c r="G27" s="60">
        <f>SUMIFS(Mai!$AB$4:$AB$750,Mai!$D$4:$D$750,"Mai",Mai!$X$4:$X$750,"Tête roulée")</f>
        <v>0</v>
      </c>
      <c r="H27" s="60">
        <f>SUMIFS(Juin!$AB$4:$AB$750,Juin!$D$4:$D$750,"Juin",Juin!$X$4:$X$750,"Tête roulée")</f>
        <v>0</v>
      </c>
      <c r="I27" s="60">
        <f>SUMIFS(Juillet!$AB$4:$AB$750,Juillet!$D$4:$D$750,"Juillet",Juillet!$X$4:$X$750,"Tête roulée")</f>
        <v>1</v>
      </c>
      <c r="J27" s="60">
        <f>SUMIFS(Août!$AB$4:$AB$750,Août!$D$4:$D$750,"Août",Août!$X$4:$X$750,"Tête roulée")</f>
        <v>0</v>
      </c>
      <c r="K27" s="60">
        <f>SUMIFS(Septembre!$AB$4:$AB$750,Septembre!$D$4:$D$750,"Septembre",Septembre!$X$4:$X$750,"Tête roulée")</f>
        <v>0</v>
      </c>
      <c r="L27" s="60">
        <f>SUMIFS(Octobre!$AB$4:$AB$750,Octobre!$D$4:$D$750,"Octobre",Octobre!$X$4:$X$750,"Tête roulée")</f>
        <v>1</v>
      </c>
      <c r="M27" s="60">
        <f>SUMIFS(Novembre!$AB$4:$AB$750,Novembre!$D$4:$D$750,"Novembre",Novembre!$X$4:$X$750,"Tête roulée")</f>
        <v>0</v>
      </c>
      <c r="N27" s="60">
        <f>SUMIFS(Décembre!$AB$4:$AB$750,Décembre!$D$4:$D$750,"Décembre",Décembre!$X$4:$X$750,"Tête roulée")</f>
        <v>0</v>
      </c>
      <c r="O27" s="60">
        <f t="shared" si="0"/>
        <v>4</v>
      </c>
    </row>
    <row r="28" spans="1:15" ht="12.75" thickTop="1" thickBot="1" x14ac:dyDescent="0.25">
      <c r="A28" s="58" t="s">
        <v>432</v>
      </c>
      <c r="B28" s="58" t="s">
        <v>133</v>
      </c>
      <c r="C28" s="60">
        <f>SUMIFS(Janvier!$AB$4:$AB$750,Janvier!$D$4:$D$750,"Janvier",Janvier!$X$4:$X$750,"Thon")</f>
        <v>1</v>
      </c>
      <c r="D28" s="60">
        <f>SUMIFS(Février!$AB$4:$AB$751,Février!$D$4:$D$751,"Février",Février!$X$4:$X$751,"Thon")</f>
        <v>0</v>
      </c>
      <c r="E28" s="60">
        <f>SUMIFS(Mars!$AB$4:$AB$751,Mars!$D$4:$D$751,"Mars",Mars!$X$4:$X$751,"Thon")</f>
        <v>0</v>
      </c>
      <c r="F28" s="60">
        <f>SUMIFS(Avril!$AB$4:$AB$749,Avril!$D$4:$D$749,"Avril",Avril!$X$4:$X$749,"Thon")</f>
        <v>1</v>
      </c>
      <c r="G28" s="60">
        <f>SUMIFS(Mai!$AB$4:$AB$750,Mai!$D$4:$D$750,"Mai",Mai!$X$4:$X$750,"Thon")</f>
        <v>0</v>
      </c>
      <c r="H28" s="60">
        <f>SUMIFS(Juin!$AB$4:$AB$750,Juin!$D$4:$D$750,"Juin",Juin!$X$4:$X$750,"Thon")</f>
        <v>0</v>
      </c>
      <c r="I28" s="60">
        <f>SUMIFS(Juillet!$AB$4:$AB$750,Juillet!$D$4:$D$750,"Juillet",Juillet!$X$4:$X$750,"Thon")</f>
        <v>1</v>
      </c>
      <c r="J28" s="60">
        <f>SUMIFS(Août!$AB$4:$AB$750,Août!$D$4:$D$750,"Août",Août!$X$4:$X$750,"Thon")</f>
        <v>0</v>
      </c>
      <c r="K28" s="60">
        <f>SUMIFS(Septembre!$AB$4:$AB$750,Septembre!$D$4:$D$750,"Septembre",Septembre!$X$4:$X$750,"Thon")</f>
        <v>0</v>
      </c>
      <c r="L28" s="60">
        <f>SUMIFS(Octobre!$AB$4:$AB$750,Octobre!$D$4:$D$750,"Octobre",Octobre!$X$4:$X$750,"Thon")</f>
        <v>0</v>
      </c>
      <c r="M28" s="60">
        <f>SUMIFS(Novembre!$AB$4:$AB$750,Novembre!$D$4:$D$750,"Novembre",Novembre!$X$4:$X$750,"Thon")</f>
        <v>1</v>
      </c>
      <c r="N28" s="60">
        <f>SUMIFS(Décembre!$AB$4:$AB$750,Décembre!$D$4:$D$750,"Décembre",Décembre!$X$4:$X$750,"Thon")</f>
        <v>0</v>
      </c>
      <c r="O28" s="60">
        <f t="shared" si="0"/>
        <v>4</v>
      </c>
    </row>
    <row r="29" spans="1:15" ht="12.75" thickTop="1" thickBot="1" x14ac:dyDescent="0.25">
      <c r="A29" s="58" t="s">
        <v>434</v>
      </c>
      <c r="B29" s="58" t="s">
        <v>136</v>
      </c>
      <c r="C29" s="60">
        <f>SUMIFS(Janvier!$AB$4:$AB$750,Janvier!$D$4:$D$750,"Janvier",Janvier!$X$4:$X$750,"Viande cassoulet")</f>
        <v>0</v>
      </c>
      <c r="D29" s="60">
        <f>SUMIFS(Février!$AB$4:$AB$751,Février!$D$4:$D$751,"Février",Février!$X$4:$X$751,"Viande cassoulet")</f>
        <v>0</v>
      </c>
      <c r="E29" s="60">
        <f>SUMIFS(Mars!$AB$4:$AB$751,Mars!$D$4:$D$751,"Mars",Mars!$X$4:$X$751,"Viande cassoulet")</f>
        <v>1</v>
      </c>
      <c r="F29" s="60">
        <f>SUMIFS(Avril!$AB$4:$AB$749,Avril!$D$4:$D$749,"Avril",Avril!$X$4:$X$749,"Viande cassoulet")</f>
        <v>0</v>
      </c>
      <c r="G29" s="60">
        <f>SUMIFS(Mai!$AB$4:$AB$750,Mai!$D$4:$D$750,"Mai",Mai!$X$4:$X$750,"Viande cassoulet")</f>
        <v>0</v>
      </c>
      <c r="H29" s="60">
        <f>SUMIFS(Juin!$AB$4:$AB$750,Juin!$D$4:$D$750,"Juin",Juin!$X$4:$X$750,"Viande cassoulet")</f>
        <v>1</v>
      </c>
      <c r="I29" s="60">
        <f>SUMIFS(Juillet!$AB$4:$AB$750,Juillet!$D$4:$D$750,"Juillet",Juillet!$X$4:$X$750,"Viande cassoulet")</f>
        <v>0</v>
      </c>
      <c r="J29" s="60">
        <f>SUMIFS(Août!$AB$4:$AB$750,Août!$D$4:$D$750,"Août",Août!$X$4:$X$750,"Viande cassoulet")</f>
        <v>0</v>
      </c>
      <c r="K29" s="60">
        <f>SUMIFS(Septembre!$AB$4:$AB$750,Septembre!$D$4:$D$750,"Septembre",Septembre!$X$4:$X$750,"Viande cassoulet")</f>
        <v>0</v>
      </c>
      <c r="L29" s="60">
        <f>SUMIFS(Octobre!$AB$4:$AB$750,Octobre!$D$4:$D$750,"Octobre",Octobre!$X$4:$X$750,"Viande cassoulet")</f>
        <v>1</v>
      </c>
      <c r="M29" s="60">
        <f>SUMIFS(Novembre!$AB$4:$AB$750,Novembre!$D$4:$D$750,"Novembre",Novembre!$X$4:$X$750,"Viande cassoulet")</f>
        <v>0</v>
      </c>
      <c r="N29" s="60">
        <f>SUMIFS(Décembre!$AB$4:$AB$750,Décembre!$D$4:$D$750,"Décembre",Décembre!$X$4:$X$750,"Viande cassoulet")</f>
        <v>0</v>
      </c>
      <c r="O29" s="60">
        <f t="shared" si="0"/>
        <v>3</v>
      </c>
    </row>
    <row r="30" spans="1:15" ht="12.75" thickTop="1" thickBot="1" x14ac:dyDescent="0.25">
      <c r="A30" s="58" t="s">
        <v>436</v>
      </c>
      <c r="B30" s="58" t="s">
        <v>139</v>
      </c>
      <c r="C30" s="60">
        <f>SUMIFS(Janvier!$AB$4:$AB$750,Janvier!$D$4:$D$750,"Janvier",Janvier!$X$4:$X$750,"Viande choucroute")</f>
        <v>0</v>
      </c>
      <c r="D30" s="60">
        <f>SUMIFS(Février!$AB$4:$AB$751,Février!$D$4:$D$751,"Février",Février!$X$4:$X$751,"Viande choucroute")</f>
        <v>0</v>
      </c>
      <c r="E30" s="60">
        <f>SUMIFS(Mars!$AB$4:$AB$751,Mars!$D$4:$D$751,"Mars",Mars!$X$4:$X$751,"Viande choucroute")</f>
        <v>1</v>
      </c>
      <c r="F30" s="60">
        <f>SUMIFS(Avril!$AB$4:$AB$749,Avril!$D$4:$D$749,"Avril",Avril!$X$4:$X$749,"Viande choucroute")</f>
        <v>0</v>
      </c>
      <c r="G30" s="60">
        <f>SUMIFS(Mai!$AB$4:$AB$750,Mai!$D$4:$D$750,"Mai",Mai!$X$4:$X$750,"Viande choucroute")</f>
        <v>0</v>
      </c>
      <c r="H30" s="60">
        <f>SUMIFS(Juin!$AB$4:$AB$750,Juin!$D$4:$D$750,"Juin",Juin!$X$4:$X$750,"Viande choucroute")</f>
        <v>0</v>
      </c>
      <c r="I30" s="60">
        <f>SUMIFS(Juillet!$AB$4:$AB$750,Juillet!$D$4:$D$750,"Juillet",Juillet!$X$4:$X$750,"Viande choucroute")</f>
        <v>1</v>
      </c>
      <c r="J30" s="60">
        <f>SUMIFS(Août!$AB$4:$AB$750,Août!$D$4:$D$750,"Août",Août!$X$4:$X$750,"Viande choucroute")</f>
        <v>0</v>
      </c>
      <c r="K30" s="60">
        <f>SUMIFS(Septembre!$AB$4:$AB$750,Septembre!$D$4:$D$750,"Septembre",Septembre!$X$4:$X$750,"Viande choucroute")</f>
        <v>0</v>
      </c>
      <c r="L30" s="60">
        <f>SUMIFS(Octobre!$AB$4:$AB$750,Octobre!$D$4:$D$750,"Octobre",Octobre!$X$4:$X$750,"Viande choucroute")</f>
        <v>1</v>
      </c>
      <c r="M30" s="60">
        <f>SUMIFS(Novembre!$AB$4:$AB$750,Novembre!$D$4:$D$750,"Novembre",Novembre!$X$4:$X$750,"Viande choucroute")</f>
        <v>0</v>
      </c>
      <c r="N30" s="60">
        <f>SUMIFS(Décembre!$AB$4:$AB$750,Décembre!$D$4:$D$750,"Décembre",Décembre!$X$4:$X$750,"Viande choucroute")</f>
        <v>0</v>
      </c>
      <c r="O30" s="60">
        <f t="shared" si="0"/>
        <v>3</v>
      </c>
    </row>
    <row r="31" spans="1:15" ht="12.75" thickTop="1" thickBot="1" x14ac:dyDescent="0.25">
      <c r="A31" s="58" t="s">
        <v>438</v>
      </c>
      <c r="B31" s="58" t="s">
        <v>142</v>
      </c>
      <c r="C31" s="60">
        <f>SUMIFS(Janvier!$AB$4:$AB$750,Janvier!$D$4:$D$750,"Janvier",Janvier!$X$4:$X$750,"Viande paella")</f>
        <v>0</v>
      </c>
      <c r="D31" s="60">
        <f>SUMIFS(Février!$AB$4:$AB$751,Février!$D$4:$D$751,"Février",Février!$X$4:$X$751,"Viande paella")</f>
        <v>1</v>
      </c>
      <c r="E31" s="60">
        <f>SUMIFS(Mars!$AB$4:$AB$751,Mars!$D$4:$D$751,"Mars",Mars!$X$4:$X$751,"Viande paella")</f>
        <v>0</v>
      </c>
      <c r="F31" s="60">
        <f>SUMIFS(Avril!$AB$4:$AB$749,Avril!$D$4:$D$749,"Avril",Avril!$X$4:$X$749,"Viande paella")</f>
        <v>0</v>
      </c>
      <c r="G31" s="60">
        <f>SUMIFS(Mai!$AB$4:$AB$750,Mai!$D$4:$D$750,"Mai",Mai!$X$4:$X$750,"Viande paella")</f>
        <v>1</v>
      </c>
      <c r="H31" s="60">
        <f>SUMIFS(Juin!$AB$4:$AB$750,Juin!$D$4:$D$750,"Juin",Juin!$X$4:$X$750,"Viande paella")</f>
        <v>0</v>
      </c>
      <c r="I31" s="60">
        <f>SUMIFS(Juillet!$AB$4:$AB$750,Juillet!$D$4:$D$750,"Juillet",Juillet!$X$4:$X$750,"Viande paella")</f>
        <v>0</v>
      </c>
      <c r="J31" s="60">
        <f>SUMIFS(Août!$AB$4:$AB$750,Août!$D$4:$D$750,"Août",Août!$X$4:$X$750,"Viande paella")</f>
        <v>1</v>
      </c>
      <c r="K31" s="60">
        <f>SUMIFS(Septembre!$AB$4:$AB$750,Septembre!$D$4:$D$750,"Septembre",Septembre!$X$4:$X$750,"Viande paella")</f>
        <v>0</v>
      </c>
      <c r="L31" s="60">
        <f>SUMIFS(Octobre!$AB$4:$AB$750,Octobre!$D$4:$D$750,"Octobre",Octobre!$X$4:$X$750,"Viande paella")</f>
        <v>0</v>
      </c>
      <c r="M31" s="60">
        <f>SUMIFS(Novembre!$AB$4:$AB$750,Novembre!$D$4:$D$750,"Novembre",Novembre!$X$4:$X$750,"Viande paella")</f>
        <v>1</v>
      </c>
      <c r="N31" s="60">
        <f>SUMIFS(Décembre!$AB$4:$AB$750,Décembre!$D$4:$D$750,"Décembre",Décembre!$X$4:$X$750,"Viande paella")</f>
        <v>0</v>
      </c>
      <c r="O31" s="60">
        <f t="shared" si="0"/>
        <v>4</v>
      </c>
    </row>
    <row r="32" spans="1:15" ht="12.75" thickTop="1" thickBot="1" x14ac:dyDescent="0.25">
      <c r="A32" s="58" t="s">
        <v>440</v>
      </c>
      <c r="B32" s="58" t="s">
        <v>145</v>
      </c>
      <c r="C32" s="60">
        <f>SUMIFS(Janvier!$AB$4:$AB$750,Janvier!$D$4:$D$750,"Janvier",Janvier!$X$4:$X$750,"Agneau")</f>
        <v>1</v>
      </c>
      <c r="D32" s="60">
        <f>SUMIFS(Février!$AB$4:$AB$751,Février!$D$4:$D$751,"Février",Février!$X$4:$X$751,"Agneau")</f>
        <v>1</v>
      </c>
      <c r="E32" s="60">
        <f>SUMIFS(Mars!$AB$4:$AB$751,Mars!$D$4:$D$751,"Mars",Mars!$X$4:$X$751,"Agneau")</f>
        <v>1</v>
      </c>
      <c r="F32" s="60">
        <f>SUMIFS(Avril!$AB$4:$AB$749,Avril!$D$4:$D$749,"Avril",Avril!$X$4:$X$749,"Agneau")</f>
        <v>2</v>
      </c>
      <c r="G32" s="60">
        <f>SUMIFS(Mai!$AB$4:$AB$750,Mai!$D$4:$D$750,"Mai",Mai!$X$4:$X$750,"Agneau")</f>
        <v>1</v>
      </c>
      <c r="H32" s="60">
        <f>SUMIFS(Juin!$AB$4:$AB$750,Juin!$D$4:$D$750,"Juin",Juin!$X$4:$X$750,"Agneau")</f>
        <v>1</v>
      </c>
      <c r="I32" s="60">
        <f>SUMIFS(Juillet!$AB$4:$AB$750,Juillet!$D$4:$D$750,"Juillet",Juillet!$X$4:$X$750,"Agneau")</f>
        <v>1</v>
      </c>
      <c r="J32" s="60">
        <f>SUMIFS(Août!$AB$4:$AB$750,Août!$D$4:$D$750,"Août",Août!$X$4:$X$750,"Agneau")</f>
        <v>2</v>
      </c>
      <c r="K32" s="60">
        <f>SUMIFS(Septembre!$AB$4:$AB$750,Septembre!$D$4:$D$750,"Septembre",Septembre!$X$4:$X$750,"Agneau")</f>
        <v>1</v>
      </c>
      <c r="L32" s="60">
        <f>SUMIFS(Octobre!$AB$4:$AB$750,Octobre!$D$4:$D$750,"Octobre",Octobre!$X$4:$X$750,"Agneau")</f>
        <v>1</v>
      </c>
      <c r="M32" s="60">
        <f>SUMIFS(Novembre!$AB$4:$AB$750,Novembre!$D$4:$D$750,"Novembre",Novembre!$X$4:$X$750,"Agneau")</f>
        <v>1</v>
      </c>
      <c r="N32" s="60">
        <f>SUMIFS(Décembre!$AB$4:$AB$750,Décembre!$D$4:$D$750,"Décembre",Décembre!$X$4:$X$750,"Agneau")</f>
        <v>2</v>
      </c>
      <c r="O32" s="60">
        <f t="shared" si="0"/>
        <v>15</v>
      </c>
    </row>
    <row r="33" spans="1:15" ht="11.4" thickTop="1" thickBot="1" x14ac:dyDescent="0.25">
      <c r="A33" s="58" t="s">
        <v>442</v>
      </c>
      <c r="B33" s="58" t="s">
        <v>148</v>
      </c>
      <c r="C33" s="60">
        <f>SUMIFS(Janvier!$AB$4:$AB$750,Janvier!$D$4:$D$750,"Janvier",Janvier!$X$4:$X$750,"Bœuf")</f>
        <v>1</v>
      </c>
      <c r="D33" s="60">
        <f>SUMIFS(Février!$AB$4:$AB$751,Février!$D$4:$D$751,"Février",Février!$X$4:$X$751,"Bœuf")</f>
        <v>1</v>
      </c>
      <c r="E33" s="60">
        <f>SUMIFS(Mars!$AB$4:$AB$751,Mars!$D$4:$D$751,"Mars",Mars!$X$4:$X$751,"Bœuf")</f>
        <v>1</v>
      </c>
      <c r="F33" s="60">
        <f>SUMIFS(Avril!$AB$4:$AB$749,Avril!$D$4:$D$749,"Avril",Avril!$X$4:$X$749,"Bœuf")</f>
        <v>2</v>
      </c>
      <c r="G33" s="60">
        <f>SUMIFS(Mai!$AB$4:$AB$750,Mai!$D$4:$D$750,"Mai",Mai!$X$4:$X$750,"Bœuf")</f>
        <v>1</v>
      </c>
      <c r="H33" s="60">
        <f>SUMIFS(Juin!$AB$4:$AB$750,Juin!$D$4:$D$750,"Juin",Juin!$X$4:$X$750,"Bœuf")</f>
        <v>1</v>
      </c>
      <c r="I33" s="60">
        <f>SUMIFS(Juillet!$AB$4:$AB$750,Juillet!$D$4:$D$750,"Juillet",Juillet!$X$4:$X$750,"Bœuf")</f>
        <v>1</v>
      </c>
      <c r="J33" s="60">
        <f>SUMIFS(Août!$AB$4:$AB$750,Août!$D$4:$D$750,"Août",Août!$X$4:$X$750,"Bœuf")</f>
        <v>1</v>
      </c>
      <c r="K33" s="60">
        <f>SUMIFS(Septembre!$AB$4:$AB$750,Septembre!$D$4:$D$750,"Septembre",Septembre!$X$4:$X$750,"Bœuf")</f>
        <v>1</v>
      </c>
      <c r="L33" s="60">
        <f>SUMIFS(Octobre!$AB$4:$AB$750,Octobre!$D$4:$D$750,"Octobre",Octobre!$X$4:$X$750,"Bœuf")</f>
        <v>1</v>
      </c>
      <c r="M33" s="60">
        <f>SUMIFS(Novembre!$AB$4:$AB$750,Novembre!$D$4:$D$750,"Novembre",Novembre!$X$4:$X$750,"Bœuf")</f>
        <v>1</v>
      </c>
      <c r="N33" s="60">
        <f>SUMIFS(Décembre!$AB$4:$AB$750,Décembre!$D$4:$D$750,"Décembre",Décembre!$X$4:$X$750,"Bœuf")</f>
        <v>2</v>
      </c>
      <c r="O33" s="60">
        <f t="shared" si="0"/>
        <v>14</v>
      </c>
    </row>
    <row r="34" spans="1:15" ht="11.4" thickTop="1" thickBot="1" x14ac:dyDescent="0.25">
      <c r="A34" s="58" t="s">
        <v>444</v>
      </c>
      <c r="B34" s="58" t="s">
        <v>151</v>
      </c>
      <c r="C34" s="60">
        <f>SUMIFS(Janvier!$AB$4:$AB$750,Janvier!$D$4:$D$750,"Janvier",Janvier!$X$4:$X$750,"Cheval")</f>
        <v>1</v>
      </c>
      <c r="D34" s="60">
        <f>SUMIFS(Février!$AB$4:$AB$751,Février!$D$4:$D$751,"Février",Février!$X$4:$X$751,"Cheval")</f>
        <v>1</v>
      </c>
      <c r="E34" s="60">
        <f>SUMIFS(Mars!$AB$4:$AB$751,Mars!$D$4:$D$751,"Mars",Mars!$X$4:$X$751,"Cheval")</f>
        <v>1</v>
      </c>
      <c r="F34" s="60">
        <f>SUMIFS(Avril!$AB$4:$AB$749,Avril!$D$4:$D$749,"Avril",Avril!$X$4:$X$749,"Cheval")</f>
        <v>1</v>
      </c>
      <c r="G34" s="60">
        <f>SUMIFS(Mai!$AB$4:$AB$750,Mai!$D$4:$D$750,"Mai",Mai!$X$4:$X$750,"Cheval")</f>
        <v>2</v>
      </c>
      <c r="H34" s="60">
        <f>SUMIFS(Juin!$AB$4:$AB$750,Juin!$D$4:$D$750,"Juin",Juin!$X$4:$X$750,"Cheval")</f>
        <v>1</v>
      </c>
      <c r="I34" s="60">
        <f>SUMIFS(Juillet!$AB$4:$AB$750,Juillet!$D$4:$D$750,"Juillet",Juillet!$X$4:$X$750,"Cheval")</f>
        <v>1</v>
      </c>
      <c r="J34" s="60">
        <f>SUMIFS(Août!$AB$4:$AB$750,Août!$D$4:$D$750,"Août",Août!$X$4:$X$750,"Cheval")</f>
        <v>1</v>
      </c>
      <c r="K34" s="60">
        <f>SUMIFS(Septembre!$AB$4:$AB$750,Septembre!$D$4:$D$750,"Septembre",Septembre!$X$4:$X$750,"Cheval")</f>
        <v>2</v>
      </c>
      <c r="L34" s="60">
        <f>SUMIFS(Octobre!$AB$4:$AB$750,Octobre!$D$4:$D$750,"Octobre",Octobre!$X$4:$X$750,"Cheval")</f>
        <v>1</v>
      </c>
      <c r="M34" s="60">
        <f>SUMIFS(Novembre!$AB$4:$AB$750,Novembre!$D$4:$D$750,"Novembre",Novembre!$X$4:$X$750,"Cheval")</f>
        <v>1</v>
      </c>
      <c r="N34" s="60">
        <f>SUMIFS(Décembre!$AB$4:$AB$750,Décembre!$D$4:$D$750,"Décembre",Décembre!$X$4:$X$750,"Cheval")</f>
        <v>1</v>
      </c>
      <c r="O34" s="60">
        <f t="shared" si="0"/>
        <v>14</v>
      </c>
    </row>
    <row r="35" spans="1:15" ht="11.4" thickTop="1" thickBot="1" x14ac:dyDescent="0.25">
      <c r="A35" s="58" t="s">
        <v>446</v>
      </c>
      <c r="B35" s="58" t="s">
        <v>154</v>
      </c>
      <c r="C35" s="60">
        <f>SUMIFS(Janvier!$AB$4:$AB$750,Janvier!$D$4:$D$750,"Janvier",Janvier!$X$4:$X$750,"Dinde")</f>
        <v>2</v>
      </c>
      <c r="D35" s="60">
        <f>SUMIFS(Février!$AB$4:$AB$751,Février!$D$4:$D$751,"Février",Février!$X$4:$X$751,"Dinde")</f>
        <v>1</v>
      </c>
      <c r="E35" s="60">
        <f>SUMIFS(Mars!$AB$4:$AB$751,Mars!$D$4:$D$751,"Mars",Mars!$X$4:$X$751,"Dinde")</f>
        <v>1</v>
      </c>
      <c r="F35" s="60">
        <f>SUMIFS(Avril!$AB$4:$AB$749,Avril!$D$4:$D$749,"Avril",Avril!$X$4:$X$749,"Dinde")</f>
        <v>1</v>
      </c>
      <c r="G35" s="60">
        <f>SUMIFS(Mai!$AB$4:$AB$750,Mai!$D$4:$D$750,"Mai",Mai!$X$4:$X$750,"Dinde")</f>
        <v>1</v>
      </c>
      <c r="H35" s="60">
        <f>SUMIFS(Juin!$AB$4:$AB$750,Juin!$D$4:$D$750,"Juin",Juin!$X$4:$X$750,"Dinde")</f>
        <v>2</v>
      </c>
      <c r="I35" s="60">
        <f>SUMIFS(Juillet!$AB$4:$AB$750,Juillet!$D$4:$D$750,"Juillet",Juillet!$X$4:$X$750,"Dinde")</f>
        <v>1</v>
      </c>
      <c r="J35" s="60">
        <f>SUMIFS(Août!$AB$4:$AB$750,Août!$D$4:$D$750,"Août",Août!$X$4:$X$750,"Dinde")</f>
        <v>1</v>
      </c>
      <c r="K35" s="60">
        <f>SUMIFS(Septembre!$AB$4:$AB$750,Septembre!$D$4:$D$750,"Septembre",Septembre!$X$4:$X$750,"Dinde")</f>
        <v>2</v>
      </c>
      <c r="L35" s="60">
        <f>SUMIFS(Octobre!$AB$4:$AB$750,Octobre!$D$4:$D$750,"Octobre",Octobre!$X$4:$X$750,"Dinde")</f>
        <v>1</v>
      </c>
      <c r="M35" s="60">
        <f>SUMIFS(Novembre!$AB$4:$AB$750,Novembre!$D$4:$D$750,"Novembre",Novembre!$X$4:$X$750,"Dinde")</f>
        <v>1</v>
      </c>
      <c r="N35" s="60">
        <f>SUMIFS(Décembre!$AB$4:$AB$750,Décembre!$D$4:$D$750,"Décembre",Décembre!$X$4:$X$750,"Dinde")</f>
        <v>1</v>
      </c>
      <c r="O35" s="60">
        <f t="shared" si="0"/>
        <v>15</v>
      </c>
    </row>
    <row r="36" spans="1:15" ht="11.4" thickTop="1" thickBot="1" x14ac:dyDescent="0.25">
      <c r="A36" s="58" t="s">
        <v>450</v>
      </c>
      <c r="B36" s="58" t="s">
        <v>157</v>
      </c>
      <c r="C36" s="60">
        <f>SUMIFS(Janvier!$AB$4:$AB$750,Janvier!$D$4:$D$750,"Janvier",Janvier!$X$4:$X$750,"Porc")</f>
        <v>1</v>
      </c>
      <c r="D36" s="60">
        <f>SUMIFS(Février!$AB$4:$AB$751,Février!$D$4:$D$751,"Février",Février!$X$4:$X$751,"Porc")</f>
        <v>1</v>
      </c>
      <c r="E36" s="60">
        <f>SUMIFS(Mars!$AB$4:$AB$751,Mars!$D$4:$D$751,"Mars",Mars!$X$4:$X$751,"Porc")</f>
        <v>2</v>
      </c>
      <c r="F36" s="60">
        <f>SUMIFS(Avril!$AB$4:$AB$749,Avril!$D$4:$D$749,"Avril",Avril!$X$4:$X$749,"Porc")</f>
        <v>1</v>
      </c>
      <c r="G36" s="60">
        <f>SUMIFS(Mai!$AB$4:$AB$750,Mai!$D$4:$D$750,"Mai",Mai!$X$4:$X$750,"Porc")</f>
        <v>1</v>
      </c>
      <c r="H36" s="60">
        <f>SUMIFS(Juin!$AB$4:$AB$750,Juin!$D$4:$D$750,"Juin",Juin!$X$4:$X$750,"Porc")</f>
        <v>1</v>
      </c>
      <c r="I36" s="60">
        <f>SUMIFS(Juillet!$AB$4:$AB$750,Juillet!$D$4:$D$750,"Juillet",Juillet!$X$4:$X$750,"Porc")</f>
        <v>2</v>
      </c>
      <c r="J36" s="60">
        <f>SUMIFS(Août!$AB$4:$AB$750,Août!$D$4:$D$750,"Août",Août!$X$4:$X$750,"Porc")</f>
        <v>1</v>
      </c>
      <c r="K36" s="60">
        <f>SUMIFS(Septembre!$AB$4:$AB$750,Septembre!$D$4:$D$750,"Septembre",Septembre!$X$4:$X$750,"Porc")</f>
        <v>1</v>
      </c>
      <c r="L36" s="60">
        <f>SUMIFS(Octobre!$AB$4:$AB$750,Octobre!$D$4:$D$750,"Octobre",Octobre!$X$4:$X$750,"Porc")</f>
        <v>1</v>
      </c>
      <c r="M36" s="60">
        <f>SUMIFS(Novembre!$AB$4:$AB$750,Novembre!$D$4:$D$750,"Novembre",Novembre!$X$4:$X$750,"Porc")</f>
        <v>2</v>
      </c>
      <c r="N36" s="60">
        <f>SUMIFS(Décembre!$AB$4:$AB$750,Décembre!$D$4:$D$750,"Décembre",Décembre!$X$4:$X$750,"Porc")</f>
        <v>1</v>
      </c>
      <c r="O36" s="60">
        <f t="shared" si="0"/>
        <v>15</v>
      </c>
    </row>
    <row r="37" spans="1:15" ht="11.4" thickTop="1" thickBot="1" x14ac:dyDescent="0.25">
      <c r="A37" s="58" t="s">
        <v>452</v>
      </c>
      <c r="B37" s="58" t="s">
        <v>159</v>
      </c>
      <c r="C37" s="60">
        <f>SUMIFS(Janvier!$AB$4:$AB$750,Janvier!$D$4:$D$750,"Janvier",Janvier!$X$4:$X$750,"Veau")</f>
        <v>1</v>
      </c>
      <c r="D37" s="60">
        <f>SUMIFS(Février!$AB$4:$AB$751,Février!$D$4:$D$751,"Février",Février!$X$4:$X$751,"Veau")</f>
        <v>1</v>
      </c>
      <c r="E37" s="60">
        <f>SUMIFS(Mars!$AB$4:$AB$751,Mars!$D$4:$D$751,"Mars",Mars!$X$4:$X$751,"Veau")</f>
        <v>2</v>
      </c>
      <c r="F37" s="60">
        <f>SUMIFS(Avril!$AB$4:$AB$749,Avril!$D$4:$D$749,"Avril",Avril!$X$4:$X$749,"Veau")</f>
        <v>1</v>
      </c>
      <c r="G37" s="60">
        <f>SUMIFS(Mai!$AB$4:$AB$750,Mai!$D$4:$D$750,"Mai",Mai!$X$4:$X$750,"Veau")</f>
        <v>1</v>
      </c>
      <c r="H37" s="60">
        <f>SUMIFS(Juin!$AB$4:$AB$750,Juin!$D$4:$D$750,"Juin",Juin!$X$4:$X$750,"Veau")</f>
        <v>1</v>
      </c>
      <c r="I37" s="60">
        <f>SUMIFS(Juillet!$AB$4:$AB$750,Juillet!$D$4:$D$750,"Juillet",Juillet!$X$4:$X$750,"Veau")</f>
        <v>2</v>
      </c>
      <c r="J37" s="60">
        <f>SUMIFS(Août!$AB$4:$AB$750,Août!$D$4:$D$750,"Août",Août!$X$4:$X$750,"Veau")</f>
        <v>1</v>
      </c>
      <c r="K37" s="60">
        <f>SUMIFS(Septembre!$AB$4:$AB$750,Septembre!$D$4:$D$750,"Septembre",Septembre!$X$4:$X$750,"Veau")</f>
        <v>1</v>
      </c>
      <c r="L37" s="60">
        <f>SUMIFS(Octobre!$AB$4:$AB$750,Octobre!$D$4:$D$750,"Octobre",Octobre!$X$4:$X$750,"Veau")</f>
        <v>1</v>
      </c>
      <c r="M37" s="60">
        <f>SUMIFS(Novembre!$AB$4:$AB$750,Novembre!$D$4:$D$750,"Novembre",Novembre!$X$4:$X$750,"Veau")</f>
        <v>1</v>
      </c>
      <c r="N37" s="60">
        <f>SUMIFS(Décembre!$AB$4:$AB$750,Décembre!$D$4:$D$750,"Décembre",Décembre!$X$4:$X$750,"Veau")</f>
        <v>2</v>
      </c>
      <c r="O37" s="60">
        <f t="shared" si="0"/>
        <v>15</v>
      </c>
    </row>
    <row r="38" spans="1:15" ht="11.4" thickTop="1" thickBot="1" x14ac:dyDescent="0.25">
      <c r="A38" s="58" t="s">
        <v>454</v>
      </c>
      <c r="B38" s="58" t="s">
        <v>161</v>
      </c>
      <c r="C38" s="60">
        <f>SUMIFS(Janvier!$AB$4:$AB$750,Janvier!$D$4:$D$750,"Janvier",Janvier!$X$4:$X$750,"Rôti d'agneau")</f>
        <v>500</v>
      </c>
      <c r="D38" s="60">
        <f>SUMIFS(Février!$AB$4:$AB$751,Février!$D$4:$D$751,"Février",Février!$X$4:$X$751,"Rôti d'agneau")</f>
        <v>500</v>
      </c>
      <c r="E38" s="60">
        <f>SUMIFS(Mars!$AB$4:$AB$751,Mars!$D$4:$D$751,"Mars",Mars!$X$4:$X$751,"Rôti d'agneau")</f>
        <v>500</v>
      </c>
      <c r="F38" s="60">
        <f>SUMIFS(Avril!$AB$4:$AB$749,Avril!$D$4:$D$749,"Avril",Avril!$X$4:$X$749,"Rôti d'agneau")</f>
        <v>500</v>
      </c>
      <c r="G38" s="60">
        <f>SUMIFS(Mai!$AB$4:$AB$750,Mai!$D$4:$D$750,"Mai",Mai!$X$4:$X$750,"Rôti d'agneau")</f>
        <v>500</v>
      </c>
      <c r="H38" s="60">
        <f>SUMIFS(Juin!$AB$4:$AB$750,Juin!$D$4:$D$750,"Juin",Juin!$X$4:$X$750,"Rôti d'agneau")</f>
        <v>500</v>
      </c>
      <c r="I38" s="60">
        <f>SUMIFS(Juillet!$AB$4:$AB$750,Juillet!$D$4:$D$750,"Juillet",Juillet!$X$4:$X$750,"Rôti d'agneau")</f>
        <v>200</v>
      </c>
      <c r="J38" s="60">
        <f>SUMIFS(Août!$AB$4:$AB$750,Août!$D$4:$D$750,"Août",Août!$X$4:$X$750,"Rôti d'agneau")</f>
        <v>600</v>
      </c>
      <c r="K38" s="60">
        <f>SUMIFS(Septembre!$AB$4:$AB$750,Septembre!$D$4:$D$750,"Septembre",Septembre!$X$4:$X$750,"Rôti d'agneau")</f>
        <v>500</v>
      </c>
      <c r="L38" s="60">
        <f>SUMIFS(Octobre!$AB$4:$AB$750,Octobre!$D$4:$D$750,"Octobre",Octobre!$X$4:$X$750,"Rôti d'agneau")</f>
        <v>500</v>
      </c>
      <c r="M38" s="60">
        <f>SUMIFS(Novembre!$AB$4:$AB$750,Novembre!$D$4:$D$750,"Novembre",Novembre!$X$4:$X$750,"Rôti d'agneau")</f>
        <v>500</v>
      </c>
      <c r="N38" s="60">
        <f>SUMIFS(Décembre!$AB$4:$AB$750,Décembre!$D$4:$D$750,"Décembre",Décembre!$X$4:$X$750,"Rôti d'agneau")</f>
        <v>500</v>
      </c>
      <c r="O38" s="60">
        <f t="shared" si="0"/>
        <v>5800</v>
      </c>
    </row>
    <row r="39" spans="1:15" ht="11.4" thickTop="1" thickBot="1" x14ac:dyDescent="0.25">
      <c r="A39" s="58" t="s">
        <v>456</v>
      </c>
      <c r="B39" s="58" t="s">
        <v>163</v>
      </c>
      <c r="C39" s="60">
        <f>SUMIFS(Janvier!$AB$4:$AB$750,Janvier!$D$4:$D$750,"Janvier",Janvier!$X$4:$X$750,"Rôti de bœuf")</f>
        <v>500</v>
      </c>
      <c r="D39" s="60">
        <f>SUMIFS(Février!$AB$4:$AB$751,Février!$D$4:$D$751,"Février",Février!$X$4:$X$751,"Rôti de bœuf")</f>
        <v>500</v>
      </c>
      <c r="E39" s="60">
        <f>SUMIFS(Mars!$AB$4:$AB$751,Mars!$D$4:$D$751,"Mars",Mars!$X$4:$X$751,"Rôti de bœuf")</f>
        <v>500</v>
      </c>
      <c r="F39" s="60">
        <f>SUMIFS(Avril!$AB$4:$AB$749,Avril!$D$4:$D$749,"Avril",Avril!$X$4:$X$749,"Rôti de bœuf")</f>
        <v>500</v>
      </c>
      <c r="G39" s="60">
        <f>SUMIFS(Mai!$AB$4:$AB$750,Mai!$D$4:$D$750,"Mai",Mai!$X$4:$X$750,"Rôti de bœuf")</f>
        <v>400</v>
      </c>
      <c r="H39" s="60">
        <f>SUMIFS(Juin!$AB$4:$AB$750,Juin!$D$4:$D$750,"Juin",Juin!$X$4:$X$750,"Rôti de bœuf")</f>
        <v>100</v>
      </c>
      <c r="I39" s="60">
        <f>SUMIFS(Juillet!$AB$4:$AB$750,Juillet!$D$4:$D$750,"Juillet",Juillet!$X$4:$X$750,"Rôti de bœuf")</f>
        <v>500</v>
      </c>
      <c r="J39" s="60">
        <f>SUMIFS(Août!$AB$4:$AB$750,Août!$D$4:$D$750,"Août",Août!$X$4:$X$750,"Rôti de bœuf")</f>
        <v>600</v>
      </c>
      <c r="K39" s="60">
        <f>SUMIFS(Septembre!$AB$4:$AB$750,Septembre!$D$4:$D$750,"Septembre",Septembre!$X$4:$X$750,"Rôti de bœuf")</f>
        <v>500</v>
      </c>
      <c r="L39" s="60">
        <f>SUMIFS(Octobre!$AB$4:$AB$750,Octobre!$D$4:$D$750,"Octobre",Octobre!$X$4:$X$750,"Rôti de bœuf")</f>
        <v>500</v>
      </c>
      <c r="M39" s="60">
        <f>SUMIFS(Novembre!$AB$4:$AB$750,Novembre!$D$4:$D$750,"Novembre",Novembre!$X$4:$X$750,"Rôti de bœuf")</f>
        <v>500</v>
      </c>
      <c r="N39" s="60">
        <f>SUMIFS(Décembre!$AB$4:$AB$750,Décembre!$D$4:$D$750,"Décembre",Décembre!$X$4:$X$750,"Rôti de bœuf")</f>
        <v>500</v>
      </c>
      <c r="O39" s="60">
        <f t="shared" si="0"/>
        <v>5600</v>
      </c>
    </row>
    <row r="40" spans="1:15" ht="11.4" thickTop="1" thickBot="1" x14ac:dyDescent="0.25">
      <c r="A40" s="58" t="s">
        <v>457</v>
      </c>
      <c r="B40" s="58" t="s">
        <v>164</v>
      </c>
      <c r="C40" s="60">
        <f>SUMIFS(Janvier!$AB$4:$AB$750,Janvier!$D$4:$D$750,"Janvier",Janvier!$X$4:$X$750,"Rôti de cheval")</f>
        <v>500</v>
      </c>
      <c r="D40" s="60">
        <f>SUMIFS(Février!$AB$4:$AB$751,Février!$D$4:$D$751,"Février",Février!$X$4:$X$751,"Rôti de cheval")</f>
        <v>500</v>
      </c>
      <c r="E40" s="60">
        <f>SUMIFS(Mars!$AB$4:$AB$751,Mars!$D$4:$D$751,"Mars",Mars!$X$4:$X$751,"Rôti de cheval")</f>
        <v>500</v>
      </c>
      <c r="F40" s="60">
        <f>SUMIFS(Avril!$AB$4:$AB$749,Avril!$D$4:$D$749,"Avril",Avril!$X$4:$X$749,"Rôti de cheval")</f>
        <v>100</v>
      </c>
      <c r="G40" s="60">
        <f>SUMIFS(Mai!$AB$4:$AB$750,Mai!$D$4:$D$750,"Mai",Mai!$X$4:$X$750,"Rôti de cheval")</f>
        <v>400</v>
      </c>
      <c r="H40" s="60">
        <f>SUMIFS(Juin!$AB$4:$AB$750,Juin!$D$4:$D$750,"Juin",Juin!$X$4:$X$750,"Rôti de cheval")</f>
        <v>500</v>
      </c>
      <c r="I40" s="60">
        <f>SUMIFS(Juillet!$AB$4:$AB$750,Juillet!$D$4:$D$750,"Juillet",Juillet!$X$4:$X$750,"Rôti de cheval")</f>
        <v>500</v>
      </c>
      <c r="J40" s="60">
        <f>SUMIFS(Août!$AB$4:$AB$750,Août!$D$4:$D$750,"Août",Août!$X$4:$X$750,"Rôti de cheval")</f>
        <v>500</v>
      </c>
      <c r="K40" s="60">
        <f>SUMIFS(Septembre!$AB$4:$AB$750,Septembre!$D$4:$D$750,"Septembre",Septembre!$X$4:$X$750,"Rôti de cheval")</f>
        <v>500</v>
      </c>
      <c r="L40" s="60">
        <f>SUMIFS(Octobre!$AB$4:$AB$750,Octobre!$D$4:$D$750,"Octobre",Octobre!$X$4:$X$750,"Rôti de cheval")</f>
        <v>500</v>
      </c>
      <c r="M40" s="60">
        <f>SUMIFS(Novembre!$AB$4:$AB$750,Novembre!$D$4:$D$750,"Novembre",Novembre!$X$4:$X$750,"Rôti de cheval")</f>
        <v>500</v>
      </c>
      <c r="N40" s="60">
        <f>SUMIFS(Décembre!$AB$4:$AB$750,Décembre!$D$4:$D$750,"Décembre",Décembre!$X$4:$X$750,"Rôti de cheval")</f>
        <v>100</v>
      </c>
      <c r="O40" s="60">
        <f t="shared" si="0"/>
        <v>5100</v>
      </c>
    </row>
    <row r="41" spans="1:15" ht="11.4" thickTop="1" thickBot="1" x14ac:dyDescent="0.25">
      <c r="A41" s="58" t="s">
        <v>459</v>
      </c>
      <c r="B41" s="58" t="s">
        <v>165</v>
      </c>
      <c r="C41" s="60">
        <f>SUMIFS(Janvier!$AB$4:$AB$750,Janvier!$D$4:$D$750,"Janvier",Janvier!$X$4:$X$750,"Rôti de porc")</f>
        <v>500</v>
      </c>
      <c r="D41" s="60">
        <f>SUMIFS(Février!$AB$4:$AB$751,Février!$D$4:$D$751,"Février",Février!$X$4:$X$751,"Rôti de porc")</f>
        <v>300</v>
      </c>
      <c r="E41" s="60">
        <f>SUMIFS(Mars!$AB$4:$AB$751,Mars!$D$4:$D$751,"Mars",Mars!$X$4:$X$751,"Rôti de porc")</f>
        <v>200</v>
      </c>
      <c r="F41" s="60">
        <f>SUMIFS(Avril!$AB$4:$AB$749,Avril!$D$4:$D$749,"Avril",Avril!$X$4:$X$749,"Rôti de porc")</f>
        <v>500</v>
      </c>
      <c r="G41" s="60">
        <f>SUMIFS(Mai!$AB$4:$AB$750,Mai!$D$4:$D$750,"Mai",Mai!$X$4:$X$750,"Rôti de porc")</f>
        <v>500</v>
      </c>
      <c r="H41" s="60">
        <f>SUMIFS(Juin!$AB$4:$AB$750,Juin!$D$4:$D$750,"Juin",Juin!$X$4:$X$750,"Rôti de porc")</f>
        <v>500</v>
      </c>
      <c r="I41" s="60">
        <f>SUMIFS(Juillet!$AB$4:$AB$750,Juillet!$D$4:$D$750,"Juillet",Juillet!$X$4:$X$750,"Rôti de porc")</f>
        <v>500</v>
      </c>
      <c r="J41" s="60">
        <f>SUMIFS(Août!$AB$4:$AB$750,Août!$D$4:$D$750,"Août",Août!$X$4:$X$750,"Rôti de porc")</f>
        <v>500</v>
      </c>
      <c r="K41" s="60">
        <f>SUMIFS(Septembre!$AB$4:$AB$750,Septembre!$D$4:$D$750,"Septembre",Septembre!$X$4:$X$750,"Rôti de porc")</f>
        <v>500</v>
      </c>
      <c r="L41" s="60">
        <f>SUMIFS(Octobre!$AB$4:$AB$750,Octobre!$D$4:$D$750,"Octobre",Octobre!$X$4:$X$750,"Rôti de porc")</f>
        <v>300</v>
      </c>
      <c r="M41" s="60">
        <f>SUMIFS(Novembre!$AB$4:$AB$750,Novembre!$D$4:$D$750,"Novembre",Novembre!$X$4:$X$750,"Rôti de porc")</f>
        <v>200</v>
      </c>
      <c r="N41" s="60">
        <f>SUMIFS(Décembre!$AB$4:$AB$750,Décembre!$D$4:$D$750,"Décembre",Décembre!$X$4:$X$750,"Rôti de porc")</f>
        <v>500</v>
      </c>
      <c r="O41" s="60">
        <f t="shared" si="0"/>
        <v>5000</v>
      </c>
    </row>
    <row r="42" spans="1:15" ht="11.4" thickTop="1" thickBot="1" x14ac:dyDescent="0.25">
      <c r="A42" s="58" t="s">
        <v>462</v>
      </c>
      <c r="B42" s="58" t="s">
        <v>166</v>
      </c>
      <c r="C42" s="60">
        <f>SUMIFS(Janvier!$AB$4:$AB$750,Janvier!$D$4:$D$750,"Janvier",Janvier!$X$4:$X$750,"Rôti de veau")</f>
        <v>300</v>
      </c>
      <c r="D42" s="60">
        <f>SUMIFS(Février!$AB$4:$AB$751,Février!$D$4:$D$751,"Février",Février!$X$4:$X$751,"Rôti de veau")</f>
        <v>200</v>
      </c>
      <c r="E42" s="60">
        <f>SUMIFS(Mars!$AB$4:$AB$751,Mars!$D$4:$D$751,"Mars",Mars!$X$4:$X$751,"Rôti de veau")</f>
        <v>500</v>
      </c>
      <c r="F42" s="60">
        <f>SUMIFS(Avril!$AB$4:$AB$749,Avril!$D$4:$D$749,"Avril",Avril!$X$4:$X$749,"Rôti de veau")</f>
        <v>500</v>
      </c>
      <c r="G42" s="60">
        <f>SUMIFS(Mai!$AB$4:$AB$750,Mai!$D$4:$D$750,"Mai",Mai!$X$4:$X$750,"Rôti de veau")</f>
        <v>500</v>
      </c>
      <c r="H42" s="60">
        <f>SUMIFS(Juin!$AB$4:$AB$750,Juin!$D$4:$D$750,"Juin",Juin!$X$4:$X$750,"Rôti de veau")</f>
        <v>500</v>
      </c>
      <c r="I42" s="60">
        <f>SUMIFS(Juillet!$AB$4:$AB$750,Juillet!$D$4:$D$750,"Juillet",Juillet!$X$4:$X$750,"Rôti de veau")</f>
        <v>500</v>
      </c>
      <c r="J42" s="60">
        <f>SUMIFS(Août!$AB$4:$AB$750,Août!$D$4:$D$750,"Août",Août!$X$4:$X$750,"Rôti de veau")</f>
        <v>500</v>
      </c>
      <c r="K42" s="60">
        <f>SUMIFS(Septembre!$AB$4:$AB$750,Septembre!$D$4:$D$750,"Septembre",Septembre!$X$4:$X$750,"Rôti de veau")</f>
        <v>0</v>
      </c>
      <c r="L42" s="60">
        <f>SUMIFS(Octobre!$AB$4:$AB$750,Octobre!$D$4:$D$750,"Octobre",Octobre!$X$4:$X$750,"Rôti de veau")</f>
        <v>500</v>
      </c>
      <c r="M42" s="60">
        <f>SUMIFS(Novembre!$AB$4:$AB$750,Novembre!$D$4:$D$750,"Novembre",Novembre!$X$4:$X$750,"Rôti de veau")</f>
        <v>500</v>
      </c>
      <c r="N42" s="60">
        <f>SUMIFS(Décembre!$AB$4:$AB$750,Décembre!$D$4:$D$750,"Décembre",Décembre!$X$4:$X$750,"Rôti de veau")</f>
        <v>500</v>
      </c>
      <c r="O42" s="60">
        <f t="shared" si="0"/>
        <v>5000</v>
      </c>
    </row>
    <row r="43" spans="1:15" ht="11.4" thickTop="1" thickBot="1" x14ac:dyDescent="0.25">
      <c r="A43" s="70" t="s">
        <v>1359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</row>
    <row r="44" spans="1:15" ht="10.8" thickTop="1" x14ac:dyDescent="0.2"/>
  </sheetData>
  <mergeCells count="2">
    <mergeCell ref="A1:O1"/>
    <mergeCell ref="A43:O43"/>
  </mergeCells>
  <printOptions horizontalCentered="1" verticalCentered="1"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ropositionMenusMidiRetraite"/>
  <dimension ref="A1:H586"/>
  <sheetViews>
    <sheetView workbookViewId="0">
      <selection sqref="A1:H1"/>
    </sheetView>
  </sheetViews>
  <sheetFormatPr baseColWidth="10" defaultColWidth="11.07421875" defaultRowHeight="7.8" x14ac:dyDescent="0.15"/>
  <cols>
    <col min="1" max="1" width="10.23046875" style="23" customWidth="1"/>
    <col min="2" max="8" width="13.3828125" style="23" customWidth="1"/>
    <col min="9" max="16384" width="11.07421875" style="23"/>
  </cols>
  <sheetData>
    <row r="1" spans="1:8" ht="9" thickTop="1" thickBot="1" x14ac:dyDescent="0.2">
      <c r="A1" s="71" t="s">
        <v>593</v>
      </c>
      <c r="B1" s="71"/>
      <c r="C1" s="71"/>
      <c r="D1" s="71"/>
      <c r="E1" s="71"/>
      <c r="F1" s="71"/>
      <c r="G1" s="71"/>
      <c r="H1" s="71"/>
    </row>
    <row r="2" spans="1:8" ht="9" thickTop="1" thickBot="1" x14ac:dyDescent="0.2">
      <c r="A2" s="24" t="s">
        <v>514</v>
      </c>
      <c r="B2" s="26" t="s">
        <v>580</v>
      </c>
      <c r="C2" s="26" t="s">
        <v>581</v>
      </c>
      <c r="D2" s="26" t="s">
        <v>582</v>
      </c>
      <c r="E2" s="26" t="s">
        <v>583</v>
      </c>
      <c r="F2" s="26" t="s">
        <v>584</v>
      </c>
      <c r="G2" s="26" t="s">
        <v>585</v>
      </c>
      <c r="H2" s="26" t="s">
        <v>586</v>
      </c>
    </row>
    <row r="3" spans="1:8" ht="9.75" thickTop="1" thickBot="1" x14ac:dyDescent="0.2">
      <c r="A3" s="24" t="s">
        <v>515</v>
      </c>
      <c r="B3" s="25">
        <v>43101</v>
      </c>
      <c r="C3" s="25">
        <v>43102</v>
      </c>
      <c r="D3" s="25">
        <v>43103</v>
      </c>
      <c r="E3" s="25">
        <v>43104</v>
      </c>
      <c r="F3" s="25">
        <v>43105</v>
      </c>
      <c r="G3" s="25">
        <v>43108</v>
      </c>
      <c r="H3" s="25">
        <v>43109</v>
      </c>
    </row>
    <row r="4" spans="1:8" ht="9" thickTop="1" thickBot="1" x14ac:dyDescent="0.2">
      <c r="A4" s="24" t="s">
        <v>587</v>
      </c>
      <c r="B4" s="24"/>
      <c r="C4" s="24"/>
      <c r="D4" s="24"/>
      <c r="E4" s="24"/>
      <c r="F4" s="24"/>
      <c r="G4" s="24"/>
      <c r="H4" s="24"/>
    </row>
    <row r="5" spans="1:8" ht="9" thickTop="1" thickBot="1" x14ac:dyDescent="0.2">
      <c r="A5" s="24" t="s">
        <v>522</v>
      </c>
      <c r="B5" s="24"/>
      <c r="C5" s="24"/>
      <c r="D5" s="24"/>
      <c r="E5" s="24"/>
      <c r="F5" s="24"/>
      <c r="G5" s="24"/>
      <c r="H5" s="24"/>
    </row>
    <row r="6" spans="1:8" ht="9" thickTop="1" thickBot="1" x14ac:dyDescent="0.2">
      <c r="A6" s="24" t="s">
        <v>525</v>
      </c>
      <c r="B6" s="24"/>
      <c r="C6" s="24"/>
      <c r="D6" s="24"/>
      <c r="E6" s="24"/>
      <c r="F6" s="24"/>
      <c r="G6" s="24"/>
      <c r="H6" s="24"/>
    </row>
    <row r="7" spans="1:8" ht="9" thickTop="1" thickBot="1" x14ac:dyDescent="0.2">
      <c r="A7" s="24" t="s">
        <v>588</v>
      </c>
      <c r="B7" s="24"/>
      <c r="C7" s="24"/>
      <c r="D7" s="24"/>
      <c r="E7" s="24"/>
      <c r="F7" s="24"/>
      <c r="G7" s="24"/>
      <c r="H7" s="24"/>
    </row>
    <row r="8" spans="1:8" ht="9.75" thickTop="1" thickBot="1" x14ac:dyDescent="0.2">
      <c r="A8" s="24" t="s">
        <v>528</v>
      </c>
      <c r="B8" s="24"/>
      <c r="C8" s="24"/>
      <c r="D8" s="24"/>
      <c r="E8" s="24"/>
      <c r="F8" s="24"/>
      <c r="G8" s="24"/>
      <c r="H8" s="24"/>
    </row>
    <row r="9" spans="1:8" ht="9" thickTop="1" thickBot="1" x14ac:dyDescent="0.2">
      <c r="A9" s="24" t="s">
        <v>531</v>
      </c>
      <c r="B9" s="24"/>
      <c r="C9" s="24"/>
      <c r="D9" s="24"/>
      <c r="E9" s="24"/>
      <c r="F9" s="24"/>
      <c r="G9" s="24"/>
      <c r="H9" s="24"/>
    </row>
    <row r="10" spans="1:8" ht="9" thickTop="1" thickBot="1" x14ac:dyDescent="0.2">
      <c r="A10" s="24" t="s">
        <v>589</v>
      </c>
      <c r="B10" s="24"/>
      <c r="C10" s="24"/>
      <c r="D10" s="24"/>
      <c r="E10" s="24"/>
      <c r="F10" s="24"/>
      <c r="G10" s="24"/>
      <c r="H10" s="24"/>
    </row>
    <row r="11" spans="1:8" ht="9.75" thickTop="1" thickBot="1" x14ac:dyDescent="0.2">
      <c r="A11" s="24" t="s">
        <v>517</v>
      </c>
      <c r="B11" s="24"/>
      <c r="C11" s="24"/>
      <c r="D11" s="24"/>
      <c r="E11" s="24"/>
      <c r="F11" s="24"/>
      <c r="G11" s="24"/>
      <c r="H11" s="24"/>
    </row>
    <row r="12" spans="1:8" ht="9" thickTop="1" thickBot="1" x14ac:dyDescent="0.2">
      <c r="A12" s="24" t="s">
        <v>520</v>
      </c>
      <c r="B12" s="24"/>
      <c r="C12" s="24"/>
      <c r="D12" s="24"/>
      <c r="E12" s="24"/>
      <c r="F12" s="24"/>
      <c r="G12" s="24"/>
      <c r="H12" s="24"/>
    </row>
    <row r="13" spans="1:8" ht="9" thickTop="1" thickBot="1" x14ac:dyDescent="0.2">
      <c r="A13" s="24" t="s">
        <v>590</v>
      </c>
      <c r="B13" s="24"/>
      <c r="C13" s="24"/>
      <c r="D13" s="24"/>
      <c r="E13" s="24"/>
      <c r="F13" s="24"/>
      <c r="G13" s="24"/>
      <c r="H13" s="24"/>
    </row>
    <row r="14" spans="1:8" ht="9.75" thickTop="1" thickBot="1" x14ac:dyDescent="0.2">
      <c r="A14" s="24" t="s">
        <v>533</v>
      </c>
      <c r="B14" s="24"/>
      <c r="C14" s="24"/>
      <c r="D14" s="24"/>
      <c r="E14" s="24"/>
      <c r="F14" s="24"/>
      <c r="G14" s="24"/>
      <c r="H14" s="24"/>
    </row>
    <row r="15" spans="1:8" ht="9.75" thickTop="1" thickBot="1" x14ac:dyDescent="0.2"/>
    <row r="16" spans="1:8" ht="9.75" thickTop="1" thickBot="1" x14ac:dyDescent="0.2">
      <c r="A16" s="71" t="s">
        <v>579</v>
      </c>
      <c r="B16" s="71"/>
      <c r="C16" s="71"/>
      <c r="D16" s="71"/>
      <c r="E16" s="71"/>
      <c r="F16" s="71"/>
      <c r="G16" s="71"/>
      <c r="H16" s="71"/>
    </row>
    <row r="17" spans="1:8" ht="9" thickTop="1" thickBot="1" x14ac:dyDescent="0.2">
      <c r="A17" s="24" t="s">
        <v>514</v>
      </c>
      <c r="B17" s="26">
        <f>B2+7</f>
        <v>8</v>
      </c>
      <c r="C17" s="26">
        <f t="shared" ref="C17:H17" si="0">C2+7</f>
        <v>9</v>
      </c>
      <c r="D17" s="26">
        <f t="shared" si="0"/>
        <v>10</v>
      </c>
      <c r="E17" s="26">
        <f t="shared" si="0"/>
        <v>11</v>
      </c>
      <c r="F17" s="26">
        <f t="shared" si="0"/>
        <v>12</v>
      </c>
      <c r="G17" s="26">
        <f t="shared" si="0"/>
        <v>13</v>
      </c>
      <c r="H17" s="26">
        <f t="shared" si="0"/>
        <v>14</v>
      </c>
    </row>
    <row r="18" spans="1:8" ht="9.75" thickTop="1" thickBot="1" x14ac:dyDescent="0.2">
      <c r="A18" s="24" t="s">
        <v>515</v>
      </c>
      <c r="B18" s="25">
        <v>43110</v>
      </c>
      <c r="C18" s="25">
        <v>43111</v>
      </c>
      <c r="D18" s="25">
        <v>43112</v>
      </c>
      <c r="E18" s="25">
        <v>43114</v>
      </c>
      <c r="F18" s="25">
        <v>43115</v>
      </c>
      <c r="G18" s="25">
        <v>43116</v>
      </c>
      <c r="H18" s="25">
        <v>43117</v>
      </c>
    </row>
    <row r="19" spans="1:8" ht="9" thickTop="1" thickBot="1" x14ac:dyDescent="0.2">
      <c r="A19" s="24" t="s">
        <v>587</v>
      </c>
      <c r="B19" s="24"/>
      <c r="C19" s="24"/>
      <c r="D19" s="24"/>
      <c r="E19" s="24"/>
      <c r="F19" s="31"/>
      <c r="G19" s="24"/>
      <c r="H19" s="24"/>
    </row>
    <row r="20" spans="1:8" ht="9" thickTop="1" thickBot="1" x14ac:dyDescent="0.2">
      <c r="A20" s="24" t="s">
        <v>522</v>
      </c>
      <c r="B20" s="24"/>
      <c r="C20" s="24"/>
      <c r="D20" s="24"/>
      <c r="E20" s="24"/>
      <c r="F20" s="24"/>
      <c r="G20" s="24"/>
      <c r="H20" s="24"/>
    </row>
    <row r="21" spans="1:8" ht="9" thickTop="1" thickBot="1" x14ac:dyDescent="0.2">
      <c r="A21" s="24" t="s">
        <v>525</v>
      </c>
      <c r="B21" s="24"/>
      <c r="C21" s="24"/>
      <c r="D21" s="24"/>
      <c r="E21" s="24"/>
      <c r="F21" s="24"/>
      <c r="G21" s="24"/>
      <c r="H21" s="24"/>
    </row>
    <row r="22" spans="1:8" ht="9" thickTop="1" thickBot="1" x14ac:dyDescent="0.2">
      <c r="A22" s="24" t="s">
        <v>588</v>
      </c>
      <c r="B22" s="24"/>
      <c r="C22" s="24"/>
      <c r="D22" s="24"/>
      <c r="E22" s="24"/>
      <c r="F22" s="24"/>
      <c r="G22" s="24"/>
      <c r="H22" s="24"/>
    </row>
    <row r="23" spans="1:8" ht="9.75" thickTop="1" thickBot="1" x14ac:dyDescent="0.2">
      <c r="A23" s="24" t="s">
        <v>528</v>
      </c>
      <c r="B23" s="24"/>
      <c r="C23" s="24"/>
      <c r="D23" s="24"/>
      <c r="E23" s="24"/>
      <c r="F23" s="24"/>
      <c r="G23" s="24"/>
      <c r="H23" s="24"/>
    </row>
    <row r="24" spans="1:8" ht="9" thickTop="1" thickBot="1" x14ac:dyDescent="0.2">
      <c r="A24" s="24" t="s">
        <v>531</v>
      </c>
      <c r="B24" s="24"/>
      <c r="C24" s="24"/>
      <c r="D24" s="24"/>
      <c r="E24" s="24"/>
      <c r="F24" s="24"/>
      <c r="G24" s="24"/>
      <c r="H24" s="24"/>
    </row>
    <row r="25" spans="1:8" ht="9" thickTop="1" thickBot="1" x14ac:dyDescent="0.2">
      <c r="A25" s="24" t="s">
        <v>589</v>
      </c>
      <c r="B25" s="24"/>
      <c r="C25" s="24"/>
      <c r="D25" s="24"/>
      <c r="E25" s="24"/>
      <c r="F25" s="24"/>
      <c r="G25" s="24"/>
      <c r="H25" s="24"/>
    </row>
    <row r="26" spans="1:8" ht="9.75" thickTop="1" thickBot="1" x14ac:dyDescent="0.2">
      <c r="A26" s="24" t="s">
        <v>517</v>
      </c>
      <c r="B26" s="24"/>
      <c r="C26" s="24"/>
      <c r="D26" s="24"/>
      <c r="E26" s="24"/>
      <c r="F26" s="24"/>
      <c r="G26" s="24"/>
      <c r="H26" s="24"/>
    </row>
    <row r="27" spans="1:8" ht="9" thickTop="1" thickBot="1" x14ac:dyDescent="0.2">
      <c r="A27" s="24" t="s">
        <v>520</v>
      </c>
      <c r="B27" s="24"/>
      <c r="C27" s="24"/>
      <c r="D27" s="24"/>
      <c r="E27" s="24"/>
      <c r="F27" s="24"/>
      <c r="G27" s="24"/>
      <c r="H27" s="24"/>
    </row>
    <row r="28" spans="1:8" ht="9" thickTop="1" thickBot="1" x14ac:dyDescent="0.2">
      <c r="A28" s="24" t="s">
        <v>590</v>
      </c>
      <c r="B28" s="24"/>
      <c r="C28" s="24"/>
      <c r="D28" s="24"/>
      <c r="E28" s="24"/>
      <c r="F28" s="24"/>
      <c r="G28" s="24"/>
      <c r="H28" s="24"/>
    </row>
    <row r="29" spans="1:8" ht="9.75" thickTop="1" thickBot="1" x14ac:dyDescent="0.2">
      <c r="A29" s="24" t="s">
        <v>533</v>
      </c>
      <c r="B29" s="24"/>
      <c r="C29" s="24"/>
      <c r="D29" s="24"/>
      <c r="E29" s="24"/>
      <c r="F29" s="24"/>
      <c r="G29" s="24"/>
      <c r="H29" s="24"/>
    </row>
    <row r="30" spans="1:8" ht="9.75" thickTop="1" thickBot="1" x14ac:dyDescent="0.2"/>
    <row r="31" spans="1:8" ht="9.75" thickTop="1" thickBot="1" x14ac:dyDescent="0.2">
      <c r="A31" s="71" t="s">
        <v>579</v>
      </c>
      <c r="B31" s="71"/>
      <c r="C31" s="71"/>
      <c r="D31" s="71"/>
      <c r="E31" s="71"/>
      <c r="F31" s="71"/>
      <c r="G31" s="71"/>
      <c r="H31" s="71"/>
    </row>
    <row r="32" spans="1:8" ht="9" thickTop="1" thickBot="1" x14ac:dyDescent="0.2">
      <c r="A32" s="24" t="s">
        <v>514</v>
      </c>
      <c r="B32" s="26">
        <f>B17+7</f>
        <v>15</v>
      </c>
      <c r="C32" s="26">
        <f t="shared" ref="C32:H32" si="1">C17+7</f>
        <v>16</v>
      </c>
      <c r="D32" s="26">
        <f t="shared" si="1"/>
        <v>17</v>
      </c>
      <c r="E32" s="26">
        <f t="shared" si="1"/>
        <v>18</v>
      </c>
      <c r="F32" s="26">
        <f t="shared" si="1"/>
        <v>19</v>
      </c>
      <c r="G32" s="26">
        <f t="shared" si="1"/>
        <v>20</v>
      </c>
      <c r="H32" s="26">
        <f t="shared" si="1"/>
        <v>21</v>
      </c>
    </row>
    <row r="33" spans="1:8" ht="9.75" thickTop="1" thickBot="1" x14ac:dyDescent="0.2">
      <c r="A33" s="24" t="s">
        <v>515</v>
      </c>
      <c r="B33" s="25">
        <v>43118</v>
      </c>
      <c r="C33" s="25">
        <v>43119</v>
      </c>
      <c r="D33" s="25">
        <v>43122</v>
      </c>
      <c r="E33" s="25">
        <v>43123</v>
      </c>
      <c r="F33" s="25">
        <v>43124</v>
      </c>
      <c r="G33" s="25">
        <v>43125</v>
      </c>
      <c r="H33" s="25">
        <v>43126</v>
      </c>
    </row>
    <row r="34" spans="1:8" ht="9" thickTop="1" thickBot="1" x14ac:dyDescent="0.2">
      <c r="A34" s="24" t="s">
        <v>587</v>
      </c>
      <c r="B34" s="24"/>
      <c r="C34" s="24"/>
      <c r="D34" s="24"/>
      <c r="E34" s="24"/>
      <c r="F34" s="24"/>
      <c r="G34" s="24"/>
      <c r="H34" s="24"/>
    </row>
    <row r="35" spans="1:8" ht="9" thickTop="1" thickBot="1" x14ac:dyDescent="0.2">
      <c r="A35" s="24" t="s">
        <v>522</v>
      </c>
      <c r="B35" s="24"/>
      <c r="C35" s="24"/>
      <c r="D35" s="24"/>
      <c r="E35" s="24"/>
      <c r="F35" s="24"/>
      <c r="G35" s="24"/>
      <c r="H35" s="24"/>
    </row>
    <row r="36" spans="1:8" ht="9" thickTop="1" thickBot="1" x14ac:dyDescent="0.2">
      <c r="A36" s="24" t="s">
        <v>525</v>
      </c>
      <c r="B36" s="24"/>
      <c r="C36" s="24"/>
      <c r="D36" s="24"/>
      <c r="E36" s="24"/>
      <c r="F36" s="24"/>
      <c r="G36" s="24"/>
      <c r="H36" s="24"/>
    </row>
    <row r="37" spans="1:8" ht="9" thickTop="1" thickBot="1" x14ac:dyDescent="0.2">
      <c r="A37" s="24" t="s">
        <v>588</v>
      </c>
      <c r="B37" s="24"/>
      <c r="C37" s="24"/>
      <c r="D37" s="24"/>
      <c r="E37" s="24"/>
      <c r="F37" s="24"/>
      <c r="G37" s="24"/>
      <c r="H37" s="24"/>
    </row>
    <row r="38" spans="1:8" ht="9.75" thickTop="1" thickBot="1" x14ac:dyDescent="0.2">
      <c r="A38" s="24" t="s">
        <v>528</v>
      </c>
      <c r="B38" s="24"/>
      <c r="C38" s="24"/>
      <c r="D38" s="24"/>
      <c r="E38" s="24"/>
      <c r="F38" s="24"/>
      <c r="G38" s="24"/>
      <c r="H38" s="24"/>
    </row>
    <row r="39" spans="1:8" ht="9" thickTop="1" thickBot="1" x14ac:dyDescent="0.2">
      <c r="A39" s="24" t="s">
        <v>531</v>
      </c>
      <c r="B39" s="24"/>
      <c r="C39" s="24"/>
      <c r="D39" s="24"/>
      <c r="E39" s="24"/>
      <c r="F39" s="24"/>
      <c r="G39" s="24"/>
      <c r="H39" s="24"/>
    </row>
    <row r="40" spans="1:8" ht="9" thickTop="1" thickBot="1" x14ac:dyDescent="0.2">
      <c r="A40" s="24" t="s">
        <v>589</v>
      </c>
      <c r="B40" s="24"/>
      <c r="C40" s="24"/>
      <c r="D40" s="24"/>
      <c r="E40" s="24"/>
      <c r="F40" s="24"/>
      <c r="G40" s="24"/>
      <c r="H40" s="24"/>
    </row>
    <row r="41" spans="1:8" ht="9.75" thickTop="1" thickBot="1" x14ac:dyDescent="0.2">
      <c r="A41" s="24" t="s">
        <v>517</v>
      </c>
      <c r="B41" s="24"/>
      <c r="C41" s="24"/>
      <c r="D41" s="24"/>
      <c r="E41" s="24"/>
      <c r="F41" s="24"/>
      <c r="G41" s="24"/>
      <c r="H41" s="24"/>
    </row>
    <row r="42" spans="1:8" ht="9" thickTop="1" thickBot="1" x14ac:dyDescent="0.2">
      <c r="A42" s="24" t="s">
        <v>520</v>
      </c>
      <c r="B42" s="24"/>
      <c r="C42" s="24"/>
      <c r="D42" s="24"/>
      <c r="E42" s="24"/>
      <c r="F42" s="24"/>
      <c r="G42" s="24"/>
      <c r="H42" s="24"/>
    </row>
    <row r="43" spans="1:8" ht="9" thickTop="1" thickBot="1" x14ac:dyDescent="0.2">
      <c r="A43" s="24" t="s">
        <v>590</v>
      </c>
      <c r="B43" s="24"/>
      <c r="C43" s="24"/>
      <c r="D43" s="24"/>
      <c r="E43" s="24"/>
      <c r="F43" s="24"/>
      <c r="G43" s="24"/>
      <c r="H43" s="24"/>
    </row>
    <row r="44" spans="1:8" ht="9" thickTop="1" thickBot="1" x14ac:dyDescent="0.2">
      <c r="A44" s="24" t="s">
        <v>533</v>
      </c>
      <c r="B44" s="24"/>
      <c r="C44" s="24"/>
      <c r="D44" s="24"/>
      <c r="E44" s="24"/>
      <c r="F44" s="24"/>
      <c r="G44" s="24"/>
      <c r="H44" s="24"/>
    </row>
    <row r="45" spans="1:8" ht="9" thickTop="1" thickBot="1" x14ac:dyDescent="0.2"/>
    <row r="46" spans="1:8" ht="9" thickTop="1" thickBot="1" x14ac:dyDescent="0.2">
      <c r="A46" s="71" t="s">
        <v>579</v>
      </c>
      <c r="B46" s="71"/>
      <c r="C46" s="71"/>
      <c r="D46" s="71"/>
      <c r="E46" s="71"/>
      <c r="F46" s="71"/>
      <c r="G46" s="71"/>
      <c r="H46" s="71"/>
    </row>
    <row r="47" spans="1:8" ht="9" thickTop="1" thickBot="1" x14ac:dyDescent="0.2">
      <c r="A47" s="24" t="s">
        <v>514</v>
      </c>
      <c r="B47" s="26">
        <f>B32+7</f>
        <v>22</v>
      </c>
      <c r="C47" s="26">
        <f t="shared" ref="C47:H47" si="2">C32+7</f>
        <v>23</v>
      </c>
      <c r="D47" s="26">
        <f t="shared" si="2"/>
        <v>24</v>
      </c>
      <c r="E47" s="26">
        <f t="shared" si="2"/>
        <v>25</v>
      </c>
      <c r="F47" s="26">
        <f t="shared" si="2"/>
        <v>26</v>
      </c>
      <c r="G47" s="26">
        <f t="shared" si="2"/>
        <v>27</v>
      </c>
      <c r="H47" s="26">
        <f t="shared" si="2"/>
        <v>28</v>
      </c>
    </row>
    <row r="48" spans="1:8" ht="9" thickTop="1" thickBot="1" x14ac:dyDescent="0.2">
      <c r="A48" s="24" t="s">
        <v>515</v>
      </c>
      <c r="B48" s="25">
        <v>43129</v>
      </c>
      <c r="C48" s="25">
        <v>43130</v>
      </c>
      <c r="D48" s="25">
        <v>43131</v>
      </c>
      <c r="E48" s="25">
        <v>43132</v>
      </c>
      <c r="F48" s="25">
        <v>43133</v>
      </c>
      <c r="G48" s="25">
        <v>43136</v>
      </c>
      <c r="H48" s="25">
        <v>43137</v>
      </c>
    </row>
    <row r="49" spans="1:8" ht="9" thickTop="1" thickBot="1" x14ac:dyDescent="0.2">
      <c r="A49" s="24" t="s">
        <v>587</v>
      </c>
      <c r="B49" s="24"/>
      <c r="C49" s="24"/>
      <c r="D49" s="24"/>
      <c r="E49" s="24"/>
      <c r="F49" s="24"/>
      <c r="G49" s="24"/>
      <c r="H49" s="24"/>
    </row>
    <row r="50" spans="1:8" ht="9" thickTop="1" thickBot="1" x14ac:dyDescent="0.2">
      <c r="A50" s="24" t="s">
        <v>522</v>
      </c>
      <c r="B50" s="24"/>
      <c r="C50" s="24"/>
      <c r="D50" s="24"/>
      <c r="E50" s="24"/>
      <c r="F50" s="24"/>
      <c r="G50" s="24"/>
      <c r="H50" s="24"/>
    </row>
    <row r="51" spans="1:8" ht="9" thickTop="1" thickBot="1" x14ac:dyDescent="0.2">
      <c r="A51" s="24" t="s">
        <v>525</v>
      </c>
      <c r="B51" s="24"/>
      <c r="C51" s="24"/>
      <c r="D51" s="24"/>
      <c r="E51" s="24"/>
      <c r="F51" s="24"/>
      <c r="G51" s="24"/>
      <c r="H51" s="24"/>
    </row>
    <row r="52" spans="1:8" ht="9" thickTop="1" thickBot="1" x14ac:dyDescent="0.2">
      <c r="A52" s="24" t="s">
        <v>588</v>
      </c>
      <c r="B52" s="24"/>
      <c r="C52" s="24"/>
      <c r="D52" s="24"/>
      <c r="E52" s="24"/>
      <c r="F52" s="24"/>
      <c r="G52" s="24"/>
      <c r="H52" s="24"/>
    </row>
    <row r="53" spans="1:8" ht="9" thickTop="1" thickBot="1" x14ac:dyDescent="0.2">
      <c r="A53" s="24" t="s">
        <v>528</v>
      </c>
      <c r="B53" s="24"/>
      <c r="C53" s="24"/>
      <c r="D53" s="24"/>
      <c r="E53" s="24"/>
      <c r="F53" s="24"/>
      <c r="G53" s="24"/>
      <c r="H53" s="24"/>
    </row>
    <row r="54" spans="1:8" ht="9" thickTop="1" thickBot="1" x14ac:dyDescent="0.2">
      <c r="A54" s="24" t="s">
        <v>531</v>
      </c>
      <c r="B54" s="24"/>
      <c r="C54" s="24"/>
      <c r="D54" s="24"/>
      <c r="E54" s="24"/>
      <c r="F54" s="24"/>
      <c r="G54" s="24"/>
      <c r="H54" s="24"/>
    </row>
    <row r="55" spans="1:8" ht="9" thickTop="1" thickBot="1" x14ac:dyDescent="0.2">
      <c r="A55" s="24" t="s">
        <v>589</v>
      </c>
      <c r="B55" s="24"/>
      <c r="C55" s="24"/>
      <c r="D55" s="24"/>
      <c r="E55" s="24"/>
      <c r="F55" s="24"/>
      <c r="G55" s="24"/>
      <c r="H55" s="24"/>
    </row>
    <row r="56" spans="1:8" ht="9" thickTop="1" thickBot="1" x14ac:dyDescent="0.2">
      <c r="A56" s="24" t="s">
        <v>517</v>
      </c>
      <c r="B56" s="24"/>
      <c r="C56" s="24"/>
      <c r="D56" s="24"/>
      <c r="E56" s="24"/>
      <c r="F56" s="24"/>
      <c r="G56" s="24"/>
      <c r="H56" s="24"/>
    </row>
    <row r="57" spans="1:8" ht="9" thickTop="1" thickBot="1" x14ac:dyDescent="0.2">
      <c r="A57" s="24" t="s">
        <v>520</v>
      </c>
      <c r="B57" s="24"/>
      <c r="C57" s="24"/>
      <c r="D57" s="24"/>
      <c r="E57" s="24"/>
      <c r="F57" s="24"/>
      <c r="G57" s="24"/>
      <c r="H57" s="24"/>
    </row>
    <row r="58" spans="1:8" ht="9" thickTop="1" thickBot="1" x14ac:dyDescent="0.2">
      <c r="A58" s="24" t="s">
        <v>590</v>
      </c>
      <c r="B58" s="24"/>
      <c r="C58" s="24"/>
      <c r="D58" s="24"/>
      <c r="E58" s="24"/>
      <c r="F58" s="24"/>
      <c r="G58" s="24"/>
      <c r="H58" s="24"/>
    </row>
    <row r="59" spans="1:8" ht="9" thickTop="1" thickBot="1" x14ac:dyDescent="0.2">
      <c r="A59" s="24" t="s">
        <v>533</v>
      </c>
      <c r="B59" s="24"/>
      <c r="C59" s="24"/>
      <c r="D59" s="24"/>
      <c r="E59" s="24"/>
      <c r="F59" s="24"/>
      <c r="G59" s="24"/>
      <c r="H59" s="24"/>
    </row>
    <row r="60" spans="1:8" ht="9" thickTop="1" thickBot="1" x14ac:dyDescent="0.2"/>
    <row r="61" spans="1:8" ht="9" thickTop="1" thickBot="1" x14ac:dyDescent="0.2">
      <c r="A61" s="71" t="s">
        <v>579</v>
      </c>
      <c r="B61" s="71"/>
      <c r="C61" s="71"/>
      <c r="D61" s="71"/>
      <c r="E61" s="71"/>
      <c r="F61" s="71"/>
      <c r="G61" s="71"/>
      <c r="H61" s="71"/>
    </row>
    <row r="62" spans="1:8" ht="9" thickTop="1" thickBot="1" x14ac:dyDescent="0.2">
      <c r="A62" s="24" t="s">
        <v>514</v>
      </c>
      <c r="B62" s="26">
        <f>B47+7</f>
        <v>29</v>
      </c>
      <c r="C62" s="26">
        <f t="shared" ref="C62:H62" si="3">C47+7</f>
        <v>30</v>
      </c>
      <c r="D62" s="26">
        <f t="shared" si="3"/>
        <v>31</v>
      </c>
      <c r="E62" s="26">
        <f t="shared" si="3"/>
        <v>32</v>
      </c>
      <c r="F62" s="26">
        <f t="shared" si="3"/>
        <v>33</v>
      </c>
      <c r="G62" s="26">
        <f t="shared" si="3"/>
        <v>34</v>
      </c>
      <c r="H62" s="26">
        <f t="shared" si="3"/>
        <v>35</v>
      </c>
    </row>
    <row r="63" spans="1:8" ht="9" thickTop="1" thickBot="1" x14ac:dyDescent="0.2">
      <c r="A63" s="24" t="s">
        <v>515</v>
      </c>
      <c r="B63" s="25">
        <v>43138</v>
      </c>
      <c r="C63" s="25">
        <v>43139</v>
      </c>
      <c r="D63" s="25">
        <v>43140</v>
      </c>
      <c r="E63" s="25">
        <v>43143</v>
      </c>
      <c r="F63" s="25">
        <v>43144</v>
      </c>
      <c r="G63" s="25">
        <v>43145</v>
      </c>
      <c r="H63" s="25">
        <v>43146</v>
      </c>
    </row>
    <row r="64" spans="1:8" ht="9" thickTop="1" thickBot="1" x14ac:dyDescent="0.2">
      <c r="A64" s="24" t="s">
        <v>587</v>
      </c>
      <c r="B64" s="24"/>
      <c r="C64" s="24"/>
      <c r="D64" s="24"/>
      <c r="E64" s="24"/>
      <c r="F64" s="24"/>
      <c r="G64" s="24"/>
      <c r="H64" s="24"/>
    </row>
    <row r="65" spans="1:8" ht="9" thickTop="1" thickBot="1" x14ac:dyDescent="0.2">
      <c r="A65" s="24" t="s">
        <v>522</v>
      </c>
      <c r="B65" s="24"/>
      <c r="C65" s="24"/>
      <c r="D65" s="24"/>
      <c r="E65" s="24"/>
      <c r="F65" s="24"/>
      <c r="G65" s="24"/>
      <c r="H65" s="24"/>
    </row>
    <row r="66" spans="1:8" ht="9" thickTop="1" thickBot="1" x14ac:dyDescent="0.2">
      <c r="A66" s="24" t="s">
        <v>525</v>
      </c>
      <c r="B66" s="24"/>
      <c r="C66" s="24"/>
      <c r="D66" s="24"/>
      <c r="E66" s="24"/>
      <c r="F66" s="24"/>
      <c r="G66" s="24"/>
      <c r="H66" s="24"/>
    </row>
    <row r="67" spans="1:8" ht="9" thickTop="1" thickBot="1" x14ac:dyDescent="0.2">
      <c r="A67" s="24" t="s">
        <v>588</v>
      </c>
      <c r="B67" s="24"/>
      <c r="C67" s="24"/>
      <c r="D67" s="24"/>
      <c r="E67" s="24"/>
      <c r="F67" s="24"/>
      <c r="G67" s="24"/>
      <c r="H67" s="24"/>
    </row>
    <row r="68" spans="1:8" ht="9" thickTop="1" thickBot="1" x14ac:dyDescent="0.2">
      <c r="A68" s="24" t="s">
        <v>528</v>
      </c>
      <c r="B68" s="24"/>
      <c r="C68" s="24"/>
      <c r="D68" s="24"/>
      <c r="E68" s="24"/>
      <c r="F68" s="24"/>
      <c r="G68" s="24"/>
      <c r="H68" s="24"/>
    </row>
    <row r="69" spans="1:8" ht="9" thickTop="1" thickBot="1" x14ac:dyDescent="0.2">
      <c r="A69" s="24" t="s">
        <v>531</v>
      </c>
      <c r="B69" s="24"/>
      <c r="C69" s="24"/>
      <c r="D69" s="24"/>
      <c r="E69" s="24"/>
      <c r="F69" s="24"/>
      <c r="G69" s="24"/>
      <c r="H69" s="24"/>
    </row>
    <row r="70" spans="1:8" ht="9" thickTop="1" thickBot="1" x14ac:dyDescent="0.2">
      <c r="A70" s="24" t="s">
        <v>589</v>
      </c>
      <c r="B70" s="24"/>
      <c r="C70" s="24"/>
      <c r="D70" s="24"/>
      <c r="E70" s="24"/>
      <c r="F70" s="24"/>
      <c r="G70" s="24"/>
      <c r="H70" s="24"/>
    </row>
    <row r="71" spans="1:8" ht="9" thickTop="1" thickBot="1" x14ac:dyDescent="0.2">
      <c r="A71" s="24" t="s">
        <v>517</v>
      </c>
      <c r="B71" s="24"/>
      <c r="C71" s="24"/>
      <c r="D71" s="24"/>
      <c r="E71" s="24"/>
      <c r="F71" s="24"/>
      <c r="G71" s="24"/>
      <c r="H71" s="24"/>
    </row>
    <row r="72" spans="1:8" ht="9" thickTop="1" thickBot="1" x14ac:dyDescent="0.2">
      <c r="A72" s="24" t="s">
        <v>520</v>
      </c>
      <c r="B72" s="24"/>
      <c r="C72" s="24"/>
      <c r="D72" s="24"/>
      <c r="E72" s="24"/>
      <c r="F72" s="24"/>
      <c r="G72" s="24"/>
      <c r="H72" s="24"/>
    </row>
    <row r="73" spans="1:8" ht="9" thickTop="1" thickBot="1" x14ac:dyDescent="0.2">
      <c r="A73" s="24" t="s">
        <v>590</v>
      </c>
      <c r="B73" s="24"/>
      <c r="C73" s="24"/>
      <c r="D73" s="24"/>
      <c r="E73" s="24"/>
      <c r="F73" s="24"/>
      <c r="G73" s="24"/>
      <c r="H73" s="24"/>
    </row>
    <row r="74" spans="1:8" ht="9" thickTop="1" thickBot="1" x14ac:dyDescent="0.2">
      <c r="A74" s="24" t="s">
        <v>533</v>
      </c>
      <c r="B74" s="24"/>
      <c r="C74" s="24"/>
      <c r="D74" s="24"/>
      <c r="E74" s="24"/>
      <c r="F74" s="24"/>
      <c r="G74" s="24"/>
      <c r="H74" s="24"/>
    </row>
    <row r="75" spans="1:8" ht="9" thickTop="1" thickBot="1" x14ac:dyDescent="0.2"/>
    <row r="76" spans="1:8" ht="9" thickTop="1" thickBot="1" x14ac:dyDescent="0.2">
      <c r="A76" s="71" t="s">
        <v>579</v>
      </c>
      <c r="B76" s="71"/>
      <c r="C76" s="71"/>
      <c r="D76" s="71"/>
      <c r="E76" s="71"/>
      <c r="F76" s="71"/>
      <c r="G76" s="71"/>
      <c r="H76" s="71"/>
    </row>
    <row r="77" spans="1:8" ht="9" thickTop="1" thickBot="1" x14ac:dyDescent="0.2">
      <c r="A77" s="24" t="s">
        <v>514</v>
      </c>
      <c r="B77" s="26">
        <f>B62+7</f>
        <v>36</v>
      </c>
      <c r="C77" s="26">
        <f t="shared" ref="C77:H77" si="4">C62+7</f>
        <v>37</v>
      </c>
      <c r="D77" s="26">
        <f t="shared" si="4"/>
        <v>38</v>
      </c>
      <c r="E77" s="26">
        <f t="shared" si="4"/>
        <v>39</v>
      </c>
      <c r="F77" s="26">
        <f t="shared" si="4"/>
        <v>40</v>
      </c>
      <c r="G77" s="26">
        <f t="shared" si="4"/>
        <v>41</v>
      </c>
      <c r="H77" s="26">
        <f t="shared" si="4"/>
        <v>42</v>
      </c>
    </row>
    <row r="78" spans="1:8" ht="9" thickTop="1" thickBot="1" x14ac:dyDescent="0.2">
      <c r="A78" s="24" t="s">
        <v>515</v>
      </c>
      <c r="B78" s="25">
        <v>43147</v>
      </c>
      <c r="C78" s="25">
        <v>43150</v>
      </c>
      <c r="D78" s="25">
        <v>43151</v>
      </c>
      <c r="E78" s="25">
        <v>43152</v>
      </c>
      <c r="F78" s="25">
        <v>43153</v>
      </c>
      <c r="G78" s="25">
        <v>43154</v>
      </c>
      <c r="H78" s="25">
        <v>43157</v>
      </c>
    </row>
    <row r="79" spans="1:8" ht="9" thickTop="1" thickBot="1" x14ac:dyDescent="0.2">
      <c r="A79" s="24" t="s">
        <v>587</v>
      </c>
      <c r="B79" s="24"/>
      <c r="C79" s="24"/>
      <c r="D79" s="24"/>
      <c r="E79" s="24"/>
      <c r="F79" s="24"/>
      <c r="G79" s="24"/>
      <c r="H79" s="24"/>
    </row>
    <row r="80" spans="1:8" ht="9" thickTop="1" thickBot="1" x14ac:dyDescent="0.2">
      <c r="A80" s="24" t="s">
        <v>522</v>
      </c>
      <c r="B80" s="24"/>
      <c r="C80" s="24"/>
      <c r="D80" s="24"/>
      <c r="E80" s="24"/>
      <c r="F80" s="24"/>
      <c r="G80" s="24"/>
      <c r="H80" s="24"/>
    </row>
    <row r="81" spans="1:8" ht="9" thickTop="1" thickBot="1" x14ac:dyDescent="0.2">
      <c r="A81" s="24" t="s">
        <v>525</v>
      </c>
      <c r="B81" s="24"/>
      <c r="C81" s="24"/>
      <c r="D81" s="24"/>
      <c r="E81" s="24"/>
      <c r="F81" s="24"/>
      <c r="G81" s="24"/>
      <c r="H81" s="24"/>
    </row>
    <row r="82" spans="1:8" ht="9" thickTop="1" thickBot="1" x14ac:dyDescent="0.2">
      <c r="A82" s="24" t="s">
        <v>588</v>
      </c>
      <c r="B82" s="24"/>
      <c r="C82" s="24"/>
      <c r="D82" s="24"/>
      <c r="E82" s="24"/>
      <c r="F82" s="24"/>
      <c r="G82" s="24"/>
      <c r="H82" s="24"/>
    </row>
    <row r="83" spans="1:8" ht="9" thickTop="1" thickBot="1" x14ac:dyDescent="0.2">
      <c r="A83" s="24" t="s">
        <v>528</v>
      </c>
      <c r="B83" s="24"/>
      <c r="C83" s="24"/>
      <c r="D83" s="24"/>
      <c r="E83" s="24"/>
      <c r="F83" s="24"/>
      <c r="G83" s="24"/>
      <c r="H83" s="24"/>
    </row>
    <row r="84" spans="1:8" ht="9" thickTop="1" thickBot="1" x14ac:dyDescent="0.2">
      <c r="A84" s="24" t="s">
        <v>531</v>
      </c>
      <c r="B84" s="24"/>
      <c r="C84" s="24"/>
      <c r="D84" s="24"/>
      <c r="E84" s="24"/>
      <c r="F84" s="24"/>
      <c r="G84" s="24"/>
      <c r="H84" s="24"/>
    </row>
    <row r="85" spans="1:8" ht="9" thickTop="1" thickBot="1" x14ac:dyDescent="0.2">
      <c r="A85" s="24" t="s">
        <v>589</v>
      </c>
      <c r="B85" s="24"/>
      <c r="C85" s="24"/>
      <c r="D85" s="24"/>
      <c r="E85" s="24"/>
      <c r="F85" s="24"/>
      <c r="G85" s="24"/>
      <c r="H85" s="24"/>
    </row>
    <row r="86" spans="1:8" ht="9" thickTop="1" thickBot="1" x14ac:dyDescent="0.2">
      <c r="A86" s="24" t="s">
        <v>517</v>
      </c>
      <c r="B86" s="24"/>
      <c r="C86" s="24"/>
      <c r="D86" s="24"/>
      <c r="E86" s="24"/>
      <c r="F86" s="24"/>
      <c r="G86" s="24"/>
      <c r="H86" s="24"/>
    </row>
    <row r="87" spans="1:8" ht="9" thickTop="1" thickBot="1" x14ac:dyDescent="0.2">
      <c r="A87" s="24" t="s">
        <v>520</v>
      </c>
      <c r="B87" s="24"/>
      <c r="C87" s="24"/>
      <c r="D87" s="24"/>
      <c r="E87" s="24"/>
      <c r="F87" s="24"/>
      <c r="G87" s="24"/>
      <c r="H87" s="24"/>
    </row>
    <row r="88" spans="1:8" ht="9" thickTop="1" thickBot="1" x14ac:dyDescent="0.2">
      <c r="A88" s="24" t="s">
        <v>590</v>
      </c>
      <c r="B88" s="24"/>
      <c r="C88" s="24"/>
      <c r="D88" s="24"/>
      <c r="E88" s="24"/>
      <c r="F88" s="24"/>
      <c r="G88" s="24"/>
      <c r="H88" s="24"/>
    </row>
    <row r="89" spans="1:8" ht="9" thickTop="1" thickBot="1" x14ac:dyDescent="0.2">
      <c r="A89" s="24" t="s">
        <v>533</v>
      </c>
      <c r="B89" s="24"/>
      <c r="C89" s="24"/>
      <c r="D89" s="24"/>
      <c r="E89" s="24"/>
      <c r="F89" s="24"/>
      <c r="G89" s="24"/>
      <c r="H89" s="24"/>
    </row>
    <row r="90" spans="1:8" ht="9" thickTop="1" thickBot="1" x14ac:dyDescent="0.2"/>
    <row r="91" spans="1:8" ht="9" thickTop="1" thickBot="1" x14ac:dyDescent="0.2">
      <c r="A91" s="71" t="s">
        <v>579</v>
      </c>
      <c r="B91" s="71"/>
      <c r="C91" s="71"/>
      <c r="D91" s="71"/>
      <c r="E91" s="71"/>
      <c r="F91" s="71"/>
      <c r="G91" s="71"/>
      <c r="H91" s="71"/>
    </row>
    <row r="92" spans="1:8" ht="9" thickTop="1" thickBot="1" x14ac:dyDescent="0.2">
      <c r="A92" s="24" t="s">
        <v>514</v>
      </c>
      <c r="B92" s="26">
        <f>B77+7</f>
        <v>43</v>
      </c>
      <c r="C92" s="26">
        <f t="shared" ref="C92:H92" si="5">C77+7</f>
        <v>44</v>
      </c>
      <c r="D92" s="26">
        <f t="shared" si="5"/>
        <v>45</v>
      </c>
      <c r="E92" s="26">
        <f t="shared" si="5"/>
        <v>46</v>
      </c>
      <c r="F92" s="26">
        <f t="shared" si="5"/>
        <v>47</v>
      </c>
      <c r="G92" s="26">
        <f t="shared" si="5"/>
        <v>48</v>
      </c>
      <c r="H92" s="26">
        <f t="shared" si="5"/>
        <v>49</v>
      </c>
    </row>
    <row r="93" spans="1:8" ht="9" thickTop="1" thickBot="1" x14ac:dyDescent="0.2">
      <c r="A93" s="24" t="s">
        <v>515</v>
      </c>
      <c r="B93" s="25">
        <v>43158</v>
      </c>
      <c r="C93" s="25">
        <v>43159</v>
      </c>
      <c r="D93" s="25">
        <v>43160</v>
      </c>
      <c r="E93" s="25">
        <v>43161</v>
      </c>
      <c r="F93" s="25">
        <v>43164</v>
      </c>
      <c r="G93" s="25">
        <v>43165</v>
      </c>
      <c r="H93" s="25">
        <v>43166</v>
      </c>
    </row>
    <row r="94" spans="1:8" ht="9" thickTop="1" thickBot="1" x14ac:dyDescent="0.2">
      <c r="A94" s="24" t="s">
        <v>587</v>
      </c>
      <c r="B94" s="24"/>
      <c r="C94" s="24"/>
      <c r="D94" s="24"/>
      <c r="E94" s="24"/>
      <c r="F94" s="24"/>
      <c r="G94" s="24"/>
      <c r="H94" s="24"/>
    </row>
    <row r="95" spans="1:8" ht="9" thickTop="1" thickBot="1" x14ac:dyDescent="0.2">
      <c r="A95" s="24" t="s">
        <v>522</v>
      </c>
      <c r="B95" s="24"/>
      <c r="C95" s="24"/>
      <c r="D95" s="24"/>
      <c r="E95" s="24"/>
      <c r="F95" s="24"/>
      <c r="G95" s="24"/>
      <c r="H95" s="24"/>
    </row>
    <row r="96" spans="1:8" ht="9" thickTop="1" thickBot="1" x14ac:dyDescent="0.2">
      <c r="A96" s="24" t="s">
        <v>525</v>
      </c>
      <c r="B96" s="24"/>
      <c r="C96" s="24"/>
      <c r="D96" s="24"/>
      <c r="E96" s="24"/>
      <c r="F96" s="24"/>
      <c r="G96" s="24"/>
      <c r="H96" s="24"/>
    </row>
    <row r="97" spans="1:8" ht="9" thickTop="1" thickBot="1" x14ac:dyDescent="0.2">
      <c r="A97" s="24" t="s">
        <v>588</v>
      </c>
      <c r="B97" s="24"/>
      <c r="C97" s="24"/>
      <c r="D97" s="24"/>
      <c r="E97" s="24"/>
      <c r="F97" s="24"/>
      <c r="G97" s="24"/>
      <c r="H97" s="24"/>
    </row>
    <row r="98" spans="1:8" ht="9" thickTop="1" thickBot="1" x14ac:dyDescent="0.2">
      <c r="A98" s="24" t="s">
        <v>528</v>
      </c>
      <c r="B98" s="24"/>
      <c r="C98" s="24"/>
      <c r="D98" s="24"/>
      <c r="E98" s="24"/>
      <c r="F98" s="24"/>
      <c r="G98" s="24"/>
      <c r="H98" s="24"/>
    </row>
    <row r="99" spans="1:8" ht="9" thickTop="1" thickBot="1" x14ac:dyDescent="0.2">
      <c r="A99" s="24" t="s">
        <v>531</v>
      </c>
      <c r="B99" s="24"/>
      <c r="C99" s="24"/>
      <c r="D99" s="24"/>
      <c r="E99" s="24"/>
      <c r="F99" s="24"/>
      <c r="G99" s="24"/>
      <c r="H99" s="24"/>
    </row>
    <row r="100" spans="1:8" ht="9" thickTop="1" thickBot="1" x14ac:dyDescent="0.2">
      <c r="A100" s="24" t="s">
        <v>589</v>
      </c>
      <c r="B100" s="24"/>
      <c r="C100" s="24"/>
      <c r="D100" s="24"/>
      <c r="E100" s="24"/>
      <c r="F100" s="24"/>
      <c r="G100" s="24"/>
      <c r="H100" s="24"/>
    </row>
    <row r="101" spans="1:8" ht="9" thickTop="1" thickBot="1" x14ac:dyDescent="0.2">
      <c r="A101" s="24" t="s">
        <v>517</v>
      </c>
      <c r="B101" s="24"/>
      <c r="C101" s="24"/>
      <c r="D101" s="24"/>
      <c r="E101" s="24"/>
      <c r="F101" s="24"/>
      <c r="G101" s="24"/>
      <c r="H101" s="24"/>
    </row>
    <row r="102" spans="1:8" ht="9" thickTop="1" thickBot="1" x14ac:dyDescent="0.2">
      <c r="A102" s="24" t="s">
        <v>520</v>
      </c>
      <c r="B102" s="24"/>
      <c r="C102" s="24"/>
      <c r="D102" s="24"/>
      <c r="E102" s="24"/>
      <c r="F102" s="24"/>
      <c r="G102" s="24"/>
      <c r="H102" s="24"/>
    </row>
    <row r="103" spans="1:8" ht="9" thickTop="1" thickBot="1" x14ac:dyDescent="0.2">
      <c r="A103" s="24" t="s">
        <v>590</v>
      </c>
      <c r="B103" s="24"/>
      <c r="C103" s="24"/>
      <c r="D103" s="24"/>
      <c r="E103" s="24"/>
      <c r="F103" s="24"/>
      <c r="G103" s="24"/>
      <c r="H103" s="24"/>
    </row>
    <row r="104" spans="1:8" ht="9" thickTop="1" thickBot="1" x14ac:dyDescent="0.2">
      <c r="A104" s="24" t="s">
        <v>533</v>
      </c>
      <c r="B104" s="24"/>
      <c r="C104" s="24"/>
      <c r="D104" s="24"/>
      <c r="E104" s="24"/>
      <c r="F104" s="24"/>
      <c r="G104" s="24"/>
      <c r="H104" s="24"/>
    </row>
    <row r="105" spans="1:8" ht="9" thickTop="1" thickBot="1" x14ac:dyDescent="0.2"/>
    <row r="106" spans="1:8" ht="9" thickTop="1" thickBot="1" x14ac:dyDescent="0.2">
      <c r="A106" s="71" t="s">
        <v>579</v>
      </c>
      <c r="B106" s="71"/>
      <c r="C106" s="71"/>
      <c r="D106" s="71"/>
      <c r="E106" s="71"/>
      <c r="F106" s="71"/>
      <c r="G106" s="71"/>
      <c r="H106" s="71"/>
    </row>
    <row r="107" spans="1:8" ht="9" thickTop="1" thickBot="1" x14ac:dyDescent="0.2">
      <c r="A107" s="24" t="s">
        <v>514</v>
      </c>
      <c r="B107" s="26">
        <f>B92+7</f>
        <v>50</v>
      </c>
      <c r="C107" s="26">
        <f t="shared" ref="C107:H107" si="6">C92+7</f>
        <v>51</v>
      </c>
      <c r="D107" s="26">
        <f t="shared" si="6"/>
        <v>52</v>
      </c>
      <c r="E107" s="26">
        <f t="shared" si="6"/>
        <v>53</v>
      </c>
      <c r="F107" s="26">
        <f t="shared" si="6"/>
        <v>54</v>
      </c>
      <c r="G107" s="26">
        <f t="shared" si="6"/>
        <v>55</v>
      </c>
      <c r="H107" s="26">
        <f t="shared" si="6"/>
        <v>56</v>
      </c>
    </row>
    <row r="108" spans="1:8" ht="9" thickTop="1" thickBot="1" x14ac:dyDescent="0.2">
      <c r="A108" s="24" t="s">
        <v>515</v>
      </c>
      <c r="B108" s="25">
        <v>43167</v>
      </c>
      <c r="C108" s="25">
        <v>43168</v>
      </c>
      <c r="D108" s="25">
        <v>43171</v>
      </c>
      <c r="E108" s="25">
        <v>43172</v>
      </c>
      <c r="F108" s="25">
        <v>43173</v>
      </c>
      <c r="G108" s="25">
        <v>43174</v>
      </c>
      <c r="H108" s="25">
        <v>43175</v>
      </c>
    </row>
    <row r="109" spans="1:8" ht="9" thickTop="1" thickBot="1" x14ac:dyDescent="0.2">
      <c r="A109" s="24" t="s">
        <v>587</v>
      </c>
      <c r="B109" s="24"/>
      <c r="C109" s="24"/>
      <c r="D109" s="24"/>
      <c r="E109" s="24"/>
      <c r="F109" s="24"/>
      <c r="G109" s="24"/>
      <c r="H109" s="24"/>
    </row>
    <row r="110" spans="1:8" ht="9" thickTop="1" thickBot="1" x14ac:dyDescent="0.2">
      <c r="A110" s="24" t="s">
        <v>522</v>
      </c>
      <c r="B110" s="24"/>
      <c r="C110" s="24"/>
      <c r="D110" s="24"/>
      <c r="E110" s="24"/>
      <c r="F110" s="24"/>
      <c r="G110" s="24"/>
      <c r="H110" s="24"/>
    </row>
    <row r="111" spans="1:8" ht="9" thickTop="1" thickBot="1" x14ac:dyDescent="0.2">
      <c r="A111" s="24" t="s">
        <v>525</v>
      </c>
      <c r="B111" s="24"/>
      <c r="C111" s="24"/>
      <c r="D111" s="24"/>
      <c r="E111" s="24"/>
      <c r="F111" s="24"/>
      <c r="G111" s="24"/>
      <c r="H111" s="24"/>
    </row>
    <row r="112" spans="1:8" ht="9" thickTop="1" thickBot="1" x14ac:dyDescent="0.2">
      <c r="A112" s="24" t="s">
        <v>588</v>
      </c>
      <c r="B112" s="24"/>
      <c r="C112" s="24"/>
      <c r="D112" s="24"/>
      <c r="E112" s="24"/>
      <c r="F112" s="24"/>
      <c r="G112" s="24"/>
      <c r="H112" s="24"/>
    </row>
    <row r="113" spans="1:8" ht="9" thickTop="1" thickBot="1" x14ac:dyDescent="0.2">
      <c r="A113" s="24" t="s">
        <v>528</v>
      </c>
      <c r="B113" s="24"/>
      <c r="C113" s="24"/>
      <c r="D113" s="24"/>
      <c r="E113" s="24"/>
      <c r="F113" s="24"/>
      <c r="G113" s="24"/>
      <c r="H113" s="24"/>
    </row>
    <row r="114" spans="1:8" ht="9" thickTop="1" thickBot="1" x14ac:dyDescent="0.2">
      <c r="A114" s="24" t="s">
        <v>531</v>
      </c>
      <c r="B114" s="24"/>
      <c r="C114" s="24"/>
      <c r="D114" s="24"/>
      <c r="E114" s="24"/>
      <c r="F114" s="24"/>
      <c r="G114" s="24"/>
      <c r="H114" s="24"/>
    </row>
    <row r="115" spans="1:8" ht="9" thickTop="1" thickBot="1" x14ac:dyDescent="0.2">
      <c r="A115" s="24" t="s">
        <v>589</v>
      </c>
      <c r="B115" s="24"/>
      <c r="C115" s="24"/>
      <c r="D115" s="24"/>
      <c r="E115" s="24"/>
      <c r="F115" s="24"/>
      <c r="G115" s="24"/>
      <c r="H115" s="24"/>
    </row>
    <row r="116" spans="1:8" ht="9" thickTop="1" thickBot="1" x14ac:dyDescent="0.2">
      <c r="A116" s="24" t="s">
        <v>517</v>
      </c>
      <c r="B116" s="24"/>
      <c r="C116" s="24"/>
      <c r="D116" s="24"/>
      <c r="E116" s="24"/>
      <c r="F116" s="24"/>
      <c r="G116" s="24"/>
      <c r="H116" s="24"/>
    </row>
    <row r="117" spans="1:8" ht="9" thickTop="1" thickBot="1" x14ac:dyDescent="0.2">
      <c r="A117" s="24" t="s">
        <v>520</v>
      </c>
      <c r="B117" s="24"/>
      <c r="C117" s="24"/>
      <c r="D117" s="24"/>
      <c r="E117" s="24"/>
      <c r="F117" s="24"/>
      <c r="G117" s="24"/>
      <c r="H117" s="24"/>
    </row>
    <row r="118" spans="1:8" ht="9" thickTop="1" thickBot="1" x14ac:dyDescent="0.2">
      <c r="A118" s="24" t="s">
        <v>590</v>
      </c>
      <c r="B118" s="24"/>
      <c r="C118" s="24"/>
      <c r="D118" s="24"/>
      <c r="E118" s="24"/>
      <c r="F118" s="24"/>
      <c r="G118" s="24"/>
      <c r="H118" s="24"/>
    </row>
    <row r="119" spans="1:8" ht="9" thickTop="1" thickBot="1" x14ac:dyDescent="0.2">
      <c r="A119" s="24" t="s">
        <v>533</v>
      </c>
      <c r="B119" s="24"/>
      <c r="C119" s="24"/>
      <c r="D119" s="24"/>
      <c r="E119" s="24"/>
      <c r="F119" s="24"/>
      <c r="G119" s="24"/>
      <c r="H119" s="24"/>
    </row>
    <row r="120" spans="1:8" ht="9" thickTop="1" thickBot="1" x14ac:dyDescent="0.2"/>
    <row r="121" spans="1:8" ht="9" thickTop="1" thickBot="1" x14ac:dyDescent="0.2">
      <c r="A121" s="71" t="s">
        <v>579</v>
      </c>
      <c r="B121" s="71"/>
      <c r="C121" s="71"/>
      <c r="D121" s="71"/>
      <c r="E121" s="71"/>
      <c r="F121" s="71"/>
      <c r="G121" s="71"/>
      <c r="H121" s="71"/>
    </row>
    <row r="122" spans="1:8" ht="9" thickTop="1" thickBot="1" x14ac:dyDescent="0.2">
      <c r="A122" s="24" t="s">
        <v>514</v>
      </c>
      <c r="B122" s="26">
        <f>B107+7</f>
        <v>57</v>
      </c>
      <c r="C122" s="26">
        <f t="shared" ref="C122:H122" si="7">C107+7</f>
        <v>58</v>
      </c>
      <c r="D122" s="26">
        <f t="shared" si="7"/>
        <v>59</v>
      </c>
      <c r="E122" s="26">
        <f t="shared" si="7"/>
        <v>60</v>
      </c>
      <c r="F122" s="26">
        <f t="shared" si="7"/>
        <v>61</v>
      </c>
      <c r="G122" s="26">
        <f t="shared" si="7"/>
        <v>62</v>
      </c>
      <c r="H122" s="26">
        <f t="shared" si="7"/>
        <v>63</v>
      </c>
    </row>
    <row r="123" spans="1:8" ht="9" thickTop="1" thickBot="1" x14ac:dyDescent="0.2">
      <c r="A123" s="24" t="s">
        <v>515</v>
      </c>
      <c r="B123" s="25">
        <v>43178</v>
      </c>
      <c r="C123" s="25">
        <v>43179</v>
      </c>
      <c r="D123" s="25">
        <v>43180</v>
      </c>
      <c r="E123" s="25">
        <v>43181</v>
      </c>
      <c r="F123" s="25">
        <v>43182</v>
      </c>
      <c r="G123" s="25">
        <v>43185</v>
      </c>
      <c r="H123" s="25">
        <v>43186</v>
      </c>
    </row>
    <row r="124" spans="1:8" ht="9" thickTop="1" thickBot="1" x14ac:dyDescent="0.2">
      <c r="A124" s="24" t="s">
        <v>587</v>
      </c>
      <c r="B124" s="24"/>
      <c r="C124" s="24"/>
      <c r="D124" s="24"/>
      <c r="E124" s="24"/>
      <c r="F124" s="24"/>
      <c r="G124" s="24"/>
      <c r="H124" s="24"/>
    </row>
    <row r="125" spans="1:8" ht="9" thickTop="1" thickBot="1" x14ac:dyDescent="0.2">
      <c r="A125" s="24" t="s">
        <v>522</v>
      </c>
      <c r="B125" s="24"/>
      <c r="C125" s="24"/>
      <c r="D125" s="24"/>
      <c r="E125" s="24"/>
      <c r="F125" s="24"/>
      <c r="G125" s="24"/>
      <c r="H125" s="24"/>
    </row>
    <row r="126" spans="1:8" ht="9" thickTop="1" thickBot="1" x14ac:dyDescent="0.2">
      <c r="A126" s="24" t="s">
        <v>525</v>
      </c>
      <c r="B126" s="24"/>
      <c r="C126" s="24"/>
      <c r="D126" s="24"/>
      <c r="E126" s="24"/>
      <c r="F126" s="24"/>
      <c r="G126" s="24"/>
      <c r="H126" s="24"/>
    </row>
    <row r="127" spans="1:8" ht="9" thickTop="1" thickBot="1" x14ac:dyDescent="0.2">
      <c r="A127" s="24" t="s">
        <v>588</v>
      </c>
      <c r="B127" s="24"/>
      <c r="C127" s="24"/>
      <c r="D127" s="24"/>
      <c r="E127" s="24"/>
      <c r="F127" s="24"/>
      <c r="G127" s="24"/>
      <c r="H127" s="24"/>
    </row>
    <row r="128" spans="1:8" ht="9" thickTop="1" thickBot="1" x14ac:dyDescent="0.2">
      <c r="A128" s="24" t="s">
        <v>528</v>
      </c>
      <c r="B128" s="24"/>
      <c r="C128" s="24"/>
      <c r="D128" s="24"/>
      <c r="E128" s="24"/>
      <c r="F128" s="24"/>
      <c r="G128" s="24"/>
      <c r="H128" s="24"/>
    </row>
    <row r="129" spans="1:8" ht="9" thickTop="1" thickBot="1" x14ac:dyDescent="0.2">
      <c r="A129" s="24" t="s">
        <v>531</v>
      </c>
      <c r="B129" s="24"/>
      <c r="C129" s="24"/>
      <c r="D129" s="24"/>
      <c r="E129" s="24"/>
      <c r="F129" s="24"/>
      <c r="G129" s="24"/>
      <c r="H129" s="24"/>
    </row>
    <row r="130" spans="1:8" ht="9" thickTop="1" thickBot="1" x14ac:dyDescent="0.2">
      <c r="A130" s="24" t="s">
        <v>589</v>
      </c>
      <c r="B130" s="24"/>
      <c r="C130" s="24"/>
      <c r="D130" s="24"/>
      <c r="E130" s="24"/>
      <c r="F130" s="24"/>
      <c r="G130" s="24"/>
      <c r="H130" s="24"/>
    </row>
    <row r="131" spans="1:8" ht="9" thickTop="1" thickBot="1" x14ac:dyDescent="0.2">
      <c r="A131" s="24" t="s">
        <v>517</v>
      </c>
      <c r="B131" s="24"/>
      <c r="C131" s="24"/>
      <c r="D131" s="24"/>
      <c r="E131" s="24"/>
      <c r="F131" s="24"/>
      <c r="G131" s="24"/>
      <c r="H131" s="24"/>
    </row>
    <row r="132" spans="1:8" ht="9" thickTop="1" thickBot="1" x14ac:dyDescent="0.2">
      <c r="A132" s="24" t="s">
        <v>520</v>
      </c>
      <c r="B132" s="24"/>
      <c r="C132" s="24"/>
      <c r="D132" s="24"/>
      <c r="E132" s="24"/>
      <c r="F132" s="24"/>
      <c r="G132" s="24"/>
      <c r="H132" s="24"/>
    </row>
    <row r="133" spans="1:8" ht="9" thickTop="1" thickBot="1" x14ac:dyDescent="0.2">
      <c r="A133" s="24" t="s">
        <v>590</v>
      </c>
      <c r="B133" s="24"/>
      <c r="C133" s="24"/>
      <c r="D133" s="24"/>
      <c r="E133" s="24"/>
      <c r="F133" s="24"/>
      <c r="G133" s="24"/>
      <c r="H133" s="24"/>
    </row>
    <row r="134" spans="1:8" ht="9" thickTop="1" thickBot="1" x14ac:dyDescent="0.2">
      <c r="A134" s="24" t="s">
        <v>533</v>
      </c>
      <c r="B134" s="24"/>
      <c r="C134" s="24"/>
      <c r="D134" s="24"/>
      <c r="E134" s="24"/>
      <c r="F134" s="24"/>
      <c r="G134" s="24"/>
      <c r="H134" s="24"/>
    </row>
    <row r="135" spans="1:8" ht="9" thickTop="1" thickBot="1" x14ac:dyDescent="0.2"/>
    <row r="136" spans="1:8" ht="9" thickTop="1" thickBot="1" x14ac:dyDescent="0.2">
      <c r="A136" s="71" t="s">
        <v>579</v>
      </c>
      <c r="B136" s="71"/>
      <c r="C136" s="71"/>
      <c r="D136" s="71"/>
      <c r="E136" s="71"/>
      <c r="F136" s="71"/>
      <c r="G136" s="71"/>
      <c r="H136" s="71"/>
    </row>
    <row r="137" spans="1:8" ht="9" thickTop="1" thickBot="1" x14ac:dyDescent="0.2">
      <c r="A137" s="24" t="s">
        <v>514</v>
      </c>
      <c r="B137" s="26">
        <f>B122+7</f>
        <v>64</v>
      </c>
      <c r="C137" s="26">
        <f t="shared" ref="C137:H137" si="8">C122+7</f>
        <v>65</v>
      </c>
      <c r="D137" s="26">
        <f t="shared" si="8"/>
        <v>66</v>
      </c>
      <c r="E137" s="26">
        <f t="shared" si="8"/>
        <v>67</v>
      </c>
      <c r="F137" s="26">
        <f t="shared" si="8"/>
        <v>68</v>
      </c>
      <c r="G137" s="26">
        <f t="shared" si="8"/>
        <v>69</v>
      </c>
      <c r="H137" s="26">
        <f t="shared" si="8"/>
        <v>70</v>
      </c>
    </row>
    <row r="138" spans="1:8" ht="9" thickTop="1" thickBot="1" x14ac:dyDescent="0.2">
      <c r="A138" s="24" t="s">
        <v>515</v>
      </c>
      <c r="B138" s="25">
        <v>43187</v>
      </c>
      <c r="C138" s="25">
        <v>43188</v>
      </c>
      <c r="D138" s="25">
        <v>43189</v>
      </c>
      <c r="E138" s="25">
        <v>43192</v>
      </c>
      <c r="F138" s="25">
        <v>43193</v>
      </c>
      <c r="G138" s="25">
        <v>43194</v>
      </c>
      <c r="H138" s="25">
        <v>43195</v>
      </c>
    </row>
    <row r="139" spans="1:8" ht="9" thickTop="1" thickBot="1" x14ac:dyDescent="0.2">
      <c r="A139" s="24" t="s">
        <v>587</v>
      </c>
      <c r="B139" s="24"/>
      <c r="C139" s="24"/>
      <c r="D139" s="24"/>
      <c r="E139" s="24"/>
      <c r="F139" s="24"/>
      <c r="G139" s="24"/>
      <c r="H139" s="24"/>
    </row>
    <row r="140" spans="1:8" ht="9" thickTop="1" thickBot="1" x14ac:dyDescent="0.2">
      <c r="A140" s="24" t="s">
        <v>522</v>
      </c>
      <c r="B140" s="24"/>
      <c r="C140" s="24"/>
      <c r="D140" s="24"/>
      <c r="E140" s="24"/>
      <c r="F140" s="24"/>
      <c r="G140" s="24"/>
      <c r="H140" s="24"/>
    </row>
    <row r="141" spans="1:8" ht="9" thickTop="1" thickBot="1" x14ac:dyDescent="0.2">
      <c r="A141" s="24" t="s">
        <v>525</v>
      </c>
      <c r="B141" s="24"/>
      <c r="C141" s="24"/>
      <c r="D141" s="24"/>
      <c r="E141" s="24"/>
      <c r="F141" s="24"/>
      <c r="G141" s="24"/>
      <c r="H141" s="24"/>
    </row>
    <row r="142" spans="1:8" ht="9" thickTop="1" thickBot="1" x14ac:dyDescent="0.2">
      <c r="A142" s="24" t="s">
        <v>588</v>
      </c>
      <c r="B142" s="24"/>
      <c r="C142" s="24"/>
      <c r="D142" s="24"/>
      <c r="E142" s="24"/>
      <c r="F142" s="24"/>
      <c r="G142" s="24"/>
      <c r="H142" s="24"/>
    </row>
    <row r="143" spans="1:8" ht="9" thickTop="1" thickBot="1" x14ac:dyDescent="0.2">
      <c r="A143" s="24" t="s">
        <v>528</v>
      </c>
      <c r="B143" s="24"/>
      <c r="C143" s="24"/>
      <c r="D143" s="24"/>
      <c r="E143" s="24"/>
      <c r="F143" s="24"/>
      <c r="G143" s="24"/>
      <c r="H143" s="24"/>
    </row>
    <row r="144" spans="1:8" ht="9" thickTop="1" thickBot="1" x14ac:dyDescent="0.2">
      <c r="A144" s="24" t="s">
        <v>531</v>
      </c>
      <c r="B144" s="24"/>
      <c r="C144" s="24"/>
      <c r="D144" s="24"/>
      <c r="E144" s="24"/>
      <c r="F144" s="24"/>
      <c r="G144" s="24"/>
      <c r="H144" s="24"/>
    </row>
    <row r="145" spans="1:8" ht="9" thickTop="1" thickBot="1" x14ac:dyDescent="0.2">
      <c r="A145" s="24" t="s">
        <v>589</v>
      </c>
      <c r="B145" s="24"/>
      <c r="C145" s="24"/>
      <c r="D145" s="24"/>
      <c r="E145" s="24"/>
      <c r="F145" s="24"/>
      <c r="G145" s="24"/>
      <c r="H145" s="24"/>
    </row>
    <row r="146" spans="1:8" ht="9" thickTop="1" thickBot="1" x14ac:dyDescent="0.2">
      <c r="A146" s="24" t="s">
        <v>517</v>
      </c>
      <c r="B146" s="24"/>
      <c r="C146" s="24"/>
      <c r="D146" s="24"/>
      <c r="E146" s="24"/>
      <c r="F146" s="24"/>
      <c r="G146" s="24"/>
      <c r="H146" s="24"/>
    </row>
    <row r="147" spans="1:8" ht="9" thickTop="1" thickBot="1" x14ac:dyDescent="0.2">
      <c r="A147" s="24" t="s">
        <v>520</v>
      </c>
      <c r="B147" s="31"/>
      <c r="C147" s="24"/>
      <c r="D147" s="24"/>
      <c r="E147" s="24"/>
      <c r="F147" s="24"/>
      <c r="G147" s="24"/>
      <c r="H147" s="24"/>
    </row>
    <row r="148" spans="1:8" ht="9" thickTop="1" thickBot="1" x14ac:dyDescent="0.2">
      <c r="A148" s="24" t="s">
        <v>590</v>
      </c>
      <c r="B148" s="24"/>
      <c r="C148" s="24"/>
      <c r="D148" s="24"/>
      <c r="E148" s="24"/>
      <c r="F148" s="24"/>
      <c r="G148" s="24"/>
      <c r="H148" s="24"/>
    </row>
    <row r="149" spans="1:8" ht="9" thickTop="1" thickBot="1" x14ac:dyDescent="0.2">
      <c r="A149" s="24" t="s">
        <v>533</v>
      </c>
      <c r="B149" s="24"/>
      <c r="C149" s="24"/>
      <c r="D149" s="24"/>
      <c r="E149" s="24"/>
      <c r="F149" s="24"/>
      <c r="G149" s="24"/>
      <c r="H149" s="24"/>
    </row>
    <row r="150" spans="1:8" ht="9" thickTop="1" thickBot="1" x14ac:dyDescent="0.2"/>
    <row r="151" spans="1:8" ht="9" thickTop="1" thickBot="1" x14ac:dyDescent="0.2">
      <c r="A151" s="71" t="s">
        <v>579</v>
      </c>
      <c r="B151" s="71"/>
      <c r="C151" s="71"/>
      <c r="D151" s="71"/>
      <c r="E151" s="71"/>
      <c r="F151" s="71"/>
      <c r="G151" s="71"/>
      <c r="H151" s="71"/>
    </row>
    <row r="152" spans="1:8" ht="9" thickTop="1" thickBot="1" x14ac:dyDescent="0.2">
      <c r="A152" s="24" t="s">
        <v>514</v>
      </c>
      <c r="B152" s="26">
        <f>B137+7</f>
        <v>71</v>
      </c>
      <c r="C152" s="26">
        <f t="shared" ref="C152:H152" si="9">C137+7</f>
        <v>72</v>
      </c>
      <c r="D152" s="26">
        <f t="shared" si="9"/>
        <v>73</v>
      </c>
      <c r="E152" s="26">
        <f t="shared" si="9"/>
        <v>74</v>
      </c>
      <c r="F152" s="26">
        <f t="shared" si="9"/>
        <v>75</v>
      </c>
      <c r="G152" s="26">
        <f t="shared" si="9"/>
        <v>76</v>
      </c>
      <c r="H152" s="26">
        <f t="shared" si="9"/>
        <v>77</v>
      </c>
    </row>
    <row r="153" spans="1:8" ht="9" thickTop="1" thickBot="1" x14ac:dyDescent="0.2">
      <c r="A153" s="24" t="s">
        <v>515</v>
      </c>
      <c r="B153" s="25">
        <v>43196</v>
      </c>
      <c r="C153" s="25">
        <v>43199</v>
      </c>
      <c r="D153" s="25">
        <v>43200</v>
      </c>
      <c r="E153" s="25">
        <v>43201</v>
      </c>
      <c r="F153" s="25">
        <v>43202</v>
      </c>
      <c r="G153" s="25">
        <v>43203</v>
      </c>
      <c r="H153" s="25">
        <v>43206</v>
      </c>
    </row>
    <row r="154" spans="1:8" ht="9" thickTop="1" thickBot="1" x14ac:dyDescent="0.2">
      <c r="A154" s="24" t="s">
        <v>587</v>
      </c>
      <c r="B154" s="24"/>
      <c r="C154" s="24"/>
      <c r="D154" s="24"/>
      <c r="E154" s="24"/>
      <c r="F154" s="24"/>
      <c r="G154" s="24"/>
      <c r="H154" s="24"/>
    </row>
    <row r="155" spans="1:8" ht="9" thickTop="1" thickBot="1" x14ac:dyDescent="0.2">
      <c r="A155" s="24" t="s">
        <v>522</v>
      </c>
      <c r="B155" s="24"/>
      <c r="C155" s="24"/>
      <c r="D155" s="24"/>
      <c r="E155" s="24"/>
      <c r="F155" s="24"/>
      <c r="G155" s="24"/>
      <c r="H155" s="24"/>
    </row>
    <row r="156" spans="1:8" ht="9" thickTop="1" thickBot="1" x14ac:dyDescent="0.2">
      <c r="A156" s="24" t="s">
        <v>525</v>
      </c>
      <c r="B156" s="24"/>
      <c r="C156" s="24"/>
      <c r="D156" s="24"/>
      <c r="E156" s="24"/>
      <c r="F156" s="24"/>
      <c r="G156" s="24"/>
      <c r="H156" s="24"/>
    </row>
    <row r="157" spans="1:8" ht="9" thickTop="1" thickBot="1" x14ac:dyDescent="0.2">
      <c r="A157" s="24" t="s">
        <v>588</v>
      </c>
      <c r="B157" s="24"/>
      <c r="C157" s="24"/>
      <c r="D157" s="24"/>
      <c r="E157" s="24"/>
      <c r="F157" s="24"/>
      <c r="G157" s="24"/>
      <c r="H157" s="24"/>
    </row>
    <row r="158" spans="1:8" ht="9" thickTop="1" thickBot="1" x14ac:dyDescent="0.2">
      <c r="A158" s="24" t="s">
        <v>528</v>
      </c>
      <c r="B158" s="24"/>
      <c r="C158" s="24"/>
      <c r="D158" s="24"/>
      <c r="E158" s="24"/>
      <c r="F158" s="24"/>
      <c r="G158" s="24"/>
      <c r="H158" s="24"/>
    </row>
    <row r="159" spans="1:8" ht="9" thickTop="1" thickBot="1" x14ac:dyDescent="0.2">
      <c r="A159" s="24" t="s">
        <v>531</v>
      </c>
      <c r="B159" s="24"/>
      <c r="C159" s="24"/>
      <c r="D159" s="24"/>
      <c r="E159" s="24"/>
      <c r="F159" s="24"/>
      <c r="G159" s="24"/>
      <c r="H159" s="24"/>
    </row>
    <row r="160" spans="1:8" ht="9" thickTop="1" thickBot="1" x14ac:dyDescent="0.2">
      <c r="A160" s="24" t="s">
        <v>589</v>
      </c>
      <c r="B160" s="24"/>
      <c r="C160" s="24"/>
      <c r="D160" s="24"/>
      <c r="E160" s="24"/>
      <c r="F160" s="24"/>
      <c r="G160" s="24"/>
      <c r="H160" s="24"/>
    </row>
    <row r="161" spans="1:8" ht="9" thickTop="1" thickBot="1" x14ac:dyDescent="0.2">
      <c r="A161" s="24" t="s">
        <v>517</v>
      </c>
      <c r="B161" s="24"/>
      <c r="C161" s="24"/>
      <c r="D161" s="24"/>
      <c r="E161" s="24"/>
      <c r="F161" s="24"/>
      <c r="G161" s="24"/>
      <c r="H161" s="24"/>
    </row>
    <row r="162" spans="1:8" ht="9" thickTop="1" thickBot="1" x14ac:dyDescent="0.2">
      <c r="A162" s="24" t="s">
        <v>520</v>
      </c>
      <c r="B162" s="24"/>
      <c r="C162" s="24"/>
      <c r="D162" s="24"/>
      <c r="E162" s="24"/>
      <c r="F162" s="24"/>
      <c r="G162" s="24"/>
      <c r="H162" s="24"/>
    </row>
    <row r="163" spans="1:8" ht="9" thickTop="1" thickBot="1" x14ac:dyDescent="0.2">
      <c r="A163" s="24" t="s">
        <v>590</v>
      </c>
      <c r="B163" s="24"/>
      <c r="C163" s="24"/>
      <c r="D163" s="24"/>
      <c r="E163" s="24"/>
      <c r="F163" s="24"/>
      <c r="G163" s="24"/>
      <c r="H163" s="24"/>
    </row>
    <row r="164" spans="1:8" ht="9" thickTop="1" thickBot="1" x14ac:dyDescent="0.2">
      <c r="A164" s="24" t="s">
        <v>533</v>
      </c>
      <c r="B164" s="24"/>
      <c r="C164" s="24"/>
      <c r="D164" s="24"/>
      <c r="E164" s="24"/>
      <c r="F164" s="24"/>
      <c r="G164" s="24"/>
      <c r="H164" s="24"/>
    </row>
    <row r="165" spans="1:8" ht="9" thickTop="1" thickBot="1" x14ac:dyDescent="0.2"/>
    <row r="166" spans="1:8" ht="9" thickTop="1" thickBot="1" x14ac:dyDescent="0.2">
      <c r="A166" s="71" t="s">
        <v>579</v>
      </c>
      <c r="B166" s="71"/>
      <c r="C166" s="71"/>
      <c r="D166" s="71"/>
      <c r="E166" s="71"/>
      <c r="F166" s="71"/>
      <c r="G166" s="71"/>
      <c r="H166" s="71"/>
    </row>
    <row r="167" spans="1:8" ht="9" thickTop="1" thickBot="1" x14ac:dyDescent="0.2">
      <c r="A167" s="24" t="s">
        <v>514</v>
      </c>
      <c r="B167" s="26">
        <f>B152+7</f>
        <v>78</v>
      </c>
      <c r="C167" s="26">
        <f t="shared" ref="C167:H167" si="10">C152+7</f>
        <v>79</v>
      </c>
      <c r="D167" s="26">
        <f t="shared" si="10"/>
        <v>80</v>
      </c>
      <c r="E167" s="26">
        <f t="shared" si="10"/>
        <v>81</v>
      </c>
      <c r="F167" s="26">
        <f t="shared" si="10"/>
        <v>82</v>
      </c>
      <c r="G167" s="26">
        <f t="shared" si="10"/>
        <v>83</v>
      </c>
      <c r="H167" s="26">
        <f t="shared" si="10"/>
        <v>84</v>
      </c>
    </row>
    <row r="168" spans="1:8" ht="9" thickTop="1" thickBot="1" x14ac:dyDescent="0.2">
      <c r="A168" s="24" t="s">
        <v>515</v>
      </c>
      <c r="B168" s="25">
        <v>43207</v>
      </c>
      <c r="C168" s="25">
        <v>43208</v>
      </c>
      <c r="D168" s="25">
        <v>43209</v>
      </c>
      <c r="E168" s="25">
        <v>43210</v>
      </c>
      <c r="F168" s="25">
        <v>43213</v>
      </c>
      <c r="G168" s="25">
        <v>43214</v>
      </c>
      <c r="H168" s="25">
        <v>43215</v>
      </c>
    </row>
    <row r="169" spans="1:8" ht="9" thickTop="1" thickBot="1" x14ac:dyDescent="0.2">
      <c r="A169" s="24" t="s">
        <v>587</v>
      </c>
      <c r="B169" s="24"/>
      <c r="C169" s="24"/>
      <c r="D169" s="24"/>
      <c r="E169" s="24"/>
      <c r="F169" s="24"/>
      <c r="G169" s="24"/>
      <c r="H169" s="24"/>
    </row>
    <row r="170" spans="1:8" ht="9" thickTop="1" thickBot="1" x14ac:dyDescent="0.2">
      <c r="A170" s="24" t="s">
        <v>522</v>
      </c>
      <c r="B170" s="24"/>
      <c r="C170" s="24"/>
      <c r="D170" s="24"/>
      <c r="E170" s="24"/>
      <c r="F170" s="24"/>
      <c r="G170" s="24"/>
      <c r="H170" s="24"/>
    </row>
    <row r="171" spans="1:8" ht="9" thickTop="1" thickBot="1" x14ac:dyDescent="0.2">
      <c r="A171" s="24" t="s">
        <v>525</v>
      </c>
      <c r="B171" s="24"/>
      <c r="C171" s="24"/>
      <c r="D171" s="24"/>
      <c r="E171" s="24"/>
      <c r="F171" s="24"/>
      <c r="G171" s="24"/>
      <c r="H171" s="24"/>
    </row>
    <row r="172" spans="1:8" ht="9" thickTop="1" thickBot="1" x14ac:dyDescent="0.2">
      <c r="A172" s="24" t="s">
        <v>588</v>
      </c>
      <c r="B172" s="24"/>
      <c r="C172" s="24"/>
      <c r="D172" s="24"/>
      <c r="E172" s="24"/>
      <c r="F172" s="24"/>
      <c r="G172" s="24"/>
      <c r="H172" s="24"/>
    </row>
    <row r="173" spans="1:8" ht="9" thickTop="1" thickBot="1" x14ac:dyDescent="0.2">
      <c r="A173" s="24" t="s">
        <v>528</v>
      </c>
      <c r="B173" s="24"/>
      <c r="C173" s="24"/>
      <c r="D173" s="24"/>
      <c r="E173" s="24"/>
      <c r="F173" s="24"/>
      <c r="G173" s="24"/>
      <c r="H173" s="24"/>
    </row>
    <row r="174" spans="1:8" ht="9" thickTop="1" thickBot="1" x14ac:dyDescent="0.2">
      <c r="A174" s="24" t="s">
        <v>531</v>
      </c>
      <c r="B174" s="24"/>
      <c r="C174" s="24"/>
      <c r="D174" s="24"/>
      <c r="E174" s="24"/>
      <c r="F174" s="24"/>
      <c r="G174" s="24"/>
      <c r="H174" s="24"/>
    </row>
    <row r="175" spans="1:8" ht="9" thickTop="1" thickBot="1" x14ac:dyDescent="0.2">
      <c r="A175" s="24" t="s">
        <v>589</v>
      </c>
      <c r="B175" s="24"/>
      <c r="C175" s="24"/>
      <c r="D175" s="24"/>
      <c r="E175" s="24"/>
      <c r="F175" s="24"/>
      <c r="G175" s="24"/>
      <c r="H175" s="24"/>
    </row>
    <row r="176" spans="1:8" ht="9" thickTop="1" thickBot="1" x14ac:dyDescent="0.2">
      <c r="A176" s="24" t="s">
        <v>517</v>
      </c>
      <c r="B176" s="24"/>
      <c r="C176" s="24"/>
      <c r="D176" s="24"/>
      <c r="E176" s="24"/>
      <c r="F176" s="24"/>
      <c r="G176" s="24"/>
      <c r="H176" s="24"/>
    </row>
    <row r="177" spans="1:8" ht="9" thickTop="1" thickBot="1" x14ac:dyDescent="0.2">
      <c r="A177" s="24" t="s">
        <v>520</v>
      </c>
      <c r="B177" s="24"/>
      <c r="C177" s="24"/>
      <c r="D177" s="24"/>
      <c r="E177" s="24"/>
      <c r="F177" s="24"/>
      <c r="G177" s="24"/>
      <c r="H177" s="24"/>
    </row>
    <row r="178" spans="1:8" ht="9" thickTop="1" thickBot="1" x14ac:dyDescent="0.2">
      <c r="A178" s="24" t="s">
        <v>590</v>
      </c>
      <c r="B178" s="24"/>
      <c r="C178" s="24"/>
      <c r="D178" s="24"/>
      <c r="E178" s="24"/>
      <c r="F178" s="24"/>
      <c r="G178" s="24"/>
      <c r="H178" s="24"/>
    </row>
    <row r="179" spans="1:8" ht="9" thickTop="1" thickBot="1" x14ac:dyDescent="0.2">
      <c r="A179" s="24" t="s">
        <v>533</v>
      </c>
      <c r="B179" s="24"/>
      <c r="C179" s="24"/>
      <c r="D179" s="24"/>
      <c r="E179" s="24"/>
      <c r="F179" s="24"/>
      <c r="G179" s="24"/>
      <c r="H179" s="24"/>
    </row>
    <row r="180" spans="1:8" ht="9" thickTop="1" thickBot="1" x14ac:dyDescent="0.2"/>
    <row r="181" spans="1:8" ht="9" thickTop="1" thickBot="1" x14ac:dyDescent="0.2">
      <c r="A181" s="71" t="s">
        <v>579</v>
      </c>
      <c r="B181" s="71"/>
      <c r="C181" s="71"/>
      <c r="D181" s="71"/>
      <c r="E181" s="71"/>
      <c r="F181" s="71"/>
      <c r="G181" s="71"/>
      <c r="H181" s="71"/>
    </row>
    <row r="182" spans="1:8" ht="9" thickTop="1" thickBot="1" x14ac:dyDescent="0.2">
      <c r="A182" s="24" t="s">
        <v>514</v>
      </c>
      <c r="B182" s="26">
        <f>B167+7</f>
        <v>85</v>
      </c>
      <c r="C182" s="26">
        <f t="shared" ref="C182:H182" si="11">C167+7</f>
        <v>86</v>
      </c>
      <c r="D182" s="26">
        <f t="shared" si="11"/>
        <v>87</v>
      </c>
      <c r="E182" s="26">
        <f t="shared" si="11"/>
        <v>88</v>
      </c>
      <c r="F182" s="26">
        <f t="shared" si="11"/>
        <v>89</v>
      </c>
      <c r="G182" s="26">
        <f t="shared" si="11"/>
        <v>90</v>
      </c>
      <c r="H182" s="26">
        <f t="shared" si="11"/>
        <v>91</v>
      </c>
    </row>
    <row r="183" spans="1:8" ht="9" thickTop="1" thickBot="1" x14ac:dyDescent="0.2">
      <c r="A183" s="24" t="s">
        <v>515</v>
      </c>
      <c r="B183" s="25">
        <v>43216</v>
      </c>
      <c r="C183" s="25">
        <v>43217</v>
      </c>
      <c r="D183" s="25">
        <v>43220</v>
      </c>
      <c r="E183" s="25">
        <v>43221</v>
      </c>
      <c r="F183" s="25">
        <v>43222</v>
      </c>
      <c r="G183" s="25">
        <v>43223</v>
      </c>
      <c r="H183" s="25">
        <v>43224</v>
      </c>
    </row>
    <row r="184" spans="1:8" ht="9" thickTop="1" thickBot="1" x14ac:dyDescent="0.2">
      <c r="A184" s="24" t="s">
        <v>587</v>
      </c>
      <c r="B184" s="24"/>
      <c r="C184" s="24"/>
      <c r="D184" s="24"/>
      <c r="E184" s="24"/>
      <c r="F184" s="24"/>
      <c r="G184" s="24"/>
      <c r="H184" s="24"/>
    </row>
    <row r="185" spans="1:8" ht="9" thickTop="1" thickBot="1" x14ac:dyDescent="0.2">
      <c r="A185" s="24" t="s">
        <v>522</v>
      </c>
      <c r="B185" s="24"/>
      <c r="C185" s="24"/>
      <c r="D185" s="24"/>
      <c r="E185" s="24"/>
      <c r="F185" s="24"/>
      <c r="G185" s="24"/>
      <c r="H185" s="24"/>
    </row>
    <row r="186" spans="1:8" ht="9" thickTop="1" thickBot="1" x14ac:dyDescent="0.2">
      <c r="A186" s="24" t="s">
        <v>525</v>
      </c>
      <c r="B186" s="24"/>
      <c r="C186" s="24"/>
      <c r="D186" s="24"/>
      <c r="E186" s="24"/>
      <c r="F186" s="24"/>
      <c r="G186" s="24"/>
      <c r="H186" s="24"/>
    </row>
    <row r="187" spans="1:8" ht="9" thickTop="1" thickBot="1" x14ac:dyDescent="0.2">
      <c r="A187" s="24" t="s">
        <v>588</v>
      </c>
      <c r="B187" s="24"/>
      <c r="C187" s="24"/>
      <c r="D187" s="24"/>
      <c r="E187" s="24"/>
      <c r="F187" s="24"/>
      <c r="G187" s="24"/>
      <c r="H187" s="24"/>
    </row>
    <row r="188" spans="1:8" ht="9" thickTop="1" thickBot="1" x14ac:dyDescent="0.2">
      <c r="A188" s="24" t="s">
        <v>528</v>
      </c>
      <c r="B188" s="24"/>
      <c r="C188" s="24"/>
      <c r="D188" s="24"/>
      <c r="E188" s="24"/>
      <c r="F188" s="24"/>
      <c r="G188" s="24"/>
      <c r="H188" s="24"/>
    </row>
    <row r="189" spans="1:8" ht="9" thickTop="1" thickBot="1" x14ac:dyDescent="0.2">
      <c r="A189" s="24" t="s">
        <v>531</v>
      </c>
      <c r="B189" s="24"/>
      <c r="C189" s="24"/>
      <c r="D189" s="24"/>
      <c r="E189" s="24"/>
      <c r="F189" s="24"/>
      <c r="G189" s="24"/>
      <c r="H189" s="24"/>
    </row>
    <row r="190" spans="1:8" ht="9" thickTop="1" thickBot="1" x14ac:dyDescent="0.2">
      <c r="A190" s="24" t="s">
        <v>589</v>
      </c>
      <c r="B190" s="24"/>
      <c r="C190" s="24"/>
      <c r="D190" s="24"/>
      <c r="E190" s="24"/>
      <c r="F190" s="24"/>
      <c r="G190" s="24"/>
      <c r="H190" s="24"/>
    </row>
    <row r="191" spans="1:8" ht="9" thickTop="1" thickBot="1" x14ac:dyDescent="0.2">
      <c r="A191" s="24" t="s">
        <v>517</v>
      </c>
      <c r="B191" s="24"/>
      <c r="C191" s="24"/>
      <c r="D191" s="24"/>
      <c r="E191" s="24"/>
      <c r="F191" s="24"/>
      <c r="G191" s="24"/>
      <c r="H191" s="24"/>
    </row>
    <row r="192" spans="1:8" ht="9" thickTop="1" thickBot="1" x14ac:dyDescent="0.2">
      <c r="A192" s="24" t="s">
        <v>520</v>
      </c>
      <c r="B192" s="24"/>
      <c r="C192" s="24"/>
      <c r="D192" s="24"/>
      <c r="E192" s="24"/>
      <c r="F192" s="24"/>
      <c r="G192" s="24"/>
      <c r="H192" s="24"/>
    </row>
    <row r="193" spans="1:8" ht="9" thickTop="1" thickBot="1" x14ac:dyDescent="0.2">
      <c r="A193" s="24" t="s">
        <v>590</v>
      </c>
      <c r="B193" s="24"/>
      <c r="C193" s="24"/>
      <c r="D193" s="24"/>
      <c r="E193" s="24"/>
      <c r="F193" s="24"/>
      <c r="G193" s="24"/>
      <c r="H193" s="24"/>
    </row>
    <row r="194" spans="1:8" ht="9" thickTop="1" thickBot="1" x14ac:dyDescent="0.2">
      <c r="A194" s="24" t="s">
        <v>533</v>
      </c>
      <c r="B194" s="24"/>
      <c r="C194" s="24"/>
      <c r="D194" s="24"/>
      <c r="E194" s="24"/>
      <c r="F194" s="24"/>
      <c r="G194" s="24"/>
      <c r="H194" s="24"/>
    </row>
    <row r="195" spans="1:8" ht="9" thickTop="1" thickBot="1" x14ac:dyDescent="0.2"/>
    <row r="196" spans="1:8" ht="9" thickTop="1" thickBot="1" x14ac:dyDescent="0.2">
      <c r="A196" s="71" t="s">
        <v>579</v>
      </c>
      <c r="B196" s="71"/>
      <c r="C196" s="71"/>
      <c r="D196" s="71"/>
      <c r="E196" s="71"/>
      <c r="F196" s="71"/>
      <c r="G196" s="71"/>
      <c r="H196" s="71"/>
    </row>
    <row r="197" spans="1:8" ht="9" thickTop="1" thickBot="1" x14ac:dyDescent="0.2">
      <c r="A197" s="24" t="s">
        <v>514</v>
      </c>
      <c r="B197" s="26">
        <f>B182+7</f>
        <v>92</v>
      </c>
      <c r="C197" s="26">
        <f t="shared" ref="C197:H197" si="12">C182+7</f>
        <v>93</v>
      </c>
      <c r="D197" s="26">
        <f t="shared" si="12"/>
        <v>94</v>
      </c>
      <c r="E197" s="26">
        <f t="shared" si="12"/>
        <v>95</v>
      </c>
      <c r="F197" s="26">
        <f t="shared" si="12"/>
        <v>96</v>
      </c>
      <c r="G197" s="26">
        <f t="shared" si="12"/>
        <v>97</v>
      </c>
      <c r="H197" s="26">
        <f t="shared" si="12"/>
        <v>98</v>
      </c>
    </row>
    <row r="198" spans="1:8" ht="9" thickTop="1" thickBot="1" x14ac:dyDescent="0.2">
      <c r="A198" s="24" t="s">
        <v>515</v>
      </c>
      <c r="B198" s="25">
        <v>43227</v>
      </c>
      <c r="C198" s="25">
        <v>43228</v>
      </c>
      <c r="D198" s="25">
        <v>43229</v>
      </c>
      <c r="E198" s="25">
        <v>43230</v>
      </c>
      <c r="F198" s="25">
        <v>43231</v>
      </c>
      <c r="G198" s="25">
        <v>43234</v>
      </c>
      <c r="H198" s="25">
        <v>43235</v>
      </c>
    </row>
    <row r="199" spans="1:8" ht="9" thickTop="1" thickBot="1" x14ac:dyDescent="0.2">
      <c r="A199" s="24" t="s">
        <v>587</v>
      </c>
      <c r="B199" s="24"/>
      <c r="C199" s="24"/>
      <c r="D199" s="24"/>
      <c r="E199" s="24"/>
      <c r="F199" s="24"/>
      <c r="G199" s="24"/>
      <c r="H199" s="24"/>
    </row>
    <row r="200" spans="1:8" ht="9" thickTop="1" thickBot="1" x14ac:dyDescent="0.2">
      <c r="A200" s="24" t="s">
        <v>522</v>
      </c>
      <c r="B200" s="24"/>
      <c r="C200" s="24"/>
      <c r="D200" s="24"/>
      <c r="E200" s="24"/>
      <c r="F200" s="24"/>
      <c r="G200" s="24"/>
      <c r="H200" s="24"/>
    </row>
    <row r="201" spans="1:8" ht="9" thickTop="1" thickBot="1" x14ac:dyDescent="0.2">
      <c r="A201" s="24" t="s">
        <v>525</v>
      </c>
      <c r="B201" s="24"/>
      <c r="C201" s="24"/>
      <c r="D201" s="24"/>
      <c r="E201" s="24"/>
      <c r="F201" s="24"/>
      <c r="G201" s="24"/>
      <c r="H201" s="24"/>
    </row>
    <row r="202" spans="1:8" ht="9" thickTop="1" thickBot="1" x14ac:dyDescent="0.2">
      <c r="A202" s="24" t="s">
        <v>588</v>
      </c>
      <c r="B202" s="24"/>
      <c r="C202" s="24"/>
      <c r="D202" s="24"/>
      <c r="E202" s="24"/>
      <c r="F202" s="24"/>
      <c r="G202" s="24"/>
      <c r="H202" s="24"/>
    </row>
    <row r="203" spans="1:8" ht="9" thickTop="1" thickBot="1" x14ac:dyDescent="0.2">
      <c r="A203" s="24" t="s">
        <v>528</v>
      </c>
      <c r="B203" s="24"/>
      <c r="C203" s="24"/>
      <c r="D203" s="24"/>
      <c r="E203" s="24"/>
      <c r="F203" s="24"/>
      <c r="G203" s="24"/>
      <c r="H203" s="24"/>
    </row>
    <row r="204" spans="1:8" ht="9" thickTop="1" thickBot="1" x14ac:dyDescent="0.2">
      <c r="A204" s="24" t="s">
        <v>531</v>
      </c>
      <c r="B204" s="24"/>
      <c r="C204" s="24"/>
      <c r="D204" s="24"/>
      <c r="E204" s="24"/>
      <c r="F204" s="24"/>
      <c r="G204" s="24"/>
      <c r="H204" s="24"/>
    </row>
    <row r="205" spans="1:8" ht="9" thickTop="1" thickBot="1" x14ac:dyDescent="0.2">
      <c r="A205" s="24" t="s">
        <v>589</v>
      </c>
      <c r="B205" s="24"/>
      <c r="C205" s="24"/>
      <c r="D205" s="24"/>
      <c r="E205" s="24"/>
      <c r="F205" s="24"/>
      <c r="G205" s="24"/>
      <c r="H205" s="24"/>
    </row>
    <row r="206" spans="1:8" ht="9" thickTop="1" thickBot="1" x14ac:dyDescent="0.2">
      <c r="A206" s="24" t="s">
        <v>517</v>
      </c>
      <c r="B206" s="24"/>
      <c r="C206" s="24"/>
      <c r="D206" s="24"/>
      <c r="E206" s="24"/>
      <c r="F206" s="24"/>
      <c r="G206" s="24"/>
      <c r="H206" s="24"/>
    </row>
    <row r="207" spans="1:8" ht="9" thickTop="1" thickBot="1" x14ac:dyDescent="0.2">
      <c r="A207" s="24" t="s">
        <v>520</v>
      </c>
      <c r="B207" s="24"/>
      <c r="C207" s="24"/>
      <c r="D207" s="24"/>
      <c r="E207" s="24"/>
      <c r="F207" s="24"/>
      <c r="G207" s="24"/>
      <c r="H207" s="24"/>
    </row>
    <row r="208" spans="1:8" ht="9" thickTop="1" thickBot="1" x14ac:dyDescent="0.2">
      <c r="A208" s="24" t="s">
        <v>590</v>
      </c>
      <c r="B208" s="24"/>
      <c r="C208" s="24"/>
      <c r="D208" s="24"/>
      <c r="E208" s="24"/>
      <c r="F208" s="24"/>
      <c r="G208" s="24"/>
      <c r="H208" s="24"/>
    </row>
    <row r="209" spans="1:8" ht="9" thickTop="1" thickBot="1" x14ac:dyDescent="0.2">
      <c r="A209" s="24" t="s">
        <v>533</v>
      </c>
      <c r="B209" s="24"/>
      <c r="C209" s="24"/>
      <c r="D209" s="24"/>
      <c r="E209" s="24"/>
      <c r="F209" s="24"/>
      <c r="G209" s="24"/>
      <c r="H209" s="24"/>
    </row>
    <row r="210" spans="1:8" ht="9" thickTop="1" thickBot="1" x14ac:dyDescent="0.2"/>
    <row r="211" spans="1:8" ht="9" thickTop="1" thickBot="1" x14ac:dyDescent="0.2">
      <c r="A211" s="71" t="s">
        <v>579</v>
      </c>
      <c r="B211" s="71"/>
      <c r="C211" s="71"/>
      <c r="D211" s="71"/>
      <c r="E211" s="71"/>
      <c r="F211" s="71"/>
      <c r="G211" s="71"/>
      <c r="H211" s="71"/>
    </row>
    <row r="212" spans="1:8" ht="9" thickTop="1" thickBot="1" x14ac:dyDescent="0.2">
      <c r="A212" s="24" t="s">
        <v>514</v>
      </c>
      <c r="B212" s="26">
        <f>B197+7</f>
        <v>99</v>
      </c>
      <c r="C212" s="26">
        <f t="shared" ref="C212:H212" si="13">C197+7</f>
        <v>100</v>
      </c>
      <c r="D212" s="26">
        <f t="shared" si="13"/>
        <v>101</v>
      </c>
      <c r="E212" s="26">
        <f t="shared" si="13"/>
        <v>102</v>
      </c>
      <c r="F212" s="26">
        <f t="shared" si="13"/>
        <v>103</v>
      </c>
      <c r="G212" s="26">
        <f t="shared" si="13"/>
        <v>104</v>
      </c>
      <c r="H212" s="26">
        <f t="shared" si="13"/>
        <v>105</v>
      </c>
    </row>
    <row r="213" spans="1:8" ht="9" thickTop="1" thickBot="1" x14ac:dyDescent="0.2">
      <c r="A213" s="24" t="s">
        <v>515</v>
      </c>
      <c r="B213" s="25">
        <v>43236</v>
      </c>
      <c r="C213" s="25">
        <v>43237</v>
      </c>
      <c r="D213" s="25">
        <v>43238</v>
      </c>
      <c r="E213" s="25">
        <v>43241</v>
      </c>
      <c r="F213" s="25">
        <v>43242</v>
      </c>
      <c r="G213" s="25">
        <v>43243</v>
      </c>
      <c r="H213" s="25">
        <v>43244</v>
      </c>
    </row>
    <row r="214" spans="1:8" ht="9" thickTop="1" thickBot="1" x14ac:dyDescent="0.2">
      <c r="A214" s="24" t="s">
        <v>587</v>
      </c>
      <c r="B214" s="24"/>
      <c r="C214" s="24"/>
      <c r="D214" s="24"/>
      <c r="E214" s="24"/>
      <c r="F214" s="24"/>
      <c r="G214" s="24"/>
      <c r="H214" s="24"/>
    </row>
    <row r="215" spans="1:8" ht="9" thickTop="1" thickBot="1" x14ac:dyDescent="0.2">
      <c r="A215" s="24" t="s">
        <v>522</v>
      </c>
      <c r="B215" s="24"/>
      <c r="C215" s="24"/>
      <c r="D215" s="24"/>
      <c r="E215" s="24"/>
      <c r="F215" s="24"/>
      <c r="G215" s="24"/>
      <c r="H215" s="24"/>
    </row>
    <row r="216" spans="1:8" ht="9" thickTop="1" thickBot="1" x14ac:dyDescent="0.2">
      <c r="A216" s="24" t="s">
        <v>525</v>
      </c>
      <c r="B216" s="24"/>
      <c r="C216" s="24"/>
      <c r="D216" s="24"/>
      <c r="E216" s="24"/>
      <c r="F216" s="24"/>
      <c r="G216" s="24"/>
      <c r="H216" s="24"/>
    </row>
    <row r="217" spans="1:8" ht="9" thickTop="1" thickBot="1" x14ac:dyDescent="0.2">
      <c r="A217" s="24" t="s">
        <v>588</v>
      </c>
      <c r="B217" s="24"/>
      <c r="C217" s="24"/>
      <c r="D217" s="24"/>
      <c r="E217" s="24"/>
      <c r="F217" s="24"/>
      <c r="G217" s="24"/>
      <c r="H217" s="24"/>
    </row>
    <row r="218" spans="1:8" ht="9" thickTop="1" thickBot="1" x14ac:dyDescent="0.2">
      <c r="A218" s="24" t="s">
        <v>528</v>
      </c>
      <c r="B218" s="24"/>
      <c r="C218" s="24"/>
      <c r="D218" s="24"/>
      <c r="E218" s="24"/>
      <c r="F218" s="24"/>
      <c r="G218" s="24"/>
      <c r="H218" s="24"/>
    </row>
    <row r="219" spans="1:8" ht="9" thickTop="1" thickBot="1" x14ac:dyDescent="0.2">
      <c r="A219" s="24" t="s">
        <v>531</v>
      </c>
      <c r="B219" s="24"/>
      <c r="C219" s="24"/>
      <c r="D219" s="24"/>
      <c r="E219" s="24"/>
      <c r="F219" s="24"/>
      <c r="G219" s="24"/>
      <c r="H219" s="24"/>
    </row>
    <row r="220" spans="1:8" ht="9" thickTop="1" thickBot="1" x14ac:dyDescent="0.2">
      <c r="A220" s="24" t="s">
        <v>589</v>
      </c>
      <c r="B220" s="24"/>
      <c r="C220" s="24"/>
      <c r="D220" s="24"/>
      <c r="E220" s="24"/>
      <c r="F220" s="24"/>
      <c r="G220" s="24"/>
      <c r="H220" s="24"/>
    </row>
    <row r="221" spans="1:8" ht="9" thickTop="1" thickBot="1" x14ac:dyDescent="0.2">
      <c r="A221" s="24" t="s">
        <v>517</v>
      </c>
      <c r="B221" s="24"/>
      <c r="C221" s="24"/>
      <c r="D221" s="24"/>
      <c r="E221" s="24"/>
      <c r="F221" s="24"/>
      <c r="G221" s="24"/>
      <c r="H221" s="24"/>
    </row>
    <row r="222" spans="1:8" ht="9" thickTop="1" thickBot="1" x14ac:dyDescent="0.2">
      <c r="A222" s="24" t="s">
        <v>520</v>
      </c>
      <c r="B222" s="24"/>
      <c r="C222" s="24"/>
      <c r="D222" s="24"/>
      <c r="E222" s="24"/>
      <c r="F222" s="24"/>
      <c r="G222" s="24"/>
      <c r="H222" s="24"/>
    </row>
    <row r="223" spans="1:8" ht="9" thickTop="1" thickBot="1" x14ac:dyDescent="0.2">
      <c r="A223" s="24" t="s">
        <v>590</v>
      </c>
      <c r="B223" s="24"/>
      <c r="C223" s="24"/>
      <c r="D223" s="24"/>
      <c r="E223" s="24"/>
      <c r="F223" s="24"/>
      <c r="G223" s="24"/>
      <c r="H223" s="24"/>
    </row>
    <row r="224" spans="1:8" ht="9" thickTop="1" thickBot="1" x14ac:dyDescent="0.2">
      <c r="A224" s="24" t="s">
        <v>533</v>
      </c>
      <c r="B224" s="24"/>
      <c r="C224" s="24"/>
      <c r="D224" s="24"/>
      <c r="E224" s="24"/>
      <c r="F224" s="24"/>
      <c r="G224" s="24"/>
      <c r="H224" s="24"/>
    </row>
    <row r="225" spans="1:8" ht="9" thickTop="1" thickBot="1" x14ac:dyDescent="0.2"/>
    <row r="226" spans="1:8" ht="9" thickTop="1" thickBot="1" x14ac:dyDescent="0.2">
      <c r="A226" s="71" t="s">
        <v>579</v>
      </c>
      <c r="B226" s="71"/>
      <c r="C226" s="71"/>
      <c r="D226" s="71"/>
      <c r="E226" s="71"/>
      <c r="F226" s="71"/>
      <c r="G226" s="71"/>
      <c r="H226" s="71"/>
    </row>
    <row r="227" spans="1:8" ht="9" thickTop="1" thickBot="1" x14ac:dyDescent="0.2">
      <c r="A227" s="24" t="s">
        <v>514</v>
      </c>
      <c r="B227" s="26">
        <f>B212+7</f>
        <v>106</v>
      </c>
      <c r="C227" s="26">
        <f t="shared" ref="C227:H227" si="14">C212+7</f>
        <v>107</v>
      </c>
      <c r="D227" s="26">
        <f t="shared" si="14"/>
        <v>108</v>
      </c>
      <c r="E227" s="26">
        <f t="shared" si="14"/>
        <v>109</v>
      </c>
      <c r="F227" s="26">
        <f t="shared" si="14"/>
        <v>110</v>
      </c>
      <c r="G227" s="26">
        <f t="shared" si="14"/>
        <v>111</v>
      </c>
      <c r="H227" s="26">
        <f t="shared" si="14"/>
        <v>112</v>
      </c>
    </row>
    <row r="228" spans="1:8" ht="9" thickTop="1" thickBot="1" x14ac:dyDescent="0.2">
      <c r="A228" s="24" t="s">
        <v>515</v>
      </c>
      <c r="B228" s="25">
        <v>43245</v>
      </c>
      <c r="C228" s="25">
        <v>43248</v>
      </c>
      <c r="D228" s="25">
        <v>43249</v>
      </c>
      <c r="E228" s="25">
        <v>43250</v>
      </c>
      <c r="F228" s="25">
        <v>43251</v>
      </c>
      <c r="G228" s="25">
        <v>43252</v>
      </c>
      <c r="H228" s="25">
        <v>43255</v>
      </c>
    </row>
    <row r="229" spans="1:8" ht="9" thickTop="1" thickBot="1" x14ac:dyDescent="0.2">
      <c r="A229" s="24" t="s">
        <v>587</v>
      </c>
      <c r="B229" s="24"/>
      <c r="C229" s="24"/>
      <c r="D229" s="24"/>
      <c r="E229" s="31"/>
      <c r="F229" s="24"/>
      <c r="G229" s="24"/>
      <c r="H229" s="24"/>
    </row>
    <row r="230" spans="1:8" ht="9" thickTop="1" thickBot="1" x14ac:dyDescent="0.2">
      <c r="A230" s="24" t="s">
        <v>522</v>
      </c>
      <c r="B230" s="24"/>
      <c r="C230" s="24"/>
      <c r="D230" s="24"/>
      <c r="E230" s="24"/>
      <c r="F230" s="24"/>
      <c r="G230" s="24"/>
      <c r="H230" s="24"/>
    </row>
    <row r="231" spans="1:8" ht="9" thickTop="1" thickBot="1" x14ac:dyDescent="0.2">
      <c r="A231" s="24" t="s">
        <v>525</v>
      </c>
      <c r="B231" s="24"/>
      <c r="C231" s="24"/>
      <c r="D231" s="24"/>
      <c r="E231" s="24"/>
      <c r="F231" s="24"/>
      <c r="G231" s="24"/>
      <c r="H231" s="24"/>
    </row>
    <row r="232" spans="1:8" ht="9" thickTop="1" thickBot="1" x14ac:dyDescent="0.2">
      <c r="A232" s="24" t="s">
        <v>588</v>
      </c>
      <c r="B232" s="24"/>
      <c r="C232" s="24"/>
      <c r="D232" s="24"/>
      <c r="E232" s="24"/>
      <c r="F232" s="24"/>
      <c r="G232" s="24"/>
      <c r="H232" s="24"/>
    </row>
    <row r="233" spans="1:8" ht="9" thickTop="1" thickBot="1" x14ac:dyDescent="0.2">
      <c r="A233" s="24" t="s">
        <v>528</v>
      </c>
      <c r="B233" s="24"/>
      <c r="C233" s="24"/>
      <c r="D233" s="24"/>
      <c r="E233" s="24"/>
      <c r="F233" s="24"/>
      <c r="G233" s="24"/>
      <c r="H233" s="24"/>
    </row>
    <row r="234" spans="1:8" ht="9" thickTop="1" thickBot="1" x14ac:dyDescent="0.2">
      <c r="A234" s="24" t="s">
        <v>531</v>
      </c>
      <c r="B234" s="24"/>
      <c r="C234" s="24"/>
      <c r="D234" s="24"/>
      <c r="E234" s="24"/>
      <c r="F234" s="24"/>
      <c r="G234" s="24"/>
      <c r="H234" s="24"/>
    </row>
    <row r="235" spans="1:8" ht="9" thickTop="1" thickBot="1" x14ac:dyDescent="0.2">
      <c r="A235" s="24" t="s">
        <v>589</v>
      </c>
      <c r="B235" s="24"/>
      <c r="C235" s="24"/>
      <c r="D235" s="24"/>
      <c r="E235" s="24"/>
      <c r="F235" s="24"/>
      <c r="G235" s="24"/>
      <c r="H235" s="24"/>
    </row>
    <row r="236" spans="1:8" ht="9" thickTop="1" thickBot="1" x14ac:dyDescent="0.2">
      <c r="A236" s="24" t="s">
        <v>517</v>
      </c>
      <c r="B236" s="24"/>
      <c r="C236" s="24"/>
      <c r="D236" s="24"/>
      <c r="E236" s="24"/>
      <c r="F236" s="24"/>
      <c r="G236" s="24"/>
      <c r="H236" s="24"/>
    </row>
    <row r="237" spans="1:8" ht="9" thickTop="1" thickBot="1" x14ac:dyDescent="0.2">
      <c r="A237" s="24" t="s">
        <v>520</v>
      </c>
      <c r="B237" s="24"/>
      <c r="C237" s="24"/>
      <c r="D237" s="24"/>
      <c r="E237" s="24"/>
      <c r="F237" s="24"/>
      <c r="G237" s="24"/>
      <c r="H237" s="24"/>
    </row>
    <row r="238" spans="1:8" ht="9" thickTop="1" thickBot="1" x14ac:dyDescent="0.2">
      <c r="A238" s="24" t="s">
        <v>590</v>
      </c>
      <c r="B238" s="24"/>
      <c r="C238" s="24"/>
      <c r="D238" s="24"/>
      <c r="E238" s="24"/>
      <c r="F238" s="24"/>
      <c r="G238" s="24"/>
      <c r="H238" s="24"/>
    </row>
    <row r="239" spans="1:8" ht="9" thickTop="1" thickBot="1" x14ac:dyDescent="0.2">
      <c r="A239" s="24" t="s">
        <v>533</v>
      </c>
      <c r="B239" s="24"/>
      <c r="C239" s="24"/>
      <c r="D239" s="24"/>
      <c r="E239" s="24"/>
      <c r="F239" s="24"/>
      <c r="G239" s="24"/>
      <c r="H239" s="24"/>
    </row>
    <row r="240" spans="1:8" ht="9" thickTop="1" thickBot="1" x14ac:dyDescent="0.2"/>
    <row r="241" spans="1:8" ht="9" thickTop="1" thickBot="1" x14ac:dyDescent="0.2">
      <c r="A241" s="71" t="s">
        <v>579</v>
      </c>
      <c r="B241" s="71"/>
      <c r="C241" s="71"/>
      <c r="D241" s="71"/>
      <c r="E241" s="71"/>
      <c r="F241" s="71"/>
      <c r="G241" s="71"/>
      <c r="H241" s="71"/>
    </row>
    <row r="242" spans="1:8" ht="9" thickTop="1" thickBot="1" x14ac:dyDescent="0.2">
      <c r="A242" s="24" t="s">
        <v>514</v>
      </c>
      <c r="B242" s="26">
        <f>B227+7</f>
        <v>113</v>
      </c>
      <c r="C242" s="26">
        <f t="shared" ref="C242:H242" si="15">C227+7</f>
        <v>114</v>
      </c>
      <c r="D242" s="26">
        <f t="shared" si="15"/>
        <v>115</v>
      </c>
      <c r="E242" s="26">
        <f t="shared" si="15"/>
        <v>116</v>
      </c>
      <c r="F242" s="26">
        <f t="shared" si="15"/>
        <v>117</v>
      </c>
      <c r="G242" s="26">
        <f t="shared" si="15"/>
        <v>118</v>
      </c>
      <c r="H242" s="26">
        <f t="shared" si="15"/>
        <v>119</v>
      </c>
    </row>
    <row r="243" spans="1:8" ht="9" thickTop="1" thickBot="1" x14ac:dyDescent="0.2">
      <c r="A243" s="24" t="s">
        <v>515</v>
      </c>
      <c r="B243" s="25">
        <v>43256</v>
      </c>
      <c r="C243" s="25">
        <v>43257</v>
      </c>
      <c r="D243" s="25">
        <v>43258</v>
      </c>
      <c r="E243" s="25">
        <v>43259</v>
      </c>
      <c r="F243" s="25">
        <v>43262</v>
      </c>
      <c r="G243" s="25">
        <v>43263</v>
      </c>
      <c r="H243" s="25">
        <v>43264</v>
      </c>
    </row>
    <row r="244" spans="1:8" ht="9" thickTop="1" thickBot="1" x14ac:dyDescent="0.2">
      <c r="A244" s="24" t="s">
        <v>587</v>
      </c>
      <c r="B244" s="24"/>
      <c r="C244" s="24"/>
      <c r="D244" s="24"/>
      <c r="E244" s="24"/>
      <c r="F244" s="24"/>
      <c r="G244" s="24"/>
      <c r="H244" s="24"/>
    </row>
    <row r="245" spans="1:8" ht="9" thickTop="1" thickBot="1" x14ac:dyDescent="0.2">
      <c r="A245" s="24" t="s">
        <v>522</v>
      </c>
      <c r="B245" s="24"/>
      <c r="C245" s="24"/>
      <c r="D245" s="24"/>
      <c r="E245" s="24"/>
      <c r="F245" s="24"/>
      <c r="G245" s="24"/>
      <c r="H245" s="24"/>
    </row>
    <row r="246" spans="1:8" ht="9" thickTop="1" thickBot="1" x14ac:dyDescent="0.2">
      <c r="A246" s="24" t="s">
        <v>525</v>
      </c>
      <c r="B246" s="24"/>
      <c r="C246" s="24"/>
      <c r="D246" s="24"/>
      <c r="E246" s="24"/>
      <c r="F246" s="24"/>
      <c r="G246" s="24"/>
      <c r="H246" s="24"/>
    </row>
    <row r="247" spans="1:8" ht="9" thickTop="1" thickBot="1" x14ac:dyDescent="0.2">
      <c r="A247" s="24" t="s">
        <v>588</v>
      </c>
      <c r="B247" s="24"/>
      <c r="C247" s="24"/>
      <c r="D247" s="24"/>
      <c r="E247" s="24"/>
      <c r="F247" s="24"/>
      <c r="G247" s="24"/>
      <c r="H247" s="24"/>
    </row>
    <row r="248" spans="1:8" ht="9" thickTop="1" thickBot="1" x14ac:dyDescent="0.2">
      <c r="A248" s="24" t="s">
        <v>528</v>
      </c>
      <c r="B248" s="24"/>
      <c r="C248" s="24"/>
      <c r="D248" s="24"/>
      <c r="E248" s="24"/>
      <c r="F248" s="24"/>
      <c r="G248" s="24"/>
      <c r="H248" s="24"/>
    </row>
    <row r="249" spans="1:8" ht="9" thickTop="1" thickBot="1" x14ac:dyDescent="0.2">
      <c r="A249" s="24" t="s">
        <v>531</v>
      </c>
      <c r="B249" s="24"/>
      <c r="C249" s="24"/>
      <c r="D249" s="24"/>
      <c r="E249" s="24"/>
      <c r="F249" s="24"/>
      <c r="G249" s="24"/>
      <c r="H249" s="24"/>
    </row>
    <row r="250" spans="1:8" ht="9" thickTop="1" thickBot="1" x14ac:dyDescent="0.2">
      <c r="A250" s="24" t="s">
        <v>589</v>
      </c>
      <c r="B250" s="24"/>
      <c r="C250" s="24"/>
      <c r="D250" s="24"/>
      <c r="E250" s="24"/>
      <c r="F250" s="24"/>
      <c r="G250" s="24"/>
      <c r="H250" s="24"/>
    </row>
    <row r="251" spans="1:8" ht="9" thickTop="1" thickBot="1" x14ac:dyDescent="0.2">
      <c r="A251" s="24" t="s">
        <v>517</v>
      </c>
      <c r="B251" s="24"/>
      <c r="C251" s="24"/>
      <c r="D251" s="24"/>
      <c r="E251" s="24"/>
      <c r="F251" s="24"/>
      <c r="G251" s="24"/>
      <c r="H251" s="24"/>
    </row>
    <row r="252" spans="1:8" ht="9" thickTop="1" thickBot="1" x14ac:dyDescent="0.2">
      <c r="A252" s="24" t="s">
        <v>520</v>
      </c>
      <c r="B252" s="24"/>
      <c r="C252" s="24"/>
      <c r="D252" s="24"/>
      <c r="E252" s="24"/>
      <c r="F252" s="24"/>
      <c r="G252" s="24"/>
      <c r="H252" s="24"/>
    </row>
    <row r="253" spans="1:8" ht="9" thickTop="1" thickBot="1" x14ac:dyDescent="0.2">
      <c r="A253" s="24" t="s">
        <v>590</v>
      </c>
      <c r="B253" s="24"/>
      <c r="C253" s="24"/>
      <c r="D253" s="24"/>
      <c r="E253" s="24"/>
      <c r="F253" s="24"/>
      <c r="G253" s="24"/>
      <c r="H253" s="24"/>
    </row>
    <row r="254" spans="1:8" ht="9" thickTop="1" thickBot="1" x14ac:dyDescent="0.2">
      <c r="A254" s="24" t="s">
        <v>533</v>
      </c>
      <c r="B254" s="24"/>
      <c r="C254" s="24"/>
      <c r="D254" s="24"/>
      <c r="E254" s="24"/>
      <c r="F254" s="24"/>
      <c r="G254" s="24"/>
      <c r="H254" s="24"/>
    </row>
    <row r="255" spans="1:8" ht="9" thickTop="1" thickBot="1" x14ac:dyDescent="0.2"/>
    <row r="256" spans="1:8" ht="9" thickTop="1" thickBot="1" x14ac:dyDescent="0.2">
      <c r="A256" s="71" t="s">
        <v>579</v>
      </c>
      <c r="B256" s="71"/>
      <c r="C256" s="71"/>
      <c r="D256" s="71"/>
      <c r="E256" s="71"/>
      <c r="F256" s="71"/>
      <c r="G256" s="71"/>
      <c r="H256" s="71"/>
    </row>
    <row r="257" spans="1:8" ht="9" thickTop="1" thickBot="1" x14ac:dyDescent="0.2">
      <c r="A257" s="24" t="s">
        <v>514</v>
      </c>
      <c r="B257" s="26">
        <f>B242+7</f>
        <v>120</v>
      </c>
      <c r="C257" s="26">
        <f t="shared" ref="C257:H257" si="16">C242+7</f>
        <v>121</v>
      </c>
      <c r="D257" s="26">
        <f t="shared" si="16"/>
        <v>122</v>
      </c>
      <c r="E257" s="26">
        <f t="shared" si="16"/>
        <v>123</v>
      </c>
      <c r="F257" s="26">
        <f t="shared" si="16"/>
        <v>124</v>
      </c>
      <c r="G257" s="26">
        <f t="shared" si="16"/>
        <v>125</v>
      </c>
      <c r="H257" s="26">
        <f t="shared" si="16"/>
        <v>126</v>
      </c>
    </row>
    <row r="258" spans="1:8" ht="9" thickTop="1" thickBot="1" x14ac:dyDescent="0.2">
      <c r="A258" s="24" t="s">
        <v>515</v>
      </c>
      <c r="B258" s="25">
        <v>43265</v>
      </c>
      <c r="C258" s="25">
        <v>43266</v>
      </c>
      <c r="D258" s="25">
        <v>43269</v>
      </c>
      <c r="E258" s="25">
        <v>43270</v>
      </c>
      <c r="F258" s="25">
        <v>43271</v>
      </c>
      <c r="G258" s="25">
        <v>43272</v>
      </c>
      <c r="H258" s="25">
        <v>43273</v>
      </c>
    </row>
    <row r="259" spans="1:8" ht="9" thickTop="1" thickBot="1" x14ac:dyDescent="0.2">
      <c r="A259" s="24" t="s">
        <v>587</v>
      </c>
      <c r="B259" s="24"/>
      <c r="C259" s="24"/>
      <c r="D259" s="24"/>
      <c r="E259" s="24"/>
      <c r="F259" s="24"/>
      <c r="G259" s="24"/>
      <c r="H259" s="24"/>
    </row>
    <row r="260" spans="1:8" ht="9" thickTop="1" thickBot="1" x14ac:dyDescent="0.2">
      <c r="A260" s="24" t="s">
        <v>522</v>
      </c>
      <c r="B260" s="24"/>
      <c r="C260" s="24"/>
      <c r="D260" s="24"/>
      <c r="E260" s="24"/>
      <c r="F260" s="24"/>
      <c r="G260" s="24"/>
      <c r="H260" s="24"/>
    </row>
    <row r="261" spans="1:8" ht="9" thickTop="1" thickBot="1" x14ac:dyDescent="0.2">
      <c r="A261" s="24" t="s">
        <v>525</v>
      </c>
      <c r="B261" s="24"/>
      <c r="C261" s="24"/>
      <c r="D261" s="24"/>
      <c r="E261" s="24"/>
      <c r="F261" s="24"/>
      <c r="G261" s="24"/>
      <c r="H261" s="24"/>
    </row>
    <row r="262" spans="1:8" ht="9" thickTop="1" thickBot="1" x14ac:dyDescent="0.2">
      <c r="A262" s="24" t="s">
        <v>588</v>
      </c>
      <c r="B262" s="24"/>
      <c r="C262" s="24"/>
      <c r="D262" s="24"/>
      <c r="E262" s="24"/>
      <c r="F262" s="24"/>
      <c r="G262" s="24"/>
      <c r="H262" s="24"/>
    </row>
    <row r="263" spans="1:8" ht="9" thickTop="1" thickBot="1" x14ac:dyDescent="0.2">
      <c r="A263" s="24" t="s">
        <v>528</v>
      </c>
      <c r="B263" s="24"/>
      <c r="C263" s="24"/>
      <c r="D263" s="24"/>
      <c r="E263" s="24"/>
      <c r="F263" s="24"/>
      <c r="G263" s="24"/>
      <c r="H263" s="24"/>
    </row>
    <row r="264" spans="1:8" ht="9" thickTop="1" thickBot="1" x14ac:dyDescent="0.2">
      <c r="A264" s="24" t="s">
        <v>531</v>
      </c>
      <c r="B264" s="24"/>
      <c r="C264" s="24"/>
      <c r="D264" s="24"/>
      <c r="E264" s="24"/>
      <c r="F264" s="24"/>
      <c r="G264" s="24"/>
      <c r="H264" s="24"/>
    </row>
    <row r="265" spans="1:8" ht="9" thickTop="1" thickBot="1" x14ac:dyDescent="0.2">
      <c r="A265" s="24" t="s">
        <v>589</v>
      </c>
      <c r="B265" s="24"/>
      <c r="C265" s="24"/>
      <c r="D265" s="24"/>
      <c r="E265" s="24"/>
      <c r="F265" s="24"/>
      <c r="G265" s="24"/>
      <c r="H265" s="24"/>
    </row>
    <row r="266" spans="1:8" ht="9" thickTop="1" thickBot="1" x14ac:dyDescent="0.2">
      <c r="A266" s="24" t="s">
        <v>517</v>
      </c>
      <c r="B266" s="24"/>
      <c r="C266" s="24"/>
      <c r="D266" s="24"/>
      <c r="E266" s="24"/>
      <c r="F266" s="24"/>
      <c r="G266" s="24"/>
      <c r="H266" s="24"/>
    </row>
    <row r="267" spans="1:8" ht="9" thickTop="1" thickBot="1" x14ac:dyDescent="0.2">
      <c r="A267" s="24" t="s">
        <v>520</v>
      </c>
      <c r="B267" s="24"/>
      <c r="C267" s="24"/>
      <c r="D267" s="24"/>
      <c r="E267" s="24"/>
      <c r="F267" s="24"/>
      <c r="G267" s="24"/>
      <c r="H267" s="24"/>
    </row>
    <row r="268" spans="1:8" ht="9" thickTop="1" thickBot="1" x14ac:dyDescent="0.2">
      <c r="A268" s="24" t="s">
        <v>590</v>
      </c>
      <c r="B268" s="24"/>
      <c r="C268" s="24"/>
      <c r="D268" s="24"/>
      <c r="E268" s="24"/>
      <c r="F268" s="24"/>
      <c r="G268" s="24"/>
      <c r="H268" s="24"/>
    </row>
    <row r="269" spans="1:8" ht="9" thickTop="1" thickBot="1" x14ac:dyDescent="0.2">
      <c r="A269" s="24" t="s">
        <v>533</v>
      </c>
      <c r="B269" s="24"/>
      <c r="C269" s="24"/>
      <c r="D269" s="24"/>
      <c r="E269" s="24"/>
      <c r="F269" s="24"/>
      <c r="G269" s="24"/>
      <c r="H269" s="24"/>
    </row>
    <row r="270" spans="1:8" ht="9" thickTop="1" thickBot="1" x14ac:dyDescent="0.2"/>
    <row r="271" spans="1:8" ht="9" thickTop="1" thickBot="1" x14ac:dyDescent="0.2">
      <c r="A271" s="71" t="s">
        <v>579</v>
      </c>
      <c r="B271" s="71"/>
      <c r="C271" s="71"/>
      <c r="D271" s="71"/>
      <c r="E271" s="71"/>
      <c r="F271" s="71"/>
      <c r="G271" s="71"/>
      <c r="H271" s="71"/>
    </row>
    <row r="272" spans="1:8" ht="9" thickTop="1" thickBot="1" x14ac:dyDescent="0.2">
      <c r="A272" s="24" t="s">
        <v>514</v>
      </c>
      <c r="B272" s="26">
        <f>B257+7</f>
        <v>127</v>
      </c>
      <c r="C272" s="26">
        <f t="shared" ref="C272:H272" si="17">C257+7</f>
        <v>128</v>
      </c>
      <c r="D272" s="26">
        <f t="shared" si="17"/>
        <v>129</v>
      </c>
      <c r="E272" s="26">
        <f t="shared" si="17"/>
        <v>130</v>
      </c>
      <c r="F272" s="26">
        <f t="shared" si="17"/>
        <v>131</v>
      </c>
      <c r="G272" s="26">
        <f t="shared" si="17"/>
        <v>132</v>
      </c>
      <c r="H272" s="26">
        <f t="shared" si="17"/>
        <v>133</v>
      </c>
    </row>
    <row r="273" spans="1:8" ht="9" thickTop="1" thickBot="1" x14ac:dyDescent="0.2">
      <c r="A273" s="24" t="s">
        <v>515</v>
      </c>
      <c r="B273" s="25">
        <v>43276</v>
      </c>
      <c r="C273" s="25">
        <v>43277</v>
      </c>
      <c r="D273" s="25">
        <v>43278</v>
      </c>
      <c r="E273" s="25">
        <v>43279</v>
      </c>
      <c r="F273" s="25">
        <v>43280</v>
      </c>
      <c r="G273" s="25">
        <v>43283</v>
      </c>
      <c r="H273" s="25">
        <v>43284</v>
      </c>
    </row>
    <row r="274" spans="1:8" ht="9" thickTop="1" thickBot="1" x14ac:dyDescent="0.2">
      <c r="A274" s="24" t="s">
        <v>587</v>
      </c>
      <c r="B274" s="24"/>
      <c r="C274" s="24"/>
      <c r="D274" s="24"/>
      <c r="E274" s="24"/>
      <c r="F274" s="24"/>
      <c r="G274" s="24"/>
      <c r="H274" s="24"/>
    </row>
    <row r="275" spans="1:8" ht="9" thickTop="1" thickBot="1" x14ac:dyDescent="0.2">
      <c r="A275" s="24" t="s">
        <v>522</v>
      </c>
      <c r="B275" s="24"/>
      <c r="C275" s="24"/>
      <c r="D275" s="24"/>
      <c r="E275" s="24"/>
      <c r="F275" s="24"/>
      <c r="G275" s="24"/>
      <c r="H275" s="24"/>
    </row>
    <row r="276" spans="1:8" ht="9" thickTop="1" thickBot="1" x14ac:dyDescent="0.2">
      <c r="A276" s="24" t="s">
        <v>525</v>
      </c>
      <c r="B276" s="24"/>
      <c r="C276" s="24"/>
      <c r="D276" s="24"/>
      <c r="E276" s="24"/>
      <c r="F276" s="24"/>
      <c r="G276" s="24"/>
      <c r="H276" s="24"/>
    </row>
    <row r="277" spans="1:8" ht="9" thickTop="1" thickBot="1" x14ac:dyDescent="0.2">
      <c r="A277" s="24" t="s">
        <v>588</v>
      </c>
      <c r="B277" s="24"/>
      <c r="C277" s="24"/>
      <c r="D277" s="24"/>
      <c r="E277" s="24"/>
      <c r="F277" s="24"/>
      <c r="G277" s="24"/>
      <c r="H277" s="24"/>
    </row>
    <row r="278" spans="1:8" ht="9" thickTop="1" thickBot="1" x14ac:dyDescent="0.2">
      <c r="A278" s="24" t="s">
        <v>528</v>
      </c>
      <c r="B278" s="24"/>
      <c r="C278" s="24"/>
      <c r="D278" s="24"/>
      <c r="E278" s="24"/>
      <c r="F278" s="24"/>
      <c r="G278" s="24"/>
      <c r="H278" s="24"/>
    </row>
    <row r="279" spans="1:8" ht="9" thickTop="1" thickBot="1" x14ac:dyDescent="0.2">
      <c r="A279" s="24" t="s">
        <v>531</v>
      </c>
      <c r="B279" s="24"/>
      <c r="C279" s="24"/>
      <c r="D279" s="24"/>
      <c r="E279" s="24"/>
      <c r="F279" s="24"/>
      <c r="G279" s="24"/>
      <c r="H279" s="24"/>
    </row>
    <row r="280" spans="1:8" ht="9" thickTop="1" thickBot="1" x14ac:dyDescent="0.2">
      <c r="A280" s="24" t="s">
        <v>589</v>
      </c>
      <c r="B280" s="24"/>
      <c r="C280" s="24"/>
      <c r="D280" s="24"/>
      <c r="E280" s="24"/>
      <c r="F280" s="24"/>
      <c r="G280" s="24"/>
      <c r="H280" s="24"/>
    </row>
    <row r="281" spans="1:8" ht="9" thickTop="1" thickBot="1" x14ac:dyDescent="0.2">
      <c r="A281" s="24" t="s">
        <v>517</v>
      </c>
      <c r="B281" s="24"/>
      <c r="C281" s="24"/>
      <c r="D281" s="24"/>
      <c r="E281" s="24"/>
      <c r="F281" s="24"/>
      <c r="G281" s="24"/>
      <c r="H281" s="24"/>
    </row>
    <row r="282" spans="1:8" ht="9" thickTop="1" thickBot="1" x14ac:dyDescent="0.2">
      <c r="A282" s="24" t="s">
        <v>520</v>
      </c>
      <c r="B282" s="24"/>
      <c r="C282" s="24"/>
      <c r="D282" s="24"/>
      <c r="E282" s="24"/>
      <c r="F282" s="24"/>
      <c r="G282" s="24"/>
      <c r="H282" s="24"/>
    </row>
    <row r="283" spans="1:8" ht="9" thickTop="1" thickBot="1" x14ac:dyDescent="0.2">
      <c r="A283" s="24" t="s">
        <v>590</v>
      </c>
      <c r="B283" s="24"/>
      <c r="C283" s="24"/>
      <c r="D283" s="24"/>
      <c r="E283" s="24"/>
      <c r="F283" s="24"/>
      <c r="G283" s="24"/>
      <c r="H283" s="24"/>
    </row>
    <row r="284" spans="1:8" ht="9" thickTop="1" thickBot="1" x14ac:dyDescent="0.2">
      <c r="A284" s="24" t="s">
        <v>533</v>
      </c>
      <c r="B284" s="24"/>
      <c r="C284" s="24"/>
      <c r="D284" s="24"/>
      <c r="E284" s="24"/>
      <c r="F284" s="24"/>
      <c r="G284" s="24"/>
      <c r="H284" s="24"/>
    </row>
    <row r="285" spans="1:8" ht="9" thickTop="1" thickBot="1" x14ac:dyDescent="0.2"/>
    <row r="286" spans="1:8" ht="9" thickTop="1" thickBot="1" x14ac:dyDescent="0.2">
      <c r="A286" s="71" t="s">
        <v>579</v>
      </c>
      <c r="B286" s="71"/>
      <c r="C286" s="71"/>
      <c r="D286" s="71"/>
      <c r="E286" s="71"/>
      <c r="F286" s="71"/>
      <c r="G286" s="71"/>
      <c r="H286" s="71"/>
    </row>
    <row r="287" spans="1:8" ht="9" thickTop="1" thickBot="1" x14ac:dyDescent="0.2">
      <c r="A287" s="24" t="s">
        <v>514</v>
      </c>
      <c r="B287" s="26">
        <f>B272+7</f>
        <v>134</v>
      </c>
      <c r="C287" s="26">
        <f t="shared" ref="C287:H287" si="18">C272+7</f>
        <v>135</v>
      </c>
      <c r="D287" s="26">
        <f t="shared" si="18"/>
        <v>136</v>
      </c>
      <c r="E287" s="26">
        <f t="shared" si="18"/>
        <v>137</v>
      </c>
      <c r="F287" s="26">
        <f t="shared" si="18"/>
        <v>138</v>
      </c>
      <c r="G287" s="26">
        <f t="shared" si="18"/>
        <v>139</v>
      </c>
      <c r="H287" s="26">
        <f t="shared" si="18"/>
        <v>140</v>
      </c>
    </row>
    <row r="288" spans="1:8" ht="9" thickTop="1" thickBot="1" x14ac:dyDescent="0.2">
      <c r="A288" s="24" t="s">
        <v>515</v>
      </c>
      <c r="B288" s="25">
        <v>43285</v>
      </c>
      <c r="C288" s="25">
        <v>43286</v>
      </c>
      <c r="D288" s="25">
        <v>43287</v>
      </c>
      <c r="E288" s="25">
        <v>43290</v>
      </c>
      <c r="F288" s="25">
        <v>43291</v>
      </c>
      <c r="G288" s="25">
        <v>43292</v>
      </c>
      <c r="H288" s="25">
        <v>43293</v>
      </c>
    </row>
    <row r="289" spans="1:8" ht="9" thickTop="1" thickBot="1" x14ac:dyDescent="0.2">
      <c r="A289" s="24" t="s">
        <v>587</v>
      </c>
      <c r="B289" s="24"/>
      <c r="C289" s="24"/>
      <c r="D289" s="24"/>
      <c r="E289" s="24"/>
      <c r="F289" s="24"/>
      <c r="G289" s="24"/>
      <c r="H289" s="24"/>
    </row>
    <row r="290" spans="1:8" ht="9" thickTop="1" thickBot="1" x14ac:dyDescent="0.2">
      <c r="A290" s="24" t="s">
        <v>522</v>
      </c>
      <c r="B290" s="24"/>
      <c r="C290" s="24"/>
      <c r="D290" s="24"/>
      <c r="E290" s="24"/>
      <c r="F290" s="24"/>
      <c r="G290" s="24"/>
      <c r="H290" s="24"/>
    </row>
    <row r="291" spans="1:8" ht="9" thickTop="1" thickBot="1" x14ac:dyDescent="0.2">
      <c r="A291" s="24" t="s">
        <v>525</v>
      </c>
      <c r="B291" s="24"/>
      <c r="C291" s="24"/>
      <c r="D291" s="24"/>
      <c r="E291" s="24"/>
      <c r="F291" s="24"/>
      <c r="G291" s="24"/>
      <c r="H291" s="24"/>
    </row>
    <row r="292" spans="1:8" ht="9" thickTop="1" thickBot="1" x14ac:dyDescent="0.2">
      <c r="A292" s="24" t="s">
        <v>588</v>
      </c>
      <c r="B292" s="24"/>
      <c r="C292" s="24"/>
      <c r="D292" s="24"/>
      <c r="E292" s="24"/>
      <c r="F292" s="24"/>
      <c r="G292" s="24"/>
      <c r="H292" s="24"/>
    </row>
    <row r="293" spans="1:8" ht="9" thickTop="1" thickBot="1" x14ac:dyDescent="0.2">
      <c r="A293" s="24" t="s">
        <v>528</v>
      </c>
      <c r="B293" s="24"/>
      <c r="C293" s="24"/>
      <c r="D293" s="24"/>
      <c r="E293" s="24"/>
      <c r="F293" s="24"/>
      <c r="G293" s="24"/>
      <c r="H293" s="24"/>
    </row>
    <row r="294" spans="1:8" ht="9" thickTop="1" thickBot="1" x14ac:dyDescent="0.2">
      <c r="A294" s="24" t="s">
        <v>531</v>
      </c>
      <c r="B294" s="24"/>
      <c r="C294" s="24"/>
      <c r="D294" s="24"/>
      <c r="E294" s="24"/>
      <c r="F294" s="24"/>
      <c r="G294" s="24"/>
      <c r="H294" s="24"/>
    </row>
    <row r="295" spans="1:8" ht="9" thickTop="1" thickBot="1" x14ac:dyDescent="0.2">
      <c r="A295" s="24" t="s">
        <v>589</v>
      </c>
      <c r="B295" s="24"/>
      <c r="C295" s="24"/>
      <c r="D295" s="24"/>
      <c r="E295" s="24"/>
      <c r="F295" s="24"/>
      <c r="G295" s="24"/>
      <c r="H295" s="24"/>
    </row>
    <row r="296" spans="1:8" ht="9" thickTop="1" thickBot="1" x14ac:dyDescent="0.2">
      <c r="A296" s="24" t="s">
        <v>517</v>
      </c>
      <c r="B296" s="24"/>
      <c r="C296" s="24"/>
      <c r="D296" s="24"/>
      <c r="E296" s="24"/>
      <c r="F296" s="24"/>
      <c r="G296" s="24"/>
      <c r="H296" s="24"/>
    </row>
    <row r="297" spans="1:8" ht="9" thickTop="1" thickBot="1" x14ac:dyDescent="0.2">
      <c r="A297" s="24" t="s">
        <v>520</v>
      </c>
      <c r="B297" s="24"/>
      <c r="C297" s="24"/>
      <c r="D297" s="24"/>
      <c r="E297" s="24"/>
      <c r="F297" s="24"/>
      <c r="G297" s="24"/>
      <c r="H297" s="24"/>
    </row>
    <row r="298" spans="1:8" ht="9" thickTop="1" thickBot="1" x14ac:dyDescent="0.2">
      <c r="A298" s="24" t="s">
        <v>590</v>
      </c>
      <c r="B298" s="24"/>
      <c r="C298" s="24"/>
      <c r="D298" s="24"/>
      <c r="E298" s="24"/>
      <c r="F298" s="24"/>
      <c r="G298" s="24"/>
      <c r="H298" s="24"/>
    </row>
    <row r="299" spans="1:8" ht="9" thickTop="1" thickBot="1" x14ac:dyDescent="0.2">
      <c r="A299" s="24" t="s">
        <v>533</v>
      </c>
      <c r="B299" s="24"/>
      <c r="C299" s="24"/>
      <c r="D299" s="24"/>
      <c r="E299" s="24"/>
      <c r="F299" s="24"/>
      <c r="G299" s="24"/>
      <c r="H299" s="24"/>
    </row>
    <row r="300" spans="1:8" ht="9" thickTop="1" thickBot="1" x14ac:dyDescent="0.2"/>
    <row r="301" spans="1:8" ht="9" thickTop="1" thickBot="1" x14ac:dyDescent="0.2">
      <c r="A301" s="71" t="s">
        <v>579</v>
      </c>
      <c r="B301" s="71"/>
      <c r="C301" s="71"/>
      <c r="D301" s="71"/>
      <c r="E301" s="71"/>
      <c r="F301" s="71"/>
      <c r="G301" s="71"/>
      <c r="H301" s="71"/>
    </row>
    <row r="302" spans="1:8" ht="9" thickTop="1" thickBot="1" x14ac:dyDescent="0.2">
      <c r="A302" s="24" t="s">
        <v>514</v>
      </c>
      <c r="B302" s="26">
        <f>B287+7</f>
        <v>141</v>
      </c>
      <c r="C302" s="26">
        <f t="shared" ref="C302:H302" si="19">C287+7</f>
        <v>142</v>
      </c>
      <c r="D302" s="26">
        <f t="shared" si="19"/>
        <v>143</v>
      </c>
      <c r="E302" s="26">
        <f t="shared" si="19"/>
        <v>144</v>
      </c>
      <c r="F302" s="26">
        <f t="shared" si="19"/>
        <v>145</v>
      </c>
      <c r="G302" s="26">
        <f t="shared" si="19"/>
        <v>146</v>
      </c>
      <c r="H302" s="26">
        <f t="shared" si="19"/>
        <v>147</v>
      </c>
    </row>
    <row r="303" spans="1:8" ht="9" thickTop="1" thickBot="1" x14ac:dyDescent="0.2">
      <c r="A303" s="24" t="s">
        <v>515</v>
      </c>
      <c r="B303" s="25">
        <v>43294</v>
      </c>
      <c r="C303" s="25">
        <v>43297</v>
      </c>
      <c r="D303" s="25">
        <v>43298</v>
      </c>
      <c r="E303" s="25">
        <v>43299</v>
      </c>
      <c r="F303" s="25">
        <v>43300</v>
      </c>
      <c r="G303" s="25">
        <v>43301</v>
      </c>
      <c r="H303" s="25">
        <v>43304</v>
      </c>
    </row>
    <row r="304" spans="1:8" ht="9" thickTop="1" thickBot="1" x14ac:dyDescent="0.2">
      <c r="A304" s="24" t="s">
        <v>587</v>
      </c>
      <c r="B304" s="24"/>
      <c r="C304" s="24"/>
      <c r="D304" s="24"/>
      <c r="E304" s="24"/>
      <c r="F304" s="24"/>
      <c r="G304" s="24"/>
      <c r="H304" s="24"/>
    </row>
    <row r="305" spans="1:8" ht="9" thickTop="1" thickBot="1" x14ac:dyDescent="0.2">
      <c r="A305" s="24" t="s">
        <v>522</v>
      </c>
      <c r="B305" s="24"/>
      <c r="C305" s="24"/>
      <c r="D305" s="24"/>
      <c r="E305" s="24"/>
      <c r="F305" s="24"/>
      <c r="G305" s="24"/>
      <c r="H305" s="24"/>
    </row>
    <row r="306" spans="1:8" ht="9" thickTop="1" thickBot="1" x14ac:dyDescent="0.2">
      <c r="A306" s="24" t="s">
        <v>525</v>
      </c>
      <c r="B306" s="24"/>
      <c r="C306" s="24"/>
      <c r="D306" s="24"/>
      <c r="E306" s="24"/>
      <c r="F306" s="24"/>
      <c r="G306" s="24"/>
      <c r="H306" s="24"/>
    </row>
    <row r="307" spans="1:8" ht="9" thickTop="1" thickBot="1" x14ac:dyDescent="0.2">
      <c r="A307" s="24" t="s">
        <v>588</v>
      </c>
      <c r="B307" s="24"/>
      <c r="C307" s="24"/>
      <c r="D307" s="24"/>
      <c r="E307" s="24"/>
      <c r="F307" s="24"/>
      <c r="G307" s="24"/>
      <c r="H307" s="24"/>
    </row>
    <row r="308" spans="1:8" ht="9" thickTop="1" thickBot="1" x14ac:dyDescent="0.2">
      <c r="A308" s="24" t="s">
        <v>528</v>
      </c>
      <c r="B308" s="24"/>
      <c r="C308" s="24"/>
      <c r="D308" s="24"/>
      <c r="E308" s="24"/>
      <c r="F308" s="24"/>
      <c r="G308" s="24"/>
      <c r="H308" s="24"/>
    </row>
    <row r="309" spans="1:8" ht="9" thickTop="1" thickBot="1" x14ac:dyDescent="0.2">
      <c r="A309" s="24" t="s">
        <v>531</v>
      </c>
      <c r="B309" s="24"/>
      <c r="C309" s="24"/>
      <c r="D309" s="24"/>
      <c r="E309" s="24"/>
      <c r="F309" s="24"/>
      <c r="G309" s="24"/>
      <c r="H309" s="24"/>
    </row>
    <row r="310" spans="1:8" ht="9" thickTop="1" thickBot="1" x14ac:dyDescent="0.2">
      <c r="A310" s="24" t="s">
        <v>589</v>
      </c>
      <c r="B310" s="24"/>
      <c r="C310" s="24"/>
      <c r="D310" s="24"/>
      <c r="E310" s="24"/>
      <c r="F310" s="24"/>
      <c r="G310" s="24"/>
      <c r="H310" s="24"/>
    </row>
    <row r="311" spans="1:8" ht="9" thickTop="1" thickBot="1" x14ac:dyDescent="0.2">
      <c r="A311" s="24" t="s">
        <v>517</v>
      </c>
      <c r="B311" s="24"/>
      <c r="C311" s="24"/>
      <c r="D311" s="24"/>
      <c r="E311" s="24"/>
      <c r="F311" s="24"/>
      <c r="G311" s="24"/>
      <c r="H311" s="24"/>
    </row>
    <row r="312" spans="1:8" ht="9" thickTop="1" thickBot="1" x14ac:dyDescent="0.2">
      <c r="A312" s="24" t="s">
        <v>520</v>
      </c>
      <c r="B312" s="24"/>
      <c r="C312" s="24"/>
      <c r="D312" s="24"/>
      <c r="E312" s="24"/>
      <c r="F312" s="24"/>
      <c r="G312" s="24"/>
      <c r="H312" s="24"/>
    </row>
    <row r="313" spans="1:8" ht="9" thickTop="1" thickBot="1" x14ac:dyDescent="0.2">
      <c r="A313" s="24" t="s">
        <v>590</v>
      </c>
      <c r="B313" s="24"/>
      <c r="C313" s="24"/>
      <c r="D313" s="24"/>
      <c r="E313" s="24"/>
      <c r="F313" s="24"/>
      <c r="G313" s="24"/>
      <c r="H313" s="24"/>
    </row>
    <row r="314" spans="1:8" ht="9" thickTop="1" thickBot="1" x14ac:dyDescent="0.2">
      <c r="A314" s="24" t="s">
        <v>533</v>
      </c>
      <c r="B314" s="24"/>
      <c r="C314" s="24"/>
      <c r="D314" s="24"/>
      <c r="E314" s="24"/>
      <c r="F314" s="24"/>
      <c r="G314" s="24"/>
      <c r="H314" s="24"/>
    </row>
    <row r="315" spans="1:8" ht="9" thickTop="1" thickBot="1" x14ac:dyDescent="0.2"/>
    <row r="316" spans="1:8" ht="9" thickTop="1" thickBot="1" x14ac:dyDescent="0.2">
      <c r="A316" s="71" t="s">
        <v>579</v>
      </c>
      <c r="B316" s="71"/>
      <c r="C316" s="71"/>
      <c r="D316" s="71"/>
      <c r="E316" s="71"/>
      <c r="F316" s="71"/>
      <c r="G316" s="71"/>
      <c r="H316" s="71"/>
    </row>
    <row r="317" spans="1:8" ht="9" thickTop="1" thickBot="1" x14ac:dyDescent="0.2">
      <c r="A317" s="24" t="s">
        <v>514</v>
      </c>
      <c r="B317" s="26">
        <f>B302+7</f>
        <v>148</v>
      </c>
      <c r="C317" s="26">
        <f t="shared" ref="C317:H317" si="20">C302+7</f>
        <v>149</v>
      </c>
      <c r="D317" s="26">
        <f t="shared" si="20"/>
        <v>150</v>
      </c>
      <c r="E317" s="26">
        <f t="shared" si="20"/>
        <v>151</v>
      </c>
      <c r="F317" s="26">
        <f t="shared" si="20"/>
        <v>152</v>
      </c>
      <c r="G317" s="26">
        <f t="shared" si="20"/>
        <v>153</v>
      </c>
      <c r="H317" s="26">
        <f t="shared" si="20"/>
        <v>154</v>
      </c>
    </row>
    <row r="318" spans="1:8" ht="9" thickTop="1" thickBot="1" x14ac:dyDescent="0.2">
      <c r="A318" s="24" t="s">
        <v>515</v>
      </c>
      <c r="B318" s="25">
        <v>43305</v>
      </c>
      <c r="C318" s="25">
        <v>43306</v>
      </c>
      <c r="D318" s="25">
        <v>43307</v>
      </c>
      <c r="E318" s="25">
        <v>43308</v>
      </c>
      <c r="F318" s="25">
        <v>43311</v>
      </c>
      <c r="G318" s="25">
        <v>43312</v>
      </c>
      <c r="H318" s="25">
        <v>42948</v>
      </c>
    </row>
    <row r="319" spans="1:8" ht="9" thickTop="1" thickBot="1" x14ac:dyDescent="0.2">
      <c r="A319" s="24" t="s">
        <v>587</v>
      </c>
      <c r="B319" s="24"/>
      <c r="C319" s="24"/>
      <c r="D319" s="24"/>
      <c r="E319" s="24"/>
      <c r="F319" s="24"/>
      <c r="G319" s="24"/>
      <c r="H319" s="24"/>
    </row>
    <row r="320" spans="1:8" ht="9" thickTop="1" thickBot="1" x14ac:dyDescent="0.2">
      <c r="A320" s="24" t="s">
        <v>522</v>
      </c>
      <c r="B320" s="24"/>
      <c r="C320" s="24"/>
      <c r="D320" s="24"/>
      <c r="E320" s="24"/>
      <c r="F320" s="24"/>
      <c r="G320" s="24"/>
      <c r="H320" s="24"/>
    </row>
    <row r="321" spans="1:8" ht="9" thickTop="1" thickBot="1" x14ac:dyDescent="0.2">
      <c r="A321" s="24" t="s">
        <v>525</v>
      </c>
      <c r="B321" s="24"/>
      <c r="C321" s="24"/>
      <c r="D321" s="24"/>
      <c r="E321" s="24"/>
      <c r="F321" s="24"/>
      <c r="G321" s="24"/>
      <c r="H321" s="24"/>
    </row>
    <row r="322" spans="1:8" ht="9" thickTop="1" thickBot="1" x14ac:dyDescent="0.2">
      <c r="A322" s="24" t="s">
        <v>588</v>
      </c>
      <c r="B322" s="24"/>
      <c r="C322" s="24"/>
      <c r="D322" s="24"/>
      <c r="E322" s="24"/>
      <c r="F322" s="24"/>
      <c r="G322" s="24"/>
      <c r="H322" s="24"/>
    </row>
    <row r="323" spans="1:8" ht="9" thickTop="1" thickBot="1" x14ac:dyDescent="0.2">
      <c r="A323" s="24" t="s">
        <v>528</v>
      </c>
      <c r="B323" s="24"/>
      <c r="C323" s="24"/>
      <c r="D323" s="24"/>
      <c r="E323" s="24"/>
      <c r="F323" s="24"/>
      <c r="G323" s="24"/>
      <c r="H323" s="24"/>
    </row>
    <row r="324" spans="1:8" ht="9" thickTop="1" thickBot="1" x14ac:dyDescent="0.2">
      <c r="A324" s="24" t="s">
        <v>531</v>
      </c>
      <c r="B324" s="24"/>
      <c r="C324" s="24"/>
      <c r="D324" s="24"/>
      <c r="E324" s="24"/>
      <c r="F324" s="24"/>
      <c r="G324" s="24"/>
      <c r="H324" s="24"/>
    </row>
    <row r="325" spans="1:8" ht="9" thickTop="1" thickBot="1" x14ac:dyDescent="0.2">
      <c r="A325" s="24" t="s">
        <v>589</v>
      </c>
      <c r="B325" s="24"/>
      <c r="C325" s="24"/>
      <c r="D325" s="24"/>
      <c r="E325" s="24"/>
      <c r="F325" s="24"/>
      <c r="G325" s="24"/>
      <c r="H325" s="24"/>
    </row>
    <row r="326" spans="1:8" ht="9" thickTop="1" thickBot="1" x14ac:dyDescent="0.2">
      <c r="A326" s="24" t="s">
        <v>517</v>
      </c>
      <c r="B326" s="24"/>
      <c r="C326" s="24"/>
      <c r="D326" s="24"/>
      <c r="E326" s="24"/>
      <c r="F326" s="24"/>
      <c r="G326" s="24"/>
      <c r="H326" s="24"/>
    </row>
    <row r="327" spans="1:8" ht="9" thickTop="1" thickBot="1" x14ac:dyDescent="0.2">
      <c r="A327" s="24" t="s">
        <v>520</v>
      </c>
      <c r="B327" s="24"/>
      <c r="C327" s="24"/>
      <c r="D327" s="24"/>
      <c r="E327" s="24"/>
      <c r="F327" s="24"/>
      <c r="G327" s="24"/>
      <c r="H327" s="24"/>
    </row>
    <row r="328" spans="1:8" ht="9" thickTop="1" thickBot="1" x14ac:dyDescent="0.2">
      <c r="A328" s="24" t="s">
        <v>590</v>
      </c>
      <c r="B328" s="24"/>
      <c r="C328" s="24"/>
      <c r="D328" s="24"/>
      <c r="E328" s="24"/>
      <c r="F328" s="24"/>
      <c r="G328" s="24"/>
      <c r="H328" s="24"/>
    </row>
    <row r="329" spans="1:8" ht="9" thickTop="1" thickBot="1" x14ac:dyDescent="0.2">
      <c r="A329" s="24" t="s">
        <v>533</v>
      </c>
      <c r="B329" s="24"/>
      <c r="C329" s="24"/>
      <c r="D329" s="24"/>
      <c r="E329" s="24"/>
      <c r="F329" s="24"/>
      <c r="G329" s="24"/>
      <c r="H329" s="24"/>
    </row>
    <row r="330" spans="1:8" ht="9" thickTop="1" thickBot="1" x14ac:dyDescent="0.2"/>
    <row r="331" spans="1:8" ht="9" thickTop="1" thickBot="1" x14ac:dyDescent="0.2">
      <c r="A331" s="71" t="s">
        <v>579</v>
      </c>
      <c r="B331" s="71"/>
      <c r="C331" s="71"/>
      <c r="D331" s="71"/>
      <c r="E331" s="71"/>
      <c r="F331" s="71"/>
      <c r="G331" s="71"/>
      <c r="H331" s="71"/>
    </row>
    <row r="332" spans="1:8" ht="9" thickTop="1" thickBot="1" x14ac:dyDescent="0.2">
      <c r="A332" s="24" t="s">
        <v>514</v>
      </c>
      <c r="B332" s="26">
        <f>B317+7</f>
        <v>155</v>
      </c>
      <c r="C332" s="26">
        <f t="shared" ref="C332:H332" si="21">C317+7</f>
        <v>156</v>
      </c>
      <c r="D332" s="26">
        <f t="shared" si="21"/>
        <v>157</v>
      </c>
      <c r="E332" s="26">
        <f t="shared" si="21"/>
        <v>158</v>
      </c>
      <c r="F332" s="26">
        <f t="shared" si="21"/>
        <v>159</v>
      </c>
      <c r="G332" s="26">
        <f t="shared" si="21"/>
        <v>160</v>
      </c>
      <c r="H332" s="26">
        <f t="shared" si="21"/>
        <v>161</v>
      </c>
    </row>
    <row r="333" spans="1:8" ht="9" thickTop="1" thickBot="1" x14ac:dyDescent="0.2">
      <c r="A333" s="24" t="s">
        <v>515</v>
      </c>
      <c r="B333" s="25">
        <v>43314</v>
      </c>
      <c r="C333" s="25">
        <v>43315</v>
      </c>
      <c r="D333" s="25">
        <v>43318</v>
      </c>
      <c r="E333" s="25">
        <v>43319</v>
      </c>
      <c r="F333" s="25">
        <v>43320</v>
      </c>
      <c r="G333" s="25">
        <v>43321</v>
      </c>
      <c r="H333" s="25">
        <v>43322</v>
      </c>
    </row>
    <row r="334" spans="1:8" ht="9" thickTop="1" thickBot="1" x14ac:dyDescent="0.2">
      <c r="A334" s="24" t="s">
        <v>587</v>
      </c>
      <c r="B334" s="24"/>
      <c r="C334" s="24"/>
      <c r="D334" s="24"/>
      <c r="E334" s="24"/>
      <c r="F334" s="24"/>
      <c r="G334" s="24"/>
      <c r="H334" s="24"/>
    </row>
    <row r="335" spans="1:8" ht="9" thickTop="1" thickBot="1" x14ac:dyDescent="0.2">
      <c r="A335" s="24" t="s">
        <v>522</v>
      </c>
      <c r="B335" s="24"/>
      <c r="C335" s="24"/>
      <c r="D335" s="24"/>
      <c r="E335" s="24"/>
      <c r="F335" s="24"/>
      <c r="G335" s="24"/>
      <c r="H335" s="24"/>
    </row>
    <row r="336" spans="1:8" ht="9" thickTop="1" thickBot="1" x14ac:dyDescent="0.2">
      <c r="A336" s="24" t="s">
        <v>525</v>
      </c>
      <c r="B336" s="24"/>
      <c r="C336" s="24"/>
      <c r="D336" s="24"/>
      <c r="E336" s="24"/>
      <c r="F336" s="24"/>
      <c r="G336" s="24"/>
      <c r="H336" s="24"/>
    </row>
    <row r="337" spans="1:8" ht="9" thickTop="1" thickBot="1" x14ac:dyDescent="0.2">
      <c r="A337" s="24" t="s">
        <v>588</v>
      </c>
      <c r="B337" s="24"/>
      <c r="C337" s="24"/>
      <c r="D337" s="24"/>
      <c r="E337" s="24"/>
      <c r="F337" s="24"/>
      <c r="G337" s="24"/>
      <c r="H337" s="24"/>
    </row>
    <row r="338" spans="1:8" ht="9" thickTop="1" thickBot="1" x14ac:dyDescent="0.2">
      <c r="A338" s="24" t="s">
        <v>528</v>
      </c>
      <c r="B338" s="24"/>
      <c r="C338" s="24"/>
      <c r="D338" s="24"/>
      <c r="E338" s="24"/>
      <c r="F338" s="24"/>
      <c r="G338" s="24"/>
      <c r="H338" s="24"/>
    </row>
    <row r="339" spans="1:8" ht="9" thickTop="1" thickBot="1" x14ac:dyDescent="0.2">
      <c r="A339" s="24" t="s">
        <v>531</v>
      </c>
      <c r="B339" s="24"/>
      <c r="C339" s="24"/>
      <c r="D339" s="24"/>
      <c r="E339" s="24"/>
      <c r="F339" s="24"/>
      <c r="G339" s="24"/>
      <c r="H339" s="24"/>
    </row>
    <row r="340" spans="1:8" ht="9" thickTop="1" thickBot="1" x14ac:dyDescent="0.2">
      <c r="A340" s="24" t="s">
        <v>589</v>
      </c>
      <c r="B340" s="24"/>
      <c r="C340" s="24"/>
      <c r="D340" s="24"/>
      <c r="E340" s="24"/>
      <c r="F340" s="24"/>
      <c r="G340" s="24"/>
      <c r="H340" s="24"/>
    </row>
    <row r="341" spans="1:8" ht="9" thickTop="1" thickBot="1" x14ac:dyDescent="0.2">
      <c r="A341" s="24" t="s">
        <v>517</v>
      </c>
      <c r="B341" s="24"/>
      <c r="C341" s="24"/>
      <c r="D341" s="24"/>
      <c r="E341" s="24"/>
      <c r="F341" s="24"/>
      <c r="G341" s="24"/>
      <c r="H341" s="24"/>
    </row>
    <row r="342" spans="1:8" ht="9" thickTop="1" thickBot="1" x14ac:dyDescent="0.2">
      <c r="A342" s="24" t="s">
        <v>520</v>
      </c>
      <c r="B342" s="24"/>
      <c r="C342" s="24"/>
      <c r="D342" s="24"/>
      <c r="E342" s="24"/>
      <c r="F342" s="24"/>
      <c r="G342" s="24"/>
      <c r="H342" s="24"/>
    </row>
    <row r="343" spans="1:8" ht="9" thickTop="1" thickBot="1" x14ac:dyDescent="0.2">
      <c r="A343" s="24" t="s">
        <v>590</v>
      </c>
      <c r="B343" s="24"/>
      <c r="C343" s="24"/>
      <c r="D343" s="24"/>
      <c r="E343" s="24"/>
      <c r="F343" s="24"/>
      <c r="G343" s="24"/>
      <c r="H343" s="24"/>
    </row>
    <row r="344" spans="1:8" ht="9" thickTop="1" thickBot="1" x14ac:dyDescent="0.2">
      <c r="A344" s="24" t="s">
        <v>533</v>
      </c>
      <c r="B344" s="24"/>
      <c r="C344" s="24"/>
      <c r="D344" s="24"/>
      <c r="E344" s="24"/>
      <c r="F344" s="24"/>
      <c r="G344" s="24"/>
      <c r="H344" s="24"/>
    </row>
    <row r="345" spans="1:8" ht="9" thickTop="1" thickBot="1" x14ac:dyDescent="0.2"/>
    <row r="346" spans="1:8" ht="9" thickTop="1" thickBot="1" x14ac:dyDescent="0.2">
      <c r="A346" s="71" t="s">
        <v>579</v>
      </c>
      <c r="B346" s="71"/>
      <c r="C346" s="71"/>
      <c r="D346" s="71"/>
      <c r="E346" s="71"/>
      <c r="F346" s="71"/>
      <c r="G346" s="71"/>
      <c r="H346" s="71"/>
    </row>
    <row r="347" spans="1:8" ht="9" thickTop="1" thickBot="1" x14ac:dyDescent="0.2">
      <c r="A347" s="24" t="s">
        <v>514</v>
      </c>
      <c r="B347" s="26">
        <f>B332+7</f>
        <v>162</v>
      </c>
      <c r="C347" s="26">
        <f t="shared" ref="C347:H347" si="22">C332+7</f>
        <v>163</v>
      </c>
      <c r="D347" s="26">
        <f t="shared" si="22"/>
        <v>164</v>
      </c>
      <c r="E347" s="26">
        <f t="shared" si="22"/>
        <v>165</v>
      </c>
      <c r="F347" s="26">
        <f t="shared" si="22"/>
        <v>166</v>
      </c>
      <c r="G347" s="26">
        <f t="shared" si="22"/>
        <v>167</v>
      </c>
      <c r="H347" s="26">
        <f t="shared" si="22"/>
        <v>168</v>
      </c>
    </row>
    <row r="348" spans="1:8" ht="9" thickTop="1" thickBot="1" x14ac:dyDescent="0.2">
      <c r="A348" s="24" t="s">
        <v>515</v>
      </c>
      <c r="B348" s="25">
        <v>43325</v>
      </c>
      <c r="C348" s="25">
        <v>43326</v>
      </c>
      <c r="D348" s="25">
        <v>43327</v>
      </c>
      <c r="E348" s="25">
        <v>43328</v>
      </c>
      <c r="F348" s="25">
        <v>43329</v>
      </c>
      <c r="G348" s="25">
        <v>43332</v>
      </c>
      <c r="H348" s="25">
        <v>43333</v>
      </c>
    </row>
    <row r="349" spans="1:8" ht="9" thickTop="1" thickBot="1" x14ac:dyDescent="0.2">
      <c r="A349" s="24" t="s">
        <v>587</v>
      </c>
      <c r="B349" s="24"/>
      <c r="C349" s="24"/>
      <c r="D349" s="24"/>
      <c r="E349" s="24"/>
      <c r="F349" s="24"/>
      <c r="G349" s="24"/>
      <c r="H349" s="24"/>
    </row>
    <row r="350" spans="1:8" ht="9" thickTop="1" thickBot="1" x14ac:dyDescent="0.2">
      <c r="A350" s="24" t="s">
        <v>522</v>
      </c>
      <c r="B350" s="24"/>
      <c r="C350" s="24"/>
      <c r="D350" s="24"/>
      <c r="E350" s="24"/>
      <c r="F350" s="24"/>
      <c r="G350" s="24"/>
      <c r="H350" s="24"/>
    </row>
    <row r="351" spans="1:8" ht="9" thickTop="1" thickBot="1" x14ac:dyDescent="0.2">
      <c r="A351" s="24" t="s">
        <v>525</v>
      </c>
      <c r="B351" s="24"/>
      <c r="C351" s="24"/>
      <c r="D351" s="24"/>
      <c r="E351" s="24"/>
      <c r="F351" s="24"/>
      <c r="G351" s="24"/>
      <c r="H351" s="24"/>
    </row>
    <row r="352" spans="1:8" ht="9" thickTop="1" thickBot="1" x14ac:dyDescent="0.2">
      <c r="A352" s="24" t="s">
        <v>588</v>
      </c>
      <c r="B352" s="24"/>
      <c r="C352" s="24"/>
      <c r="D352" s="24"/>
      <c r="E352" s="24"/>
      <c r="F352" s="24"/>
      <c r="G352" s="24"/>
      <c r="H352" s="24"/>
    </row>
    <row r="353" spans="1:8" ht="9" thickTop="1" thickBot="1" x14ac:dyDescent="0.2">
      <c r="A353" s="24" t="s">
        <v>528</v>
      </c>
      <c r="B353" s="24"/>
      <c r="C353" s="24"/>
      <c r="D353" s="24"/>
      <c r="E353" s="24"/>
      <c r="F353" s="24"/>
      <c r="G353" s="24"/>
      <c r="H353" s="24"/>
    </row>
    <row r="354" spans="1:8" ht="9" thickTop="1" thickBot="1" x14ac:dyDescent="0.2">
      <c r="A354" s="24" t="s">
        <v>531</v>
      </c>
      <c r="B354" s="24"/>
      <c r="C354" s="24"/>
      <c r="D354" s="24"/>
      <c r="E354" s="24"/>
      <c r="F354" s="24"/>
      <c r="G354" s="24"/>
      <c r="H354" s="24"/>
    </row>
    <row r="355" spans="1:8" ht="9" thickTop="1" thickBot="1" x14ac:dyDescent="0.2">
      <c r="A355" s="24" t="s">
        <v>589</v>
      </c>
      <c r="B355" s="24"/>
      <c r="C355" s="24"/>
      <c r="D355" s="24"/>
      <c r="E355" s="24"/>
      <c r="F355" s="24"/>
      <c r="G355" s="24"/>
      <c r="H355" s="24"/>
    </row>
    <row r="356" spans="1:8" ht="9" thickTop="1" thickBot="1" x14ac:dyDescent="0.2">
      <c r="A356" s="24" t="s">
        <v>517</v>
      </c>
      <c r="B356" s="24"/>
      <c r="C356" s="24"/>
      <c r="D356" s="24"/>
      <c r="E356" s="24"/>
      <c r="F356" s="24"/>
      <c r="G356" s="24"/>
      <c r="H356" s="24"/>
    </row>
    <row r="357" spans="1:8" ht="9" thickTop="1" thickBot="1" x14ac:dyDescent="0.2">
      <c r="A357" s="24" t="s">
        <v>520</v>
      </c>
      <c r="B357" s="24"/>
      <c r="C357" s="24"/>
      <c r="D357" s="24"/>
      <c r="E357" s="24"/>
      <c r="F357" s="24"/>
      <c r="G357" s="24"/>
      <c r="H357" s="24"/>
    </row>
    <row r="358" spans="1:8" ht="9" thickTop="1" thickBot="1" x14ac:dyDescent="0.2">
      <c r="A358" s="24" t="s">
        <v>590</v>
      </c>
      <c r="B358" s="24"/>
      <c r="C358" s="24"/>
      <c r="D358" s="24"/>
      <c r="E358" s="24"/>
      <c r="F358" s="24"/>
      <c r="G358" s="24"/>
      <c r="H358" s="24"/>
    </row>
    <row r="359" spans="1:8" ht="9" thickTop="1" thickBot="1" x14ac:dyDescent="0.2">
      <c r="A359" s="24" t="s">
        <v>533</v>
      </c>
      <c r="B359" s="24"/>
      <c r="C359" s="24"/>
      <c r="D359" s="24"/>
      <c r="E359" s="24"/>
      <c r="F359" s="24"/>
      <c r="G359" s="24"/>
      <c r="H359" s="24"/>
    </row>
    <row r="360" spans="1:8" ht="9" thickTop="1" thickBot="1" x14ac:dyDescent="0.2"/>
    <row r="361" spans="1:8" ht="9" thickTop="1" thickBot="1" x14ac:dyDescent="0.2">
      <c r="A361" s="71" t="s">
        <v>579</v>
      </c>
      <c r="B361" s="71"/>
      <c r="C361" s="71"/>
      <c r="D361" s="71"/>
      <c r="E361" s="71"/>
      <c r="F361" s="71"/>
      <c r="G361" s="71"/>
      <c r="H361" s="71"/>
    </row>
    <row r="362" spans="1:8" ht="9" thickTop="1" thickBot="1" x14ac:dyDescent="0.2">
      <c r="A362" s="24" t="s">
        <v>514</v>
      </c>
      <c r="B362" s="26">
        <f>B347+7</f>
        <v>169</v>
      </c>
      <c r="C362" s="26">
        <f t="shared" ref="C362:H362" si="23">C347+7</f>
        <v>170</v>
      </c>
      <c r="D362" s="26">
        <f t="shared" si="23"/>
        <v>171</v>
      </c>
      <c r="E362" s="26">
        <f t="shared" si="23"/>
        <v>172</v>
      </c>
      <c r="F362" s="26">
        <f t="shared" si="23"/>
        <v>173</v>
      </c>
      <c r="G362" s="26">
        <f t="shared" si="23"/>
        <v>174</v>
      </c>
      <c r="H362" s="26">
        <f t="shared" si="23"/>
        <v>175</v>
      </c>
    </row>
    <row r="363" spans="1:8" ht="9" thickTop="1" thickBot="1" x14ac:dyDescent="0.2">
      <c r="A363" s="24" t="s">
        <v>515</v>
      </c>
      <c r="B363" s="25">
        <v>43334</v>
      </c>
      <c r="C363" s="25">
        <v>43335</v>
      </c>
      <c r="D363" s="25">
        <v>43336</v>
      </c>
      <c r="E363" s="25">
        <v>43339</v>
      </c>
      <c r="F363" s="25">
        <v>43340</v>
      </c>
      <c r="G363" s="25">
        <v>43341</v>
      </c>
      <c r="H363" s="25">
        <v>43342</v>
      </c>
    </row>
    <row r="364" spans="1:8" ht="9" thickTop="1" thickBot="1" x14ac:dyDescent="0.2">
      <c r="A364" s="24" t="s">
        <v>587</v>
      </c>
      <c r="B364" s="24"/>
      <c r="C364" s="24"/>
      <c r="D364" s="24"/>
      <c r="E364" s="24"/>
      <c r="F364" s="24"/>
      <c r="G364" s="24"/>
      <c r="H364" s="24"/>
    </row>
    <row r="365" spans="1:8" ht="9" thickTop="1" thickBot="1" x14ac:dyDescent="0.2">
      <c r="A365" s="24" t="s">
        <v>522</v>
      </c>
      <c r="B365" s="24"/>
      <c r="C365" s="24"/>
      <c r="D365" s="24"/>
      <c r="E365" s="24"/>
      <c r="F365" s="24"/>
      <c r="G365" s="24"/>
      <c r="H365" s="24"/>
    </row>
    <row r="366" spans="1:8" ht="9" thickTop="1" thickBot="1" x14ac:dyDescent="0.2">
      <c r="A366" s="24" t="s">
        <v>525</v>
      </c>
      <c r="B366" s="24"/>
      <c r="C366" s="24"/>
      <c r="D366" s="24"/>
      <c r="E366" s="24"/>
      <c r="F366" s="24"/>
      <c r="G366" s="24"/>
      <c r="H366" s="24"/>
    </row>
    <row r="367" spans="1:8" ht="9" thickTop="1" thickBot="1" x14ac:dyDescent="0.2">
      <c r="A367" s="24" t="s">
        <v>588</v>
      </c>
      <c r="B367" s="24"/>
      <c r="C367" s="24"/>
      <c r="D367" s="24"/>
      <c r="E367" s="24"/>
      <c r="F367" s="24"/>
      <c r="G367" s="24"/>
      <c r="H367" s="24"/>
    </row>
    <row r="368" spans="1:8" ht="9" thickTop="1" thickBot="1" x14ac:dyDescent="0.2">
      <c r="A368" s="24" t="s">
        <v>528</v>
      </c>
      <c r="B368" s="24"/>
      <c r="C368" s="24"/>
      <c r="D368" s="24"/>
      <c r="E368" s="24"/>
      <c r="F368" s="24"/>
      <c r="G368" s="24"/>
      <c r="H368" s="24"/>
    </row>
    <row r="369" spans="1:8" ht="9" thickTop="1" thickBot="1" x14ac:dyDescent="0.2">
      <c r="A369" s="24" t="s">
        <v>531</v>
      </c>
      <c r="B369" s="24"/>
      <c r="C369" s="24"/>
      <c r="D369" s="24"/>
      <c r="E369" s="24"/>
      <c r="F369" s="24"/>
      <c r="G369" s="24"/>
      <c r="H369" s="24"/>
    </row>
    <row r="370" spans="1:8" ht="9" thickTop="1" thickBot="1" x14ac:dyDescent="0.2">
      <c r="A370" s="24" t="s">
        <v>589</v>
      </c>
      <c r="B370" s="24"/>
      <c r="C370" s="24"/>
      <c r="D370" s="24"/>
      <c r="E370" s="24"/>
      <c r="F370" s="24"/>
      <c r="G370" s="24"/>
      <c r="H370" s="24"/>
    </row>
    <row r="371" spans="1:8" ht="9" thickTop="1" thickBot="1" x14ac:dyDescent="0.2">
      <c r="A371" s="24" t="s">
        <v>517</v>
      </c>
      <c r="B371" s="24"/>
      <c r="C371" s="24"/>
      <c r="D371" s="24"/>
      <c r="E371" s="24"/>
      <c r="F371" s="24"/>
      <c r="G371" s="24"/>
      <c r="H371" s="24"/>
    </row>
    <row r="372" spans="1:8" ht="9" thickTop="1" thickBot="1" x14ac:dyDescent="0.2">
      <c r="A372" s="24" t="s">
        <v>520</v>
      </c>
      <c r="B372" s="24"/>
      <c r="C372" s="24"/>
      <c r="D372" s="24"/>
      <c r="E372" s="24"/>
      <c r="F372" s="24"/>
      <c r="G372" s="24"/>
      <c r="H372" s="24"/>
    </row>
    <row r="373" spans="1:8" ht="9" thickTop="1" thickBot="1" x14ac:dyDescent="0.2">
      <c r="A373" s="24" t="s">
        <v>590</v>
      </c>
      <c r="B373" s="24"/>
      <c r="C373" s="24"/>
      <c r="D373" s="24"/>
      <c r="E373" s="24"/>
      <c r="F373" s="24"/>
      <c r="G373" s="24"/>
      <c r="H373" s="24"/>
    </row>
    <row r="374" spans="1:8" ht="9" thickTop="1" thickBot="1" x14ac:dyDescent="0.2">
      <c r="A374" s="24" t="s">
        <v>533</v>
      </c>
      <c r="B374" s="24"/>
      <c r="C374" s="24"/>
      <c r="D374" s="24"/>
      <c r="E374" s="24"/>
      <c r="F374" s="24"/>
      <c r="G374" s="24"/>
      <c r="H374" s="24"/>
    </row>
    <row r="375" spans="1:8" ht="9" thickTop="1" thickBot="1" x14ac:dyDescent="0.2"/>
    <row r="376" spans="1:8" ht="9" thickTop="1" thickBot="1" x14ac:dyDescent="0.2">
      <c r="A376" s="71" t="s">
        <v>579</v>
      </c>
      <c r="B376" s="71"/>
      <c r="C376" s="71"/>
      <c r="D376" s="71"/>
      <c r="E376" s="71"/>
      <c r="F376" s="71"/>
      <c r="G376" s="71"/>
      <c r="H376" s="71"/>
    </row>
    <row r="377" spans="1:8" ht="9" thickTop="1" thickBot="1" x14ac:dyDescent="0.2">
      <c r="A377" s="24" t="s">
        <v>514</v>
      </c>
      <c r="B377" s="26">
        <f>B362+7</f>
        <v>176</v>
      </c>
      <c r="C377" s="26">
        <f t="shared" ref="C377:H377" si="24">C362+7</f>
        <v>177</v>
      </c>
      <c r="D377" s="26">
        <f t="shared" si="24"/>
        <v>178</v>
      </c>
      <c r="E377" s="26">
        <f t="shared" si="24"/>
        <v>179</v>
      </c>
      <c r="F377" s="26">
        <f t="shared" si="24"/>
        <v>180</v>
      </c>
      <c r="G377" s="26">
        <f t="shared" si="24"/>
        <v>181</v>
      </c>
      <c r="H377" s="26">
        <f t="shared" si="24"/>
        <v>182</v>
      </c>
    </row>
    <row r="378" spans="1:8" ht="9" thickTop="1" thickBot="1" x14ac:dyDescent="0.2">
      <c r="A378" s="24" t="s">
        <v>515</v>
      </c>
      <c r="B378" s="25">
        <v>43343</v>
      </c>
      <c r="C378" s="25">
        <v>43346</v>
      </c>
      <c r="D378" s="25">
        <v>43347</v>
      </c>
      <c r="E378" s="25">
        <v>43348</v>
      </c>
      <c r="F378" s="25">
        <v>43349</v>
      </c>
      <c r="G378" s="25">
        <v>43350</v>
      </c>
      <c r="H378" s="25">
        <v>43353</v>
      </c>
    </row>
    <row r="379" spans="1:8" ht="9" thickTop="1" thickBot="1" x14ac:dyDescent="0.2">
      <c r="A379" s="24" t="s">
        <v>587</v>
      </c>
      <c r="B379" s="24"/>
      <c r="C379" s="24"/>
      <c r="D379" s="24"/>
      <c r="E379" s="24"/>
      <c r="F379" s="24"/>
      <c r="G379" s="24"/>
      <c r="H379" s="24"/>
    </row>
    <row r="380" spans="1:8" ht="9" thickTop="1" thickBot="1" x14ac:dyDescent="0.2">
      <c r="A380" s="24" t="s">
        <v>522</v>
      </c>
      <c r="B380" s="24"/>
      <c r="C380" s="24"/>
      <c r="D380" s="24"/>
      <c r="E380" s="24"/>
      <c r="F380" s="24"/>
      <c r="G380" s="24"/>
      <c r="H380" s="24"/>
    </row>
    <row r="381" spans="1:8" ht="9" thickTop="1" thickBot="1" x14ac:dyDescent="0.2">
      <c r="A381" s="24" t="s">
        <v>525</v>
      </c>
      <c r="B381" s="24"/>
      <c r="C381" s="24"/>
      <c r="D381" s="24"/>
      <c r="E381" s="24"/>
      <c r="F381" s="24"/>
      <c r="G381" s="24"/>
      <c r="H381" s="24"/>
    </row>
    <row r="382" spans="1:8" ht="9" thickTop="1" thickBot="1" x14ac:dyDescent="0.2">
      <c r="A382" s="24" t="s">
        <v>588</v>
      </c>
      <c r="B382" s="24"/>
      <c r="C382" s="24"/>
      <c r="D382" s="24"/>
      <c r="E382" s="24"/>
      <c r="F382" s="24"/>
      <c r="G382" s="24"/>
      <c r="H382" s="24"/>
    </row>
    <row r="383" spans="1:8" ht="9" thickTop="1" thickBot="1" x14ac:dyDescent="0.2">
      <c r="A383" s="24" t="s">
        <v>528</v>
      </c>
      <c r="B383" s="24"/>
      <c r="C383" s="24"/>
      <c r="D383" s="24"/>
      <c r="E383" s="24"/>
      <c r="F383" s="24"/>
      <c r="G383" s="24"/>
      <c r="H383" s="24"/>
    </row>
    <row r="384" spans="1:8" ht="9" thickTop="1" thickBot="1" x14ac:dyDescent="0.2">
      <c r="A384" s="24" t="s">
        <v>531</v>
      </c>
      <c r="B384" s="24"/>
      <c r="C384" s="24"/>
      <c r="D384" s="24"/>
      <c r="E384" s="24"/>
      <c r="F384" s="24"/>
      <c r="G384" s="24"/>
      <c r="H384" s="24"/>
    </row>
    <row r="385" spans="1:8" ht="9" thickTop="1" thickBot="1" x14ac:dyDescent="0.2">
      <c r="A385" s="24" t="s">
        <v>589</v>
      </c>
      <c r="B385" s="24"/>
      <c r="C385" s="24"/>
      <c r="D385" s="24"/>
      <c r="E385" s="24"/>
      <c r="F385" s="24"/>
      <c r="G385" s="24"/>
      <c r="H385" s="24"/>
    </row>
    <row r="386" spans="1:8" ht="9" thickTop="1" thickBot="1" x14ac:dyDescent="0.2">
      <c r="A386" s="24" t="s">
        <v>517</v>
      </c>
      <c r="B386" s="24"/>
      <c r="C386" s="24"/>
      <c r="D386" s="24"/>
      <c r="E386" s="24"/>
      <c r="F386" s="24"/>
      <c r="G386" s="24"/>
      <c r="H386" s="24"/>
    </row>
    <row r="387" spans="1:8" ht="9" thickTop="1" thickBot="1" x14ac:dyDescent="0.2">
      <c r="A387" s="24" t="s">
        <v>520</v>
      </c>
      <c r="B387" s="24"/>
      <c r="C387" s="24"/>
      <c r="D387" s="24"/>
      <c r="E387" s="24"/>
      <c r="F387" s="24"/>
      <c r="G387" s="24"/>
      <c r="H387" s="24"/>
    </row>
    <row r="388" spans="1:8" ht="9" thickTop="1" thickBot="1" x14ac:dyDescent="0.2">
      <c r="A388" s="24" t="s">
        <v>590</v>
      </c>
      <c r="B388" s="24"/>
      <c r="C388" s="24"/>
      <c r="D388" s="24"/>
      <c r="E388" s="24"/>
      <c r="F388" s="24"/>
      <c r="G388" s="24"/>
      <c r="H388" s="24"/>
    </row>
    <row r="389" spans="1:8" ht="9" thickTop="1" thickBot="1" x14ac:dyDescent="0.2">
      <c r="A389" s="24" t="s">
        <v>533</v>
      </c>
      <c r="B389" s="24"/>
      <c r="C389" s="24"/>
      <c r="D389" s="24"/>
      <c r="E389" s="24"/>
      <c r="F389" s="24"/>
      <c r="G389" s="24"/>
      <c r="H389" s="24"/>
    </row>
    <row r="390" spans="1:8" ht="9" thickTop="1" thickBot="1" x14ac:dyDescent="0.2"/>
    <row r="391" spans="1:8" ht="9" thickTop="1" thickBot="1" x14ac:dyDescent="0.2">
      <c r="A391" s="71" t="s">
        <v>579</v>
      </c>
      <c r="B391" s="71"/>
      <c r="C391" s="71"/>
      <c r="D391" s="71"/>
      <c r="E391" s="71"/>
      <c r="F391" s="71"/>
      <c r="G391" s="71"/>
      <c r="H391" s="71"/>
    </row>
    <row r="392" spans="1:8" ht="9" thickTop="1" thickBot="1" x14ac:dyDescent="0.2">
      <c r="A392" s="24" t="s">
        <v>514</v>
      </c>
      <c r="B392" s="26">
        <f>B377+7</f>
        <v>183</v>
      </c>
      <c r="C392" s="26">
        <f t="shared" ref="C392:H392" si="25">C377+7</f>
        <v>184</v>
      </c>
      <c r="D392" s="26">
        <f t="shared" si="25"/>
        <v>185</v>
      </c>
      <c r="E392" s="26">
        <f t="shared" si="25"/>
        <v>186</v>
      </c>
      <c r="F392" s="26">
        <f t="shared" si="25"/>
        <v>187</v>
      </c>
      <c r="G392" s="26">
        <f t="shared" si="25"/>
        <v>188</v>
      </c>
      <c r="H392" s="26">
        <f t="shared" si="25"/>
        <v>189</v>
      </c>
    </row>
    <row r="393" spans="1:8" ht="9" thickTop="1" thickBot="1" x14ac:dyDescent="0.2">
      <c r="A393" s="24" t="s">
        <v>515</v>
      </c>
      <c r="B393" s="25">
        <v>43354</v>
      </c>
      <c r="C393" s="25">
        <v>43354</v>
      </c>
      <c r="D393" s="25">
        <v>43355</v>
      </c>
      <c r="E393" s="25">
        <v>43356</v>
      </c>
      <c r="F393" s="25">
        <v>43357</v>
      </c>
      <c r="G393" s="25">
        <v>43360</v>
      </c>
      <c r="H393" s="25">
        <v>43361</v>
      </c>
    </row>
    <row r="394" spans="1:8" ht="9" thickTop="1" thickBot="1" x14ac:dyDescent="0.2">
      <c r="A394" s="24" t="s">
        <v>587</v>
      </c>
      <c r="B394" s="24"/>
      <c r="C394" s="24"/>
      <c r="D394" s="24"/>
      <c r="E394" s="24"/>
      <c r="F394" s="24"/>
      <c r="G394" s="24"/>
      <c r="H394" s="24"/>
    </row>
    <row r="395" spans="1:8" ht="9" thickTop="1" thickBot="1" x14ac:dyDescent="0.2">
      <c r="A395" s="24" t="s">
        <v>522</v>
      </c>
      <c r="B395" s="24"/>
      <c r="C395" s="24"/>
      <c r="D395" s="24"/>
      <c r="E395" s="24"/>
      <c r="F395" s="24"/>
      <c r="G395" s="24"/>
      <c r="H395" s="24"/>
    </row>
    <row r="396" spans="1:8" ht="9" thickTop="1" thickBot="1" x14ac:dyDescent="0.2">
      <c r="A396" s="24" t="s">
        <v>525</v>
      </c>
      <c r="B396" s="24"/>
      <c r="C396" s="24"/>
      <c r="D396" s="24"/>
      <c r="E396" s="24"/>
      <c r="F396" s="24"/>
      <c r="G396" s="24"/>
      <c r="H396" s="24"/>
    </row>
    <row r="397" spans="1:8" ht="9" thickTop="1" thickBot="1" x14ac:dyDescent="0.2">
      <c r="A397" s="24" t="s">
        <v>588</v>
      </c>
      <c r="B397" s="24"/>
      <c r="C397" s="24"/>
      <c r="D397" s="24"/>
      <c r="E397" s="24"/>
      <c r="F397" s="24"/>
      <c r="G397" s="24"/>
      <c r="H397" s="24"/>
    </row>
    <row r="398" spans="1:8" ht="9" thickTop="1" thickBot="1" x14ac:dyDescent="0.2">
      <c r="A398" s="24" t="s">
        <v>528</v>
      </c>
      <c r="B398" s="24"/>
      <c r="C398" s="24"/>
      <c r="D398" s="24"/>
      <c r="E398" s="24"/>
      <c r="F398" s="24"/>
      <c r="G398" s="24"/>
      <c r="H398" s="24"/>
    </row>
    <row r="399" spans="1:8" ht="9" thickTop="1" thickBot="1" x14ac:dyDescent="0.2">
      <c r="A399" s="24" t="s">
        <v>531</v>
      </c>
      <c r="B399" s="24"/>
      <c r="C399" s="24"/>
      <c r="D399" s="24"/>
      <c r="E399" s="24"/>
      <c r="F399" s="24"/>
      <c r="G399" s="24"/>
      <c r="H399" s="24"/>
    </row>
    <row r="400" spans="1:8" ht="9" thickTop="1" thickBot="1" x14ac:dyDescent="0.2">
      <c r="A400" s="24" t="s">
        <v>589</v>
      </c>
      <c r="B400" s="24"/>
      <c r="C400" s="24"/>
      <c r="D400" s="24"/>
      <c r="E400" s="24"/>
      <c r="F400" s="24"/>
      <c r="G400" s="24"/>
      <c r="H400" s="24"/>
    </row>
    <row r="401" spans="1:8" ht="9" thickTop="1" thickBot="1" x14ac:dyDescent="0.2">
      <c r="A401" s="24" t="s">
        <v>517</v>
      </c>
      <c r="B401" s="24"/>
      <c r="C401" s="24"/>
      <c r="D401" s="24"/>
      <c r="E401" s="24"/>
      <c r="F401" s="24"/>
      <c r="G401" s="24"/>
      <c r="H401" s="24"/>
    </row>
    <row r="402" spans="1:8" ht="9" thickTop="1" thickBot="1" x14ac:dyDescent="0.2">
      <c r="A402" s="24" t="s">
        <v>520</v>
      </c>
      <c r="B402" s="24"/>
      <c r="C402" s="24"/>
      <c r="D402" s="24"/>
      <c r="E402" s="24"/>
      <c r="F402" s="24"/>
      <c r="G402" s="24"/>
      <c r="H402" s="24"/>
    </row>
    <row r="403" spans="1:8" ht="9" thickTop="1" thickBot="1" x14ac:dyDescent="0.2">
      <c r="A403" s="24" t="s">
        <v>590</v>
      </c>
      <c r="B403" s="24"/>
      <c r="C403" s="24"/>
      <c r="D403" s="24"/>
      <c r="E403" s="24"/>
      <c r="F403" s="24"/>
      <c r="G403" s="24"/>
      <c r="H403" s="24"/>
    </row>
    <row r="404" spans="1:8" ht="9" thickTop="1" thickBot="1" x14ac:dyDescent="0.2">
      <c r="A404" s="24" t="s">
        <v>533</v>
      </c>
      <c r="B404" s="24"/>
      <c r="C404" s="24"/>
      <c r="D404" s="24"/>
      <c r="E404" s="24"/>
      <c r="F404" s="24"/>
      <c r="G404" s="24"/>
      <c r="H404" s="24"/>
    </row>
    <row r="405" spans="1:8" ht="9" thickTop="1" thickBot="1" x14ac:dyDescent="0.2"/>
    <row r="406" spans="1:8" ht="9" thickTop="1" thickBot="1" x14ac:dyDescent="0.2">
      <c r="A406" s="71" t="s">
        <v>579</v>
      </c>
      <c r="B406" s="71"/>
      <c r="C406" s="71"/>
      <c r="D406" s="71"/>
      <c r="E406" s="71"/>
      <c r="F406" s="71"/>
      <c r="G406" s="71"/>
      <c r="H406" s="71"/>
    </row>
    <row r="407" spans="1:8" ht="9" thickTop="1" thickBot="1" x14ac:dyDescent="0.2">
      <c r="A407" s="24" t="s">
        <v>514</v>
      </c>
      <c r="B407" s="26">
        <f>B392+7</f>
        <v>190</v>
      </c>
      <c r="C407" s="26">
        <f t="shared" ref="C407:H407" si="26">C392+7</f>
        <v>191</v>
      </c>
      <c r="D407" s="26">
        <f t="shared" si="26"/>
        <v>192</v>
      </c>
      <c r="E407" s="26">
        <f t="shared" si="26"/>
        <v>193</v>
      </c>
      <c r="F407" s="26">
        <f t="shared" si="26"/>
        <v>194</v>
      </c>
      <c r="G407" s="26">
        <f t="shared" si="26"/>
        <v>195</v>
      </c>
      <c r="H407" s="26">
        <f t="shared" si="26"/>
        <v>196</v>
      </c>
    </row>
    <row r="408" spans="1:8" ht="9" thickTop="1" thickBot="1" x14ac:dyDescent="0.2">
      <c r="A408" s="24" t="s">
        <v>515</v>
      </c>
      <c r="B408" s="25">
        <v>43362</v>
      </c>
      <c r="C408" s="25">
        <v>43363</v>
      </c>
      <c r="D408" s="25">
        <v>43364</v>
      </c>
      <c r="E408" s="25">
        <v>43367</v>
      </c>
      <c r="F408" s="25">
        <v>43368</v>
      </c>
      <c r="G408" s="25">
        <v>43369</v>
      </c>
      <c r="H408" s="25">
        <v>43370</v>
      </c>
    </row>
    <row r="409" spans="1:8" ht="9" thickTop="1" thickBot="1" x14ac:dyDescent="0.2">
      <c r="A409" s="24" t="s">
        <v>587</v>
      </c>
      <c r="B409" s="24"/>
      <c r="C409" s="24"/>
      <c r="D409" s="24"/>
      <c r="E409" s="24"/>
      <c r="F409" s="24"/>
      <c r="G409" s="24"/>
      <c r="H409" s="24"/>
    </row>
    <row r="410" spans="1:8" ht="9" thickTop="1" thickBot="1" x14ac:dyDescent="0.2">
      <c r="A410" s="24" t="s">
        <v>522</v>
      </c>
      <c r="B410" s="24"/>
      <c r="C410" s="24"/>
      <c r="D410" s="24"/>
      <c r="E410" s="24"/>
      <c r="F410" s="24"/>
      <c r="G410" s="24"/>
      <c r="H410" s="24"/>
    </row>
    <row r="411" spans="1:8" ht="9" thickTop="1" thickBot="1" x14ac:dyDescent="0.2">
      <c r="A411" s="24" t="s">
        <v>525</v>
      </c>
      <c r="B411" s="24"/>
      <c r="C411" s="24"/>
      <c r="D411" s="24"/>
      <c r="E411" s="24"/>
      <c r="F411" s="24"/>
      <c r="G411" s="24"/>
      <c r="H411" s="24"/>
    </row>
    <row r="412" spans="1:8" ht="9" thickTop="1" thickBot="1" x14ac:dyDescent="0.2">
      <c r="A412" s="24" t="s">
        <v>588</v>
      </c>
      <c r="B412" s="24"/>
      <c r="C412" s="24"/>
      <c r="D412" s="24"/>
      <c r="E412" s="24"/>
      <c r="F412" s="24"/>
      <c r="G412" s="24"/>
      <c r="H412" s="24"/>
    </row>
    <row r="413" spans="1:8" ht="9" thickTop="1" thickBot="1" x14ac:dyDescent="0.2">
      <c r="A413" s="24" t="s">
        <v>528</v>
      </c>
      <c r="B413" s="24"/>
      <c r="C413" s="24"/>
      <c r="D413" s="24"/>
      <c r="E413" s="24"/>
      <c r="F413" s="24"/>
      <c r="G413" s="24"/>
      <c r="H413" s="24"/>
    </row>
    <row r="414" spans="1:8" ht="9" thickTop="1" thickBot="1" x14ac:dyDescent="0.2">
      <c r="A414" s="24" t="s">
        <v>531</v>
      </c>
      <c r="B414" s="24"/>
      <c r="C414" s="24"/>
      <c r="D414" s="24"/>
      <c r="E414" s="24"/>
      <c r="F414" s="24"/>
      <c r="G414" s="24"/>
      <c r="H414" s="24"/>
    </row>
    <row r="415" spans="1:8" ht="9" thickTop="1" thickBot="1" x14ac:dyDescent="0.2">
      <c r="A415" s="24" t="s">
        <v>589</v>
      </c>
      <c r="B415" s="24"/>
      <c r="C415" s="24"/>
      <c r="D415" s="24"/>
      <c r="E415" s="24"/>
      <c r="F415" s="24"/>
      <c r="G415" s="24"/>
      <c r="H415" s="24"/>
    </row>
    <row r="416" spans="1:8" ht="9" thickTop="1" thickBot="1" x14ac:dyDescent="0.2">
      <c r="A416" s="24" t="s">
        <v>517</v>
      </c>
      <c r="B416" s="24"/>
      <c r="C416" s="24"/>
      <c r="D416" s="24"/>
      <c r="E416" s="24"/>
      <c r="F416" s="24"/>
      <c r="G416" s="24"/>
      <c r="H416" s="24"/>
    </row>
    <row r="417" spans="1:8" ht="9" thickTop="1" thickBot="1" x14ac:dyDescent="0.2">
      <c r="A417" s="24" t="s">
        <v>520</v>
      </c>
      <c r="B417" s="24"/>
      <c r="C417" s="24"/>
      <c r="D417" s="24"/>
      <c r="E417" s="24"/>
      <c r="F417" s="24"/>
      <c r="G417" s="24"/>
      <c r="H417" s="24"/>
    </row>
    <row r="418" spans="1:8" ht="9" thickTop="1" thickBot="1" x14ac:dyDescent="0.2">
      <c r="A418" s="24" t="s">
        <v>590</v>
      </c>
      <c r="B418" s="24"/>
      <c r="C418" s="24"/>
      <c r="D418" s="24"/>
      <c r="E418" s="24"/>
      <c r="F418" s="24"/>
      <c r="G418" s="24"/>
      <c r="H418" s="24"/>
    </row>
    <row r="419" spans="1:8" ht="9" thickTop="1" thickBot="1" x14ac:dyDescent="0.2">
      <c r="A419" s="24" t="s">
        <v>533</v>
      </c>
      <c r="B419" s="24"/>
      <c r="C419" s="24"/>
      <c r="D419" s="24"/>
      <c r="E419" s="24"/>
      <c r="F419" s="24"/>
      <c r="G419" s="24"/>
      <c r="H419" s="24"/>
    </row>
    <row r="420" spans="1:8" ht="9" thickTop="1" thickBot="1" x14ac:dyDescent="0.2"/>
    <row r="421" spans="1:8" ht="9" thickTop="1" thickBot="1" x14ac:dyDescent="0.2">
      <c r="A421" s="71" t="s">
        <v>579</v>
      </c>
      <c r="B421" s="71"/>
      <c r="C421" s="71"/>
      <c r="D421" s="71"/>
      <c r="E421" s="71"/>
      <c r="F421" s="71"/>
      <c r="G421" s="71"/>
      <c r="H421" s="71"/>
    </row>
    <row r="422" spans="1:8" ht="9" thickTop="1" thickBot="1" x14ac:dyDescent="0.2">
      <c r="A422" s="24" t="s">
        <v>514</v>
      </c>
      <c r="B422" s="26">
        <f>B407+7</f>
        <v>197</v>
      </c>
      <c r="C422" s="26">
        <f t="shared" ref="C422:H422" si="27">C407+7</f>
        <v>198</v>
      </c>
      <c r="D422" s="26">
        <f t="shared" si="27"/>
        <v>199</v>
      </c>
      <c r="E422" s="26">
        <f t="shared" si="27"/>
        <v>200</v>
      </c>
      <c r="F422" s="26">
        <f t="shared" si="27"/>
        <v>201</v>
      </c>
      <c r="G422" s="26">
        <f t="shared" si="27"/>
        <v>202</v>
      </c>
      <c r="H422" s="26">
        <f t="shared" si="27"/>
        <v>203</v>
      </c>
    </row>
    <row r="423" spans="1:8" ht="9" thickTop="1" thickBot="1" x14ac:dyDescent="0.2">
      <c r="A423" s="24" t="s">
        <v>515</v>
      </c>
      <c r="B423" s="25">
        <v>43371</v>
      </c>
      <c r="C423" s="25">
        <v>43374</v>
      </c>
      <c r="D423" s="25">
        <v>43375</v>
      </c>
      <c r="E423" s="25">
        <v>43376</v>
      </c>
      <c r="F423" s="25">
        <v>43377</v>
      </c>
      <c r="G423" s="25">
        <v>43378</v>
      </c>
      <c r="H423" s="25">
        <v>43381</v>
      </c>
    </row>
    <row r="424" spans="1:8" ht="9" thickTop="1" thickBot="1" x14ac:dyDescent="0.2">
      <c r="A424" s="24" t="s">
        <v>587</v>
      </c>
      <c r="B424" s="24"/>
      <c r="C424" s="24"/>
      <c r="D424" s="24"/>
      <c r="E424" s="24"/>
      <c r="F424" s="24"/>
      <c r="G424" s="24"/>
      <c r="H424" s="24"/>
    </row>
    <row r="425" spans="1:8" ht="9" thickTop="1" thickBot="1" x14ac:dyDescent="0.2">
      <c r="A425" s="24" t="s">
        <v>522</v>
      </c>
      <c r="B425" s="24"/>
      <c r="C425" s="24"/>
      <c r="D425" s="24"/>
      <c r="E425" s="24"/>
      <c r="F425" s="24"/>
      <c r="G425" s="24"/>
      <c r="H425" s="24"/>
    </row>
    <row r="426" spans="1:8" ht="9" thickTop="1" thickBot="1" x14ac:dyDescent="0.2">
      <c r="A426" s="24" t="s">
        <v>525</v>
      </c>
      <c r="B426" s="24"/>
      <c r="C426" s="24"/>
      <c r="D426" s="24"/>
      <c r="E426" s="24"/>
      <c r="F426" s="24"/>
      <c r="G426" s="24"/>
      <c r="H426" s="24"/>
    </row>
    <row r="427" spans="1:8" ht="9" thickTop="1" thickBot="1" x14ac:dyDescent="0.2">
      <c r="A427" s="24" t="s">
        <v>588</v>
      </c>
      <c r="B427" s="24"/>
      <c r="C427" s="24"/>
      <c r="D427" s="24"/>
      <c r="E427" s="24"/>
      <c r="F427" s="24"/>
      <c r="G427" s="24"/>
      <c r="H427" s="24"/>
    </row>
    <row r="428" spans="1:8" ht="9" thickTop="1" thickBot="1" x14ac:dyDescent="0.2">
      <c r="A428" s="24" t="s">
        <v>528</v>
      </c>
      <c r="B428" s="24"/>
      <c r="C428" s="24"/>
      <c r="D428" s="24"/>
      <c r="E428" s="24"/>
      <c r="F428" s="24"/>
      <c r="G428" s="24"/>
      <c r="H428" s="24"/>
    </row>
    <row r="429" spans="1:8" ht="9" thickTop="1" thickBot="1" x14ac:dyDescent="0.2">
      <c r="A429" s="24" t="s">
        <v>531</v>
      </c>
      <c r="B429" s="24"/>
      <c r="C429" s="24"/>
      <c r="D429" s="24"/>
      <c r="E429" s="24"/>
      <c r="F429" s="24"/>
      <c r="G429" s="24"/>
      <c r="H429" s="24"/>
    </row>
    <row r="430" spans="1:8" ht="9" thickTop="1" thickBot="1" x14ac:dyDescent="0.2">
      <c r="A430" s="24" t="s">
        <v>589</v>
      </c>
      <c r="B430" s="24"/>
      <c r="C430" s="24"/>
      <c r="D430" s="24"/>
      <c r="E430" s="24"/>
      <c r="F430" s="24"/>
      <c r="G430" s="24"/>
      <c r="H430" s="24"/>
    </row>
    <row r="431" spans="1:8" ht="9" thickTop="1" thickBot="1" x14ac:dyDescent="0.2">
      <c r="A431" s="24" t="s">
        <v>517</v>
      </c>
      <c r="B431" s="24"/>
      <c r="C431" s="24"/>
      <c r="D431" s="24"/>
      <c r="E431" s="24"/>
      <c r="F431" s="24"/>
      <c r="G431" s="24"/>
      <c r="H431" s="24"/>
    </row>
    <row r="432" spans="1:8" ht="9" thickTop="1" thickBot="1" x14ac:dyDescent="0.2">
      <c r="A432" s="24" t="s">
        <v>520</v>
      </c>
      <c r="B432" s="24"/>
      <c r="C432" s="24"/>
      <c r="D432" s="24"/>
      <c r="E432" s="24"/>
      <c r="F432" s="24"/>
      <c r="G432" s="24"/>
      <c r="H432" s="24"/>
    </row>
    <row r="433" spans="1:8" ht="9" thickTop="1" thickBot="1" x14ac:dyDescent="0.2">
      <c r="A433" s="24" t="s">
        <v>590</v>
      </c>
      <c r="B433" s="24"/>
      <c r="C433" s="24"/>
      <c r="D433" s="24"/>
      <c r="E433" s="24"/>
      <c r="F433" s="24"/>
      <c r="G433" s="24"/>
      <c r="H433" s="24"/>
    </row>
    <row r="434" spans="1:8" ht="9" thickTop="1" thickBot="1" x14ac:dyDescent="0.2">
      <c r="A434" s="24" t="s">
        <v>533</v>
      </c>
      <c r="B434" s="24"/>
      <c r="C434" s="24"/>
      <c r="D434" s="24"/>
      <c r="E434" s="24"/>
      <c r="F434" s="24"/>
      <c r="G434" s="24"/>
      <c r="H434" s="24"/>
    </row>
    <row r="435" spans="1:8" ht="9" thickTop="1" thickBot="1" x14ac:dyDescent="0.2"/>
    <row r="436" spans="1:8" ht="9" thickTop="1" thickBot="1" x14ac:dyDescent="0.2">
      <c r="A436" s="71" t="s">
        <v>579</v>
      </c>
      <c r="B436" s="71"/>
      <c r="C436" s="71"/>
      <c r="D436" s="71"/>
      <c r="E436" s="71"/>
      <c r="F436" s="71"/>
      <c r="G436" s="71"/>
      <c r="H436" s="71"/>
    </row>
    <row r="437" spans="1:8" ht="9" thickTop="1" thickBot="1" x14ac:dyDescent="0.2">
      <c r="A437" s="24" t="s">
        <v>514</v>
      </c>
      <c r="B437" s="26">
        <f>B422+7</f>
        <v>204</v>
      </c>
      <c r="C437" s="26">
        <f t="shared" ref="C437:H437" si="28">C422+7</f>
        <v>205</v>
      </c>
      <c r="D437" s="26">
        <f t="shared" si="28"/>
        <v>206</v>
      </c>
      <c r="E437" s="26">
        <f t="shared" si="28"/>
        <v>207</v>
      </c>
      <c r="F437" s="26">
        <f t="shared" si="28"/>
        <v>208</v>
      </c>
      <c r="G437" s="26">
        <f t="shared" si="28"/>
        <v>209</v>
      </c>
      <c r="H437" s="26">
        <f t="shared" si="28"/>
        <v>210</v>
      </c>
    </row>
    <row r="438" spans="1:8" ht="9" thickTop="1" thickBot="1" x14ac:dyDescent="0.2">
      <c r="A438" s="24" t="s">
        <v>515</v>
      </c>
      <c r="B438" s="25">
        <v>43382</v>
      </c>
      <c r="C438" s="25">
        <v>43383</v>
      </c>
      <c r="D438" s="25">
        <v>43384</v>
      </c>
      <c r="E438" s="25">
        <v>43385</v>
      </c>
      <c r="F438" s="25">
        <v>43388</v>
      </c>
      <c r="G438" s="25">
        <v>43389</v>
      </c>
      <c r="H438" s="25">
        <v>43390</v>
      </c>
    </row>
    <row r="439" spans="1:8" ht="9" thickTop="1" thickBot="1" x14ac:dyDescent="0.2">
      <c r="A439" s="24" t="s">
        <v>587</v>
      </c>
      <c r="B439" s="24"/>
      <c r="C439" s="24"/>
      <c r="D439" s="24"/>
      <c r="E439" s="24"/>
      <c r="F439" s="24"/>
      <c r="G439" s="24"/>
      <c r="H439" s="24"/>
    </row>
    <row r="440" spans="1:8" ht="9" thickTop="1" thickBot="1" x14ac:dyDescent="0.2">
      <c r="A440" s="24" t="s">
        <v>522</v>
      </c>
      <c r="B440" s="24"/>
      <c r="C440" s="24"/>
      <c r="D440" s="24"/>
      <c r="E440" s="24"/>
      <c r="F440" s="24"/>
      <c r="G440" s="24"/>
      <c r="H440" s="24"/>
    </row>
    <row r="441" spans="1:8" ht="9" thickTop="1" thickBot="1" x14ac:dyDescent="0.2">
      <c r="A441" s="24" t="s">
        <v>525</v>
      </c>
      <c r="B441" s="24"/>
      <c r="C441" s="24"/>
      <c r="D441" s="24"/>
      <c r="E441" s="24"/>
      <c r="F441" s="24"/>
      <c r="G441" s="24"/>
      <c r="H441" s="24"/>
    </row>
    <row r="442" spans="1:8" ht="9" thickTop="1" thickBot="1" x14ac:dyDescent="0.2">
      <c r="A442" s="24" t="s">
        <v>588</v>
      </c>
      <c r="B442" s="24"/>
      <c r="C442" s="24"/>
      <c r="D442" s="24"/>
      <c r="E442" s="24"/>
      <c r="F442" s="24"/>
      <c r="G442" s="24"/>
      <c r="H442" s="24"/>
    </row>
    <row r="443" spans="1:8" ht="9" thickTop="1" thickBot="1" x14ac:dyDescent="0.2">
      <c r="A443" s="24" t="s">
        <v>528</v>
      </c>
      <c r="B443" s="24"/>
      <c r="C443" s="24"/>
      <c r="D443" s="24"/>
      <c r="E443" s="24"/>
      <c r="F443" s="24"/>
      <c r="G443" s="24"/>
      <c r="H443" s="24"/>
    </row>
    <row r="444" spans="1:8" ht="9" thickTop="1" thickBot="1" x14ac:dyDescent="0.2">
      <c r="A444" s="24" t="s">
        <v>531</v>
      </c>
      <c r="B444" s="24"/>
      <c r="C444" s="24"/>
      <c r="D444" s="24"/>
      <c r="E444" s="24"/>
      <c r="F444" s="24"/>
      <c r="G444" s="24"/>
      <c r="H444" s="24"/>
    </row>
    <row r="445" spans="1:8" ht="9" thickTop="1" thickBot="1" x14ac:dyDescent="0.2">
      <c r="A445" s="24" t="s">
        <v>589</v>
      </c>
      <c r="B445" s="24"/>
      <c r="C445" s="24"/>
      <c r="D445" s="24"/>
      <c r="E445" s="24"/>
      <c r="F445" s="24"/>
      <c r="G445" s="24"/>
      <c r="H445" s="24"/>
    </row>
    <row r="446" spans="1:8" ht="9" thickTop="1" thickBot="1" x14ac:dyDescent="0.2">
      <c r="A446" s="24" t="s">
        <v>517</v>
      </c>
      <c r="B446" s="24"/>
      <c r="C446" s="24"/>
      <c r="D446" s="24"/>
      <c r="E446" s="24"/>
      <c r="F446" s="24"/>
      <c r="G446" s="24"/>
      <c r="H446" s="24"/>
    </row>
    <row r="447" spans="1:8" ht="9" thickTop="1" thickBot="1" x14ac:dyDescent="0.2">
      <c r="A447" s="24" t="s">
        <v>520</v>
      </c>
      <c r="B447" s="24"/>
      <c r="C447" s="24"/>
      <c r="D447" s="24"/>
      <c r="E447" s="24"/>
      <c r="F447" s="24"/>
      <c r="G447" s="24"/>
      <c r="H447" s="24"/>
    </row>
    <row r="448" spans="1:8" ht="9" thickTop="1" thickBot="1" x14ac:dyDescent="0.2">
      <c r="A448" s="24" t="s">
        <v>590</v>
      </c>
      <c r="B448" s="24"/>
      <c r="C448" s="24"/>
      <c r="D448" s="24"/>
      <c r="E448" s="24"/>
      <c r="F448" s="24"/>
      <c r="G448" s="24"/>
      <c r="H448" s="24"/>
    </row>
    <row r="449" spans="1:8" ht="9" thickTop="1" thickBot="1" x14ac:dyDescent="0.2">
      <c r="A449" s="24" t="s">
        <v>533</v>
      </c>
      <c r="B449" s="24"/>
      <c r="C449" s="24"/>
      <c r="D449" s="24"/>
      <c r="E449" s="24"/>
      <c r="F449" s="24"/>
      <c r="G449" s="24"/>
      <c r="H449" s="24"/>
    </row>
    <row r="450" spans="1:8" ht="9" thickTop="1" thickBot="1" x14ac:dyDescent="0.2"/>
    <row r="451" spans="1:8" ht="9" thickTop="1" thickBot="1" x14ac:dyDescent="0.2">
      <c r="A451" s="71" t="s">
        <v>579</v>
      </c>
      <c r="B451" s="71"/>
      <c r="C451" s="71"/>
      <c r="D451" s="71"/>
      <c r="E451" s="71"/>
      <c r="F451" s="71"/>
      <c r="G451" s="71"/>
      <c r="H451" s="71"/>
    </row>
    <row r="452" spans="1:8" ht="9" thickTop="1" thickBot="1" x14ac:dyDescent="0.2">
      <c r="A452" s="24" t="s">
        <v>514</v>
      </c>
      <c r="B452" s="26">
        <f>B437+7</f>
        <v>211</v>
      </c>
      <c r="C452" s="26">
        <f t="shared" ref="C452:H452" si="29">C437+7</f>
        <v>212</v>
      </c>
      <c r="D452" s="26">
        <f t="shared" si="29"/>
        <v>213</v>
      </c>
      <c r="E452" s="26">
        <f t="shared" si="29"/>
        <v>214</v>
      </c>
      <c r="F452" s="26">
        <f t="shared" si="29"/>
        <v>215</v>
      </c>
      <c r="G452" s="26">
        <f t="shared" si="29"/>
        <v>216</v>
      </c>
      <c r="H452" s="26">
        <f t="shared" si="29"/>
        <v>217</v>
      </c>
    </row>
    <row r="453" spans="1:8" ht="9" thickTop="1" thickBot="1" x14ac:dyDescent="0.2">
      <c r="A453" s="24" t="s">
        <v>515</v>
      </c>
      <c r="B453" s="25">
        <v>43391</v>
      </c>
      <c r="C453" s="25">
        <v>43392</v>
      </c>
      <c r="D453" s="25">
        <v>43395</v>
      </c>
      <c r="E453" s="25">
        <v>43396</v>
      </c>
      <c r="F453" s="25">
        <v>43397</v>
      </c>
      <c r="G453" s="25">
        <v>43398</v>
      </c>
      <c r="H453" s="25">
        <v>43399</v>
      </c>
    </row>
    <row r="454" spans="1:8" ht="9" thickTop="1" thickBot="1" x14ac:dyDescent="0.2">
      <c r="A454" s="24" t="s">
        <v>587</v>
      </c>
      <c r="B454" s="24"/>
      <c r="C454" s="24"/>
      <c r="D454" s="24"/>
      <c r="E454" s="24"/>
      <c r="F454" s="24"/>
      <c r="G454" s="24"/>
      <c r="H454" s="24"/>
    </row>
    <row r="455" spans="1:8" ht="9" thickTop="1" thickBot="1" x14ac:dyDescent="0.2">
      <c r="A455" s="24" t="s">
        <v>522</v>
      </c>
      <c r="B455" s="24"/>
      <c r="C455" s="24"/>
      <c r="D455" s="24"/>
      <c r="E455" s="24"/>
      <c r="F455" s="24"/>
      <c r="G455" s="24"/>
      <c r="H455" s="24"/>
    </row>
    <row r="456" spans="1:8" ht="9" thickTop="1" thickBot="1" x14ac:dyDescent="0.2">
      <c r="A456" s="24" t="s">
        <v>525</v>
      </c>
      <c r="B456" s="24"/>
      <c r="C456" s="24"/>
      <c r="D456" s="24"/>
      <c r="E456" s="24"/>
      <c r="F456" s="24"/>
      <c r="G456" s="24"/>
      <c r="H456" s="24"/>
    </row>
    <row r="457" spans="1:8" ht="9" thickTop="1" thickBot="1" x14ac:dyDescent="0.2">
      <c r="A457" s="24" t="s">
        <v>588</v>
      </c>
      <c r="B457" s="24"/>
      <c r="C457" s="24"/>
      <c r="D457" s="24"/>
      <c r="E457" s="24"/>
      <c r="F457" s="24"/>
      <c r="G457" s="24"/>
      <c r="H457" s="24"/>
    </row>
    <row r="458" spans="1:8" ht="9" thickTop="1" thickBot="1" x14ac:dyDescent="0.2">
      <c r="A458" s="24" t="s">
        <v>528</v>
      </c>
      <c r="B458" s="24"/>
      <c r="C458" s="24"/>
      <c r="D458" s="24"/>
      <c r="E458" s="24"/>
      <c r="F458" s="24"/>
      <c r="G458" s="24"/>
      <c r="H458" s="24"/>
    </row>
    <row r="459" spans="1:8" ht="9" thickTop="1" thickBot="1" x14ac:dyDescent="0.2">
      <c r="A459" s="24" t="s">
        <v>531</v>
      </c>
      <c r="B459" s="24"/>
      <c r="C459" s="24"/>
      <c r="D459" s="24"/>
      <c r="E459" s="24"/>
      <c r="F459" s="24"/>
      <c r="G459" s="24"/>
      <c r="H459" s="24"/>
    </row>
    <row r="460" spans="1:8" ht="9" thickTop="1" thickBot="1" x14ac:dyDescent="0.2">
      <c r="A460" s="24" t="s">
        <v>589</v>
      </c>
      <c r="B460" s="24"/>
      <c r="C460" s="24"/>
      <c r="D460" s="24"/>
      <c r="E460" s="24"/>
      <c r="F460" s="24"/>
      <c r="G460" s="24"/>
      <c r="H460" s="24"/>
    </row>
    <row r="461" spans="1:8" ht="9" thickTop="1" thickBot="1" x14ac:dyDescent="0.2">
      <c r="A461" s="24" t="s">
        <v>517</v>
      </c>
      <c r="B461" s="24"/>
      <c r="C461" s="24"/>
      <c r="D461" s="24"/>
      <c r="E461" s="24"/>
      <c r="F461" s="24"/>
      <c r="G461" s="24"/>
      <c r="H461" s="24"/>
    </row>
    <row r="462" spans="1:8" ht="9" thickTop="1" thickBot="1" x14ac:dyDescent="0.2">
      <c r="A462" s="24" t="s">
        <v>520</v>
      </c>
      <c r="B462" s="24"/>
      <c r="C462" s="24"/>
      <c r="D462" s="24"/>
      <c r="E462" s="24"/>
      <c r="F462" s="24"/>
      <c r="G462" s="24"/>
      <c r="H462" s="24"/>
    </row>
    <row r="463" spans="1:8" ht="9" thickTop="1" thickBot="1" x14ac:dyDescent="0.2">
      <c r="A463" s="24" t="s">
        <v>590</v>
      </c>
      <c r="B463" s="24"/>
      <c r="C463" s="24"/>
      <c r="D463" s="24"/>
      <c r="E463" s="24"/>
      <c r="F463" s="24"/>
      <c r="G463" s="24"/>
      <c r="H463" s="24"/>
    </row>
    <row r="464" spans="1:8" ht="9" thickTop="1" thickBot="1" x14ac:dyDescent="0.2">
      <c r="A464" s="24" t="s">
        <v>533</v>
      </c>
      <c r="B464" s="24"/>
      <c r="C464" s="24"/>
      <c r="D464" s="24"/>
      <c r="E464" s="24"/>
      <c r="F464" s="24"/>
      <c r="G464" s="24"/>
      <c r="H464" s="24"/>
    </row>
    <row r="465" spans="1:8" ht="9" thickTop="1" thickBot="1" x14ac:dyDescent="0.2"/>
    <row r="466" spans="1:8" ht="9" thickTop="1" thickBot="1" x14ac:dyDescent="0.2">
      <c r="A466" s="71" t="s">
        <v>579</v>
      </c>
      <c r="B466" s="71"/>
      <c r="C466" s="71"/>
      <c r="D466" s="71"/>
      <c r="E466" s="71"/>
      <c r="F466" s="71"/>
      <c r="G466" s="71"/>
      <c r="H466" s="71"/>
    </row>
    <row r="467" spans="1:8" ht="9" thickTop="1" thickBot="1" x14ac:dyDescent="0.2">
      <c r="A467" s="24" t="s">
        <v>514</v>
      </c>
      <c r="B467" s="26">
        <f>B452+7</f>
        <v>218</v>
      </c>
      <c r="C467" s="26">
        <f t="shared" ref="C467:H467" si="30">C452+7</f>
        <v>219</v>
      </c>
      <c r="D467" s="26">
        <f t="shared" si="30"/>
        <v>220</v>
      </c>
      <c r="E467" s="26">
        <f t="shared" si="30"/>
        <v>221</v>
      </c>
      <c r="F467" s="26">
        <f t="shared" si="30"/>
        <v>222</v>
      </c>
      <c r="G467" s="26">
        <f t="shared" si="30"/>
        <v>223</v>
      </c>
      <c r="H467" s="26">
        <f t="shared" si="30"/>
        <v>224</v>
      </c>
    </row>
    <row r="468" spans="1:8" ht="9" thickTop="1" thickBot="1" x14ac:dyDescent="0.2">
      <c r="A468" s="24" t="s">
        <v>515</v>
      </c>
      <c r="B468" s="25">
        <v>43402</v>
      </c>
      <c r="C468" s="25">
        <v>43403</v>
      </c>
      <c r="D468" s="25">
        <v>43404</v>
      </c>
      <c r="E468" s="25">
        <v>43405</v>
      </c>
      <c r="F468" s="25">
        <v>43406</v>
      </c>
      <c r="G468" s="25">
        <v>43409</v>
      </c>
      <c r="H468" s="25">
        <v>43410</v>
      </c>
    </row>
    <row r="469" spans="1:8" ht="9" thickTop="1" thickBot="1" x14ac:dyDescent="0.2">
      <c r="A469" s="24" t="s">
        <v>587</v>
      </c>
      <c r="B469" s="24"/>
      <c r="C469" s="24"/>
      <c r="D469" s="24"/>
      <c r="E469" s="24"/>
      <c r="F469" s="24"/>
      <c r="G469" s="24"/>
      <c r="H469" s="24"/>
    </row>
    <row r="470" spans="1:8" ht="9" thickTop="1" thickBot="1" x14ac:dyDescent="0.2">
      <c r="A470" s="24" t="s">
        <v>522</v>
      </c>
      <c r="B470" s="24"/>
      <c r="C470" s="24"/>
      <c r="D470" s="24"/>
      <c r="E470" s="24"/>
      <c r="F470" s="24"/>
      <c r="G470" s="24"/>
      <c r="H470" s="24"/>
    </row>
    <row r="471" spans="1:8" ht="9" thickTop="1" thickBot="1" x14ac:dyDescent="0.2">
      <c r="A471" s="24" t="s">
        <v>525</v>
      </c>
      <c r="B471" s="24"/>
      <c r="C471" s="24"/>
      <c r="D471" s="24"/>
      <c r="E471" s="24"/>
      <c r="F471" s="24"/>
      <c r="G471" s="24"/>
      <c r="H471" s="24"/>
    </row>
    <row r="472" spans="1:8" ht="9" thickTop="1" thickBot="1" x14ac:dyDescent="0.2">
      <c r="A472" s="24" t="s">
        <v>588</v>
      </c>
      <c r="B472" s="24"/>
      <c r="C472" s="24"/>
      <c r="D472" s="24"/>
      <c r="E472" s="24"/>
      <c r="F472" s="24"/>
      <c r="G472" s="24"/>
      <c r="H472" s="24"/>
    </row>
    <row r="473" spans="1:8" ht="9" thickTop="1" thickBot="1" x14ac:dyDescent="0.2">
      <c r="A473" s="24" t="s">
        <v>528</v>
      </c>
      <c r="B473" s="24"/>
      <c r="C473" s="24"/>
      <c r="D473" s="24"/>
      <c r="E473" s="24"/>
      <c r="F473" s="24"/>
      <c r="G473" s="24"/>
      <c r="H473" s="24"/>
    </row>
    <row r="474" spans="1:8" ht="9" thickTop="1" thickBot="1" x14ac:dyDescent="0.2">
      <c r="A474" s="24" t="s">
        <v>531</v>
      </c>
      <c r="B474" s="24"/>
      <c r="C474" s="24"/>
      <c r="D474" s="24"/>
      <c r="E474" s="24"/>
      <c r="F474" s="24"/>
      <c r="G474" s="24"/>
      <c r="H474" s="24"/>
    </row>
    <row r="475" spans="1:8" ht="9" thickTop="1" thickBot="1" x14ac:dyDescent="0.2">
      <c r="A475" s="24" t="s">
        <v>589</v>
      </c>
      <c r="B475" s="24"/>
      <c r="C475" s="24"/>
      <c r="D475" s="24"/>
      <c r="E475" s="24"/>
      <c r="F475" s="24"/>
      <c r="G475" s="24"/>
      <c r="H475" s="24"/>
    </row>
    <row r="476" spans="1:8" ht="9" thickTop="1" thickBot="1" x14ac:dyDescent="0.2">
      <c r="A476" s="24" t="s">
        <v>517</v>
      </c>
      <c r="B476" s="24"/>
      <c r="C476" s="24"/>
      <c r="D476" s="24"/>
      <c r="E476" s="24"/>
      <c r="F476" s="24"/>
      <c r="G476" s="24"/>
      <c r="H476" s="24"/>
    </row>
    <row r="477" spans="1:8" ht="9" thickTop="1" thickBot="1" x14ac:dyDescent="0.2">
      <c r="A477" s="24" t="s">
        <v>520</v>
      </c>
      <c r="B477" s="24"/>
      <c r="C477" s="24"/>
      <c r="D477" s="24"/>
      <c r="E477" s="24"/>
      <c r="F477" s="24"/>
      <c r="G477" s="24"/>
      <c r="H477" s="24"/>
    </row>
    <row r="478" spans="1:8" ht="9" thickTop="1" thickBot="1" x14ac:dyDescent="0.2">
      <c r="A478" s="24" t="s">
        <v>590</v>
      </c>
      <c r="B478" s="24"/>
      <c r="C478" s="24"/>
      <c r="D478" s="24"/>
      <c r="E478" s="24"/>
      <c r="F478" s="24"/>
      <c r="G478" s="24"/>
      <c r="H478" s="24"/>
    </row>
    <row r="479" spans="1:8" ht="9" thickTop="1" thickBot="1" x14ac:dyDescent="0.2">
      <c r="A479" s="24" t="s">
        <v>533</v>
      </c>
      <c r="B479" s="24"/>
      <c r="C479" s="24"/>
      <c r="D479" s="24"/>
      <c r="E479" s="24"/>
      <c r="F479" s="24"/>
      <c r="G479" s="24"/>
      <c r="H479" s="24"/>
    </row>
    <row r="480" spans="1:8" ht="9" thickTop="1" thickBot="1" x14ac:dyDescent="0.2"/>
    <row r="481" spans="1:8" ht="9" thickTop="1" thickBot="1" x14ac:dyDescent="0.2">
      <c r="A481" s="71" t="s">
        <v>579</v>
      </c>
      <c r="B481" s="71"/>
      <c r="C481" s="71"/>
      <c r="D481" s="71"/>
      <c r="E481" s="71"/>
      <c r="F481" s="71"/>
      <c r="G481" s="71"/>
      <c r="H481" s="71"/>
    </row>
    <row r="482" spans="1:8" ht="9" thickTop="1" thickBot="1" x14ac:dyDescent="0.2">
      <c r="A482" s="24" t="s">
        <v>514</v>
      </c>
      <c r="B482" s="26">
        <f>B467+7</f>
        <v>225</v>
      </c>
      <c r="C482" s="26">
        <f t="shared" ref="C482:H482" si="31">C467+7</f>
        <v>226</v>
      </c>
      <c r="D482" s="26">
        <f t="shared" si="31"/>
        <v>227</v>
      </c>
      <c r="E482" s="26">
        <f t="shared" si="31"/>
        <v>228</v>
      </c>
      <c r="F482" s="26">
        <f t="shared" si="31"/>
        <v>229</v>
      </c>
      <c r="G482" s="26">
        <f t="shared" si="31"/>
        <v>230</v>
      </c>
      <c r="H482" s="26">
        <f t="shared" si="31"/>
        <v>231</v>
      </c>
    </row>
    <row r="483" spans="1:8" ht="9" thickTop="1" thickBot="1" x14ac:dyDescent="0.2">
      <c r="A483" s="24" t="s">
        <v>515</v>
      </c>
      <c r="B483" s="25">
        <v>43411</v>
      </c>
      <c r="C483" s="25">
        <v>43412</v>
      </c>
      <c r="D483" s="25">
        <v>43413</v>
      </c>
      <c r="E483" s="25">
        <v>43416</v>
      </c>
      <c r="F483" s="25">
        <v>43417</v>
      </c>
      <c r="G483" s="25">
        <v>43418</v>
      </c>
      <c r="H483" s="25">
        <v>43419</v>
      </c>
    </row>
    <row r="484" spans="1:8" ht="9" thickTop="1" thickBot="1" x14ac:dyDescent="0.2">
      <c r="A484" s="24" t="s">
        <v>587</v>
      </c>
      <c r="B484" s="24"/>
      <c r="C484" s="24"/>
      <c r="D484" s="24"/>
      <c r="E484" s="24"/>
      <c r="F484" s="24"/>
      <c r="G484" s="24"/>
      <c r="H484" s="24"/>
    </row>
    <row r="485" spans="1:8" ht="9" thickTop="1" thickBot="1" x14ac:dyDescent="0.2">
      <c r="A485" s="24" t="s">
        <v>522</v>
      </c>
      <c r="B485" s="24"/>
      <c r="C485" s="24"/>
      <c r="D485" s="24"/>
      <c r="E485" s="24"/>
      <c r="F485" s="24"/>
      <c r="G485" s="24"/>
      <c r="H485" s="24"/>
    </row>
    <row r="486" spans="1:8" ht="9" thickTop="1" thickBot="1" x14ac:dyDescent="0.2">
      <c r="A486" s="24" t="s">
        <v>525</v>
      </c>
      <c r="B486" s="24"/>
      <c r="C486" s="24"/>
      <c r="D486" s="24"/>
      <c r="E486" s="24"/>
      <c r="F486" s="24"/>
      <c r="G486" s="24"/>
      <c r="H486" s="24"/>
    </row>
    <row r="487" spans="1:8" ht="9" thickTop="1" thickBot="1" x14ac:dyDescent="0.2">
      <c r="A487" s="24" t="s">
        <v>588</v>
      </c>
      <c r="B487" s="24"/>
      <c r="C487" s="24"/>
      <c r="D487" s="24"/>
      <c r="E487" s="24"/>
      <c r="F487" s="24"/>
      <c r="G487" s="24"/>
      <c r="H487" s="24"/>
    </row>
    <row r="488" spans="1:8" ht="9" thickTop="1" thickBot="1" x14ac:dyDescent="0.2">
      <c r="A488" s="24" t="s">
        <v>528</v>
      </c>
      <c r="B488" s="24"/>
      <c r="C488" s="24"/>
      <c r="D488" s="24"/>
      <c r="E488" s="24"/>
      <c r="F488" s="24"/>
      <c r="G488" s="24"/>
      <c r="H488" s="24"/>
    </row>
    <row r="489" spans="1:8" ht="9" thickTop="1" thickBot="1" x14ac:dyDescent="0.2">
      <c r="A489" s="24" t="s">
        <v>531</v>
      </c>
      <c r="B489" s="24"/>
      <c r="C489" s="24"/>
      <c r="D489" s="24"/>
      <c r="E489" s="24"/>
      <c r="F489" s="24"/>
      <c r="G489" s="24"/>
      <c r="H489" s="24"/>
    </row>
    <row r="490" spans="1:8" ht="9" thickTop="1" thickBot="1" x14ac:dyDescent="0.2">
      <c r="A490" s="24" t="s">
        <v>589</v>
      </c>
      <c r="B490" s="24"/>
      <c r="C490" s="24"/>
      <c r="D490" s="24"/>
      <c r="E490" s="24"/>
      <c r="F490" s="24"/>
      <c r="G490" s="24"/>
      <c r="H490" s="24"/>
    </row>
    <row r="491" spans="1:8" ht="9" thickTop="1" thickBot="1" x14ac:dyDescent="0.2">
      <c r="A491" s="24" t="s">
        <v>517</v>
      </c>
      <c r="B491" s="24"/>
      <c r="C491" s="24"/>
      <c r="D491" s="24"/>
      <c r="E491" s="24"/>
      <c r="F491" s="24"/>
      <c r="G491" s="24"/>
      <c r="H491" s="24"/>
    </row>
    <row r="492" spans="1:8" ht="9" thickTop="1" thickBot="1" x14ac:dyDescent="0.2">
      <c r="A492" s="24" t="s">
        <v>520</v>
      </c>
      <c r="B492" s="24"/>
      <c r="C492" s="24"/>
      <c r="D492" s="24"/>
      <c r="E492" s="24"/>
      <c r="F492" s="24"/>
      <c r="G492" s="24"/>
      <c r="H492" s="24"/>
    </row>
    <row r="493" spans="1:8" ht="9" thickTop="1" thickBot="1" x14ac:dyDescent="0.2">
      <c r="A493" s="24" t="s">
        <v>590</v>
      </c>
      <c r="B493" s="24"/>
      <c r="C493" s="24"/>
      <c r="D493" s="24"/>
      <c r="E493" s="24"/>
      <c r="F493" s="24"/>
      <c r="G493" s="24"/>
      <c r="H493" s="24"/>
    </row>
    <row r="494" spans="1:8" ht="9" thickTop="1" thickBot="1" x14ac:dyDescent="0.2">
      <c r="A494" s="24" t="s">
        <v>533</v>
      </c>
      <c r="B494" s="24"/>
      <c r="C494" s="24"/>
      <c r="D494" s="24"/>
      <c r="E494" s="24"/>
      <c r="F494" s="24"/>
      <c r="G494" s="24"/>
      <c r="H494" s="24"/>
    </row>
    <row r="495" spans="1:8" ht="9" thickTop="1" thickBot="1" x14ac:dyDescent="0.2"/>
    <row r="496" spans="1:8" ht="9" thickTop="1" thickBot="1" x14ac:dyDescent="0.2">
      <c r="A496" s="71" t="s">
        <v>579</v>
      </c>
      <c r="B496" s="71"/>
      <c r="C496" s="71"/>
      <c r="D496" s="71"/>
      <c r="E496" s="71"/>
      <c r="F496" s="71"/>
      <c r="G496" s="71"/>
      <c r="H496" s="71"/>
    </row>
    <row r="497" spans="1:8" ht="9" thickTop="1" thickBot="1" x14ac:dyDescent="0.2">
      <c r="A497" s="24" t="s">
        <v>514</v>
      </c>
      <c r="B497" s="26">
        <f>B482+7</f>
        <v>232</v>
      </c>
      <c r="C497" s="26">
        <f t="shared" ref="C497:H497" si="32">C482+7</f>
        <v>233</v>
      </c>
      <c r="D497" s="26">
        <f t="shared" si="32"/>
        <v>234</v>
      </c>
      <c r="E497" s="26">
        <f t="shared" si="32"/>
        <v>235</v>
      </c>
      <c r="F497" s="26">
        <f t="shared" si="32"/>
        <v>236</v>
      </c>
      <c r="G497" s="26">
        <f t="shared" si="32"/>
        <v>237</v>
      </c>
      <c r="H497" s="26">
        <f t="shared" si="32"/>
        <v>238</v>
      </c>
    </row>
    <row r="498" spans="1:8" ht="9" thickTop="1" thickBot="1" x14ac:dyDescent="0.2">
      <c r="A498" s="24" t="s">
        <v>515</v>
      </c>
      <c r="B498" s="25">
        <v>43420</v>
      </c>
      <c r="C498" s="25">
        <v>43423</v>
      </c>
      <c r="D498" s="25">
        <v>43424</v>
      </c>
      <c r="E498" s="25">
        <v>43425</v>
      </c>
      <c r="F498" s="25">
        <v>43426</v>
      </c>
      <c r="G498" s="25">
        <v>43427</v>
      </c>
      <c r="H498" s="25">
        <v>43430</v>
      </c>
    </row>
    <row r="499" spans="1:8" ht="9" thickTop="1" thickBot="1" x14ac:dyDescent="0.2">
      <c r="A499" s="24" t="s">
        <v>587</v>
      </c>
      <c r="B499" s="24"/>
      <c r="C499" s="24"/>
      <c r="D499" s="24"/>
      <c r="E499" s="24"/>
      <c r="F499" s="24"/>
      <c r="G499" s="24"/>
      <c r="H499" s="24"/>
    </row>
    <row r="500" spans="1:8" ht="9" thickTop="1" thickBot="1" x14ac:dyDescent="0.2">
      <c r="A500" s="24" t="s">
        <v>522</v>
      </c>
      <c r="B500" s="24"/>
      <c r="C500" s="24"/>
      <c r="D500" s="24"/>
      <c r="E500" s="24"/>
      <c r="F500" s="24"/>
      <c r="G500" s="24"/>
      <c r="H500" s="24"/>
    </row>
    <row r="501" spans="1:8" ht="9" thickTop="1" thickBot="1" x14ac:dyDescent="0.2">
      <c r="A501" s="24" t="s">
        <v>525</v>
      </c>
      <c r="B501" s="24"/>
      <c r="C501" s="24"/>
      <c r="D501" s="24"/>
      <c r="E501" s="24"/>
      <c r="F501" s="24"/>
      <c r="G501" s="24"/>
      <c r="H501" s="24"/>
    </row>
    <row r="502" spans="1:8" ht="9" thickTop="1" thickBot="1" x14ac:dyDescent="0.2">
      <c r="A502" s="24" t="s">
        <v>588</v>
      </c>
      <c r="B502" s="24"/>
      <c r="C502" s="24"/>
      <c r="D502" s="24"/>
      <c r="E502" s="24"/>
      <c r="F502" s="24"/>
      <c r="G502" s="24"/>
      <c r="H502" s="24"/>
    </row>
    <row r="503" spans="1:8" ht="9" thickTop="1" thickBot="1" x14ac:dyDescent="0.2">
      <c r="A503" s="24" t="s">
        <v>528</v>
      </c>
      <c r="B503" s="24"/>
      <c r="C503" s="24"/>
      <c r="D503" s="24"/>
      <c r="E503" s="24"/>
      <c r="F503" s="24"/>
      <c r="G503" s="24"/>
      <c r="H503" s="24"/>
    </row>
    <row r="504" spans="1:8" ht="9" thickTop="1" thickBot="1" x14ac:dyDescent="0.2">
      <c r="A504" s="24" t="s">
        <v>531</v>
      </c>
      <c r="B504" s="24"/>
      <c r="C504" s="24"/>
      <c r="D504" s="24"/>
      <c r="E504" s="24"/>
      <c r="F504" s="24"/>
      <c r="G504" s="24"/>
      <c r="H504" s="24"/>
    </row>
    <row r="505" spans="1:8" ht="9" thickTop="1" thickBot="1" x14ac:dyDescent="0.2">
      <c r="A505" s="24" t="s">
        <v>589</v>
      </c>
      <c r="B505" s="24"/>
      <c r="C505" s="24"/>
      <c r="D505" s="24"/>
      <c r="E505" s="24"/>
      <c r="F505" s="24"/>
      <c r="G505" s="24"/>
      <c r="H505" s="24"/>
    </row>
    <row r="506" spans="1:8" ht="9" thickTop="1" thickBot="1" x14ac:dyDescent="0.2">
      <c r="A506" s="24" t="s">
        <v>517</v>
      </c>
      <c r="B506" s="24"/>
      <c r="C506" s="24"/>
      <c r="D506" s="24"/>
      <c r="E506" s="24"/>
      <c r="F506" s="24"/>
      <c r="G506" s="24"/>
      <c r="H506" s="24"/>
    </row>
    <row r="507" spans="1:8" ht="9" thickTop="1" thickBot="1" x14ac:dyDescent="0.2">
      <c r="A507" s="24" t="s">
        <v>520</v>
      </c>
      <c r="B507" s="24"/>
      <c r="C507" s="24"/>
      <c r="D507" s="24"/>
      <c r="E507" s="24"/>
      <c r="F507" s="24"/>
      <c r="G507" s="24"/>
      <c r="H507" s="24"/>
    </row>
    <row r="508" spans="1:8" ht="9" thickTop="1" thickBot="1" x14ac:dyDescent="0.2">
      <c r="A508" s="24" t="s">
        <v>590</v>
      </c>
      <c r="B508" s="24"/>
      <c r="C508" s="24"/>
      <c r="D508" s="24"/>
      <c r="E508" s="24"/>
      <c r="F508" s="24"/>
      <c r="G508" s="24"/>
      <c r="H508" s="24"/>
    </row>
    <row r="509" spans="1:8" ht="9" thickTop="1" thickBot="1" x14ac:dyDescent="0.2">
      <c r="A509" s="24" t="s">
        <v>533</v>
      </c>
      <c r="B509" s="24"/>
      <c r="C509" s="24"/>
      <c r="D509" s="24"/>
      <c r="E509" s="24"/>
      <c r="F509" s="24"/>
      <c r="G509" s="24"/>
      <c r="H509" s="24"/>
    </row>
    <row r="510" spans="1:8" ht="9" thickTop="1" thickBot="1" x14ac:dyDescent="0.2"/>
    <row r="511" spans="1:8" ht="9" thickTop="1" thickBot="1" x14ac:dyDescent="0.2">
      <c r="A511" s="71" t="s">
        <v>579</v>
      </c>
      <c r="B511" s="71"/>
      <c r="C511" s="71"/>
      <c r="D511" s="71"/>
      <c r="E511" s="71"/>
      <c r="F511" s="71"/>
      <c r="G511" s="71"/>
      <c r="H511" s="71"/>
    </row>
    <row r="512" spans="1:8" ht="9" thickTop="1" thickBot="1" x14ac:dyDescent="0.2">
      <c r="A512" s="24" t="s">
        <v>514</v>
      </c>
      <c r="B512" s="26">
        <f>B497+7</f>
        <v>239</v>
      </c>
      <c r="C512" s="26">
        <f t="shared" ref="C512:H512" si="33">C497+7</f>
        <v>240</v>
      </c>
      <c r="D512" s="26">
        <f t="shared" si="33"/>
        <v>241</v>
      </c>
      <c r="E512" s="26">
        <f t="shared" si="33"/>
        <v>242</v>
      </c>
      <c r="F512" s="26">
        <f t="shared" si="33"/>
        <v>243</v>
      </c>
      <c r="G512" s="26">
        <f t="shared" si="33"/>
        <v>244</v>
      </c>
      <c r="H512" s="26">
        <f t="shared" si="33"/>
        <v>245</v>
      </c>
    </row>
    <row r="513" spans="1:8" ht="9" thickTop="1" thickBot="1" x14ac:dyDescent="0.2">
      <c r="A513" s="24" t="s">
        <v>515</v>
      </c>
      <c r="B513" s="25">
        <v>43431</v>
      </c>
      <c r="C513" s="25">
        <v>43432</v>
      </c>
      <c r="D513" s="25">
        <v>43433</v>
      </c>
      <c r="E513" s="25">
        <v>43434</v>
      </c>
      <c r="F513" s="25">
        <v>43437</v>
      </c>
      <c r="G513" s="25">
        <v>43438</v>
      </c>
      <c r="H513" s="25">
        <v>43439</v>
      </c>
    </row>
    <row r="514" spans="1:8" ht="9" thickTop="1" thickBot="1" x14ac:dyDescent="0.2">
      <c r="A514" s="24" t="s">
        <v>587</v>
      </c>
      <c r="B514" s="24"/>
      <c r="C514" s="24"/>
      <c r="D514" s="24"/>
      <c r="E514" s="24"/>
      <c r="F514" s="24"/>
      <c r="G514" s="24"/>
      <c r="H514" s="24"/>
    </row>
    <row r="515" spans="1:8" ht="9" thickTop="1" thickBot="1" x14ac:dyDescent="0.2">
      <c r="A515" s="24" t="s">
        <v>522</v>
      </c>
      <c r="B515" s="24"/>
      <c r="C515" s="24"/>
      <c r="D515" s="24"/>
      <c r="E515" s="24"/>
      <c r="F515" s="24"/>
      <c r="G515" s="24"/>
      <c r="H515" s="24"/>
    </row>
    <row r="516" spans="1:8" ht="9" thickTop="1" thickBot="1" x14ac:dyDescent="0.2">
      <c r="A516" s="24" t="s">
        <v>525</v>
      </c>
      <c r="B516" s="24"/>
      <c r="C516" s="24"/>
      <c r="D516" s="24"/>
      <c r="E516" s="24"/>
      <c r="F516" s="24"/>
      <c r="G516" s="24"/>
      <c r="H516" s="24"/>
    </row>
    <row r="517" spans="1:8" ht="9" thickTop="1" thickBot="1" x14ac:dyDescent="0.2">
      <c r="A517" s="24" t="s">
        <v>588</v>
      </c>
      <c r="B517" s="24"/>
      <c r="C517" s="24"/>
      <c r="D517" s="24"/>
      <c r="E517" s="24"/>
      <c r="F517" s="24"/>
      <c r="G517" s="24"/>
      <c r="H517" s="24"/>
    </row>
    <row r="518" spans="1:8" ht="9" thickTop="1" thickBot="1" x14ac:dyDescent="0.2">
      <c r="A518" s="24" t="s">
        <v>528</v>
      </c>
      <c r="B518" s="24"/>
      <c r="C518" s="24"/>
      <c r="D518" s="24"/>
      <c r="E518" s="24"/>
      <c r="F518" s="24"/>
      <c r="G518" s="24"/>
      <c r="H518" s="24"/>
    </row>
    <row r="519" spans="1:8" ht="9" thickTop="1" thickBot="1" x14ac:dyDescent="0.2">
      <c r="A519" s="24" t="s">
        <v>531</v>
      </c>
      <c r="B519" s="24"/>
      <c r="C519" s="24"/>
      <c r="D519" s="24"/>
      <c r="E519" s="24"/>
      <c r="F519" s="24"/>
      <c r="G519" s="24"/>
      <c r="H519" s="24"/>
    </row>
    <row r="520" spans="1:8" ht="9" thickTop="1" thickBot="1" x14ac:dyDescent="0.2">
      <c r="A520" s="24" t="s">
        <v>589</v>
      </c>
      <c r="B520" s="24"/>
      <c r="C520" s="24"/>
      <c r="D520" s="24"/>
      <c r="E520" s="24"/>
      <c r="F520" s="24"/>
      <c r="G520" s="24"/>
      <c r="H520" s="24"/>
    </row>
    <row r="521" spans="1:8" ht="9" thickTop="1" thickBot="1" x14ac:dyDescent="0.2">
      <c r="A521" s="24" t="s">
        <v>517</v>
      </c>
      <c r="B521" s="24"/>
      <c r="C521" s="24"/>
      <c r="D521" s="24"/>
      <c r="E521" s="24"/>
      <c r="F521" s="24"/>
      <c r="G521" s="24"/>
      <c r="H521" s="24"/>
    </row>
    <row r="522" spans="1:8" ht="9" thickTop="1" thickBot="1" x14ac:dyDescent="0.2">
      <c r="A522" s="24" t="s">
        <v>520</v>
      </c>
      <c r="B522" s="24"/>
      <c r="C522" s="24"/>
      <c r="D522" s="24"/>
      <c r="E522" s="24"/>
      <c r="F522" s="24"/>
      <c r="G522" s="24"/>
      <c r="H522" s="24"/>
    </row>
    <row r="523" spans="1:8" ht="9" thickTop="1" thickBot="1" x14ac:dyDescent="0.2">
      <c r="A523" s="24" t="s">
        <v>590</v>
      </c>
      <c r="B523" s="24"/>
      <c r="C523" s="24"/>
      <c r="D523" s="24"/>
      <c r="E523" s="24"/>
      <c r="F523" s="24"/>
      <c r="G523" s="24"/>
      <c r="H523" s="24"/>
    </row>
    <row r="524" spans="1:8" ht="9" thickTop="1" thickBot="1" x14ac:dyDescent="0.2">
      <c r="A524" s="24" t="s">
        <v>533</v>
      </c>
      <c r="B524" s="24"/>
      <c r="C524" s="24"/>
      <c r="D524" s="24"/>
      <c r="E524" s="24"/>
      <c r="F524" s="24"/>
      <c r="G524" s="24"/>
      <c r="H524" s="24"/>
    </row>
    <row r="525" spans="1:8" ht="9" thickTop="1" thickBot="1" x14ac:dyDescent="0.2"/>
    <row r="526" spans="1:8" ht="9" thickTop="1" thickBot="1" x14ac:dyDescent="0.2">
      <c r="A526" s="71" t="s">
        <v>579</v>
      </c>
      <c r="B526" s="71"/>
      <c r="C526" s="71"/>
      <c r="D526" s="71"/>
      <c r="E526" s="71"/>
      <c r="F526" s="71"/>
      <c r="G526" s="71"/>
      <c r="H526" s="71"/>
    </row>
    <row r="527" spans="1:8" ht="9" thickTop="1" thickBot="1" x14ac:dyDescent="0.2">
      <c r="A527" s="24" t="s">
        <v>514</v>
      </c>
      <c r="B527" s="26">
        <f>B512+7</f>
        <v>246</v>
      </c>
      <c r="C527" s="26">
        <f t="shared" ref="C527:H527" si="34">C512+7</f>
        <v>247</v>
      </c>
      <c r="D527" s="26">
        <f t="shared" si="34"/>
        <v>248</v>
      </c>
      <c r="E527" s="26">
        <f t="shared" si="34"/>
        <v>249</v>
      </c>
      <c r="F527" s="26">
        <f t="shared" si="34"/>
        <v>250</v>
      </c>
      <c r="G527" s="26">
        <f t="shared" si="34"/>
        <v>251</v>
      </c>
      <c r="H527" s="26">
        <f t="shared" si="34"/>
        <v>252</v>
      </c>
    </row>
    <row r="528" spans="1:8" ht="9" thickTop="1" thickBot="1" x14ac:dyDescent="0.2">
      <c r="A528" s="24" t="s">
        <v>515</v>
      </c>
      <c r="B528" s="25">
        <v>43440</v>
      </c>
      <c r="C528" s="25">
        <v>43441</v>
      </c>
      <c r="D528" s="25">
        <v>43444</v>
      </c>
      <c r="E528" s="25">
        <v>43445</v>
      </c>
      <c r="F528" s="25">
        <v>43446</v>
      </c>
      <c r="G528" s="25">
        <v>43447</v>
      </c>
      <c r="H528" s="25">
        <v>43448</v>
      </c>
    </row>
    <row r="529" spans="1:8" ht="9" thickTop="1" thickBot="1" x14ac:dyDescent="0.2">
      <c r="A529" s="24" t="s">
        <v>587</v>
      </c>
      <c r="B529" s="31"/>
      <c r="C529" s="24"/>
      <c r="D529" s="24"/>
      <c r="E529" s="24"/>
      <c r="F529" s="24"/>
      <c r="G529" s="24"/>
      <c r="H529" s="24"/>
    </row>
    <row r="530" spans="1:8" ht="9" thickTop="1" thickBot="1" x14ac:dyDescent="0.2">
      <c r="A530" s="24" t="s">
        <v>522</v>
      </c>
      <c r="B530" s="24"/>
      <c r="C530" s="24"/>
      <c r="D530" s="24"/>
      <c r="E530" s="24"/>
      <c r="F530" s="24"/>
      <c r="G530" s="24"/>
      <c r="H530" s="24"/>
    </row>
    <row r="531" spans="1:8" ht="9" thickTop="1" thickBot="1" x14ac:dyDescent="0.2">
      <c r="A531" s="24" t="s">
        <v>525</v>
      </c>
      <c r="B531" s="24"/>
      <c r="C531" s="24"/>
      <c r="D531" s="24"/>
      <c r="E531" s="24"/>
      <c r="F531" s="24"/>
      <c r="G531" s="24"/>
      <c r="H531" s="24"/>
    </row>
    <row r="532" spans="1:8" ht="9" thickTop="1" thickBot="1" x14ac:dyDescent="0.2">
      <c r="A532" s="24" t="s">
        <v>588</v>
      </c>
      <c r="B532" s="24"/>
      <c r="C532" s="24"/>
      <c r="D532" s="24"/>
      <c r="E532" s="24"/>
      <c r="F532" s="24"/>
      <c r="G532" s="24"/>
      <c r="H532" s="24"/>
    </row>
    <row r="533" spans="1:8" ht="9" thickTop="1" thickBot="1" x14ac:dyDescent="0.2">
      <c r="A533" s="24" t="s">
        <v>528</v>
      </c>
      <c r="B533" s="24"/>
      <c r="C533" s="24"/>
      <c r="D533" s="24"/>
      <c r="E533" s="24"/>
      <c r="F533" s="24"/>
      <c r="G533" s="24"/>
      <c r="H533" s="24"/>
    </row>
    <row r="534" spans="1:8" ht="9" thickTop="1" thickBot="1" x14ac:dyDescent="0.2">
      <c r="A534" s="24" t="s">
        <v>531</v>
      </c>
      <c r="B534" s="24"/>
      <c r="C534" s="24"/>
      <c r="D534" s="24"/>
      <c r="E534" s="24"/>
      <c r="F534" s="24"/>
      <c r="G534" s="24"/>
      <c r="H534" s="24"/>
    </row>
    <row r="535" spans="1:8" ht="9" thickTop="1" thickBot="1" x14ac:dyDescent="0.2">
      <c r="A535" s="24" t="s">
        <v>589</v>
      </c>
      <c r="B535" s="24"/>
      <c r="C535" s="24"/>
      <c r="D535" s="24"/>
      <c r="E535" s="24"/>
      <c r="F535" s="24"/>
      <c r="G535" s="24"/>
      <c r="H535" s="24"/>
    </row>
    <row r="536" spans="1:8" ht="9" thickTop="1" thickBot="1" x14ac:dyDescent="0.2">
      <c r="A536" s="24" t="s">
        <v>517</v>
      </c>
      <c r="B536" s="24"/>
      <c r="C536" s="24"/>
      <c r="D536" s="24"/>
      <c r="E536" s="24"/>
      <c r="F536" s="24"/>
      <c r="G536" s="24"/>
      <c r="H536" s="24"/>
    </row>
    <row r="537" spans="1:8" ht="9" thickTop="1" thickBot="1" x14ac:dyDescent="0.2">
      <c r="A537" s="24" t="s">
        <v>520</v>
      </c>
      <c r="B537" s="24"/>
      <c r="C537" s="24"/>
      <c r="D537" s="24"/>
      <c r="E537" s="24"/>
      <c r="F537" s="24"/>
      <c r="G537" s="24"/>
      <c r="H537" s="24"/>
    </row>
    <row r="538" spans="1:8" ht="9" thickTop="1" thickBot="1" x14ac:dyDescent="0.2">
      <c r="A538" s="24" t="s">
        <v>590</v>
      </c>
      <c r="B538" s="24"/>
      <c r="C538" s="24"/>
      <c r="D538" s="24"/>
      <c r="E538" s="24"/>
      <c r="F538" s="24"/>
      <c r="G538" s="24"/>
      <c r="H538" s="24"/>
    </row>
    <row r="539" spans="1:8" ht="9" thickTop="1" thickBot="1" x14ac:dyDescent="0.2">
      <c r="A539" s="24" t="s">
        <v>533</v>
      </c>
      <c r="B539" s="24"/>
      <c r="C539" s="24"/>
      <c r="D539" s="24"/>
      <c r="E539" s="24"/>
      <c r="F539" s="24"/>
      <c r="G539" s="24"/>
      <c r="H539" s="24"/>
    </row>
    <row r="540" spans="1:8" ht="9" thickTop="1" thickBot="1" x14ac:dyDescent="0.2"/>
    <row r="541" spans="1:8" ht="9" thickTop="1" thickBot="1" x14ac:dyDescent="0.2">
      <c r="A541" s="71" t="s">
        <v>579</v>
      </c>
      <c r="B541" s="71"/>
      <c r="C541" s="71"/>
      <c r="D541" s="71"/>
      <c r="E541" s="71"/>
      <c r="F541" s="71"/>
      <c r="G541" s="71"/>
      <c r="H541" s="71"/>
    </row>
    <row r="542" spans="1:8" ht="9" thickTop="1" thickBot="1" x14ac:dyDescent="0.2">
      <c r="A542" s="24" t="s">
        <v>514</v>
      </c>
      <c r="B542" s="26">
        <f>B527+7</f>
        <v>253</v>
      </c>
      <c r="C542" s="26">
        <f t="shared" ref="C542:H542" si="35">C527+7</f>
        <v>254</v>
      </c>
      <c r="D542" s="26">
        <f t="shared" si="35"/>
        <v>255</v>
      </c>
      <c r="E542" s="26">
        <f t="shared" si="35"/>
        <v>256</v>
      </c>
      <c r="F542" s="26">
        <f t="shared" si="35"/>
        <v>257</v>
      </c>
      <c r="G542" s="26">
        <f t="shared" si="35"/>
        <v>258</v>
      </c>
      <c r="H542" s="26">
        <f t="shared" si="35"/>
        <v>259</v>
      </c>
    </row>
    <row r="543" spans="1:8" ht="9" thickTop="1" thickBot="1" x14ac:dyDescent="0.2">
      <c r="A543" s="24" t="s">
        <v>515</v>
      </c>
      <c r="B543" s="25">
        <v>43451</v>
      </c>
      <c r="C543" s="25">
        <v>43452</v>
      </c>
      <c r="D543" s="25">
        <v>43453</v>
      </c>
      <c r="E543" s="25">
        <v>43454</v>
      </c>
      <c r="F543" s="25">
        <v>43455</v>
      </c>
      <c r="G543" s="25">
        <v>43458</v>
      </c>
      <c r="H543" s="25">
        <v>43459</v>
      </c>
    </row>
    <row r="544" spans="1:8" ht="9" thickTop="1" thickBot="1" x14ac:dyDescent="0.2">
      <c r="A544" s="24" t="s">
        <v>587</v>
      </c>
      <c r="B544" s="24"/>
      <c r="C544" s="24"/>
      <c r="D544" s="24"/>
      <c r="E544" s="24"/>
      <c r="F544" s="24"/>
      <c r="G544" s="24"/>
      <c r="H544" s="24"/>
    </row>
    <row r="545" spans="1:8" ht="9" thickTop="1" thickBot="1" x14ac:dyDescent="0.2">
      <c r="A545" s="24" t="s">
        <v>522</v>
      </c>
      <c r="B545" s="24"/>
      <c r="C545" s="24"/>
      <c r="D545" s="24"/>
      <c r="E545" s="24"/>
      <c r="F545" s="24"/>
      <c r="G545" s="24"/>
      <c r="H545" s="24"/>
    </row>
    <row r="546" spans="1:8" ht="9" thickTop="1" thickBot="1" x14ac:dyDescent="0.2">
      <c r="A546" s="24" t="s">
        <v>525</v>
      </c>
      <c r="B546" s="24"/>
      <c r="C546" s="24"/>
      <c r="D546" s="24"/>
      <c r="E546" s="24"/>
      <c r="F546" s="24"/>
      <c r="G546" s="24"/>
      <c r="H546" s="24"/>
    </row>
    <row r="547" spans="1:8" ht="9" thickTop="1" thickBot="1" x14ac:dyDescent="0.2">
      <c r="A547" s="24" t="s">
        <v>588</v>
      </c>
      <c r="B547" s="24"/>
      <c r="C547" s="24"/>
      <c r="D547" s="24"/>
      <c r="E547" s="24"/>
      <c r="F547" s="24"/>
      <c r="G547" s="24"/>
      <c r="H547" s="24"/>
    </row>
    <row r="548" spans="1:8" ht="9" thickTop="1" thickBot="1" x14ac:dyDescent="0.2">
      <c r="A548" s="24" t="s">
        <v>528</v>
      </c>
      <c r="B548" s="24"/>
      <c r="C548" s="24"/>
      <c r="D548" s="24"/>
      <c r="E548" s="24"/>
      <c r="F548" s="24"/>
      <c r="G548" s="24"/>
      <c r="H548" s="24"/>
    </row>
    <row r="549" spans="1:8" ht="9" thickTop="1" thickBot="1" x14ac:dyDescent="0.2">
      <c r="A549" s="24" t="s">
        <v>531</v>
      </c>
      <c r="B549" s="24"/>
      <c r="C549" s="24"/>
      <c r="D549" s="24"/>
      <c r="E549" s="24"/>
      <c r="F549" s="24"/>
      <c r="G549" s="24"/>
      <c r="H549" s="24"/>
    </row>
    <row r="550" spans="1:8" ht="9" thickTop="1" thickBot="1" x14ac:dyDescent="0.2">
      <c r="A550" s="24" t="s">
        <v>589</v>
      </c>
      <c r="B550" s="24"/>
      <c r="C550" s="24"/>
      <c r="D550" s="24"/>
      <c r="E550" s="24"/>
      <c r="F550" s="24"/>
      <c r="G550" s="24"/>
      <c r="H550" s="24"/>
    </row>
    <row r="551" spans="1:8" ht="9" thickTop="1" thickBot="1" x14ac:dyDescent="0.2">
      <c r="A551" s="24" t="s">
        <v>517</v>
      </c>
      <c r="B551" s="24"/>
      <c r="C551" s="24"/>
      <c r="D551" s="24"/>
      <c r="E551" s="24"/>
      <c r="F551" s="24"/>
      <c r="G551" s="24"/>
      <c r="H551" s="24"/>
    </row>
    <row r="552" spans="1:8" ht="9" thickTop="1" thickBot="1" x14ac:dyDescent="0.2">
      <c r="A552" s="24" t="s">
        <v>520</v>
      </c>
      <c r="B552" s="24"/>
      <c r="C552" s="24"/>
      <c r="D552" s="24"/>
      <c r="E552" s="24"/>
      <c r="F552" s="24"/>
      <c r="G552" s="24"/>
      <c r="H552" s="24"/>
    </row>
    <row r="553" spans="1:8" ht="9" thickTop="1" thickBot="1" x14ac:dyDescent="0.2">
      <c r="A553" s="24" t="s">
        <v>590</v>
      </c>
      <c r="B553" s="24"/>
      <c r="C553" s="24"/>
      <c r="D553" s="24"/>
      <c r="E553" s="24"/>
      <c r="F553" s="24"/>
      <c r="G553" s="24"/>
      <c r="H553" s="24"/>
    </row>
    <row r="554" spans="1:8" ht="9" thickTop="1" thickBot="1" x14ac:dyDescent="0.2">
      <c r="A554" s="24" t="s">
        <v>533</v>
      </c>
      <c r="B554" s="24"/>
      <c r="C554" s="24"/>
      <c r="D554" s="24"/>
      <c r="E554" s="24"/>
      <c r="F554" s="24"/>
      <c r="G554" s="24"/>
      <c r="H554" s="24"/>
    </row>
    <row r="555" spans="1:8" ht="9" thickTop="1" thickBot="1" x14ac:dyDescent="0.2"/>
    <row r="556" spans="1:8" ht="9" customHeight="1" thickTop="1" thickBot="1" x14ac:dyDescent="0.2">
      <c r="A556" s="72" t="s">
        <v>579</v>
      </c>
      <c r="B556" s="73"/>
      <c r="C556" s="73"/>
      <c r="D556" s="73"/>
      <c r="E556" s="74"/>
      <c r="F556" s="30"/>
      <c r="G556" s="30"/>
      <c r="H556" s="30"/>
    </row>
    <row r="557" spans="1:8" ht="9" thickTop="1" thickBot="1" x14ac:dyDescent="0.2">
      <c r="A557" s="24" t="s">
        <v>514</v>
      </c>
      <c r="B557" s="26">
        <f>B542+7</f>
        <v>260</v>
      </c>
      <c r="C557" s="26">
        <f t="shared" ref="C557:D557" si="36">C542+7</f>
        <v>261</v>
      </c>
      <c r="D557" s="26">
        <f t="shared" si="36"/>
        <v>262</v>
      </c>
      <c r="E557" s="26">
        <f t="shared" ref="E557" si="37">E542+7</f>
        <v>263</v>
      </c>
      <c r="F557" s="27"/>
      <c r="G557" s="27"/>
      <c r="H557" s="27"/>
    </row>
    <row r="558" spans="1:8" ht="9" thickTop="1" thickBot="1" x14ac:dyDescent="0.2">
      <c r="A558" s="24" t="s">
        <v>515</v>
      </c>
      <c r="B558" s="25">
        <v>43460</v>
      </c>
      <c r="C558" s="25">
        <v>43461</v>
      </c>
      <c r="D558" s="25">
        <v>43462</v>
      </c>
      <c r="E558" s="25">
        <v>43465</v>
      </c>
      <c r="F558" s="28"/>
      <c r="G558" s="28"/>
      <c r="H558" s="28"/>
    </row>
    <row r="559" spans="1:8" ht="9" thickTop="1" thickBot="1" x14ac:dyDescent="0.2">
      <c r="A559" s="24" t="s">
        <v>587</v>
      </c>
      <c r="B559" s="24"/>
      <c r="C559" s="24"/>
      <c r="D559" s="24"/>
      <c r="E559" s="24"/>
      <c r="F559" s="29"/>
      <c r="G559" s="29"/>
      <c r="H559" s="29"/>
    </row>
    <row r="560" spans="1:8" ht="9" thickTop="1" thickBot="1" x14ac:dyDescent="0.2">
      <c r="A560" s="24" t="s">
        <v>522</v>
      </c>
      <c r="B560" s="24"/>
      <c r="C560" s="24"/>
      <c r="D560" s="24"/>
      <c r="E560" s="24"/>
      <c r="F560" s="29"/>
      <c r="G560" s="29"/>
      <c r="H560" s="29"/>
    </row>
    <row r="561" spans="1:8" ht="9" thickTop="1" thickBot="1" x14ac:dyDescent="0.2">
      <c r="A561" s="24" t="s">
        <v>525</v>
      </c>
      <c r="B561" s="24"/>
      <c r="C561" s="24"/>
      <c r="D561" s="24"/>
      <c r="E561" s="24"/>
      <c r="F561" s="29"/>
      <c r="G561" s="29"/>
      <c r="H561" s="29"/>
    </row>
    <row r="562" spans="1:8" ht="9" thickTop="1" thickBot="1" x14ac:dyDescent="0.2">
      <c r="A562" s="24" t="s">
        <v>588</v>
      </c>
      <c r="B562" s="24"/>
      <c r="C562" s="24"/>
      <c r="D562" s="24"/>
      <c r="E562" s="24"/>
      <c r="F562" s="29"/>
      <c r="G562" s="29"/>
      <c r="H562" s="29"/>
    </row>
    <row r="563" spans="1:8" ht="9" customHeight="1" thickTop="1" thickBot="1" x14ac:dyDescent="0.2">
      <c r="A563" s="24" t="s">
        <v>528</v>
      </c>
      <c r="B563" s="24"/>
      <c r="C563" s="24"/>
      <c r="D563" s="24"/>
      <c r="E563" s="24"/>
      <c r="F563" s="29"/>
      <c r="G563" s="29"/>
      <c r="H563" s="29"/>
    </row>
    <row r="564" spans="1:8" ht="9" thickTop="1" thickBot="1" x14ac:dyDescent="0.2">
      <c r="A564" s="24" t="s">
        <v>531</v>
      </c>
      <c r="B564" s="24"/>
      <c r="C564" s="24"/>
      <c r="D564" s="24"/>
      <c r="E564" s="24"/>
      <c r="F564" s="29"/>
      <c r="G564" s="29"/>
      <c r="H564" s="29"/>
    </row>
    <row r="565" spans="1:8" ht="9" thickTop="1" thickBot="1" x14ac:dyDescent="0.2">
      <c r="A565" s="24" t="s">
        <v>589</v>
      </c>
      <c r="B565" s="24"/>
      <c r="C565" s="24"/>
      <c r="D565" s="24"/>
      <c r="E565" s="24"/>
      <c r="F565" s="29"/>
      <c r="G565" s="29"/>
      <c r="H565" s="29"/>
    </row>
    <row r="566" spans="1:8" ht="9" thickTop="1" thickBot="1" x14ac:dyDescent="0.2">
      <c r="A566" s="24" t="s">
        <v>517</v>
      </c>
      <c r="B566" s="24"/>
      <c r="C566" s="24"/>
      <c r="D566" s="24"/>
      <c r="E566" s="24"/>
      <c r="F566" s="29"/>
      <c r="G566" s="29"/>
      <c r="H566" s="29"/>
    </row>
    <row r="567" spans="1:8" ht="9" thickTop="1" thickBot="1" x14ac:dyDescent="0.2">
      <c r="A567" s="24" t="s">
        <v>520</v>
      </c>
      <c r="B567" s="24"/>
      <c r="C567" s="24"/>
      <c r="D567" s="24"/>
      <c r="E567" s="24"/>
      <c r="F567" s="29"/>
      <c r="G567" s="29"/>
      <c r="H567" s="29"/>
    </row>
    <row r="568" spans="1:8" ht="9" thickTop="1" thickBot="1" x14ac:dyDescent="0.2">
      <c r="A568" s="24" t="s">
        <v>590</v>
      </c>
      <c r="B568" s="24"/>
      <c r="C568" s="24"/>
      <c r="D568" s="24"/>
      <c r="E568" s="24"/>
      <c r="F568" s="29"/>
      <c r="G568" s="29"/>
      <c r="H568" s="29"/>
    </row>
    <row r="569" spans="1:8" ht="9" thickTop="1" thickBot="1" x14ac:dyDescent="0.2">
      <c r="A569" s="24" t="s">
        <v>533</v>
      </c>
      <c r="B569" s="24"/>
      <c r="C569" s="24"/>
      <c r="D569" s="24"/>
      <c r="E569" s="24"/>
      <c r="F569" s="29"/>
      <c r="G569" s="29"/>
      <c r="H569" s="29"/>
    </row>
    <row r="570" spans="1:8" ht="8.4" thickTop="1" x14ac:dyDescent="0.15">
      <c r="E570" s="29"/>
      <c r="F570" s="29"/>
      <c r="G570" s="29"/>
      <c r="H570" s="29"/>
    </row>
    <row r="571" spans="1:8" x14ac:dyDescent="0.15">
      <c r="E571" s="29"/>
      <c r="F571" s="29"/>
      <c r="G571" s="29"/>
      <c r="H571" s="29"/>
    </row>
    <row r="572" spans="1:8" x14ac:dyDescent="0.15">
      <c r="E572" s="29"/>
      <c r="F572" s="29"/>
      <c r="G572" s="29"/>
      <c r="H572" s="29"/>
    </row>
    <row r="573" spans="1:8" x14ac:dyDescent="0.15">
      <c r="E573" s="29"/>
      <c r="F573" s="29"/>
      <c r="G573" s="29"/>
      <c r="H573" s="29"/>
    </row>
    <row r="574" spans="1:8" x14ac:dyDescent="0.15">
      <c r="E574" s="29"/>
      <c r="F574" s="29"/>
      <c r="G574" s="29"/>
      <c r="H574" s="29"/>
    </row>
    <row r="575" spans="1:8" x14ac:dyDescent="0.15">
      <c r="E575" s="29"/>
      <c r="F575" s="29"/>
      <c r="G575" s="29"/>
      <c r="H575" s="29"/>
    </row>
    <row r="576" spans="1:8" x14ac:dyDescent="0.15">
      <c r="E576" s="29"/>
      <c r="F576" s="29"/>
      <c r="G576" s="29"/>
      <c r="H576" s="29"/>
    </row>
    <row r="577" spans="5:8" x14ac:dyDescent="0.15">
      <c r="E577" s="29"/>
      <c r="F577" s="29"/>
      <c r="G577" s="29"/>
      <c r="H577" s="29"/>
    </row>
    <row r="578" spans="5:8" x14ac:dyDescent="0.15">
      <c r="E578" s="29"/>
      <c r="F578" s="29"/>
      <c r="G578" s="29"/>
      <c r="H578" s="29"/>
    </row>
    <row r="579" spans="5:8" x14ac:dyDescent="0.15">
      <c r="E579" s="29"/>
      <c r="F579" s="29"/>
      <c r="G579" s="29"/>
      <c r="H579" s="29"/>
    </row>
    <row r="580" spans="5:8" x14ac:dyDescent="0.15">
      <c r="E580" s="29"/>
      <c r="F580" s="29"/>
      <c r="G580" s="29"/>
      <c r="H580" s="29"/>
    </row>
    <row r="581" spans="5:8" x14ac:dyDescent="0.15">
      <c r="E581" s="29"/>
      <c r="F581" s="29"/>
      <c r="G581" s="29"/>
      <c r="H581" s="29"/>
    </row>
    <row r="582" spans="5:8" x14ac:dyDescent="0.15">
      <c r="E582" s="29"/>
      <c r="F582" s="29"/>
      <c r="G582" s="29"/>
      <c r="H582" s="29"/>
    </row>
    <row r="583" spans="5:8" x14ac:dyDescent="0.15">
      <c r="E583" s="29"/>
      <c r="F583" s="29"/>
      <c r="G583" s="29"/>
      <c r="H583" s="29"/>
    </row>
    <row r="584" spans="5:8" x14ac:dyDescent="0.15">
      <c r="E584" s="29"/>
      <c r="F584" s="29"/>
      <c r="G584" s="29"/>
      <c r="H584" s="29"/>
    </row>
    <row r="585" spans="5:8" x14ac:dyDescent="0.15">
      <c r="E585" s="29"/>
      <c r="F585" s="29"/>
      <c r="G585" s="29"/>
      <c r="H585" s="29"/>
    </row>
    <row r="586" spans="5:8" x14ac:dyDescent="0.15">
      <c r="E586" s="29"/>
      <c r="F586" s="29"/>
      <c r="G586" s="29"/>
      <c r="H586" s="29"/>
    </row>
  </sheetData>
  <mergeCells count="38">
    <mergeCell ref="A556:E556"/>
    <mergeCell ref="A541:H541"/>
    <mergeCell ref="A466:H466"/>
    <mergeCell ref="A481:H481"/>
    <mergeCell ref="A496:H496"/>
    <mergeCell ref="A511:H511"/>
    <mergeCell ref="A526:H526"/>
    <mergeCell ref="A376:H376"/>
    <mergeCell ref="A391:H391"/>
    <mergeCell ref="A406:H406"/>
    <mergeCell ref="A436:H436"/>
    <mergeCell ref="A451:H451"/>
    <mergeCell ref="A421:H421"/>
    <mergeCell ref="A1:H1"/>
    <mergeCell ref="A121:H121"/>
    <mergeCell ref="A136:H136"/>
    <mergeCell ref="A151:H151"/>
    <mergeCell ref="A166:H166"/>
    <mergeCell ref="A16:H16"/>
    <mergeCell ref="A31:H31"/>
    <mergeCell ref="A46:H46"/>
    <mergeCell ref="A76:H76"/>
    <mergeCell ref="A91:H91"/>
    <mergeCell ref="A241:H241"/>
    <mergeCell ref="A256:H256"/>
    <mergeCell ref="A271:H271"/>
    <mergeCell ref="A286:H286"/>
    <mergeCell ref="A61:H61"/>
    <mergeCell ref="A106:H106"/>
    <mergeCell ref="A181:H181"/>
    <mergeCell ref="A196:H196"/>
    <mergeCell ref="A211:H211"/>
    <mergeCell ref="A226:H226"/>
    <mergeCell ref="A301:H301"/>
    <mergeCell ref="A361:H361"/>
    <mergeCell ref="A316:H316"/>
    <mergeCell ref="A331:H331"/>
    <mergeCell ref="A346:H346"/>
  </mergeCells>
  <printOptions verticalCentered="1"/>
  <pageMargins left="0" right="0" top="0" bottom="0" header="0" footer="0"/>
  <pageSetup paperSize="9" orientation="landscape" r:id="rId1"/>
  <headerFooter>
    <oddFooter>&amp;C&amp;P/&amp;N</oddFooter>
  </headerFooter>
  <rowBreaks count="9" manualBreakCount="9">
    <brk id="60" max="7" man="1"/>
    <brk id="120" max="7" man="1"/>
    <brk id="180" max="7" man="1"/>
    <brk id="240" max="7" man="1"/>
    <brk id="300" max="7" man="1"/>
    <brk id="360" max="7" man="1"/>
    <brk id="420" max="7" man="1"/>
    <brk id="480" max="7" man="1"/>
    <brk id="540" max="7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ropositionMenusJournaliers"/>
  <dimension ref="A1:H954"/>
  <sheetViews>
    <sheetView workbookViewId="0">
      <selection sqref="A1:H1"/>
    </sheetView>
  </sheetViews>
  <sheetFormatPr baseColWidth="10" defaultColWidth="11.07421875" defaultRowHeight="7.8" x14ac:dyDescent="0.15"/>
  <cols>
    <col min="1" max="1" width="11.07421875" style="23"/>
    <col min="2" max="8" width="13.07421875" style="23" customWidth="1"/>
    <col min="9" max="16384" width="11.07421875" style="23"/>
  </cols>
  <sheetData>
    <row r="1" spans="1:8" ht="9.75" thickTop="1" thickBot="1" x14ac:dyDescent="0.2">
      <c r="A1" s="71" t="s">
        <v>591</v>
      </c>
      <c r="B1" s="71"/>
      <c r="C1" s="71"/>
      <c r="D1" s="71"/>
      <c r="E1" s="71"/>
      <c r="F1" s="71"/>
      <c r="G1" s="71"/>
      <c r="H1" s="71"/>
    </row>
    <row r="2" spans="1:8" ht="9" thickTop="1" thickBot="1" x14ac:dyDescent="0.2">
      <c r="A2" s="24" t="s">
        <v>514</v>
      </c>
      <c r="B2" s="26" t="s">
        <v>580</v>
      </c>
      <c r="C2" s="26" t="s">
        <v>581</v>
      </c>
      <c r="D2" s="26" t="s">
        <v>582</v>
      </c>
      <c r="E2" s="26" t="s">
        <v>583</v>
      </c>
      <c r="F2" s="26" t="s">
        <v>584</v>
      </c>
      <c r="G2" s="26" t="s">
        <v>585</v>
      </c>
      <c r="H2" s="26" t="s">
        <v>586</v>
      </c>
    </row>
    <row r="3" spans="1:8" ht="9.75" thickTop="1" thickBot="1" x14ac:dyDescent="0.2">
      <c r="A3" s="24" t="s">
        <v>515</v>
      </c>
      <c r="B3" s="25">
        <v>43101</v>
      </c>
      <c r="C3" s="25">
        <v>43102</v>
      </c>
      <c r="D3" s="25">
        <v>43103</v>
      </c>
      <c r="E3" s="25">
        <v>43104</v>
      </c>
      <c r="F3" s="25">
        <v>43105</v>
      </c>
      <c r="G3" s="25">
        <v>43106</v>
      </c>
      <c r="H3" s="25">
        <v>43107</v>
      </c>
    </row>
    <row r="4" spans="1:8" ht="9" thickTop="1" thickBot="1" x14ac:dyDescent="0.2">
      <c r="A4" s="24" t="s">
        <v>587</v>
      </c>
      <c r="B4" s="24"/>
      <c r="C4" s="24"/>
      <c r="D4" s="24"/>
      <c r="E4" s="24"/>
      <c r="F4" s="24"/>
      <c r="G4" s="24"/>
      <c r="H4" s="24"/>
    </row>
    <row r="5" spans="1:8" ht="9" thickTop="1" thickBot="1" x14ac:dyDescent="0.2">
      <c r="A5" s="24" t="s">
        <v>522</v>
      </c>
      <c r="B5" s="24"/>
      <c r="C5" s="24"/>
      <c r="D5" s="24"/>
      <c r="E5" s="24"/>
      <c r="F5" s="24"/>
      <c r="G5" s="24"/>
      <c r="H5" s="24"/>
    </row>
    <row r="6" spans="1:8" ht="9" thickTop="1" thickBot="1" x14ac:dyDescent="0.2">
      <c r="A6" s="24" t="s">
        <v>525</v>
      </c>
      <c r="B6" s="24"/>
      <c r="C6" s="24"/>
      <c r="D6" s="24"/>
      <c r="E6" s="24"/>
      <c r="F6" s="24"/>
      <c r="G6" s="24"/>
      <c r="H6" s="24"/>
    </row>
    <row r="7" spans="1:8" ht="9" thickTop="1" thickBot="1" x14ac:dyDescent="0.2">
      <c r="A7" s="24" t="s">
        <v>201</v>
      </c>
      <c r="B7" s="24"/>
      <c r="C7" s="24"/>
      <c r="D7" s="24"/>
      <c r="E7" s="24"/>
      <c r="F7" s="24"/>
      <c r="G7" s="24"/>
      <c r="H7" s="24"/>
    </row>
    <row r="8" spans="1:8" ht="9" thickTop="1" thickBot="1" x14ac:dyDescent="0.2">
      <c r="A8" s="24" t="s">
        <v>6</v>
      </c>
      <c r="B8" s="24"/>
      <c r="C8" s="24"/>
      <c r="D8" s="24"/>
      <c r="E8" s="24"/>
      <c r="F8" s="24"/>
      <c r="G8" s="24"/>
      <c r="H8" s="24"/>
    </row>
    <row r="9" spans="1:8" ht="9" thickTop="1" thickBot="1" x14ac:dyDescent="0.2">
      <c r="A9" s="24" t="s">
        <v>526</v>
      </c>
      <c r="B9" s="24"/>
      <c r="C9" s="24"/>
      <c r="D9" s="24"/>
      <c r="E9" s="24"/>
      <c r="F9" s="24"/>
      <c r="G9" s="24"/>
      <c r="H9" s="24"/>
    </row>
    <row r="10" spans="1:8" ht="9" thickTop="1" thickBot="1" x14ac:dyDescent="0.2">
      <c r="A10" s="24" t="s">
        <v>588</v>
      </c>
      <c r="B10" s="24"/>
      <c r="C10" s="24"/>
      <c r="D10" s="24"/>
      <c r="E10" s="24"/>
      <c r="F10" s="24"/>
      <c r="G10" s="24"/>
      <c r="H10" s="24"/>
    </row>
    <row r="11" spans="1:8" ht="9.75" thickTop="1" thickBot="1" x14ac:dyDescent="0.2">
      <c r="A11" s="24" t="s">
        <v>528</v>
      </c>
      <c r="B11" s="24"/>
      <c r="C11" s="24"/>
      <c r="D11" s="24"/>
      <c r="E11" s="24"/>
      <c r="F11" s="24"/>
      <c r="G11" s="24"/>
      <c r="H11" s="24"/>
    </row>
    <row r="12" spans="1:8" ht="9" thickTop="1" thickBot="1" x14ac:dyDescent="0.2">
      <c r="A12" s="24" t="s">
        <v>531</v>
      </c>
      <c r="B12" s="24"/>
      <c r="C12" s="24"/>
      <c r="D12" s="24"/>
      <c r="E12" s="24"/>
      <c r="F12" s="24"/>
      <c r="G12" s="24"/>
      <c r="H12" s="24"/>
    </row>
    <row r="13" spans="1:8" ht="9" thickTop="1" thickBot="1" x14ac:dyDescent="0.2">
      <c r="A13" s="24" t="s">
        <v>589</v>
      </c>
      <c r="B13" s="24"/>
      <c r="C13" s="24"/>
      <c r="D13" s="24"/>
      <c r="E13" s="24"/>
      <c r="F13" s="24"/>
      <c r="G13" s="24"/>
      <c r="H13" s="24"/>
    </row>
    <row r="14" spans="1:8" ht="9.75" thickTop="1" thickBot="1" x14ac:dyDescent="0.2">
      <c r="A14" s="24" t="s">
        <v>517</v>
      </c>
      <c r="B14" s="24"/>
      <c r="C14" s="24"/>
      <c r="D14" s="24"/>
      <c r="E14" s="24"/>
      <c r="F14" s="24"/>
      <c r="G14" s="24"/>
      <c r="H14" s="24"/>
    </row>
    <row r="15" spans="1:8" ht="9" thickTop="1" thickBot="1" x14ac:dyDescent="0.2">
      <c r="A15" s="24" t="s">
        <v>520</v>
      </c>
      <c r="B15" s="24"/>
      <c r="C15" s="24"/>
      <c r="D15" s="24"/>
      <c r="E15" s="24"/>
      <c r="F15" s="24"/>
      <c r="G15" s="24"/>
      <c r="H15" s="24"/>
    </row>
    <row r="16" spans="1:8" ht="9" thickTop="1" thickBot="1" x14ac:dyDescent="0.2">
      <c r="A16" s="24" t="s">
        <v>590</v>
      </c>
      <c r="B16" s="24"/>
      <c r="C16" s="24"/>
      <c r="D16" s="24"/>
      <c r="E16" s="24"/>
      <c r="F16" s="24"/>
      <c r="G16" s="24"/>
      <c r="H16" s="24"/>
    </row>
    <row r="17" spans="1:8" ht="7.95" customHeight="1" thickTop="1" thickBot="1" x14ac:dyDescent="0.2">
      <c r="A17" s="24" t="s">
        <v>533</v>
      </c>
      <c r="B17" s="24"/>
      <c r="C17" s="24"/>
      <c r="D17" s="24"/>
      <c r="E17" s="24"/>
      <c r="F17" s="24"/>
      <c r="G17" s="24"/>
      <c r="H17" s="24"/>
    </row>
    <row r="18" spans="1:8" ht="9.75" thickTop="1" thickBot="1" x14ac:dyDescent="0.2"/>
    <row r="19" spans="1:8" ht="9.75" thickTop="1" thickBot="1" x14ac:dyDescent="0.2">
      <c r="A19" s="71" t="s">
        <v>591</v>
      </c>
      <c r="B19" s="71"/>
      <c r="C19" s="71"/>
      <c r="D19" s="71"/>
      <c r="E19" s="71"/>
      <c r="F19" s="71"/>
      <c r="G19" s="71"/>
      <c r="H19" s="71"/>
    </row>
    <row r="20" spans="1:8" ht="9" thickTop="1" thickBot="1" x14ac:dyDescent="0.2">
      <c r="A20" s="24" t="s">
        <v>514</v>
      </c>
      <c r="B20" s="26">
        <f>B2+7</f>
        <v>8</v>
      </c>
      <c r="C20" s="26">
        <f t="shared" ref="C20:H20" si="0">C2+7</f>
        <v>9</v>
      </c>
      <c r="D20" s="26">
        <f t="shared" si="0"/>
        <v>10</v>
      </c>
      <c r="E20" s="26">
        <f t="shared" si="0"/>
        <v>11</v>
      </c>
      <c r="F20" s="26">
        <f t="shared" si="0"/>
        <v>12</v>
      </c>
      <c r="G20" s="26">
        <f t="shared" si="0"/>
        <v>13</v>
      </c>
      <c r="H20" s="26">
        <f t="shared" si="0"/>
        <v>14</v>
      </c>
    </row>
    <row r="21" spans="1:8" ht="9.75" thickTop="1" thickBot="1" x14ac:dyDescent="0.2">
      <c r="A21" s="24" t="s">
        <v>515</v>
      </c>
      <c r="B21" s="25">
        <v>43108</v>
      </c>
      <c r="C21" s="25">
        <v>43109</v>
      </c>
      <c r="D21" s="25">
        <v>43110</v>
      </c>
      <c r="E21" s="25">
        <v>43111</v>
      </c>
      <c r="F21" s="25">
        <v>43112</v>
      </c>
      <c r="G21" s="25">
        <v>43113</v>
      </c>
      <c r="H21" s="25">
        <v>43114</v>
      </c>
    </row>
    <row r="22" spans="1:8" ht="9" thickTop="1" thickBot="1" x14ac:dyDescent="0.2">
      <c r="A22" s="24" t="s">
        <v>587</v>
      </c>
      <c r="B22" s="24"/>
      <c r="C22" s="24"/>
      <c r="D22" s="24"/>
      <c r="E22" s="24"/>
      <c r="F22" s="24"/>
      <c r="G22" s="24"/>
      <c r="H22" s="24"/>
    </row>
    <row r="23" spans="1:8" ht="9" thickTop="1" thickBot="1" x14ac:dyDescent="0.2">
      <c r="A23" s="24" t="s">
        <v>522</v>
      </c>
      <c r="B23" s="24"/>
      <c r="C23" s="24"/>
      <c r="D23" s="24"/>
      <c r="E23" s="24"/>
      <c r="F23" s="24"/>
      <c r="G23" s="24"/>
      <c r="H23" s="24"/>
    </row>
    <row r="24" spans="1:8" ht="9" thickTop="1" thickBot="1" x14ac:dyDescent="0.2">
      <c r="A24" s="24" t="s">
        <v>525</v>
      </c>
      <c r="B24" s="24"/>
      <c r="C24" s="24"/>
      <c r="D24" s="24"/>
      <c r="E24" s="24"/>
      <c r="F24" s="24"/>
      <c r="G24" s="24"/>
      <c r="H24" s="24"/>
    </row>
    <row r="25" spans="1:8" ht="9" thickTop="1" thickBot="1" x14ac:dyDescent="0.2">
      <c r="A25" s="24" t="s">
        <v>201</v>
      </c>
      <c r="B25" s="24"/>
      <c r="C25" s="24"/>
      <c r="D25" s="24"/>
      <c r="E25" s="24"/>
      <c r="F25" s="24"/>
      <c r="G25" s="24"/>
      <c r="H25" s="24"/>
    </row>
    <row r="26" spans="1:8" ht="9" thickTop="1" thickBot="1" x14ac:dyDescent="0.2">
      <c r="A26" s="24" t="s">
        <v>6</v>
      </c>
      <c r="B26" s="24"/>
      <c r="C26" s="24"/>
      <c r="D26" s="24"/>
      <c r="E26" s="24"/>
      <c r="F26" s="24"/>
      <c r="G26" s="24"/>
      <c r="H26" s="24"/>
    </row>
    <row r="27" spans="1:8" ht="9" thickTop="1" thickBot="1" x14ac:dyDescent="0.2">
      <c r="A27" s="24" t="s">
        <v>526</v>
      </c>
      <c r="B27" s="24"/>
      <c r="C27" s="24"/>
      <c r="D27" s="24"/>
      <c r="E27" s="24"/>
      <c r="F27" s="24"/>
      <c r="G27" s="24"/>
      <c r="H27" s="24"/>
    </row>
    <row r="28" spans="1:8" ht="9" thickTop="1" thickBot="1" x14ac:dyDescent="0.2">
      <c r="A28" s="24" t="s">
        <v>588</v>
      </c>
      <c r="B28" s="24"/>
      <c r="C28" s="24"/>
      <c r="D28" s="24"/>
      <c r="E28" s="24"/>
      <c r="F28" s="24"/>
      <c r="G28" s="24"/>
      <c r="H28" s="24"/>
    </row>
    <row r="29" spans="1:8" ht="9.75" thickTop="1" thickBot="1" x14ac:dyDescent="0.2">
      <c r="A29" s="24" t="s">
        <v>528</v>
      </c>
      <c r="B29" s="24"/>
      <c r="C29" s="24"/>
      <c r="D29" s="24"/>
      <c r="E29" s="24"/>
      <c r="F29" s="24"/>
      <c r="G29" s="24"/>
      <c r="H29" s="24"/>
    </row>
    <row r="30" spans="1:8" ht="9" thickTop="1" thickBot="1" x14ac:dyDescent="0.2">
      <c r="A30" s="24" t="s">
        <v>531</v>
      </c>
      <c r="B30" s="24"/>
      <c r="C30" s="24"/>
      <c r="D30" s="24"/>
      <c r="E30" s="24"/>
      <c r="F30" s="24"/>
      <c r="G30" s="24"/>
      <c r="H30" s="24"/>
    </row>
    <row r="31" spans="1:8" ht="9" thickTop="1" thickBot="1" x14ac:dyDescent="0.2">
      <c r="A31" s="24" t="s">
        <v>589</v>
      </c>
      <c r="B31" s="24"/>
      <c r="C31" s="24"/>
      <c r="D31" s="24"/>
      <c r="E31" s="24"/>
      <c r="F31" s="24"/>
      <c r="G31" s="24"/>
      <c r="H31" s="24"/>
    </row>
    <row r="32" spans="1:8" ht="9.75" thickTop="1" thickBot="1" x14ac:dyDescent="0.2">
      <c r="A32" s="24" t="s">
        <v>517</v>
      </c>
      <c r="B32" s="24"/>
      <c r="C32" s="24"/>
      <c r="D32" s="24"/>
      <c r="E32" s="24"/>
      <c r="F32" s="24"/>
      <c r="G32" s="24"/>
      <c r="H32" s="24"/>
    </row>
    <row r="33" spans="1:8" ht="9" thickTop="1" thickBot="1" x14ac:dyDescent="0.2">
      <c r="A33" s="24" t="s">
        <v>520</v>
      </c>
      <c r="B33" s="24"/>
      <c r="C33" s="24"/>
      <c r="D33" s="24"/>
      <c r="E33" s="24"/>
      <c r="F33" s="24"/>
      <c r="G33" s="24"/>
      <c r="H33" s="24"/>
    </row>
    <row r="34" spans="1:8" ht="9" thickTop="1" thickBot="1" x14ac:dyDescent="0.2">
      <c r="A34" s="24" t="s">
        <v>590</v>
      </c>
      <c r="B34" s="24"/>
      <c r="C34" s="24"/>
      <c r="D34" s="24"/>
      <c r="E34" s="24"/>
      <c r="F34" s="24"/>
      <c r="G34" s="24"/>
      <c r="H34" s="24"/>
    </row>
    <row r="35" spans="1:8" ht="9.75" thickTop="1" thickBot="1" x14ac:dyDescent="0.2">
      <c r="A35" s="24" t="s">
        <v>533</v>
      </c>
      <c r="B35" s="24"/>
      <c r="C35" s="24"/>
      <c r="D35" s="24"/>
      <c r="E35" s="24"/>
      <c r="F35" s="24"/>
      <c r="G35" s="24"/>
      <c r="H35" s="24"/>
    </row>
    <row r="36" spans="1:8" ht="9.75" thickTop="1" thickBot="1" x14ac:dyDescent="0.2"/>
    <row r="37" spans="1:8" ht="9.75" thickTop="1" thickBot="1" x14ac:dyDescent="0.2">
      <c r="A37" s="71" t="s">
        <v>591</v>
      </c>
      <c r="B37" s="71"/>
      <c r="C37" s="71"/>
      <c r="D37" s="71"/>
      <c r="E37" s="71"/>
      <c r="F37" s="71"/>
      <c r="G37" s="71"/>
      <c r="H37" s="71"/>
    </row>
    <row r="38" spans="1:8" ht="9" thickTop="1" thickBot="1" x14ac:dyDescent="0.2">
      <c r="A38" s="24" t="s">
        <v>514</v>
      </c>
      <c r="B38" s="26">
        <f>B20+7</f>
        <v>15</v>
      </c>
      <c r="C38" s="26">
        <f t="shared" ref="C38:H38" si="1">C20+7</f>
        <v>16</v>
      </c>
      <c r="D38" s="26">
        <f t="shared" si="1"/>
        <v>17</v>
      </c>
      <c r="E38" s="26">
        <f t="shared" si="1"/>
        <v>18</v>
      </c>
      <c r="F38" s="26">
        <f t="shared" si="1"/>
        <v>19</v>
      </c>
      <c r="G38" s="26">
        <f t="shared" si="1"/>
        <v>20</v>
      </c>
      <c r="H38" s="26">
        <f t="shared" si="1"/>
        <v>21</v>
      </c>
    </row>
    <row r="39" spans="1:8" ht="9.75" thickTop="1" thickBot="1" x14ac:dyDescent="0.2">
      <c r="A39" s="24" t="s">
        <v>515</v>
      </c>
      <c r="B39" s="25">
        <v>43115</v>
      </c>
      <c r="C39" s="25">
        <v>43116</v>
      </c>
      <c r="D39" s="25">
        <v>43117</v>
      </c>
      <c r="E39" s="25">
        <v>43118</v>
      </c>
      <c r="F39" s="25">
        <v>43119</v>
      </c>
      <c r="G39" s="25">
        <v>43120</v>
      </c>
      <c r="H39" s="25">
        <v>43121</v>
      </c>
    </row>
    <row r="40" spans="1:8" ht="9" thickTop="1" thickBot="1" x14ac:dyDescent="0.2">
      <c r="A40" s="24" t="s">
        <v>587</v>
      </c>
      <c r="B40" s="24"/>
      <c r="C40" s="24"/>
      <c r="D40" s="24"/>
      <c r="E40" s="24"/>
      <c r="F40" s="24"/>
      <c r="G40" s="24"/>
      <c r="H40" s="24"/>
    </row>
    <row r="41" spans="1:8" ht="9" thickTop="1" thickBot="1" x14ac:dyDescent="0.2">
      <c r="A41" s="24" t="s">
        <v>522</v>
      </c>
      <c r="B41" s="24"/>
      <c r="C41" s="24"/>
      <c r="D41" s="24"/>
      <c r="E41" s="24"/>
      <c r="F41" s="24"/>
      <c r="G41" s="24"/>
      <c r="H41" s="24"/>
    </row>
    <row r="42" spans="1:8" ht="9" thickTop="1" thickBot="1" x14ac:dyDescent="0.2">
      <c r="A42" s="24" t="s">
        <v>525</v>
      </c>
      <c r="B42" s="24"/>
      <c r="C42" s="24"/>
      <c r="D42" s="24"/>
      <c r="E42" s="24"/>
      <c r="F42" s="24"/>
      <c r="G42" s="24"/>
      <c r="H42" s="24"/>
    </row>
    <row r="43" spans="1:8" ht="9" thickTop="1" thickBot="1" x14ac:dyDescent="0.2">
      <c r="A43" s="24" t="s">
        <v>201</v>
      </c>
      <c r="B43" s="24"/>
      <c r="C43" s="24"/>
      <c r="D43" s="24"/>
      <c r="E43" s="24"/>
      <c r="F43" s="24"/>
      <c r="G43" s="24"/>
      <c r="H43" s="24"/>
    </row>
    <row r="44" spans="1:8" ht="9" thickTop="1" thickBot="1" x14ac:dyDescent="0.2">
      <c r="A44" s="24" t="s">
        <v>6</v>
      </c>
      <c r="B44" s="24"/>
      <c r="C44" s="24"/>
      <c r="D44" s="24"/>
      <c r="E44" s="24"/>
      <c r="F44" s="24"/>
      <c r="G44" s="24"/>
      <c r="H44" s="24"/>
    </row>
    <row r="45" spans="1:8" ht="9" thickTop="1" thickBot="1" x14ac:dyDescent="0.2">
      <c r="A45" s="24" t="s">
        <v>526</v>
      </c>
      <c r="B45" s="24"/>
      <c r="C45" s="24"/>
      <c r="D45" s="24"/>
      <c r="E45" s="24"/>
      <c r="F45" s="24"/>
      <c r="G45" s="24"/>
      <c r="H45" s="24"/>
    </row>
    <row r="46" spans="1:8" ht="9" thickTop="1" thickBot="1" x14ac:dyDescent="0.2">
      <c r="A46" s="24" t="s">
        <v>588</v>
      </c>
      <c r="B46" s="24"/>
      <c r="C46" s="24"/>
      <c r="D46" s="24"/>
      <c r="E46" s="24"/>
      <c r="F46" s="24"/>
      <c r="G46" s="24"/>
      <c r="H46" s="24"/>
    </row>
    <row r="47" spans="1:8" ht="9" thickTop="1" thickBot="1" x14ac:dyDescent="0.2">
      <c r="A47" s="24" t="s">
        <v>528</v>
      </c>
      <c r="B47" s="24"/>
      <c r="C47" s="24"/>
      <c r="D47" s="24"/>
      <c r="E47" s="24"/>
      <c r="F47" s="24"/>
      <c r="G47" s="24"/>
      <c r="H47" s="24"/>
    </row>
    <row r="48" spans="1:8" ht="9" thickTop="1" thickBot="1" x14ac:dyDescent="0.2">
      <c r="A48" s="24" t="s">
        <v>531</v>
      </c>
      <c r="B48" s="24"/>
      <c r="C48" s="24"/>
      <c r="D48" s="24"/>
      <c r="E48" s="24"/>
      <c r="F48" s="24"/>
      <c r="G48" s="24"/>
      <c r="H48" s="24"/>
    </row>
    <row r="49" spans="1:8" ht="9" thickTop="1" thickBot="1" x14ac:dyDescent="0.2">
      <c r="A49" s="24" t="s">
        <v>589</v>
      </c>
      <c r="B49" s="24"/>
      <c r="C49" s="24"/>
      <c r="D49" s="24"/>
      <c r="E49" s="24"/>
      <c r="F49" s="24"/>
      <c r="G49" s="24"/>
      <c r="H49" s="24"/>
    </row>
    <row r="50" spans="1:8" ht="9" thickTop="1" thickBot="1" x14ac:dyDescent="0.2">
      <c r="A50" s="24" t="s">
        <v>517</v>
      </c>
      <c r="B50" s="24"/>
      <c r="C50" s="24"/>
      <c r="D50" s="24"/>
      <c r="E50" s="24"/>
      <c r="F50" s="24"/>
      <c r="G50" s="24"/>
      <c r="H50" s="24"/>
    </row>
    <row r="51" spans="1:8" ht="9" thickTop="1" thickBot="1" x14ac:dyDescent="0.2">
      <c r="A51" s="24" t="s">
        <v>520</v>
      </c>
      <c r="B51" s="24"/>
      <c r="C51" s="24"/>
      <c r="D51" s="24"/>
      <c r="E51" s="24"/>
      <c r="F51" s="24"/>
      <c r="G51" s="24"/>
      <c r="H51" s="24"/>
    </row>
    <row r="52" spans="1:8" ht="9" thickTop="1" thickBot="1" x14ac:dyDescent="0.2">
      <c r="A52" s="24" t="s">
        <v>590</v>
      </c>
      <c r="B52" s="24"/>
      <c r="C52" s="24"/>
      <c r="D52" s="24"/>
      <c r="E52" s="24"/>
      <c r="F52" s="24"/>
      <c r="G52" s="24"/>
      <c r="H52" s="24"/>
    </row>
    <row r="53" spans="1:8" ht="9" thickTop="1" thickBot="1" x14ac:dyDescent="0.2">
      <c r="A53" s="24" t="s">
        <v>533</v>
      </c>
      <c r="B53" s="24"/>
      <c r="C53" s="24"/>
      <c r="D53" s="24"/>
      <c r="E53" s="24"/>
      <c r="F53" s="24"/>
      <c r="G53" s="24"/>
      <c r="H53" s="24"/>
    </row>
    <row r="54" spans="1:8" ht="9" thickTop="1" thickBot="1" x14ac:dyDescent="0.2"/>
    <row r="55" spans="1:8" ht="9" thickTop="1" thickBot="1" x14ac:dyDescent="0.2">
      <c r="A55" s="71" t="s">
        <v>591</v>
      </c>
      <c r="B55" s="71"/>
      <c r="C55" s="71"/>
      <c r="D55" s="71"/>
      <c r="E55" s="71"/>
      <c r="F55" s="71"/>
      <c r="G55" s="71"/>
      <c r="H55" s="71"/>
    </row>
    <row r="56" spans="1:8" ht="9" thickTop="1" thickBot="1" x14ac:dyDescent="0.2">
      <c r="A56" s="24" t="s">
        <v>514</v>
      </c>
      <c r="B56" s="26">
        <f>B38+7</f>
        <v>22</v>
      </c>
      <c r="C56" s="26">
        <f t="shared" ref="C56:H56" si="2">C38+7</f>
        <v>23</v>
      </c>
      <c r="D56" s="26">
        <f t="shared" si="2"/>
        <v>24</v>
      </c>
      <c r="E56" s="26">
        <f t="shared" si="2"/>
        <v>25</v>
      </c>
      <c r="F56" s="26">
        <f t="shared" si="2"/>
        <v>26</v>
      </c>
      <c r="G56" s="26">
        <f t="shared" si="2"/>
        <v>27</v>
      </c>
      <c r="H56" s="26">
        <f t="shared" si="2"/>
        <v>28</v>
      </c>
    </row>
    <row r="57" spans="1:8" ht="9" thickTop="1" thickBot="1" x14ac:dyDescent="0.2">
      <c r="A57" s="24" t="s">
        <v>515</v>
      </c>
      <c r="B57" s="25">
        <v>43122</v>
      </c>
      <c r="C57" s="25">
        <v>43123</v>
      </c>
      <c r="D57" s="25">
        <v>43124</v>
      </c>
      <c r="E57" s="25">
        <v>43125</v>
      </c>
      <c r="F57" s="25">
        <v>43126</v>
      </c>
      <c r="G57" s="25">
        <v>43127</v>
      </c>
      <c r="H57" s="25">
        <v>43128</v>
      </c>
    </row>
    <row r="58" spans="1:8" ht="9" thickTop="1" thickBot="1" x14ac:dyDescent="0.2">
      <c r="A58" s="24" t="s">
        <v>587</v>
      </c>
      <c r="B58" s="24"/>
      <c r="C58" s="24"/>
      <c r="D58" s="24"/>
      <c r="E58" s="24"/>
      <c r="F58" s="24"/>
      <c r="G58" s="24"/>
      <c r="H58" s="24"/>
    </row>
    <row r="59" spans="1:8" ht="9" thickTop="1" thickBot="1" x14ac:dyDescent="0.2">
      <c r="A59" s="24" t="s">
        <v>522</v>
      </c>
      <c r="B59" s="24"/>
      <c r="C59" s="24"/>
      <c r="D59" s="24"/>
      <c r="E59" s="24"/>
      <c r="F59" s="24"/>
      <c r="G59" s="24"/>
      <c r="H59" s="24"/>
    </row>
    <row r="60" spans="1:8" ht="9" thickTop="1" thickBot="1" x14ac:dyDescent="0.2">
      <c r="A60" s="24" t="s">
        <v>525</v>
      </c>
      <c r="B60" s="24"/>
      <c r="C60" s="24"/>
      <c r="D60" s="24"/>
      <c r="E60" s="24"/>
      <c r="F60" s="24"/>
      <c r="G60" s="24"/>
      <c r="H60" s="24"/>
    </row>
    <row r="61" spans="1:8" ht="9" thickTop="1" thickBot="1" x14ac:dyDescent="0.2">
      <c r="A61" s="24" t="s">
        <v>201</v>
      </c>
      <c r="B61" s="24"/>
      <c r="C61" s="24"/>
      <c r="D61" s="24"/>
      <c r="E61" s="24"/>
      <c r="F61" s="24"/>
      <c r="G61" s="24"/>
      <c r="H61" s="24"/>
    </row>
    <row r="62" spans="1:8" ht="9" thickTop="1" thickBot="1" x14ac:dyDescent="0.2">
      <c r="A62" s="24" t="s">
        <v>6</v>
      </c>
      <c r="B62" s="24"/>
      <c r="C62" s="24"/>
      <c r="D62" s="24"/>
      <c r="E62" s="24"/>
      <c r="F62" s="24"/>
      <c r="G62" s="24"/>
      <c r="H62" s="24"/>
    </row>
    <row r="63" spans="1:8" ht="9" thickTop="1" thickBot="1" x14ac:dyDescent="0.2">
      <c r="A63" s="24" t="s">
        <v>526</v>
      </c>
      <c r="B63" s="24"/>
      <c r="C63" s="24"/>
      <c r="D63" s="24"/>
      <c r="E63" s="24"/>
      <c r="F63" s="24"/>
      <c r="G63" s="24"/>
      <c r="H63" s="24"/>
    </row>
    <row r="64" spans="1:8" ht="9" thickTop="1" thickBot="1" x14ac:dyDescent="0.2">
      <c r="A64" s="24" t="s">
        <v>588</v>
      </c>
      <c r="B64" s="24"/>
      <c r="C64" s="24"/>
      <c r="D64" s="24"/>
      <c r="E64" s="24"/>
      <c r="F64" s="24"/>
      <c r="G64" s="24"/>
      <c r="H64" s="24"/>
    </row>
    <row r="65" spans="1:8" ht="9" thickTop="1" thickBot="1" x14ac:dyDescent="0.2">
      <c r="A65" s="24" t="s">
        <v>528</v>
      </c>
      <c r="B65" s="24"/>
      <c r="C65" s="24"/>
      <c r="D65" s="24"/>
      <c r="E65" s="24"/>
      <c r="F65" s="24"/>
      <c r="G65" s="24"/>
      <c r="H65" s="24"/>
    </row>
    <row r="66" spans="1:8" ht="9" thickTop="1" thickBot="1" x14ac:dyDescent="0.2">
      <c r="A66" s="24" t="s">
        <v>531</v>
      </c>
      <c r="B66" s="24"/>
      <c r="C66" s="24"/>
      <c r="D66" s="24"/>
      <c r="E66" s="24"/>
      <c r="F66" s="24"/>
      <c r="G66" s="24"/>
      <c r="H66" s="24"/>
    </row>
    <row r="67" spans="1:8" ht="9" thickTop="1" thickBot="1" x14ac:dyDescent="0.2">
      <c r="A67" s="24" t="s">
        <v>589</v>
      </c>
      <c r="B67" s="24"/>
      <c r="C67" s="24"/>
      <c r="D67" s="24"/>
      <c r="E67" s="24"/>
      <c r="F67" s="24"/>
      <c r="G67" s="24"/>
      <c r="H67" s="24"/>
    </row>
    <row r="68" spans="1:8" ht="9" thickTop="1" thickBot="1" x14ac:dyDescent="0.2">
      <c r="A68" s="24" t="s">
        <v>517</v>
      </c>
      <c r="B68" s="24"/>
      <c r="C68" s="24"/>
      <c r="D68" s="24"/>
      <c r="E68" s="24"/>
      <c r="F68" s="24"/>
      <c r="G68" s="24"/>
      <c r="H68" s="24"/>
    </row>
    <row r="69" spans="1:8" ht="9" thickTop="1" thickBot="1" x14ac:dyDescent="0.2">
      <c r="A69" s="24" t="s">
        <v>520</v>
      </c>
      <c r="B69" s="24"/>
      <c r="C69" s="24"/>
      <c r="D69" s="24"/>
      <c r="E69" s="24"/>
      <c r="F69" s="24"/>
      <c r="G69" s="24"/>
      <c r="H69" s="24"/>
    </row>
    <row r="70" spans="1:8" ht="9" thickTop="1" thickBot="1" x14ac:dyDescent="0.2">
      <c r="A70" s="24" t="s">
        <v>590</v>
      </c>
      <c r="B70" s="24"/>
      <c r="C70" s="24"/>
      <c r="D70" s="24"/>
      <c r="E70" s="24"/>
      <c r="F70" s="24"/>
      <c r="G70" s="24"/>
      <c r="H70" s="24"/>
    </row>
    <row r="71" spans="1:8" ht="9" thickTop="1" thickBot="1" x14ac:dyDescent="0.2">
      <c r="A71" s="24" t="s">
        <v>533</v>
      </c>
      <c r="B71" s="24"/>
      <c r="C71" s="24"/>
      <c r="D71" s="24"/>
      <c r="E71" s="24"/>
      <c r="F71" s="24"/>
      <c r="G71" s="24"/>
      <c r="H71" s="24"/>
    </row>
    <row r="72" spans="1:8" ht="9" thickTop="1" thickBot="1" x14ac:dyDescent="0.2"/>
    <row r="73" spans="1:8" ht="9" thickTop="1" thickBot="1" x14ac:dyDescent="0.2">
      <c r="A73" s="71" t="s">
        <v>591</v>
      </c>
      <c r="B73" s="71"/>
      <c r="C73" s="71"/>
      <c r="D73" s="71"/>
      <c r="E73" s="71"/>
      <c r="F73" s="71"/>
      <c r="G73" s="71"/>
      <c r="H73" s="71"/>
    </row>
    <row r="74" spans="1:8" ht="9" thickTop="1" thickBot="1" x14ac:dyDescent="0.2">
      <c r="A74" s="24" t="s">
        <v>514</v>
      </c>
      <c r="B74" s="26">
        <f>B56+7</f>
        <v>29</v>
      </c>
      <c r="C74" s="26">
        <f t="shared" ref="C74:H74" si="3">C56+7</f>
        <v>30</v>
      </c>
      <c r="D74" s="26">
        <f t="shared" si="3"/>
        <v>31</v>
      </c>
      <c r="E74" s="26">
        <f t="shared" si="3"/>
        <v>32</v>
      </c>
      <c r="F74" s="26">
        <f t="shared" si="3"/>
        <v>33</v>
      </c>
      <c r="G74" s="26">
        <f t="shared" si="3"/>
        <v>34</v>
      </c>
      <c r="H74" s="26">
        <f t="shared" si="3"/>
        <v>35</v>
      </c>
    </row>
    <row r="75" spans="1:8" ht="9" thickTop="1" thickBot="1" x14ac:dyDescent="0.2">
      <c r="A75" s="24" t="s">
        <v>515</v>
      </c>
      <c r="B75" s="25">
        <v>43129</v>
      </c>
      <c r="C75" s="25">
        <v>43130</v>
      </c>
      <c r="D75" s="25">
        <v>43131</v>
      </c>
      <c r="E75" s="25">
        <v>43132</v>
      </c>
      <c r="F75" s="25">
        <v>43133</v>
      </c>
      <c r="G75" s="25">
        <v>43134</v>
      </c>
      <c r="H75" s="25">
        <v>43135</v>
      </c>
    </row>
    <row r="76" spans="1:8" ht="9" thickTop="1" thickBot="1" x14ac:dyDescent="0.2">
      <c r="A76" s="24" t="s">
        <v>587</v>
      </c>
      <c r="B76" s="24"/>
      <c r="C76" s="24"/>
      <c r="D76" s="24"/>
      <c r="E76" s="24"/>
      <c r="F76" s="24"/>
      <c r="G76" s="24"/>
      <c r="H76" s="24"/>
    </row>
    <row r="77" spans="1:8" ht="9" thickTop="1" thickBot="1" x14ac:dyDescent="0.2">
      <c r="A77" s="24" t="s">
        <v>522</v>
      </c>
      <c r="B77" s="24"/>
      <c r="C77" s="24"/>
      <c r="D77" s="24"/>
      <c r="E77" s="24"/>
      <c r="F77" s="24"/>
      <c r="G77" s="24"/>
      <c r="H77" s="24"/>
    </row>
    <row r="78" spans="1:8" ht="9" thickTop="1" thickBot="1" x14ac:dyDescent="0.2">
      <c r="A78" s="24" t="s">
        <v>525</v>
      </c>
      <c r="B78" s="24"/>
      <c r="C78" s="24"/>
      <c r="D78" s="24"/>
      <c r="E78" s="24"/>
      <c r="F78" s="24"/>
      <c r="G78" s="24"/>
      <c r="H78" s="24"/>
    </row>
    <row r="79" spans="1:8" ht="9" thickTop="1" thickBot="1" x14ac:dyDescent="0.2">
      <c r="A79" s="24" t="s">
        <v>201</v>
      </c>
      <c r="B79" s="24"/>
      <c r="C79" s="24"/>
      <c r="D79" s="24"/>
      <c r="E79" s="24"/>
      <c r="F79" s="24"/>
      <c r="G79" s="24"/>
      <c r="H79" s="24"/>
    </row>
    <row r="80" spans="1:8" ht="9" thickTop="1" thickBot="1" x14ac:dyDescent="0.2">
      <c r="A80" s="24" t="s">
        <v>6</v>
      </c>
      <c r="B80" s="24"/>
      <c r="C80" s="24"/>
      <c r="D80" s="24"/>
      <c r="E80" s="24"/>
      <c r="F80" s="24"/>
      <c r="G80" s="24"/>
      <c r="H80" s="24"/>
    </row>
    <row r="81" spans="1:8" ht="9" thickTop="1" thickBot="1" x14ac:dyDescent="0.2">
      <c r="A81" s="24" t="s">
        <v>526</v>
      </c>
      <c r="B81" s="24"/>
      <c r="C81" s="24"/>
      <c r="D81" s="24"/>
      <c r="E81" s="24"/>
      <c r="F81" s="24"/>
      <c r="G81" s="24"/>
      <c r="H81" s="24"/>
    </row>
    <row r="82" spans="1:8" ht="9" thickTop="1" thickBot="1" x14ac:dyDescent="0.2">
      <c r="A82" s="24" t="s">
        <v>588</v>
      </c>
      <c r="B82" s="24"/>
      <c r="C82" s="24"/>
      <c r="D82" s="24"/>
      <c r="E82" s="24"/>
      <c r="F82" s="24"/>
      <c r="G82" s="24"/>
      <c r="H82" s="24"/>
    </row>
    <row r="83" spans="1:8" ht="9" thickTop="1" thickBot="1" x14ac:dyDescent="0.2">
      <c r="A83" s="24" t="s">
        <v>528</v>
      </c>
      <c r="B83" s="24"/>
      <c r="C83" s="24"/>
      <c r="D83" s="24"/>
      <c r="E83" s="24"/>
      <c r="F83" s="24"/>
      <c r="G83" s="24"/>
      <c r="H83" s="24"/>
    </row>
    <row r="84" spans="1:8" ht="9" thickTop="1" thickBot="1" x14ac:dyDescent="0.2">
      <c r="A84" s="24" t="s">
        <v>531</v>
      </c>
      <c r="B84" s="24"/>
      <c r="C84" s="24"/>
      <c r="D84" s="24"/>
      <c r="E84" s="24"/>
      <c r="F84" s="24"/>
      <c r="G84" s="24"/>
      <c r="H84" s="24"/>
    </row>
    <row r="85" spans="1:8" ht="9" thickTop="1" thickBot="1" x14ac:dyDescent="0.2">
      <c r="A85" s="24" t="s">
        <v>589</v>
      </c>
      <c r="B85" s="24"/>
      <c r="C85" s="24"/>
      <c r="D85" s="24"/>
      <c r="E85" s="24"/>
      <c r="F85" s="24"/>
      <c r="G85" s="24"/>
      <c r="H85" s="24"/>
    </row>
    <row r="86" spans="1:8" ht="9" thickTop="1" thickBot="1" x14ac:dyDescent="0.2">
      <c r="A86" s="24" t="s">
        <v>517</v>
      </c>
      <c r="B86" s="24"/>
      <c r="C86" s="24"/>
      <c r="D86" s="24"/>
      <c r="E86" s="24"/>
      <c r="F86" s="24"/>
      <c r="G86" s="24"/>
      <c r="H86" s="24"/>
    </row>
    <row r="87" spans="1:8" ht="9" thickTop="1" thickBot="1" x14ac:dyDescent="0.2">
      <c r="A87" s="24" t="s">
        <v>520</v>
      </c>
      <c r="B87" s="24"/>
      <c r="C87" s="24"/>
      <c r="D87" s="24"/>
      <c r="E87" s="24"/>
      <c r="F87" s="24"/>
      <c r="G87" s="24"/>
      <c r="H87" s="24"/>
    </row>
    <row r="88" spans="1:8" ht="9" thickTop="1" thickBot="1" x14ac:dyDescent="0.2">
      <c r="A88" s="24" t="s">
        <v>590</v>
      </c>
      <c r="B88" s="24"/>
      <c r="C88" s="24"/>
      <c r="D88" s="24"/>
      <c r="E88" s="24"/>
      <c r="F88" s="24"/>
      <c r="G88" s="24"/>
      <c r="H88" s="24"/>
    </row>
    <row r="89" spans="1:8" ht="9" thickTop="1" thickBot="1" x14ac:dyDescent="0.2">
      <c r="A89" s="24" t="s">
        <v>533</v>
      </c>
      <c r="B89" s="24"/>
      <c r="C89" s="24"/>
      <c r="D89" s="24"/>
      <c r="E89" s="24"/>
      <c r="F89" s="24"/>
      <c r="G89" s="24"/>
      <c r="H89" s="24"/>
    </row>
    <row r="90" spans="1:8" ht="9" thickTop="1" thickBot="1" x14ac:dyDescent="0.2"/>
    <row r="91" spans="1:8" ht="9" thickTop="1" thickBot="1" x14ac:dyDescent="0.2">
      <c r="A91" s="71" t="s">
        <v>591</v>
      </c>
      <c r="B91" s="71"/>
      <c r="C91" s="71"/>
      <c r="D91" s="71"/>
      <c r="E91" s="71"/>
      <c r="F91" s="71"/>
      <c r="G91" s="71"/>
      <c r="H91" s="71"/>
    </row>
    <row r="92" spans="1:8" ht="9" thickTop="1" thickBot="1" x14ac:dyDescent="0.2">
      <c r="A92" s="24" t="s">
        <v>514</v>
      </c>
      <c r="B92" s="26">
        <f>B74+7</f>
        <v>36</v>
      </c>
      <c r="C92" s="26">
        <f t="shared" ref="C92:H92" si="4">C74+7</f>
        <v>37</v>
      </c>
      <c r="D92" s="26">
        <f t="shared" si="4"/>
        <v>38</v>
      </c>
      <c r="E92" s="26">
        <f t="shared" si="4"/>
        <v>39</v>
      </c>
      <c r="F92" s="26">
        <f t="shared" si="4"/>
        <v>40</v>
      </c>
      <c r="G92" s="26">
        <f t="shared" si="4"/>
        <v>41</v>
      </c>
      <c r="H92" s="26">
        <f t="shared" si="4"/>
        <v>42</v>
      </c>
    </row>
    <row r="93" spans="1:8" ht="9" thickTop="1" thickBot="1" x14ac:dyDescent="0.2">
      <c r="A93" s="24" t="s">
        <v>515</v>
      </c>
      <c r="B93" s="25">
        <v>43136</v>
      </c>
      <c r="C93" s="25">
        <v>43137</v>
      </c>
      <c r="D93" s="25">
        <v>43138</v>
      </c>
      <c r="E93" s="25">
        <v>43139</v>
      </c>
      <c r="F93" s="25">
        <v>43140</v>
      </c>
      <c r="G93" s="25">
        <v>43141</v>
      </c>
      <c r="H93" s="25">
        <v>43142</v>
      </c>
    </row>
    <row r="94" spans="1:8" ht="9" thickTop="1" thickBot="1" x14ac:dyDescent="0.2">
      <c r="A94" s="24" t="s">
        <v>587</v>
      </c>
      <c r="B94" s="24"/>
      <c r="C94" s="24"/>
      <c r="D94" s="24"/>
      <c r="E94" s="24"/>
      <c r="F94" s="24"/>
      <c r="G94" s="24"/>
      <c r="H94" s="24"/>
    </row>
    <row r="95" spans="1:8" ht="9" thickTop="1" thickBot="1" x14ac:dyDescent="0.2">
      <c r="A95" s="24" t="s">
        <v>522</v>
      </c>
      <c r="B95" s="24"/>
      <c r="C95" s="24"/>
      <c r="D95" s="24"/>
      <c r="E95" s="24"/>
      <c r="F95" s="24"/>
      <c r="G95" s="24"/>
      <c r="H95" s="24"/>
    </row>
    <row r="96" spans="1:8" ht="9" thickTop="1" thickBot="1" x14ac:dyDescent="0.2">
      <c r="A96" s="24" t="s">
        <v>525</v>
      </c>
      <c r="B96" s="24"/>
      <c r="C96" s="24"/>
      <c r="D96" s="24"/>
      <c r="E96" s="24"/>
      <c r="F96" s="24"/>
      <c r="G96" s="24"/>
      <c r="H96" s="24"/>
    </row>
    <row r="97" spans="1:8" ht="9" thickTop="1" thickBot="1" x14ac:dyDescent="0.2">
      <c r="A97" s="24" t="s">
        <v>201</v>
      </c>
      <c r="B97" s="24"/>
      <c r="C97" s="24"/>
      <c r="D97" s="24"/>
      <c r="E97" s="24"/>
      <c r="F97" s="24"/>
      <c r="G97" s="24"/>
      <c r="H97" s="24"/>
    </row>
    <row r="98" spans="1:8" ht="9" thickTop="1" thickBot="1" x14ac:dyDescent="0.2">
      <c r="A98" s="24" t="s">
        <v>6</v>
      </c>
      <c r="B98" s="24"/>
      <c r="C98" s="24"/>
      <c r="D98" s="24"/>
      <c r="E98" s="24"/>
      <c r="F98" s="24"/>
      <c r="G98" s="24"/>
      <c r="H98" s="24"/>
    </row>
    <row r="99" spans="1:8" ht="9" thickTop="1" thickBot="1" x14ac:dyDescent="0.2">
      <c r="A99" s="24" t="s">
        <v>526</v>
      </c>
      <c r="B99" s="24"/>
      <c r="C99" s="24"/>
      <c r="D99" s="24"/>
      <c r="E99" s="24"/>
      <c r="F99" s="24"/>
      <c r="G99" s="24"/>
      <c r="H99" s="24"/>
    </row>
    <row r="100" spans="1:8" ht="9" thickTop="1" thickBot="1" x14ac:dyDescent="0.2">
      <c r="A100" s="24" t="s">
        <v>588</v>
      </c>
      <c r="B100" s="24"/>
      <c r="C100" s="24"/>
      <c r="D100" s="24"/>
      <c r="E100" s="24"/>
      <c r="F100" s="24"/>
      <c r="G100" s="24"/>
      <c r="H100" s="24"/>
    </row>
    <row r="101" spans="1:8" ht="9" thickTop="1" thickBot="1" x14ac:dyDescent="0.2">
      <c r="A101" s="24" t="s">
        <v>528</v>
      </c>
      <c r="B101" s="24"/>
      <c r="C101" s="24"/>
      <c r="D101" s="24"/>
      <c r="E101" s="24"/>
      <c r="F101" s="24"/>
      <c r="G101" s="24"/>
      <c r="H101" s="24"/>
    </row>
    <row r="102" spans="1:8" ht="9" thickTop="1" thickBot="1" x14ac:dyDescent="0.2">
      <c r="A102" s="24" t="s">
        <v>531</v>
      </c>
      <c r="B102" s="24"/>
      <c r="C102" s="24"/>
      <c r="D102" s="24"/>
      <c r="E102" s="24"/>
      <c r="F102" s="24"/>
      <c r="G102" s="24"/>
      <c r="H102" s="24"/>
    </row>
    <row r="103" spans="1:8" ht="9" thickTop="1" thickBot="1" x14ac:dyDescent="0.2">
      <c r="A103" s="24" t="s">
        <v>589</v>
      </c>
      <c r="B103" s="24"/>
      <c r="C103" s="24"/>
      <c r="D103" s="24"/>
      <c r="E103" s="24"/>
      <c r="F103" s="24"/>
      <c r="G103" s="24"/>
      <c r="H103" s="24"/>
    </row>
    <row r="104" spans="1:8" ht="9" thickTop="1" thickBot="1" x14ac:dyDescent="0.2">
      <c r="A104" s="24" t="s">
        <v>517</v>
      </c>
      <c r="B104" s="24"/>
      <c r="C104" s="24"/>
      <c r="D104" s="24"/>
      <c r="E104" s="24"/>
      <c r="F104" s="24"/>
      <c r="G104" s="24"/>
      <c r="H104" s="24"/>
    </row>
    <row r="105" spans="1:8" ht="9" thickTop="1" thickBot="1" x14ac:dyDescent="0.2">
      <c r="A105" s="24" t="s">
        <v>520</v>
      </c>
      <c r="B105" s="24"/>
      <c r="C105" s="24"/>
      <c r="D105" s="24"/>
      <c r="E105" s="24"/>
      <c r="F105" s="24"/>
      <c r="G105" s="24"/>
      <c r="H105" s="24"/>
    </row>
    <row r="106" spans="1:8" ht="9" thickTop="1" thickBot="1" x14ac:dyDescent="0.2">
      <c r="A106" s="24" t="s">
        <v>590</v>
      </c>
      <c r="B106" s="24"/>
      <c r="C106" s="24"/>
      <c r="D106" s="24"/>
      <c r="E106" s="24"/>
      <c r="F106" s="24"/>
      <c r="G106" s="24"/>
      <c r="H106" s="24"/>
    </row>
    <row r="107" spans="1:8" ht="9" thickTop="1" thickBot="1" x14ac:dyDescent="0.2">
      <c r="A107" s="24" t="s">
        <v>533</v>
      </c>
      <c r="B107" s="24"/>
      <c r="C107" s="24"/>
      <c r="D107" s="24"/>
      <c r="E107" s="24"/>
      <c r="F107" s="24"/>
      <c r="G107" s="24"/>
      <c r="H107" s="24"/>
    </row>
    <row r="108" spans="1:8" ht="9" thickTop="1" thickBot="1" x14ac:dyDescent="0.2"/>
    <row r="109" spans="1:8" ht="9" thickTop="1" thickBot="1" x14ac:dyDescent="0.2">
      <c r="A109" s="71" t="s">
        <v>591</v>
      </c>
      <c r="B109" s="71"/>
      <c r="C109" s="71"/>
      <c r="D109" s="71"/>
      <c r="E109" s="71"/>
      <c r="F109" s="71"/>
      <c r="G109" s="71"/>
      <c r="H109" s="71"/>
    </row>
    <row r="110" spans="1:8" ht="9" thickTop="1" thickBot="1" x14ac:dyDescent="0.2">
      <c r="A110" s="24" t="s">
        <v>514</v>
      </c>
      <c r="B110" s="26">
        <f>B92+7</f>
        <v>43</v>
      </c>
      <c r="C110" s="26">
        <f t="shared" ref="C110:H110" si="5">C92+7</f>
        <v>44</v>
      </c>
      <c r="D110" s="26">
        <f t="shared" si="5"/>
        <v>45</v>
      </c>
      <c r="E110" s="26">
        <f t="shared" si="5"/>
        <v>46</v>
      </c>
      <c r="F110" s="26">
        <f t="shared" si="5"/>
        <v>47</v>
      </c>
      <c r="G110" s="26">
        <f t="shared" si="5"/>
        <v>48</v>
      </c>
      <c r="H110" s="26">
        <f t="shared" si="5"/>
        <v>49</v>
      </c>
    </row>
    <row r="111" spans="1:8" ht="9" thickTop="1" thickBot="1" x14ac:dyDescent="0.2">
      <c r="A111" s="24" t="s">
        <v>515</v>
      </c>
      <c r="B111" s="25">
        <v>43143</v>
      </c>
      <c r="C111" s="25">
        <v>43144</v>
      </c>
      <c r="D111" s="25">
        <v>43145</v>
      </c>
      <c r="E111" s="25">
        <v>43146</v>
      </c>
      <c r="F111" s="25">
        <v>43147</v>
      </c>
      <c r="G111" s="25">
        <v>43148</v>
      </c>
      <c r="H111" s="25">
        <v>43149</v>
      </c>
    </row>
    <row r="112" spans="1:8" ht="9" thickTop="1" thickBot="1" x14ac:dyDescent="0.2">
      <c r="A112" s="24" t="s">
        <v>587</v>
      </c>
      <c r="B112" s="24"/>
      <c r="C112" s="24"/>
      <c r="D112" s="24"/>
      <c r="E112" s="24"/>
      <c r="F112" s="24"/>
      <c r="G112" s="24"/>
      <c r="H112" s="24"/>
    </row>
    <row r="113" spans="1:8" ht="9" thickTop="1" thickBot="1" x14ac:dyDescent="0.2">
      <c r="A113" s="24" t="s">
        <v>522</v>
      </c>
      <c r="B113" s="24"/>
      <c r="C113" s="24"/>
      <c r="D113" s="24"/>
      <c r="E113" s="24"/>
      <c r="F113" s="24"/>
      <c r="G113" s="24"/>
      <c r="H113" s="24"/>
    </row>
    <row r="114" spans="1:8" ht="9" thickTop="1" thickBot="1" x14ac:dyDescent="0.2">
      <c r="A114" s="24" t="s">
        <v>525</v>
      </c>
      <c r="B114" s="24"/>
      <c r="C114" s="24"/>
      <c r="D114" s="24"/>
      <c r="E114" s="24"/>
      <c r="F114" s="24"/>
      <c r="G114" s="24"/>
      <c r="H114" s="24"/>
    </row>
    <row r="115" spans="1:8" ht="9" thickTop="1" thickBot="1" x14ac:dyDescent="0.2">
      <c r="A115" s="24" t="s">
        <v>201</v>
      </c>
      <c r="B115" s="24"/>
      <c r="C115" s="24"/>
      <c r="D115" s="24"/>
      <c r="E115" s="24"/>
      <c r="F115" s="24"/>
      <c r="G115" s="24"/>
      <c r="H115" s="24"/>
    </row>
    <row r="116" spans="1:8" ht="9" thickTop="1" thickBot="1" x14ac:dyDescent="0.2">
      <c r="A116" s="24" t="s">
        <v>6</v>
      </c>
      <c r="B116" s="24"/>
      <c r="C116" s="24"/>
      <c r="D116" s="24"/>
      <c r="E116" s="24"/>
      <c r="F116" s="24"/>
      <c r="G116" s="24"/>
      <c r="H116" s="24"/>
    </row>
    <row r="117" spans="1:8" ht="9" thickTop="1" thickBot="1" x14ac:dyDescent="0.2">
      <c r="A117" s="24" t="s">
        <v>526</v>
      </c>
      <c r="B117" s="24"/>
      <c r="C117" s="24"/>
      <c r="D117" s="24"/>
      <c r="E117" s="24"/>
      <c r="F117" s="24"/>
      <c r="G117" s="24"/>
      <c r="H117" s="24"/>
    </row>
    <row r="118" spans="1:8" ht="9" thickTop="1" thickBot="1" x14ac:dyDescent="0.2">
      <c r="A118" s="24" t="s">
        <v>588</v>
      </c>
      <c r="B118" s="24"/>
      <c r="C118" s="24"/>
      <c r="D118" s="24"/>
      <c r="E118" s="24"/>
      <c r="F118" s="24"/>
      <c r="G118" s="24"/>
      <c r="H118" s="24"/>
    </row>
    <row r="119" spans="1:8" ht="9" thickTop="1" thickBot="1" x14ac:dyDescent="0.2">
      <c r="A119" s="24" t="s">
        <v>528</v>
      </c>
      <c r="B119" s="24"/>
      <c r="C119" s="24"/>
      <c r="D119" s="24"/>
      <c r="E119" s="24"/>
      <c r="F119" s="24"/>
      <c r="G119" s="24"/>
      <c r="H119" s="24"/>
    </row>
    <row r="120" spans="1:8" ht="9" thickTop="1" thickBot="1" x14ac:dyDescent="0.2">
      <c r="A120" s="24" t="s">
        <v>531</v>
      </c>
      <c r="B120" s="24"/>
      <c r="C120" s="24"/>
      <c r="D120" s="24"/>
      <c r="E120" s="24"/>
      <c r="F120" s="24"/>
      <c r="G120" s="24"/>
      <c r="H120" s="24"/>
    </row>
    <row r="121" spans="1:8" ht="9" thickTop="1" thickBot="1" x14ac:dyDescent="0.2">
      <c r="A121" s="24" t="s">
        <v>589</v>
      </c>
      <c r="B121" s="24"/>
      <c r="C121" s="24"/>
      <c r="D121" s="24"/>
      <c r="E121" s="24"/>
      <c r="F121" s="24"/>
      <c r="G121" s="24"/>
      <c r="H121" s="24"/>
    </row>
    <row r="122" spans="1:8" ht="9" thickTop="1" thickBot="1" x14ac:dyDescent="0.2">
      <c r="A122" s="24" t="s">
        <v>517</v>
      </c>
      <c r="B122" s="24"/>
      <c r="C122" s="24"/>
      <c r="D122" s="24"/>
      <c r="E122" s="24"/>
      <c r="F122" s="24"/>
      <c r="G122" s="24"/>
      <c r="H122" s="24"/>
    </row>
    <row r="123" spans="1:8" ht="9" thickTop="1" thickBot="1" x14ac:dyDescent="0.2">
      <c r="A123" s="24" t="s">
        <v>520</v>
      </c>
      <c r="B123" s="24"/>
      <c r="C123" s="24"/>
      <c r="D123" s="24"/>
      <c r="E123" s="24"/>
      <c r="F123" s="24"/>
      <c r="G123" s="24"/>
      <c r="H123" s="24"/>
    </row>
    <row r="124" spans="1:8" ht="9" thickTop="1" thickBot="1" x14ac:dyDescent="0.2">
      <c r="A124" s="24" t="s">
        <v>590</v>
      </c>
      <c r="B124" s="24"/>
      <c r="C124" s="24"/>
      <c r="D124" s="24"/>
      <c r="E124" s="24"/>
      <c r="F124" s="24"/>
      <c r="G124" s="24"/>
      <c r="H124" s="24"/>
    </row>
    <row r="125" spans="1:8" ht="9" thickTop="1" thickBot="1" x14ac:dyDescent="0.2">
      <c r="A125" s="24" t="s">
        <v>533</v>
      </c>
      <c r="B125" s="24"/>
      <c r="C125" s="24"/>
      <c r="D125" s="24"/>
      <c r="E125" s="24"/>
      <c r="F125" s="24"/>
      <c r="G125" s="24"/>
      <c r="H125" s="24"/>
    </row>
    <row r="126" spans="1:8" ht="9" thickTop="1" thickBot="1" x14ac:dyDescent="0.2"/>
    <row r="127" spans="1:8" ht="9" thickTop="1" thickBot="1" x14ac:dyDescent="0.2">
      <c r="A127" s="71" t="s">
        <v>591</v>
      </c>
      <c r="B127" s="71"/>
      <c r="C127" s="71"/>
      <c r="D127" s="71"/>
      <c r="E127" s="71"/>
      <c r="F127" s="71"/>
      <c r="G127" s="71"/>
      <c r="H127" s="71"/>
    </row>
    <row r="128" spans="1:8" ht="9" thickTop="1" thickBot="1" x14ac:dyDescent="0.2">
      <c r="A128" s="24" t="s">
        <v>514</v>
      </c>
      <c r="B128" s="26">
        <f>B110+7</f>
        <v>50</v>
      </c>
      <c r="C128" s="26">
        <f t="shared" ref="C128:H128" si="6">C110+7</f>
        <v>51</v>
      </c>
      <c r="D128" s="26">
        <f t="shared" si="6"/>
        <v>52</v>
      </c>
      <c r="E128" s="26">
        <f t="shared" si="6"/>
        <v>53</v>
      </c>
      <c r="F128" s="26">
        <f t="shared" si="6"/>
        <v>54</v>
      </c>
      <c r="G128" s="26">
        <f t="shared" si="6"/>
        <v>55</v>
      </c>
      <c r="H128" s="26">
        <f t="shared" si="6"/>
        <v>56</v>
      </c>
    </row>
    <row r="129" spans="1:8" ht="9" thickTop="1" thickBot="1" x14ac:dyDescent="0.2">
      <c r="A129" s="24" t="s">
        <v>515</v>
      </c>
      <c r="B129" s="25">
        <v>43150</v>
      </c>
      <c r="C129" s="25">
        <v>43151</v>
      </c>
      <c r="D129" s="25">
        <v>43152</v>
      </c>
      <c r="E129" s="25">
        <v>43153</v>
      </c>
      <c r="F129" s="25">
        <v>43154</v>
      </c>
      <c r="G129" s="25">
        <v>43155</v>
      </c>
      <c r="H129" s="25">
        <v>43156</v>
      </c>
    </row>
    <row r="130" spans="1:8" ht="9" thickTop="1" thickBot="1" x14ac:dyDescent="0.2">
      <c r="A130" s="24" t="s">
        <v>587</v>
      </c>
      <c r="B130" s="24"/>
      <c r="C130" s="24"/>
      <c r="D130" s="24"/>
      <c r="E130" s="24"/>
      <c r="F130" s="24"/>
      <c r="G130" s="24"/>
      <c r="H130" s="24"/>
    </row>
    <row r="131" spans="1:8" ht="9" thickTop="1" thickBot="1" x14ac:dyDescent="0.2">
      <c r="A131" s="24" t="s">
        <v>522</v>
      </c>
      <c r="B131" s="24"/>
      <c r="C131" s="24"/>
      <c r="D131" s="24"/>
      <c r="E131" s="24"/>
      <c r="F131" s="24"/>
      <c r="G131" s="24"/>
      <c r="H131" s="24"/>
    </row>
    <row r="132" spans="1:8" ht="9" thickTop="1" thickBot="1" x14ac:dyDescent="0.2">
      <c r="A132" s="24" t="s">
        <v>525</v>
      </c>
      <c r="B132" s="24"/>
      <c r="C132" s="24"/>
      <c r="D132" s="24"/>
      <c r="E132" s="24"/>
      <c r="F132" s="24"/>
      <c r="G132" s="24"/>
      <c r="H132" s="24"/>
    </row>
    <row r="133" spans="1:8" ht="9" thickTop="1" thickBot="1" x14ac:dyDescent="0.2">
      <c r="A133" s="24" t="s">
        <v>201</v>
      </c>
      <c r="B133" s="24"/>
      <c r="C133" s="24"/>
      <c r="D133" s="24"/>
      <c r="E133" s="24"/>
      <c r="F133" s="24"/>
      <c r="G133" s="24"/>
      <c r="H133" s="24"/>
    </row>
    <row r="134" spans="1:8" ht="9" thickTop="1" thickBot="1" x14ac:dyDescent="0.2">
      <c r="A134" s="24" t="s">
        <v>6</v>
      </c>
      <c r="B134" s="24"/>
      <c r="C134" s="24"/>
      <c r="D134" s="24"/>
      <c r="E134" s="24"/>
      <c r="F134" s="24"/>
      <c r="G134" s="24"/>
      <c r="H134" s="24"/>
    </row>
    <row r="135" spans="1:8" ht="9" thickTop="1" thickBot="1" x14ac:dyDescent="0.2">
      <c r="A135" s="24" t="s">
        <v>526</v>
      </c>
      <c r="B135" s="24"/>
      <c r="C135" s="24"/>
      <c r="D135" s="24"/>
      <c r="E135" s="24"/>
      <c r="F135" s="24"/>
      <c r="G135" s="24"/>
      <c r="H135" s="24"/>
    </row>
    <row r="136" spans="1:8" ht="9" thickTop="1" thickBot="1" x14ac:dyDescent="0.2">
      <c r="A136" s="24" t="s">
        <v>588</v>
      </c>
      <c r="B136" s="24"/>
      <c r="C136" s="24"/>
      <c r="D136" s="24"/>
      <c r="E136" s="24"/>
      <c r="F136" s="24"/>
      <c r="G136" s="24"/>
      <c r="H136" s="24"/>
    </row>
    <row r="137" spans="1:8" ht="9" thickTop="1" thickBot="1" x14ac:dyDescent="0.2">
      <c r="A137" s="24" t="s">
        <v>528</v>
      </c>
      <c r="B137" s="24"/>
      <c r="C137" s="24"/>
      <c r="D137" s="24"/>
      <c r="E137" s="24"/>
      <c r="F137" s="24"/>
      <c r="G137" s="24"/>
      <c r="H137" s="24"/>
    </row>
    <row r="138" spans="1:8" ht="9" thickTop="1" thickBot="1" x14ac:dyDescent="0.2">
      <c r="A138" s="24" t="s">
        <v>531</v>
      </c>
      <c r="B138" s="24"/>
      <c r="C138" s="24"/>
      <c r="D138" s="24"/>
      <c r="E138" s="24"/>
      <c r="F138" s="24"/>
      <c r="G138" s="24"/>
      <c r="H138" s="24"/>
    </row>
    <row r="139" spans="1:8" ht="9" thickTop="1" thickBot="1" x14ac:dyDescent="0.2">
      <c r="A139" s="24" t="s">
        <v>589</v>
      </c>
      <c r="B139" s="24"/>
      <c r="C139" s="24"/>
      <c r="D139" s="24"/>
      <c r="E139" s="24"/>
      <c r="F139" s="24"/>
      <c r="G139" s="24"/>
      <c r="H139" s="24"/>
    </row>
    <row r="140" spans="1:8" ht="9" thickTop="1" thickBot="1" x14ac:dyDescent="0.2">
      <c r="A140" s="24" t="s">
        <v>517</v>
      </c>
      <c r="B140" s="24"/>
      <c r="C140" s="24"/>
      <c r="D140" s="24"/>
      <c r="E140" s="24"/>
      <c r="F140" s="24"/>
      <c r="G140" s="24"/>
      <c r="H140" s="24"/>
    </row>
    <row r="141" spans="1:8" ht="9" thickTop="1" thickBot="1" x14ac:dyDescent="0.2">
      <c r="A141" s="24" t="s">
        <v>520</v>
      </c>
      <c r="B141" s="24"/>
      <c r="C141" s="24"/>
      <c r="D141" s="24"/>
      <c r="E141" s="24"/>
      <c r="F141" s="24"/>
      <c r="G141" s="24"/>
      <c r="H141" s="24"/>
    </row>
    <row r="142" spans="1:8" ht="9" thickTop="1" thickBot="1" x14ac:dyDescent="0.2">
      <c r="A142" s="24" t="s">
        <v>590</v>
      </c>
      <c r="B142" s="24"/>
      <c r="C142" s="24"/>
      <c r="D142" s="24"/>
      <c r="E142" s="24"/>
      <c r="F142" s="24"/>
      <c r="G142" s="24"/>
      <c r="H142" s="24"/>
    </row>
    <row r="143" spans="1:8" ht="9" thickTop="1" thickBot="1" x14ac:dyDescent="0.2">
      <c r="A143" s="24" t="s">
        <v>533</v>
      </c>
      <c r="B143" s="24"/>
      <c r="C143" s="24"/>
      <c r="D143" s="24"/>
      <c r="E143" s="24"/>
      <c r="F143" s="24"/>
      <c r="G143" s="24"/>
      <c r="H143" s="24"/>
    </row>
    <row r="144" spans="1:8" ht="9" thickTop="1" thickBot="1" x14ac:dyDescent="0.2"/>
    <row r="145" spans="1:8" ht="9" thickTop="1" thickBot="1" x14ac:dyDescent="0.2">
      <c r="A145" s="71" t="s">
        <v>591</v>
      </c>
      <c r="B145" s="71"/>
      <c r="C145" s="71"/>
      <c r="D145" s="71"/>
      <c r="E145" s="71"/>
      <c r="F145" s="71"/>
      <c r="G145" s="71"/>
      <c r="H145" s="71"/>
    </row>
    <row r="146" spans="1:8" ht="9" thickTop="1" thickBot="1" x14ac:dyDescent="0.2">
      <c r="A146" s="24" t="s">
        <v>514</v>
      </c>
      <c r="B146" s="26">
        <f>B128+7</f>
        <v>57</v>
      </c>
      <c r="C146" s="26">
        <f t="shared" ref="C146:H146" si="7">C128+7</f>
        <v>58</v>
      </c>
      <c r="D146" s="26">
        <f t="shared" si="7"/>
        <v>59</v>
      </c>
      <c r="E146" s="26">
        <f t="shared" si="7"/>
        <v>60</v>
      </c>
      <c r="F146" s="26">
        <f t="shared" si="7"/>
        <v>61</v>
      </c>
      <c r="G146" s="26">
        <f t="shared" si="7"/>
        <v>62</v>
      </c>
      <c r="H146" s="26">
        <f t="shared" si="7"/>
        <v>63</v>
      </c>
    </row>
    <row r="147" spans="1:8" ht="9" thickTop="1" thickBot="1" x14ac:dyDescent="0.2">
      <c r="A147" s="24" t="s">
        <v>515</v>
      </c>
      <c r="B147" s="25">
        <v>43157</v>
      </c>
      <c r="C147" s="25">
        <v>43158</v>
      </c>
      <c r="D147" s="25">
        <v>43159</v>
      </c>
      <c r="E147" s="25">
        <v>43160</v>
      </c>
      <c r="F147" s="25">
        <v>43161</v>
      </c>
      <c r="G147" s="25">
        <v>43162</v>
      </c>
      <c r="H147" s="25">
        <v>43163</v>
      </c>
    </row>
    <row r="148" spans="1:8" ht="9" thickTop="1" thickBot="1" x14ac:dyDescent="0.2">
      <c r="A148" s="24" t="s">
        <v>587</v>
      </c>
      <c r="B148" s="24"/>
      <c r="C148" s="24"/>
      <c r="D148" s="24"/>
      <c r="E148" s="24"/>
      <c r="F148" s="24"/>
      <c r="G148" s="24"/>
      <c r="H148" s="24"/>
    </row>
    <row r="149" spans="1:8" ht="9" thickTop="1" thickBot="1" x14ac:dyDescent="0.2">
      <c r="A149" s="24" t="s">
        <v>522</v>
      </c>
      <c r="B149" s="24"/>
      <c r="C149" s="24"/>
      <c r="D149" s="24"/>
      <c r="E149" s="24"/>
      <c r="F149" s="24"/>
      <c r="G149" s="24"/>
      <c r="H149" s="24"/>
    </row>
    <row r="150" spans="1:8" ht="9" thickTop="1" thickBot="1" x14ac:dyDescent="0.2">
      <c r="A150" s="24" t="s">
        <v>525</v>
      </c>
      <c r="B150" s="24"/>
      <c r="C150" s="24"/>
      <c r="D150" s="24"/>
      <c r="E150" s="24"/>
      <c r="F150" s="24"/>
      <c r="G150" s="24"/>
      <c r="H150" s="24"/>
    </row>
    <row r="151" spans="1:8" ht="9" thickTop="1" thickBot="1" x14ac:dyDescent="0.2">
      <c r="A151" s="24" t="s">
        <v>201</v>
      </c>
      <c r="B151" s="24"/>
      <c r="C151" s="24"/>
      <c r="D151" s="24"/>
      <c r="E151" s="24"/>
      <c r="F151" s="24"/>
      <c r="G151" s="24"/>
      <c r="H151" s="24"/>
    </row>
    <row r="152" spans="1:8" ht="9" thickTop="1" thickBot="1" x14ac:dyDescent="0.2">
      <c r="A152" s="24" t="s">
        <v>6</v>
      </c>
      <c r="B152" s="24"/>
      <c r="C152" s="24"/>
      <c r="D152" s="24"/>
      <c r="E152" s="24"/>
      <c r="F152" s="24"/>
      <c r="G152" s="24"/>
      <c r="H152" s="24"/>
    </row>
    <row r="153" spans="1:8" ht="9" thickTop="1" thickBot="1" x14ac:dyDescent="0.2">
      <c r="A153" s="24" t="s">
        <v>526</v>
      </c>
      <c r="B153" s="24"/>
      <c r="C153" s="24"/>
      <c r="D153" s="24"/>
      <c r="E153" s="24"/>
      <c r="F153" s="24"/>
      <c r="G153" s="24"/>
      <c r="H153" s="24"/>
    </row>
    <row r="154" spans="1:8" ht="9" thickTop="1" thickBot="1" x14ac:dyDescent="0.2">
      <c r="A154" s="24" t="s">
        <v>588</v>
      </c>
      <c r="B154" s="24"/>
      <c r="C154" s="24"/>
      <c r="D154" s="24"/>
      <c r="E154" s="24"/>
      <c r="F154" s="24"/>
      <c r="G154" s="24"/>
      <c r="H154" s="24"/>
    </row>
    <row r="155" spans="1:8" ht="9" thickTop="1" thickBot="1" x14ac:dyDescent="0.2">
      <c r="A155" s="24" t="s">
        <v>528</v>
      </c>
      <c r="B155" s="24"/>
      <c r="C155" s="24"/>
      <c r="D155" s="24"/>
      <c r="E155" s="24"/>
      <c r="F155" s="24"/>
      <c r="G155" s="24"/>
      <c r="H155" s="24"/>
    </row>
    <row r="156" spans="1:8" ht="9" thickTop="1" thickBot="1" x14ac:dyDescent="0.2">
      <c r="A156" s="24" t="s">
        <v>531</v>
      </c>
      <c r="B156" s="24"/>
      <c r="C156" s="24"/>
      <c r="D156" s="24"/>
      <c r="E156" s="24"/>
      <c r="F156" s="24"/>
      <c r="G156" s="24"/>
      <c r="H156" s="24"/>
    </row>
    <row r="157" spans="1:8" ht="9" thickTop="1" thickBot="1" x14ac:dyDescent="0.2">
      <c r="A157" s="24" t="s">
        <v>589</v>
      </c>
      <c r="B157" s="24"/>
      <c r="C157" s="24"/>
      <c r="D157" s="24"/>
      <c r="E157" s="24"/>
      <c r="F157" s="24"/>
      <c r="G157" s="24"/>
      <c r="H157" s="24"/>
    </row>
    <row r="158" spans="1:8" ht="9" thickTop="1" thickBot="1" x14ac:dyDescent="0.2">
      <c r="A158" s="24" t="s">
        <v>517</v>
      </c>
      <c r="B158" s="24"/>
      <c r="C158" s="24"/>
      <c r="D158" s="24"/>
      <c r="E158" s="24"/>
      <c r="F158" s="24"/>
      <c r="G158" s="24"/>
      <c r="H158" s="24"/>
    </row>
    <row r="159" spans="1:8" ht="9" thickTop="1" thickBot="1" x14ac:dyDescent="0.2">
      <c r="A159" s="24" t="s">
        <v>520</v>
      </c>
      <c r="B159" s="24"/>
      <c r="C159" s="24"/>
      <c r="D159" s="24"/>
      <c r="E159" s="24"/>
      <c r="F159" s="24"/>
      <c r="G159" s="24"/>
      <c r="H159" s="24"/>
    </row>
    <row r="160" spans="1:8" ht="9" thickTop="1" thickBot="1" x14ac:dyDescent="0.2">
      <c r="A160" s="24" t="s">
        <v>590</v>
      </c>
      <c r="B160" s="24"/>
      <c r="C160" s="24"/>
      <c r="D160" s="24"/>
      <c r="E160" s="24"/>
      <c r="F160" s="24"/>
      <c r="G160" s="24"/>
      <c r="H160" s="24"/>
    </row>
    <row r="161" spans="1:8" ht="9" thickTop="1" thickBot="1" x14ac:dyDescent="0.2">
      <c r="A161" s="24" t="s">
        <v>533</v>
      </c>
      <c r="B161" s="24"/>
      <c r="C161" s="24"/>
      <c r="D161" s="24"/>
      <c r="E161" s="24"/>
      <c r="F161" s="24"/>
      <c r="G161" s="24"/>
      <c r="H161" s="24"/>
    </row>
    <row r="162" spans="1:8" ht="9" thickTop="1" thickBot="1" x14ac:dyDescent="0.2"/>
    <row r="163" spans="1:8" ht="9" thickTop="1" thickBot="1" x14ac:dyDescent="0.2">
      <c r="A163" s="71" t="s">
        <v>591</v>
      </c>
      <c r="B163" s="71"/>
      <c r="C163" s="71"/>
      <c r="D163" s="71"/>
      <c r="E163" s="71"/>
      <c r="F163" s="71"/>
      <c r="G163" s="71"/>
      <c r="H163" s="71"/>
    </row>
    <row r="164" spans="1:8" ht="9" thickTop="1" thickBot="1" x14ac:dyDescent="0.2">
      <c r="A164" s="24" t="s">
        <v>514</v>
      </c>
      <c r="B164" s="26">
        <f>B146+7</f>
        <v>64</v>
      </c>
      <c r="C164" s="26">
        <f t="shared" ref="C164:H164" si="8">C146+7</f>
        <v>65</v>
      </c>
      <c r="D164" s="26">
        <f t="shared" si="8"/>
        <v>66</v>
      </c>
      <c r="E164" s="26">
        <f t="shared" si="8"/>
        <v>67</v>
      </c>
      <c r="F164" s="26">
        <f t="shared" si="8"/>
        <v>68</v>
      </c>
      <c r="G164" s="26">
        <f t="shared" si="8"/>
        <v>69</v>
      </c>
      <c r="H164" s="26">
        <f t="shared" si="8"/>
        <v>70</v>
      </c>
    </row>
    <row r="165" spans="1:8" ht="9" thickTop="1" thickBot="1" x14ac:dyDescent="0.2">
      <c r="A165" s="24" t="s">
        <v>515</v>
      </c>
      <c r="B165" s="25">
        <v>43164</v>
      </c>
      <c r="C165" s="25">
        <v>43165</v>
      </c>
      <c r="D165" s="25">
        <v>43166</v>
      </c>
      <c r="E165" s="25">
        <v>43167</v>
      </c>
      <c r="F165" s="25">
        <v>43168</v>
      </c>
      <c r="G165" s="25">
        <v>43169</v>
      </c>
      <c r="H165" s="25">
        <v>43170</v>
      </c>
    </row>
    <row r="166" spans="1:8" ht="9" thickTop="1" thickBot="1" x14ac:dyDescent="0.2">
      <c r="A166" s="24" t="s">
        <v>587</v>
      </c>
      <c r="B166" s="24"/>
      <c r="C166" s="24"/>
      <c r="D166" s="24"/>
      <c r="E166" s="24"/>
      <c r="F166" s="24"/>
      <c r="G166" s="24"/>
      <c r="H166" s="24"/>
    </row>
    <row r="167" spans="1:8" ht="9" thickTop="1" thickBot="1" x14ac:dyDescent="0.2">
      <c r="A167" s="24" t="s">
        <v>522</v>
      </c>
      <c r="B167" s="24"/>
      <c r="C167" s="24"/>
      <c r="D167" s="24"/>
      <c r="E167" s="24"/>
      <c r="F167" s="24"/>
      <c r="G167" s="24"/>
      <c r="H167" s="24"/>
    </row>
    <row r="168" spans="1:8" ht="9" thickTop="1" thickBot="1" x14ac:dyDescent="0.2">
      <c r="A168" s="24" t="s">
        <v>525</v>
      </c>
      <c r="B168" s="24"/>
      <c r="C168" s="24"/>
      <c r="D168" s="24"/>
      <c r="E168" s="24"/>
      <c r="F168" s="24"/>
      <c r="G168" s="24"/>
      <c r="H168" s="24"/>
    </row>
    <row r="169" spans="1:8" ht="9" thickTop="1" thickBot="1" x14ac:dyDescent="0.2">
      <c r="A169" s="24" t="s">
        <v>201</v>
      </c>
      <c r="B169" s="24"/>
      <c r="C169" s="24"/>
      <c r="D169" s="24"/>
      <c r="E169" s="24"/>
      <c r="F169" s="24"/>
      <c r="G169" s="24"/>
      <c r="H169" s="24"/>
    </row>
    <row r="170" spans="1:8" ht="9" thickTop="1" thickBot="1" x14ac:dyDescent="0.2">
      <c r="A170" s="24" t="s">
        <v>6</v>
      </c>
      <c r="B170" s="24"/>
      <c r="C170" s="24"/>
      <c r="D170" s="24"/>
      <c r="E170" s="24"/>
      <c r="F170" s="24"/>
      <c r="G170" s="24"/>
      <c r="H170" s="24"/>
    </row>
    <row r="171" spans="1:8" ht="9" thickTop="1" thickBot="1" x14ac:dyDescent="0.2">
      <c r="A171" s="24" t="s">
        <v>526</v>
      </c>
      <c r="B171" s="24"/>
      <c r="C171" s="24"/>
      <c r="D171" s="24"/>
      <c r="E171" s="24"/>
      <c r="F171" s="24"/>
      <c r="G171" s="24"/>
      <c r="H171" s="24"/>
    </row>
    <row r="172" spans="1:8" ht="9" thickTop="1" thickBot="1" x14ac:dyDescent="0.2">
      <c r="A172" s="24" t="s">
        <v>588</v>
      </c>
      <c r="B172" s="24"/>
      <c r="C172" s="24"/>
      <c r="D172" s="24"/>
      <c r="E172" s="24"/>
      <c r="F172" s="24"/>
      <c r="G172" s="24"/>
      <c r="H172" s="24"/>
    </row>
    <row r="173" spans="1:8" ht="9" thickTop="1" thickBot="1" x14ac:dyDescent="0.2">
      <c r="A173" s="24" t="s">
        <v>528</v>
      </c>
      <c r="B173" s="24"/>
      <c r="C173" s="24"/>
      <c r="D173" s="24"/>
      <c r="E173" s="24"/>
      <c r="F173" s="24"/>
      <c r="G173" s="24"/>
      <c r="H173" s="24"/>
    </row>
    <row r="174" spans="1:8" ht="9" thickTop="1" thickBot="1" x14ac:dyDescent="0.2">
      <c r="A174" s="24" t="s">
        <v>531</v>
      </c>
      <c r="B174" s="24"/>
      <c r="C174" s="24"/>
      <c r="D174" s="24"/>
      <c r="E174" s="24"/>
      <c r="F174" s="24"/>
      <c r="G174" s="24"/>
      <c r="H174" s="24"/>
    </row>
    <row r="175" spans="1:8" ht="9" thickTop="1" thickBot="1" x14ac:dyDescent="0.2">
      <c r="A175" s="24" t="s">
        <v>589</v>
      </c>
      <c r="B175" s="24"/>
      <c r="C175" s="24"/>
      <c r="D175" s="24"/>
      <c r="E175" s="24"/>
      <c r="F175" s="24"/>
      <c r="G175" s="24"/>
      <c r="H175" s="24"/>
    </row>
    <row r="176" spans="1:8" ht="9" thickTop="1" thickBot="1" x14ac:dyDescent="0.2">
      <c r="A176" s="24" t="s">
        <v>517</v>
      </c>
      <c r="B176" s="24"/>
      <c r="C176" s="24"/>
      <c r="D176" s="24"/>
      <c r="E176" s="24"/>
      <c r="F176" s="24"/>
      <c r="G176" s="24"/>
      <c r="H176" s="24"/>
    </row>
    <row r="177" spans="1:8" ht="9" thickTop="1" thickBot="1" x14ac:dyDescent="0.2">
      <c r="A177" s="24" t="s">
        <v>520</v>
      </c>
      <c r="B177" s="24"/>
      <c r="C177" s="24"/>
      <c r="D177" s="24"/>
      <c r="E177" s="24"/>
      <c r="F177" s="24"/>
      <c r="G177" s="24"/>
      <c r="H177" s="24"/>
    </row>
    <row r="178" spans="1:8" ht="9" thickTop="1" thickBot="1" x14ac:dyDescent="0.2">
      <c r="A178" s="24" t="s">
        <v>590</v>
      </c>
      <c r="B178" s="24"/>
      <c r="C178" s="24"/>
      <c r="D178" s="24"/>
      <c r="E178" s="24"/>
      <c r="F178" s="24"/>
      <c r="G178" s="24"/>
      <c r="H178" s="24"/>
    </row>
    <row r="179" spans="1:8" ht="9" thickTop="1" thickBot="1" x14ac:dyDescent="0.2">
      <c r="A179" s="24" t="s">
        <v>533</v>
      </c>
      <c r="B179" s="24"/>
      <c r="C179" s="24"/>
      <c r="D179" s="24"/>
      <c r="E179" s="24"/>
      <c r="F179" s="24"/>
      <c r="G179" s="24"/>
      <c r="H179" s="24"/>
    </row>
    <row r="180" spans="1:8" ht="9" thickTop="1" thickBot="1" x14ac:dyDescent="0.2"/>
    <row r="181" spans="1:8" ht="9" thickTop="1" thickBot="1" x14ac:dyDescent="0.2">
      <c r="A181" s="71" t="s">
        <v>591</v>
      </c>
      <c r="B181" s="71"/>
      <c r="C181" s="71"/>
      <c r="D181" s="71"/>
      <c r="E181" s="71"/>
      <c r="F181" s="71"/>
      <c r="G181" s="71"/>
      <c r="H181" s="71"/>
    </row>
    <row r="182" spans="1:8" ht="9" thickTop="1" thickBot="1" x14ac:dyDescent="0.2">
      <c r="A182" s="24" t="s">
        <v>514</v>
      </c>
      <c r="B182" s="26">
        <f>B164+7</f>
        <v>71</v>
      </c>
      <c r="C182" s="26">
        <f t="shared" ref="C182:H182" si="9">C164+7</f>
        <v>72</v>
      </c>
      <c r="D182" s="26">
        <f t="shared" si="9"/>
        <v>73</v>
      </c>
      <c r="E182" s="26">
        <f t="shared" si="9"/>
        <v>74</v>
      </c>
      <c r="F182" s="26">
        <f t="shared" si="9"/>
        <v>75</v>
      </c>
      <c r="G182" s="26">
        <f t="shared" si="9"/>
        <v>76</v>
      </c>
      <c r="H182" s="26">
        <f t="shared" si="9"/>
        <v>77</v>
      </c>
    </row>
    <row r="183" spans="1:8" ht="9" thickTop="1" thickBot="1" x14ac:dyDescent="0.2">
      <c r="A183" s="24" t="s">
        <v>515</v>
      </c>
      <c r="B183" s="25">
        <v>43171</v>
      </c>
      <c r="C183" s="25">
        <v>43172</v>
      </c>
      <c r="D183" s="25">
        <v>43173</v>
      </c>
      <c r="E183" s="25">
        <v>43174</v>
      </c>
      <c r="F183" s="25">
        <v>43175</v>
      </c>
      <c r="G183" s="25">
        <v>43176</v>
      </c>
      <c r="H183" s="25">
        <v>43177</v>
      </c>
    </row>
    <row r="184" spans="1:8" ht="9" thickTop="1" thickBot="1" x14ac:dyDescent="0.2">
      <c r="A184" s="24" t="s">
        <v>587</v>
      </c>
      <c r="B184" s="24"/>
      <c r="C184" s="24"/>
      <c r="D184" s="24"/>
      <c r="E184" s="24"/>
      <c r="F184" s="24"/>
      <c r="G184" s="24"/>
      <c r="H184" s="24"/>
    </row>
    <row r="185" spans="1:8" ht="9" thickTop="1" thickBot="1" x14ac:dyDescent="0.2">
      <c r="A185" s="24" t="s">
        <v>522</v>
      </c>
      <c r="B185" s="24"/>
      <c r="C185" s="24"/>
      <c r="D185" s="24"/>
      <c r="E185" s="24"/>
      <c r="F185" s="24"/>
      <c r="G185" s="24"/>
      <c r="H185" s="24"/>
    </row>
    <row r="186" spans="1:8" ht="9" thickTop="1" thickBot="1" x14ac:dyDescent="0.2">
      <c r="A186" s="24" t="s">
        <v>525</v>
      </c>
      <c r="B186" s="24"/>
      <c r="C186" s="24"/>
      <c r="D186" s="24"/>
      <c r="E186" s="24"/>
      <c r="F186" s="24"/>
      <c r="G186" s="24"/>
      <c r="H186" s="24"/>
    </row>
    <row r="187" spans="1:8" ht="9" thickTop="1" thickBot="1" x14ac:dyDescent="0.2">
      <c r="A187" s="24" t="s">
        <v>201</v>
      </c>
      <c r="B187" s="24"/>
      <c r="C187" s="24"/>
      <c r="D187" s="24"/>
      <c r="E187" s="24"/>
      <c r="F187" s="24"/>
      <c r="G187" s="24"/>
      <c r="H187" s="24"/>
    </row>
    <row r="188" spans="1:8" ht="9" thickTop="1" thickBot="1" x14ac:dyDescent="0.2">
      <c r="A188" s="24" t="s">
        <v>6</v>
      </c>
      <c r="B188" s="24"/>
      <c r="C188" s="24"/>
      <c r="D188" s="24"/>
      <c r="E188" s="24"/>
      <c r="F188" s="24"/>
      <c r="G188" s="24"/>
      <c r="H188" s="24"/>
    </row>
    <row r="189" spans="1:8" ht="9" thickTop="1" thickBot="1" x14ac:dyDescent="0.2">
      <c r="A189" s="24" t="s">
        <v>526</v>
      </c>
      <c r="B189" s="24"/>
      <c r="C189" s="24"/>
      <c r="D189" s="24"/>
      <c r="E189" s="24"/>
      <c r="F189" s="24"/>
      <c r="G189" s="24"/>
      <c r="H189" s="24"/>
    </row>
    <row r="190" spans="1:8" ht="9" thickTop="1" thickBot="1" x14ac:dyDescent="0.2">
      <c r="A190" s="24" t="s">
        <v>588</v>
      </c>
      <c r="B190" s="24"/>
      <c r="C190" s="24"/>
      <c r="D190" s="24"/>
      <c r="E190" s="24"/>
      <c r="F190" s="24"/>
      <c r="G190" s="24"/>
      <c r="H190" s="24"/>
    </row>
    <row r="191" spans="1:8" ht="9" thickTop="1" thickBot="1" x14ac:dyDescent="0.2">
      <c r="A191" s="24" t="s">
        <v>528</v>
      </c>
      <c r="B191" s="24"/>
      <c r="C191" s="24"/>
      <c r="D191" s="24"/>
      <c r="E191" s="24"/>
      <c r="F191" s="24"/>
      <c r="G191" s="24"/>
      <c r="H191" s="24"/>
    </row>
    <row r="192" spans="1:8" ht="9" thickTop="1" thickBot="1" x14ac:dyDescent="0.2">
      <c r="A192" s="24" t="s">
        <v>531</v>
      </c>
      <c r="B192" s="24"/>
      <c r="C192" s="24"/>
      <c r="D192" s="24"/>
      <c r="E192" s="24"/>
      <c r="F192" s="24"/>
      <c r="G192" s="24"/>
      <c r="H192" s="24"/>
    </row>
    <row r="193" spans="1:8" ht="9" thickTop="1" thickBot="1" x14ac:dyDescent="0.2">
      <c r="A193" s="24" t="s">
        <v>589</v>
      </c>
      <c r="B193" s="24"/>
      <c r="C193" s="24"/>
      <c r="D193" s="24"/>
      <c r="E193" s="24"/>
      <c r="F193" s="24"/>
      <c r="G193" s="24"/>
      <c r="H193" s="24"/>
    </row>
    <row r="194" spans="1:8" ht="9" thickTop="1" thickBot="1" x14ac:dyDescent="0.2">
      <c r="A194" s="24" t="s">
        <v>517</v>
      </c>
      <c r="B194" s="24"/>
      <c r="C194" s="24"/>
      <c r="D194" s="24"/>
      <c r="E194" s="24"/>
      <c r="F194" s="24"/>
      <c r="G194" s="24"/>
      <c r="H194" s="24"/>
    </row>
    <row r="195" spans="1:8" ht="9" thickTop="1" thickBot="1" x14ac:dyDescent="0.2">
      <c r="A195" s="24" t="s">
        <v>520</v>
      </c>
      <c r="B195" s="24"/>
      <c r="C195" s="24"/>
      <c r="D195" s="24"/>
      <c r="E195" s="24"/>
      <c r="F195" s="24"/>
      <c r="G195" s="24"/>
      <c r="H195" s="24"/>
    </row>
    <row r="196" spans="1:8" ht="9" thickTop="1" thickBot="1" x14ac:dyDescent="0.2">
      <c r="A196" s="24" t="s">
        <v>590</v>
      </c>
      <c r="B196" s="24"/>
      <c r="C196" s="24"/>
      <c r="D196" s="24"/>
      <c r="E196" s="24"/>
      <c r="F196" s="24"/>
      <c r="G196" s="24"/>
      <c r="H196" s="24"/>
    </row>
    <row r="197" spans="1:8" ht="9" thickTop="1" thickBot="1" x14ac:dyDescent="0.2">
      <c r="A197" s="24" t="s">
        <v>533</v>
      </c>
      <c r="B197" s="24"/>
      <c r="C197" s="24"/>
      <c r="D197" s="24"/>
      <c r="E197" s="24"/>
      <c r="F197" s="24"/>
      <c r="G197" s="24"/>
      <c r="H197" s="24"/>
    </row>
    <row r="198" spans="1:8" ht="9" thickTop="1" thickBot="1" x14ac:dyDescent="0.2"/>
    <row r="199" spans="1:8" ht="9" thickTop="1" thickBot="1" x14ac:dyDescent="0.2">
      <c r="A199" s="71" t="s">
        <v>591</v>
      </c>
      <c r="B199" s="71"/>
      <c r="C199" s="71"/>
      <c r="D199" s="71"/>
      <c r="E199" s="71"/>
      <c r="F199" s="71"/>
      <c r="G199" s="71"/>
      <c r="H199" s="71"/>
    </row>
    <row r="200" spans="1:8" ht="9" thickTop="1" thickBot="1" x14ac:dyDescent="0.2">
      <c r="A200" s="24" t="s">
        <v>514</v>
      </c>
      <c r="B200" s="26">
        <f>B182+7</f>
        <v>78</v>
      </c>
      <c r="C200" s="26">
        <f t="shared" ref="C200:H200" si="10">C182+7</f>
        <v>79</v>
      </c>
      <c r="D200" s="26">
        <f t="shared" si="10"/>
        <v>80</v>
      </c>
      <c r="E200" s="26">
        <f t="shared" si="10"/>
        <v>81</v>
      </c>
      <c r="F200" s="26">
        <f t="shared" si="10"/>
        <v>82</v>
      </c>
      <c r="G200" s="26">
        <f t="shared" si="10"/>
        <v>83</v>
      </c>
      <c r="H200" s="26">
        <f t="shared" si="10"/>
        <v>84</v>
      </c>
    </row>
    <row r="201" spans="1:8" ht="9" thickTop="1" thickBot="1" x14ac:dyDescent="0.2">
      <c r="A201" s="24" t="s">
        <v>515</v>
      </c>
      <c r="B201" s="25">
        <v>43178</v>
      </c>
      <c r="C201" s="25">
        <v>43179</v>
      </c>
      <c r="D201" s="25">
        <v>43180</v>
      </c>
      <c r="E201" s="25">
        <v>43181</v>
      </c>
      <c r="F201" s="25">
        <v>43182</v>
      </c>
      <c r="G201" s="25">
        <v>43183</v>
      </c>
      <c r="H201" s="25">
        <v>43184</v>
      </c>
    </row>
    <row r="202" spans="1:8" ht="9" thickTop="1" thickBot="1" x14ac:dyDescent="0.2">
      <c r="A202" s="24" t="s">
        <v>587</v>
      </c>
      <c r="B202" s="24"/>
      <c r="C202" s="24"/>
      <c r="D202" s="24"/>
      <c r="E202" s="24"/>
      <c r="F202" s="24"/>
      <c r="G202" s="24"/>
      <c r="H202" s="24"/>
    </row>
    <row r="203" spans="1:8" ht="9" thickTop="1" thickBot="1" x14ac:dyDescent="0.2">
      <c r="A203" s="24" t="s">
        <v>522</v>
      </c>
      <c r="B203" s="24"/>
      <c r="C203" s="24"/>
      <c r="D203" s="24"/>
      <c r="E203" s="24"/>
      <c r="F203" s="24"/>
      <c r="G203" s="24"/>
      <c r="H203" s="24"/>
    </row>
    <row r="204" spans="1:8" ht="9" thickTop="1" thickBot="1" x14ac:dyDescent="0.2">
      <c r="A204" s="24" t="s">
        <v>525</v>
      </c>
      <c r="B204" s="24"/>
      <c r="C204" s="24"/>
      <c r="D204" s="24"/>
      <c r="E204" s="24"/>
      <c r="F204" s="24"/>
      <c r="G204" s="24"/>
      <c r="H204" s="24"/>
    </row>
    <row r="205" spans="1:8" ht="9" thickTop="1" thickBot="1" x14ac:dyDescent="0.2">
      <c r="A205" s="24" t="s">
        <v>201</v>
      </c>
      <c r="B205" s="24"/>
      <c r="C205" s="24"/>
      <c r="D205" s="24"/>
      <c r="E205" s="24"/>
      <c r="F205" s="24"/>
      <c r="G205" s="24"/>
      <c r="H205" s="24"/>
    </row>
    <row r="206" spans="1:8" ht="9" thickTop="1" thickBot="1" x14ac:dyDescent="0.2">
      <c r="A206" s="24" t="s">
        <v>6</v>
      </c>
      <c r="B206" s="24"/>
      <c r="C206" s="24"/>
      <c r="D206" s="24"/>
      <c r="E206" s="24"/>
      <c r="F206" s="24"/>
      <c r="G206" s="24"/>
      <c r="H206" s="24"/>
    </row>
    <row r="207" spans="1:8" ht="9" thickTop="1" thickBot="1" x14ac:dyDescent="0.2">
      <c r="A207" s="24" t="s">
        <v>526</v>
      </c>
      <c r="B207" s="24"/>
      <c r="C207" s="24"/>
      <c r="D207" s="24"/>
      <c r="E207" s="24"/>
      <c r="F207" s="24"/>
      <c r="G207" s="24"/>
      <c r="H207" s="24"/>
    </row>
    <row r="208" spans="1:8" ht="9" thickTop="1" thickBot="1" x14ac:dyDescent="0.2">
      <c r="A208" s="24" t="s">
        <v>588</v>
      </c>
      <c r="B208" s="24"/>
      <c r="C208" s="24"/>
      <c r="D208" s="24"/>
      <c r="E208" s="24"/>
      <c r="F208" s="24"/>
      <c r="G208" s="24"/>
      <c r="H208" s="24"/>
    </row>
    <row r="209" spans="1:8" ht="9" thickTop="1" thickBot="1" x14ac:dyDescent="0.2">
      <c r="A209" s="24" t="s">
        <v>528</v>
      </c>
      <c r="B209" s="24"/>
      <c r="C209" s="24"/>
      <c r="D209" s="24"/>
      <c r="E209" s="24"/>
      <c r="F209" s="24"/>
      <c r="G209" s="24"/>
      <c r="H209" s="24"/>
    </row>
    <row r="210" spans="1:8" ht="9" thickTop="1" thickBot="1" x14ac:dyDescent="0.2">
      <c r="A210" s="24" t="s">
        <v>531</v>
      </c>
      <c r="B210" s="24"/>
      <c r="C210" s="24"/>
      <c r="D210" s="24"/>
      <c r="E210" s="24"/>
      <c r="F210" s="24"/>
      <c r="G210" s="24"/>
      <c r="H210" s="24"/>
    </row>
    <row r="211" spans="1:8" ht="9" thickTop="1" thickBot="1" x14ac:dyDescent="0.2">
      <c r="A211" s="24" t="s">
        <v>589</v>
      </c>
      <c r="B211" s="24"/>
      <c r="C211" s="24"/>
      <c r="D211" s="24"/>
      <c r="E211" s="24"/>
      <c r="F211" s="24"/>
      <c r="G211" s="24"/>
      <c r="H211" s="24"/>
    </row>
    <row r="212" spans="1:8" ht="9" thickTop="1" thickBot="1" x14ac:dyDescent="0.2">
      <c r="A212" s="24" t="s">
        <v>517</v>
      </c>
      <c r="B212" s="24"/>
      <c r="C212" s="24"/>
      <c r="D212" s="24"/>
      <c r="E212" s="24"/>
      <c r="F212" s="24"/>
      <c r="G212" s="24"/>
      <c r="H212" s="24"/>
    </row>
    <row r="213" spans="1:8" ht="9" thickTop="1" thickBot="1" x14ac:dyDescent="0.2">
      <c r="A213" s="24" t="s">
        <v>520</v>
      </c>
      <c r="B213" s="24"/>
      <c r="C213" s="24"/>
      <c r="D213" s="24"/>
      <c r="E213" s="24"/>
      <c r="F213" s="24"/>
      <c r="G213" s="24"/>
      <c r="H213" s="24"/>
    </row>
    <row r="214" spans="1:8" ht="9" thickTop="1" thickBot="1" x14ac:dyDescent="0.2">
      <c r="A214" s="24" t="s">
        <v>590</v>
      </c>
      <c r="B214" s="24"/>
      <c r="C214" s="24"/>
      <c r="D214" s="24"/>
      <c r="E214" s="24"/>
      <c r="F214" s="24"/>
      <c r="G214" s="24"/>
      <c r="H214" s="24"/>
    </row>
    <row r="215" spans="1:8" ht="9" thickTop="1" thickBot="1" x14ac:dyDescent="0.2">
      <c r="A215" s="24" t="s">
        <v>533</v>
      </c>
      <c r="B215" s="24"/>
      <c r="C215" s="24"/>
      <c r="D215" s="24"/>
      <c r="E215" s="24"/>
      <c r="F215" s="24"/>
      <c r="G215" s="24"/>
      <c r="H215" s="24"/>
    </row>
    <row r="216" spans="1:8" ht="9" thickTop="1" thickBot="1" x14ac:dyDescent="0.2"/>
    <row r="217" spans="1:8" ht="9" thickTop="1" thickBot="1" x14ac:dyDescent="0.2">
      <c r="A217" s="71" t="s">
        <v>591</v>
      </c>
      <c r="B217" s="71"/>
      <c r="C217" s="71"/>
      <c r="D217" s="71"/>
      <c r="E217" s="71"/>
      <c r="F217" s="71"/>
      <c r="G217" s="71"/>
      <c r="H217" s="71"/>
    </row>
    <row r="218" spans="1:8" ht="9" thickTop="1" thickBot="1" x14ac:dyDescent="0.2">
      <c r="A218" s="24" t="s">
        <v>514</v>
      </c>
      <c r="B218" s="26">
        <f>B200+7</f>
        <v>85</v>
      </c>
      <c r="C218" s="26">
        <f t="shared" ref="C218:H218" si="11">C200+7</f>
        <v>86</v>
      </c>
      <c r="D218" s="26">
        <f t="shared" si="11"/>
        <v>87</v>
      </c>
      <c r="E218" s="26">
        <f t="shared" si="11"/>
        <v>88</v>
      </c>
      <c r="F218" s="26">
        <f t="shared" si="11"/>
        <v>89</v>
      </c>
      <c r="G218" s="26">
        <f t="shared" si="11"/>
        <v>90</v>
      </c>
      <c r="H218" s="26">
        <f t="shared" si="11"/>
        <v>91</v>
      </c>
    </row>
    <row r="219" spans="1:8" ht="9" thickTop="1" thickBot="1" x14ac:dyDescent="0.2">
      <c r="A219" s="24" t="s">
        <v>515</v>
      </c>
      <c r="B219" s="25">
        <v>43185</v>
      </c>
      <c r="C219" s="25">
        <v>43186</v>
      </c>
      <c r="D219" s="25">
        <v>43187</v>
      </c>
      <c r="E219" s="25">
        <v>43188</v>
      </c>
      <c r="F219" s="25">
        <v>43189</v>
      </c>
      <c r="G219" s="25">
        <v>43190</v>
      </c>
      <c r="H219" s="25">
        <v>43191</v>
      </c>
    </row>
    <row r="220" spans="1:8" ht="9" thickTop="1" thickBot="1" x14ac:dyDescent="0.2">
      <c r="A220" s="24" t="s">
        <v>587</v>
      </c>
      <c r="B220" s="24"/>
      <c r="C220" s="24"/>
      <c r="D220" s="24"/>
      <c r="E220" s="24"/>
      <c r="F220" s="24"/>
      <c r="G220" s="24"/>
      <c r="H220" s="24"/>
    </row>
    <row r="221" spans="1:8" ht="9" thickTop="1" thickBot="1" x14ac:dyDescent="0.2">
      <c r="A221" s="24" t="s">
        <v>522</v>
      </c>
      <c r="B221" s="24"/>
      <c r="C221" s="24"/>
      <c r="D221" s="24"/>
      <c r="E221" s="24"/>
      <c r="F221" s="24"/>
      <c r="G221" s="24"/>
      <c r="H221" s="24"/>
    </row>
    <row r="222" spans="1:8" ht="9" thickTop="1" thickBot="1" x14ac:dyDescent="0.2">
      <c r="A222" s="24" t="s">
        <v>525</v>
      </c>
      <c r="B222" s="24"/>
      <c r="C222" s="24"/>
      <c r="D222" s="24"/>
      <c r="E222" s="24"/>
      <c r="F222" s="24"/>
      <c r="G222" s="24"/>
      <c r="H222" s="24"/>
    </row>
    <row r="223" spans="1:8" ht="9" thickTop="1" thickBot="1" x14ac:dyDescent="0.2">
      <c r="A223" s="24" t="s">
        <v>201</v>
      </c>
      <c r="B223" s="24"/>
      <c r="C223" s="24"/>
      <c r="D223" s="24"/>
      <c r="E223" s="24"/>
      <c r="F223" s="24"/>
      <c r="G223" s="24"/>
      <c r="H223" s="24"/>
    </row>
    <row r="224" spans="1:8" ht="9" thickTop="1" thickBot="1" x14ac:dyDescent="0.2">
      <c r="A224" s="24" t="s">
        <v>6</v>
      </c>
      <c r="B224" s="24"/>
      <c r="C224" s="24"/>
      <c r="D224" s="24"/>
      <c r="E224" s="24"/>
      <c r="F224" s="24"/>
      <c r="G224" s="24"/>
      <c r="H224" s="24"/>
    </row>
    <row r="225" spans="1:8" ht="9" thickTop="1" thickBot="1" x14ac:dyDescent="0.2">
      <c r="A225" s="24" t="s">
        <v>526</v>
      </c>
      <c r="B225" s="24"/>
      <c r="C225" s="24"/>
      <c r="D225" s="24"/>
      <c r="E225" s="24"/>
      <c r="F225" s="24"/>
      <c r="G225" s="24"/>
      <c r="H225" s="24"/>
    </row>
    <row r="226" spans="1:8" ht="9" thickTop="1" thickBot="1" x14ac:dyDescent="0.2">
      <c r="A226" s="24" t="s">
        <v>588</v>
      </c>
      <c r="B226" s="24"/>
      <c r="C226" s="24"/>
      <c r="D226" s="24"/>
      <c r="E226" s="24"/>
      <c r="F226" s="24"/>
      <c r="G226" s="24"/>
      <c r="H226" s="24"/>
    </row>
    <row r="227" spans="1:8" ht="9" thickTop="1" thickBot="1" x14ac:dyDescent="0.2">
      <c r="A227" s="24" t="s">
        <v>528</v>
      </c>
      <c r="B227" s="24"/>
      <c r="C227" s="24"/>
      <c r="D227" s="24"/>
      <c r="E227" s="24"/>
      <c r="F227" s="24"/>
      <c r="G227" s="24"/>
      <c r="H227" s="24"/>
    </row>
    <row r="228" spans="1:8" ht="9" thickTop="1" thickBot="1" x14ac:dyDescent="0.2">
      <c r="A228" s="24" t="s">
        <v>531</v>
      </c>
      <c r="B228" s="24"/>
      <c r="C228" s="24"/>
      <c r="D228" s="24"/>
      <c r="E228" s="24"/>
      <c r="F228" s="24"/>
      <c r="G228" s="24"/>
      <c r="H228" s="24"/>
    </row>
    <row r="229" spans="1:8" ht="9" thickTop="1" thickBot="1" x14ac:dyDescent="0.2">
      <c r="A229" s="24" t="s">
        <v>589</v>
      </c>
      <c r="B229" s="24"/>
      <c r="C229" s="24"/>
      <c r="D229" s="24"/>
      <c r="E229" s="24"/>
      <c r="F229" s="24"/>
      <c r="G229" s="24"/>
      <c r="H229" s="24"/>
    </row>
    <row r="230" spans="1:8" ht="9" thickTop="1" thickBot="1" x14ac:dyDescent="0.2">
      <c r="A230" s="24" t="s">
        <v>517</v>
      </c>
      <c r="B230" s="24"/>
      <c r="C230" s="24"/>
      <c r="D230" s="24"/>
      <c r="E230" s="24"/>
      <c r="F230" s="24"/>
      <c r="G230" s="24"/>
      <c r="H230" s="24"/>
    </row>
    <row r="231" spans="1:8" ht="9" thickTop="1" thickBot="1" x14ac:dyDescent="0.2">
      <c r="A231" s="24" t="s">
        <v>520</v>
      </c>
      <c r="B231" s="24"/>
      <c r="C231" s="24"/>
      <c r="D231" s="24"/>
      <c r="E231" s="24"/>
      <c r="F231" s="24"/>
      <c r="G231" s="24"/>
      <c r="H231" s="24"/>
    </row>
    <row r="232" spans="1:8" ht="9" thickTop="1" thickBot="1" x14ac:dyDescent="0.2">
      <c r="A232" s="24" t="s">
        <v>590</v>
      </c>
      <c r="B232" s="24"/>
      <c r="C232" s="24"/>
      <c r="D232" s="24"/>
      <c r="E232" s="24"/>
      <c r="F232" s="24"/>
      <c r="G232" s="24"/>
      <c r="H232" s="24"/>
    </row>
    <row r="233" spans="1:8" ht="9" thickTop="1" thickBot="1" x14ac:dyDescent="0.2">
      <c r="A233" s="24" t="s">
        <v>533</v>
      </c>
      <c r="B233" s="24"/>
      <c r="C233" s="24"/>
      <c r="D233" s="24"/>
      <c r="E233" s="24"/>
      <c r="F233" s="24"/>
      <c r="G233" s="24"/>
      <c r="H233" s="24"/>
    </row>
    <row r="234" spans="1:8" ht="9" thickTop="1" thickBot="1" x14ac:dyDescent="0.2"/>
    <row r="235" spans="1:8" ht="9" thickTop="1" thickBot="1" x14ac:dyDescent="0.2">
      <c r="A235" s="71" t="s">
        <v>591</v>
      </c>
      <c r="B235" s="71"/>
      <c r="C235" s="71"/>
      <c r="D235" s="71"/>
      <c r="E235" s="71"/>
      <c r="F235" s="71"/>
      <c r="G235" s="71"/>
      <c r="H235" s="71"/>
    </row>
    <row r="236" spans="1:8" ht="9" thickTop="1" thickBot="1" x14ac:dyDescent="0.2">
      <c r="A236" s="24" t="s">
        <v>514</v>
      </c>
      <c r="B236" s="26">
        <f>B218+7</f>
        <v>92</v>
      </c>
      <c r="C236" s="26">
        <f t="shared" ref="C236:H236" si="12">C218+7</f>
        <v>93</v>
      </c>
      <c r="D236" s="26">
        <f t="shared" si="12"/>
        <v>94</v>
      </c>
      <c r="E236" s="26">
        <f t="shared" si="12"/>
        <v>95</v>
      </c>
      <c r="F236" s="26">
        <f t="shared" si="12"/>
        <v>96</v>
      </c>
      <c r="G236" s="26">
        <f t="shared" si="12"/>
        <v>97</v>
      </c>
      <c r="H236" s="26">
        <f t="shared" si="12"/>
        <v>98</v>
      </c>
    </row>
    <row r="237" spans="1:8" ht="9" thickTop="1" thickBot="1" x14ac:dyDescent="0.2">
      <c r="A237" s="24" t="s">
        <v>515</v>
      </c>
      <c r="B237" s="25">
        <v>43192</v>
      </c>
      <c r="C237" s="25">
        <v>43193</v>
      </c>
      <c r="D237" s="25">
        <v>43194</v>
      </c>
      <c r="E237" s="25">
        <v>43195</v>
      </c>
      <c r="F237" s="25">
        <v>43196</v>
      </c>
      <c r="G237" s="25">
        <v>43197</v>
      </c>
      <c r="H237" s="25">
        <v>43198</v>
      </c>
    </row>
    <row r="238" spans="1:8" ht="9" thickTop="1" thickBot="1" x14ac:dyDescent="0.2">
      <c r="A238" s="24" t="s">
        <v>587</v>
      </c>
      <c r="B238" s="24"/>
      <c r="C238" s="24"/>
      <c r="D238" s="24"/>
      <c r="E238" s="24"/>
      <c r="F238" s="24"/>
      <c r="G238" s="24"/>
      <c r="H238" s="24"/>
    </row>
    <row r="239" spans="1:8" ht="9" thickTop="1" thickBot="1" x14ac:dyDescent="0.2">
      <c r="A239" s="24" t="s">
        <v>522</v>
      </c>
      <c r="B239" s="24"/>
      <c r="C239" s="24"/>
      <c r="D239" s="24"/>
      <c r="E239" s="24"/>
      <c r="F239" s="24"/>
      <c r="G239" s="24"/>
      <c r="H239" s="24"/>
    </row>
    <row r="240" spans="1:8" ht="9" thickTop="1" thickBot="1" x14ac:dyDescent="0.2">
      <c r="A240" s="24" t="s">
        <v>525</v>
      </c>
      <c r="B240" s="24"/>
      <c r="C240" s="24"/>
      <c r="D240" s="24"/>
      <c r="E240" s="24"/>
      <c r="F240" s="24"/>
      <c r="G240" s="24"/>
      <c r="H240" s="24"/>
    </row>
    <row r="241" spans="1:8" ht="9" thickTop="1" thickBot="1" x14ac:dyDescent="0.2">
      <c r="A241" s="24" t="s">
        <v>201</v>
      </c>
      <c r="B241" s="24"/>
      <c r="C241" s="24"/>
      <c r="D241" s="24"/>
      <c r="E241" s="24"/>
      <c r="F241" s="24"/>
      <c r="G241" s="24"/>
      <c r="H241" s="24"/>
    </row>
    <row r="242" spans="1:8" ht="9" thickTop="1" thickBot="1" x14ac:dyDescent="0.2">
      <c r="A242" s="24" t="s">
        <v>6</v>
      </c>
      <c r="B242" s="24"/>
      <c r="C242" s="24"/>
      <c r="D242" s="24"/>
      <c r="E242" s="24"/>
      <c r="F242" s="24"/>
      <c r="G242" s="24"/>
      <c r="H242" s="24"/>
    </row>
    <row r="243" spans="1:8" ht="9" thickTop="1" thickBot="1" x14ac:dyDescent="0.2">
      <c r="A243" s="24" t="s">
        <v>526</v>
      </c>
      <c r="B243" s="24"/>
      <c r="C243" s="24"/>
      <c r="D243" s="24"/>
      <c r="E243" s="24"/>
      <c r="F243" s="24"/>
      <c r="G243" s="24"/>
      <c r="H243" s="24"/>
    </row>
    <row r="244" spans="1:8" ht="9" thickTop="1" thickBot="1" x14ac:dyDescent="0.2">
      <c r="A244" s="24" t="s">
        <v>588</v>
      </c>
      <c r="B244" s="24"/>
      <c r="C244" s="24"/>
      <c r="D244" s="24"/>
      <c r="E244" s="24"/>
      <c r="F244" s="24"/>
      <c r="G244" s="24"/>
      <c r="H244" s="24"/>
    </row>
    <row r="245" spans="1:8" ht="9" thickTop="1" thickBot="1" x14ac:dyDescent="0.2">
      <c r="A245" s="24" t="s">
        <v>528</v>
      </c>
      <c r="B245" s="24"/>
      <c r="C245" s="24"/>
      <c r="D245" s="24"/>
      <c r="E245" s="24"/>
      <c r="F245" s="24"/>
      <c r="G245" s="24"/>
      <c r="H245" s="24"/>
    </row>
    <row r="246" spans="1:8" ht="9" thickTop="1" thickBot="1" x14ac:dyDescent="0.2">
      <c r="A246" s="24" t="s">
        <v>531</v>
      </c>
      <c r="B246" s="24"/>
      <c r="C246" s="24"/>
      <c r="D246" s="24"/>
      <c r="E246" s="24"/>
      <c r="F246" s="24"/>
      <c r="G246" s="24"/>
      <c r="H246" s="24"/>
    </row>
    <row r="247" spans="1:8" ht="9" thickTop="1" thickBot="1" x14ac:dyDescent="0.2">
      <c r="A247" s="24" t="s">
        <v>589</v>
      </c>
      <c r="B247" s="24"/>
      <c r="C247" s="24"/>
      <c r="D247" s="24"/>
      <c r="E247" s="24"/>
      <c r="F247" s="24"/>
      <c r="G247" s="24"/>
      <c r="H247" s="24"/>
    </row>
    <row r="248" spans="1:8" ht="9" thickTop="1" thickBot="1" x14ac:dyDescent="0.2">
      <c r="A248" s="24" t="s">
        <v>517</v>
      </c>
      <c r="B248" s="24"/>
      <c r="C248" s="24"/>
      <c r="D248" s="24"/>
      <c r="E248" s="24"/>
      <c r="F248" s="24"/>
      <c r="G248" s="24"/>
      <c r="H248" s="24"/>
    </row>
    <row r="249" spans="1:8" ht="9" thickTop="1" thickBot="1" x14ac:dyDescent="0.2">
      <c r="A249" s="24" t="s">
        <v>520</v>
      </c>
      <c r="B249" s="24"/>
      <c r="C249" s="24"/>
      <c r="D249" s="24"/>
      <c r="E249" s="24"/>
      <c r="F249" s="24"/>
      <c r="G249" s="24"/>
      <c r="H249" s="24"/>
    </row>
    <row r="250" spans="1:8" ht="9" thickTop="1" thickBot="1" x14ac:dyDescent="0.2">
      <c r="A250" s="24" t="s">
        <v>590</v>
      </c>
      <c r="B250" s="24"/>
      <c r="C250" s="24"/>
      <c r="D250" s="24"/>
      <c r="E250" s="24"/>
      <c r="F250" s="24"/>
      <c r="G250" s="24"/>
      <c r="H250" s="24"/>
    </row>
    <row r="251" spans="1:8" ht="9" thickTop="1" thickBot="1" x14ac:dyDescent="0.2">
      <c r="A251" s="24" t="s">
        <v>533</v>
      </c>
      <c r="B251" s="24"/>
      <c r="C251" s="24"/>
      <c r="D251" s="24"/>
      <c r="E251" s="24"/>
      <c r="F251" s="24"/>
      <c r="G251" s="24"/>
      <c r="H251" s="24"/>
    </row>
    <row r="252" spans="1:8" ht="9" thickTop="1" thickBot="1" x14ac:dyDescent="0.2"/>
    <row r="253" spans="1:8" ht="9" thickTop="1" thickBot="1" x14ac:dyDescent="0.2">
      <c r="A253" s="71" t="s">
        <v>591</v>
      </c>
      <c r="B253" s="71"/>
      <c r="C253" s="71"/>
      <c r="D253" s="71"/>
      <c r="E253" s="71"/>
      <c r="F253" s="71"/>
      <c r="G253" s="71"/>
      <c r="H253" s="71"/>
    </row>
    <row r="254" spans="1:8" ht="9" thickTop="1" thickBot="1" x14ac:dyDescent="0.2">
      <c r="A254" s="24" t="s">
        <v>514</v>
      </c>
      <c r="B254" s="26">
        <f>B236+7</f>
        <v>99</v>
      </c>
      <c r="C254" s="26">
        <f t="shared" ref="C254:H254" si="13">C236+7</f>
        <v>100</v>
      </c>
      <c r="D254" s="26">
        <f t="shared" si="13"/>
        <v>101</v>
      </c>
      <c r="E254" s="26">
        <f t="shared" si="13"/>
        <v>102</v>
      </c>
      <c r="F254" s="26">
        <f t="shared" si="13"/>
        <v>103</v>
      </c>
      <c r="G254" s="26">
        <f t="shared" si="13"/>
        <v>104</v>
      </c>
      <c r="H254" s="26">
        <f t="shared" si="13"/>
        <v>105</v>
      </c>
    </row>
    <row r="255" spans="1:8" ht="9" thickTop="1" thickBot="1" x14ac:dyDescent="0.2">
      <c r="A255" s="24" t="s">
        <v>515</v>
      </c>
      <c r="B255" s="25">
        <v>43199</v>
      </c>
      <c r="C255" s="25">
        <v>43200</v>
      </c>
      <c r="D255" s="25">
        <v>43201</v>
      </c>
      <c r="E255" s="25">
        <v>43202</v>
      </c>
      <c r="F255" s="25">
        <v>43203</v>
      </c>
      <c r="G255" s="25">
        <v>43204</v>
      </c>
      <c r="H255" s="25">
        <v>43205</v>
      </c>
    </row>
    <row r="256" spans="1:8" ht="9" thickTop="1" thickBot="1" x14ac:dyDescent="0.2">
      <c r="A256" s="24" t="s">
        <v>587</v>
      </c>
      <c r="B256" s="24"/>
      <c r="C256" s="24"/>
      <c r="D256" s="24"/>
      <c r="E256" s="24"/>
      <c r="F256" s="24"/>
      <c r="G256" s="24"/>
      <c r="H256" s="24"/>
    </row>
    <row r="257" spans="1:8" ht="9" thickTop="1" thickBot="1" x14ac:dyDescent="0.2">
      <c r="A257" s="24" t="s">
        <v>522</v>
      </c>
      <c r="B257" s="24"/>
      <c r="C257" s="24"/>
      <c r="D257" s="24"/>
      <c r="E257" s="24"/>
      <c r="F257" s="24"/>
      <c r="G257" s="24"/>
      <c r="H257" s="24"/>
    </row>
    <row r="258" spans="1:8" ht="9" thickTop="1" thickBot="1" x14ac:dyDescent="0.2">
      <c r="A258" s="24" t="s">
        <v>525</v>
      </c>
      <c r="B258" s="24"/>
      <c r="C258" s="24"/>
      <c r="D258" s="24"/>
      <c r="E258" s="24"/>
      <c r="F258" s="24"/>
      <c r="G258" s="24"/>
      <c r="H258" s="24"/>
    </row>
    <row r="259" spans="1:8" ht="9" thickTop="1" thickBot="1" x14ac:dyDescent="0.2">
      <c r="A259" s="24" t="s">
        <v>201</v>
      </c>
      <c r="B259" s="24"/>
      <c r="C259" s="24"/>
      <c r="D259" s="24"/>
      <c r="E259" s="24"/>
      <c r="F259" s="24"/>
      <c r="G259" s="24"/>
      <c r="H259" s="24"/>
    </row>
    <row r="260" spans="1:8" ht="9" thickTop="1" thickBot="1" x14ac:dyDescent="0.2">
      <c r="A260" s="24" t="s">
        <v>6</v>
      </c>
      <c r="B260" s="24"/>
      <c r="C260" s="24"/>
      <c r="D260" s="24"/>
      <c r="E260" s="24"/>
      <c r="F260" s="24"/>
      <c r="G260" s="24"/>
      <c r="H260" s="24"/>
    </row>
    <row r="261" spans="1:8" ht="9" thickTop="1" thickBot="1" x14ac:dyDescent="0.2">
      <c r="A261" s="24" t="s">
        <v>526</v>
      </c>
      <c r="B261" s="24"/>
      <c r="C261" s="24"/>
      <c r="D261" s="24"/>
      <c r="E261" s="24"/>
      <c r="F261" s="24"/>
      <c r="G261" s="24"/>
      <c r="H261" s="24"/>
    </row>
    <row r="262" spans="1:8" ht="9" thickTop="1" thickBot="1" x14ac:dyDescent="0.2">
      <c r="A262" s="24" t="s">
        <v>588</v>
      </c>
      <c r="B262" s="24"/>
      <c r="C262" s="24"/>
      <c r="D262" s="24"/>
      <c r="E262" s="24"/>
      <c r="F262" s="24"/>
      <c r="G262" s="24"/>
      <c r="H262" s="24"/>
    </row>
    <row r="263" spans="1:8" ht="9" thickTop="1" thickBot="1" x14ac:dyDescent="0.2">
      <c r="A263" s="24" t="s">
        <v>528</v>
      </c>
      <c r="B263" s="24"/>
      <c r="C263" s="24"/>
      <c r="D263" s="24"/>
      <c r="E263" s="24"/>
      <c r="F263" s="24"/>
      <c r="G263" s="24"/>
      <c r="H263" s="24"/>
    </row>
    <row r="264" spans="1:8" ht="9" thickTop="1" thickBot="1" x14ac:dyDescent="0.2">
      <c r="A264" s="24" t="s">
        <v>531</v>
      </c>
      <c r="B264" s="24"/>
      <c r="C264" s="24"/>
      <c r="D264" s="24"/>
      <c r="E264" s="24"/>
      <c r="F264" s="24"/>
      <c r="G264" s="24"/>
      <c r="H264" s="24"/>
    </row>
    <row r="265" spans="1:8" ht="9" thickTop="1" thickBot="1" x14ac:dyDescent="0.2">
      <c r="A265" s="24" t="s">
        <v>589</v>
      </c>
      <c r="B265" s="24"/>
      <c r="C265" s="24"/>
      <c r="D265" s="24"/>
      <c r="E265" s="24"/>
      <c r="F265" s="24"/>
      <c r="G265" s="24"/>
      <c r="H265" s="24"/>
    </row>
    <row r="266" spans="1:8" ht="9" thickTop="1" thickBot="1" x14ac:dyDescent="0.2">
      <c r="A266" s="24" t="s">
        <v>517</v>
      </c>
      <c r="B266" s="24"/>
      <c r="C266" s="24"/>
      <c r="D266" s="24"/>
      <c r="E266" s="24"/>
      <c r="F266" s="24"/>
      <c r="G266" s="24"/>
      <c r="H266" s="24"/>
    </row>
    <row r="267" spans="1:8" ht="9" thickTop="1" thickBot="1" x14ac:dyDescent="0.2">
      <c r="A267" s="24" t="s">
        <v>520</v>
      </c>
      <c r="B267" s="24"/>
      <c r="C267" s="24"/>
      <c r="D267" s="24"/>
      <c r="E267" s="24"/>
      <c r="F267" s="24"/>
      <c r="G267" s="24"/>
      <c r="H267" s="24"/>
    </row>
    <row r="268" spans="1:8" ht="9" thickTop="1" thickBot="1" x14ac:dyDescent="0.2">
      <c r="A268" s="24" t="s">
        <v>590</v>
      </c>
      <c r="B268" s="24"/>
      <c r="C268" s="24"/>
      <c r="D268" s="24"/>
      <c r="E268" s="24"/>
      <c r="F268" s="24"/>
      <c r="G268" s="24"/>
      <c r="H268" s="24"/>
    </row>
    <row r="269" spans="1:8" ht="9" thickTop="1" thickBot="1" x14ac:dyDescent="0.2">
      <c r="A269" s="24" t="s">
        <v>533</v>
      </c>
      <c r="B269" s="24"/>
      <c r="C269" s="24"/>
      <c r="D269" s="24"/>
      <c r="E269" s="24"/>
      <c r="F269" s="24"/>
      <c r="G269" s="24"/>
      <c r="H269" s="24"/>
    </row>
    <row r="270" spans="1:8" ht="9" thickTop="1" thickBot="1" x14ac:dyDescent="0.2"/>
    <row r="271" spans="1:8" ht="9" thickTop="1" thickBot="1" x14ac:dyDescent="0.2">
      <c r="A271" s="71" t="s">
        <v>591</v>
      </c>
      <c r="B271" s="71"/>
      <c r="C271" s="71"/>
      <c r="D271" s="71"/>
      <c r="E271" s="71"/>
      <c r="F271" s="71"/>
      <c r="G271" s="71"/>
      <c r="H271" s="71"/>
    </row>
    <row r="272" spans="1:8" ht="9" thickTop="1" thickBot="1" x14ac:dyDescent="0.2">
      <c r="A272" s="24" t="s">
        <v>514</v>
      </c>
      <c r="B272" s="26">
        <f>B254+7</f>
        <v>106</v>
      </c>
      <c r="C272" s="26">
        <f t="shared" ref="C272:H272" si="14">C254+7</f>
        <v>107</v>
      </c>
      <c r="D272" s="26">
        <f t="shared" si="14"/>
        <v>108</v>
      </c>
      <c r="E272" s="26">
        <f t="shared" si="14"/>
        <v>109</v>
      </c>
      <c r="F272" s="26">
        <f t="shared" si="14"/>
        <v>110</v>
      </c>
      <c r="G272" s="26">
        <f t="shared" si="14"/>
        <v>111</v>
      </c>
      <c r="H272" s="26">
        <f t="shared" si="14"/>
        <v>112</v>
      </c>
    </row>
    <row r="273" spans="1:8" ht="9" thickTop="1" thickBot="1" x14ac:dyDescent="0.2">
      <c r="A273" s="24" t="s">
        <v>515</v>
      </c>
      <c r="B273" s="25">
        <v>43206</v>
      </c>
      <c r="C273" s="25">
        <v>43207</v>
      </c>
      <c r="D273" s="25">
        <v>43208</v>
      </c>
      <c r="E273" s="25">
        <v>43209</v>
      </c>
      <c r="F273" s="25">
        <v>43210</v>
      </c>
      <c r="G273" s="25">
        <v>43211</v>
      </c>
      <c r="H273" s="25">
        <v>43212</v>
      </c>
    </row>
    <row r="274" spans="1:8" ht="9" thickTop="1" thickBot="1" x14ac:dyDescent="0.2">
      <c r="A274" s="24" t="s">
        <v>587</v>
      </c>
      <c r="B274" s="24"/>
      <c r="C274" s="24"/>
      <c r="D274" s="24"/>
      <c r="E274" s="24"/>
      <c r="F274" s="24"/>
      <c r="G274" s="24"/>
      <c r="H274" s="24"/>
    </row>
    <row r="275" spans="1:8" ht="9" thickTop="1" thickBot="1" x14ac:dyDescent="0.2">
      <c r="A275" s="24" t="s">
        <v>522</v>
      </c>
      <c r="B275" s="24"/>
      <c r="C275" s="24"/>
      <c r="D275" s="24"/>
      <c r="E275" s="24"/>
      <c r="F275" s="24"/>
      <c r="G275" s="24"/>
      <c r="H275" s="24"/>
    </row>
    <row r="276" spans="1:8" ht="9" thickTop="1" thickBot="1" x14ac:dyDescent="0.2">
      <c r="A276" s="24" t="s">
        <v>525</v>
      </c>
      <c r="B276" s="24"/>
      <c r="C276" s="24"/>
      <c r="D276" s="24"/>
      <c r="E276" s="24"/>
      <c r="F276" s="24"/>
      <c r="G276" s="24"/>
      <c r="H276" s="24"/>
    </row>
    <row r="277" spans="1:8" ht="9" thickTop="1" thickBot="1" x14ac:dyDescent="0.2">
      <c r="A277" s="24" t="s">
        <v>201</v>
      </c>
      <c r="B277" s="24"/>
      <c r="C277" s="24"/>
      <c r="D277" s="24"/>
      <c r="E277" s="24"/>
      <c r="F277" s="24"/>
      <c r="G277" s="24"/>
      <c r="H277" s="24"/>
    </row>
    <row r="278" spans="1:8" ht="9" thickTop="1" thickBot="1" x14ac:dyDescent="0.2">
      <c r="A278" s="24" t="s">
        <v>6</v>
      </c>
      <c r="B278" s="24"/>
      <c r="C278" s="24"/>
      <c r="D278" s="24"/>
      <c r="E278" s="24"/>
      <c r="F278" s="24"/>
      <c r="G278" s="24"/>
      <c r="H278" s="24"/>
    </row>
    <row r="279" spans="1:8" ht="9" thickTop="1" thickBot="1" x14ac:dyDescent="0.2">
      <c r="A279" s="24" t="s">
        <v>526</v>
      </c>
      <c r="B279" s="24"/>
      <c r="C279" s="24"/>
      <c r="D279" s="24"/>
      <c r="E279" s="24"/>
      <c r="F279" s="24"/>
      <c r="G279" s="24"/>
      <c r="H279" s="24"/>
    </row>
    <row r="280" spans="1:8" ht="9" thickTop="1" thickBot="1" x14ac:dyDescent="0.2">
      <c r="A280" s="24" t="s">
        <v>588</v>
      </c>
      <c r="B280" s="24"/>
      <c r="C280" s="24"/>
      <c r="D280" s="24"/>
      <c r="E280" s="24"/>
      <c r="F280" s="24"/>
      <c r="G280" s="24"/>
      <c r="H280" s="24"/>
    </row>
    <row r="281" spans="1:8" ht="9" thickTop="1" thickBot="1" x14ac:dyDescent="0.2">
      <c r="A281" s="24" t="s">
        <v>528</v>
      </c>
      <c r="B281" s="24"/>
      <c r="C281" s="24"/>
      <c r="D281" s="24"/>
      <c r="E281" s="24"/>
      <c r="F281" s="24"/>
      <c r="G281" s="24"/>
      <c r="H281" s="24"/>
    </row>
    <row r="282" spans="1:8" ht="9" thickTop="1" thickBot="1" x14ac:dyDescent="0.2">
      <c r="A282" s="24" t="s">
        <v>531</v>
      </c>
      <c r="B282" s="24"/>
      <c r="C282" s="24"/>
      <c r="D282" s="24"/>
      <c r="E282" s="24"/>
      <c r="F282" s="24"/>
      <c r="G282" s="24"/>
      <c r="H282" s="24"/>
    </row>
    <row r="283" spans="1:8" ht="9" thickTop="1" thickBot="1" x14ac:dyDescent="0.2">
      <c r="A283" s="24" t="s">
        <v>589</v>
      </c>
      <c r="B283" s="24"/>
      <c r="C283" s="24"/>
      <c r="D283" s="24"/>
      <c r="E283" s="24"/>
      <c r="F283" s="24"/>
      <c r="G283" s="24"/>
      <c r="H283" s="24"/>
    </row>
    <row r="284" spans="1:8" ht="9" thickTop="1" thickBot="1" x14ac:dyDescent="0.2">
      <c r="A284" s="24" t="s">
        <v>517</v>
      </c>
      <c r="B284" s="24"/>
      <c r="C284" s="24"/>
      <c r="D284" s="24"/>
      <c r="E284" s="24"/>
      <c r="F284" s="24"/>
      <c r="G284" s="24"/>
      <c r="H284" s="24"/>
    </row>
    <row r="285" spans="1:8" ht="9" thickTop="1" thickBot="1" x14ac:dyDescent="0.2">
      <c r="A285" s="24" t="s">
        <v>520</v>
      </c>
      <c r="B285" s="24"/>
      <c r="C285" s="24"/>
      <c r="D285" s="24"/>
      <c r="E285" s="24"/>
      <c r="F285" s="24"/>
      <c r="G285" s="24"/>
      <c r="H285" s="24"/>
    </row>
    <row r="286" spans="1:8" ht="9" thickTop="1" thickBot="1" x14ac:dyDescent="0.2">
      <c r="A286" s="24" t="s">
        <v>590</v>
      </c>
      <c r="B286" s="24"/>
      <c r="C286" s="24"/>
      <c r="D286" s="24"/>
      <c r="E286" s="24"/>
      <c r="F286" s="24"/>
      <c r="G286" s="24"/>
      <c r="H286" s="24"/>
    </row>
    <row r="287" spans="1:8" ht="9" thickTop="1" thickBot="1" x14ac:dyDescent="0.2">
      <c r="A287" s="24" t="s">
        <v>533</v>
      </c>
      <c r="B287" s="24"/>
      <c r="C287" s="24"/>
      <c r="D287" s="24"/>
      <c r="E287" s="24"/>
      <c r="F287" s="24"/>
      <c r="G287" s="24"/>
      <c r="H287" s="24"/>
    </row>
    <row r="288" spans="1:8" ht="9" thickTop="1" thickBot="1" x14ac:dyDescent="0.2"/>
    <row r="289" spans="1:8" ht="9" thickTop="1" thickBot="1" x14ac:dyDescent="0.2">
      <c r="A289" s="71" t="s">
        <v>591</v>
      </c>
      <c r="B289" s="71"/>
      <c r="C289" s="71"/>
      <c r="D289" s="71"/>
      <c r="E289" s="71"/>
      <c r="F289" s="71"/>
      <c r="G289" s="71"/>
      <c r="H289" s="71"/>
    </row>
    <row r="290" spans="1:8" ht="9" thickTop="1" thickBot="1" x14ac:dyDescent="0.2">
      <c r="A290" s="24" t="s">
        <v>514</v>
      </c>
      <c r="B290" s="26">
        <f>B272+7</f>
        <v>113</v>
      </c>
      <c r="C290" s="26">
        <f t="shared" ref="C290:H290" si="15">C272+7</f>
        <v>114</v>
      </c>
      <c r="D290" s="26">
        <f t="shared" si="15"/>
        <v>115</v>
      </c>
      <c r="E290" s="26">
        <f t="shared" si="15"/>
        <v>116</v>
      </c>
      <c r="F290" s="26">
        <f t="shared" si="15"/>
        <v>117</v>
      </c>
      <c r="G290" s="26">
        <f t="shared" si="15"/>
        <v>118</v>
      </c>
      <c r="H290" s="26">
        <f t="shared" si="15"/>
        <v>119</v>
      </c>
    </row>
    <row r="291" spans="1:8" ht="9" thickTop="1" thickBot="1" x14ac:dyDescent="0.2">
      <c r="A291" s="24" t="s">
        <v>515</v>
      </c>
      <c r="B291" s="25">
        <v>43213</v>
      </c>
      <c r="C291" s="25">
        <v>43214</v>
      </c>
      <c r="D291" s="25">
        <v>43215</v>
      </c>
      <c r="E291" s="25">
        <v>43216</v>
      </c>
      <c r="F291" s="25">
        <v>43217</v>
      </c>
      <c r="G291" s="25">
        <v>43218</v>
      </c>
      <c r="H291" s="25">
        <v>43219</v>
      </c>
    </row>
    <row r="292" spans="1:8" ht="9" thickTop="1" thickBot="1" x14ac:dyDescent="0.2">
      <c r="A292" s="24" t="s">
        <v>587</v>
      </c>
      <c r="B292" s="24"/>
      <c r="C292" s="24"/>
      <c r="D292" s="24"/>
      <c r="E292" s="24"/>
      <c r="F292" s="24"/>
      <c r="G292" s="24"/>
      <c r="H292" s="24"/>
    </row>
    <row r="293" spans="1:8" ht="9" thickTop="1" thickBot="1" x14ac:dyDescent="0.2">
      <c r="A293" s="24" t="s">
        <v>522</v>
      </c>
      <c r="B293" s="24"/>
      <c r="C293" s="24"/>
      <c r="D293" s="24"/>
      <c r="E293" s="24"/>
      <c r="F293" s="24"/>
      <c r="G293" s="24"/>
      <c r="H293" s="24"/>
    </row>
    <row r="294" spans="1:8" ht="9" thickTop="1" thickBot="1" x14ac:dyDescent="0.2">
      <c r="A294" s="24" t="s">
        <v>525</v>
      </c>
      <c r="B294" s="24"/>
      <c r="C294" s="24"/>
      <c r="D294" s="24"/>
      <c r="E294" s="24"/>
      <c r="F294" s="24"/>
      <c r="G294" s="24"/>
      <c r="H294" s="24"/>
    </row>
    <row r="295" spans="1:8" ht="9" thickTop="1" thickBot="1" x14ac:dyDescent="0.2">
      <c r="A295" s="24" t="s">
        <v>201</v>
      </c>
      <c r="B295" s="24"/>
      <c r="C295" s="24"/>
      <c r="D295" s="24"/>
      <c r="E295" s="24"/>
      <c r="F295" s="24"/>
      <c r="G295" s="24"/>
      <c r="H295" s="24"/>
    </row>
    <row r="296" spans="1:8" ht="9" thickTop="1" thickBot="1" x14ac:dyDescent="0.2">
      <c r="A296" s="24" t="s">
        <v>6</v>
      </c>
      <c r="B296" s="24"/>
      <c r="C296" s="24"/>
      <c r="D296" s="24"/>
      <c r="E296" s="24"/>
      <c r="F296" s="24"/>
      <c r="G296" s="24"/>
      <c r="H296" s="24"/>
    </row>
    <row r="297" spans="1:8" ht="9" thickTop="1" thickBot="1" x14ac:dyDescent="0.2">
      <c r="A297" s="24" t="s">
        <v>526</v>
      </c>
      <c r="B297" s="24"/>
      <c r="C297" s="24"/>
      <c r="D297" s="24"/>
      <c r="E297" s="24"/>
      <c r="F297" s="24"/>
      <c r="G297" s="24"/>
      <c r="H297" s="24"/>
    </row>
    <row r="298" spans="1:8" ht="9" thickTop="1" thickBot="1" x14ac:dyDescent="0.2">
      <c r="A298" s="24" t="s">
        <v>588</v>
      </c>
      <c r="B298" s="24"/>
      <c r="C298" s="24"/>
      <c r="D298" s="24"/>
      <c r="E298" s="24"/>
      <c r="F298" s="24"/>
      <c r="G298" s="24"/>
      <c r="H298" s="24"/>
    </row>
    <row r="299" spans="1:8" ht="9" thickTop="1" thickBot="1" x14ac:dyDescent="0.2">
      <c r="A299" s="24" t="s">
        <v>528</v>
      </c>
      <c r="B299" s="24"/>
      <c r="C299" s="24"/>
      <c r="D299" s="24"/>
      <c r="E299" s="24"/>
      <c r="F299" s="24"/>
      <c r="G299" s="24"/>
      <c r="H299" s="24"/>
    </row>
    <row r="300" spans="1:8" ht="9" thickTop="1" thickBot="1" x14ac:dyDescent="0.2">
      <c r="A300" s="24" t="s">
        <v>531</v>
      </c>
      <c r="B300" s="24"/>
      <c r="C300" s="24"/>
      <c r="D300" s="24"/>
      <c r="E300" s="24"/>
      <c r="F300" s="24"/>
      <c r="G300" s="24"/>
      <c r="H300" s="24"/>
    </row>
    <row r="301" spans="1:8" ht="9" thickTop="1" thickBot="1" x14ac:dyDescent="0.2">
      <c r="A301" s="24" t="s">
        <v>589</v>
      </c>
      <c r="B301" s="24"/>
      <c r="C301" s="24"/>
      <c r="D301" s="24"/>
      <c r="E301" s="24"/>
      <c r="F301" s="24"/>
      <c r="G301" s="24"/>
      <c r="H301" s="24"/>
    </row>
    <row r="302" spans="1:8" ht="9" thickTop="1" thickBot="1" x14ac:dyDescent="0.2">
      <c r="A302" s="24" t="s">
        <v>517</v>
      </c>
      <c r="B302" s="24"/>
      <c r="C302" s="24"/>
      <c r="D302" s="24"/>
      <c r="E302" s="24"/>
      <c r="F302" s="24"/>
      <c r="G302" s="24"/>
      <c r="H302" s="24"/>
    </row>
    <row r="303" spans="1:8" ht="9" thickTop="1" thickBot="1" x14ac:dyDescent="0.2">
      <c r="A303" s="24" t="s">
        <v>520</v>
      </c>
      <c r="B303" s="24"/>
      <c r="C303" s="24"/>
      <c r="D303" s="24"/>
      <c r="E303" s="24"/>
      <c r="F303" s="24"/>
      <c r="G303" s="24"/>
      <c r="H303" s="24"/>
    </row>
    <row r="304" spans="1:8" ht="9" thickTop="1" thickBot="1" x14ac:dyDescent="0.2">
      <c r="A304" s="24" t="s">
        <v>590</v>
      </c>
      <c r="B304" s="24"/>
      <c r="C304" s="24"/>
      <c r="D304" s="24"/>
      <c r="E304" s="24"/>
      <c r="F304" s="24"/>
      <c r="G304" s="24"/>
      <c r="H304" s="24"/>
    </row>
    <row r="305" spans="1:8" ht="9" thickTop="1" thickBot="1" x14ac:dyDescent="0.2">
      <c r="A305" s="24" t="s">
        <v>533</v>
      </c>
      <c r="B305" s="24"/>
      <c r="C305" s="24"/>
      <c r="D305" s="24"/>
      <c r="E305" s="24"/>
      <c r="F305" s="24"/>
      <c r="G305" s="24"/>
      <c r="H305" s="24"/>
    </row>
    <row r="306" spans="1:8" ht="9" thickTop="1" thickBot="1" x14ac:dyDescent="0.2"/>
    <row r="307" spans="1:8" ht="9" thickTop="1" thickBot="1" x14ac:dyDescent="0.2">
      <c r="A307" s="71" t="s">
        <v>591</v>
      </c>
      <c r="B307" s="71"/>
      <c r="C307" s="71"/>
      <c r="D307" s="71"/>
      <c r="E307" s="71"/>
      <c r="F307" s="71"/>
      <c r="G307" s="71"/>
      <c r="H307" s="71"/>
    </row>
    <row r="308" spans="1:8" ht="9" thickTop="1" thickBot="1" x14ac:dyDescent="0.2">
      <c r="A308" s="24" t="s">
        <v>514</v>
      </c>
      <c r="B308" s="26">
        <f>B290+7</f>
        <v>120</v>
      </c>
      <c r="C308" s="26">
        <f t="shared" ref="C308:H308" si="16">C290+7</f>
        <v>121</v>
      </c>
      <c r="D308" s="26">
        <f t="shared" si="16"/>
        <v>122</v>
      </c>
      <c r="E308" s="26">
        <f t="shared" si="16"/>
        <v>123</v>
      </c>
      <c r="F308" s="26">
        <f t="shared" si="16"/>
        <v>124</v>
      </c>
      <c r="G308" s="26">
        <f t="shared" si="16"/>
        <v>125</v>
      </c>
      <c r="H308" s="26">
        <f t="shared" si="16"/>
        <v>126</v>
      </c>
    </row>
    <row r="309" spans="1:8" ht="9" thickTop="1" thickBot="1" x14ac:dyDescent="0.2">
      <c r="A309" s="24" t="s">
        <v>515</v>
      </c>
      <c r="B309" s="25">
        <v>43220</v>
      </c>
      <c r="C309" s="25">
        <v>43221</v>
      </c>
      <c r="D309" s="25">
        <v>43222</v>
      </c>
      <c r="E309" s="25">
        <v>43223</v>
      </c>
      <c r="F309" s="25">
        <v>43224</v>
      </c>
      <c r="G309" s="25">
        <v>43225</v>
      </c>
      <c r="H309" s="25">
        <v>43226</v>
      </c>
    </row>
    <row r="310" spans="1:8" ht="9" thickTop="1" thickBot="1" x14ac:dyDescent="0.2">
      <c r="A310" s="24" t="s">
        <v>587</v>
      </c>
      <c r="B310" s="24"/>
      <c r="C310" s="24"/>
      <c r="D310" s="24"/>
      <c r="E310" s="24"/>
      <c r="F310" s="24"/>
      <c r="G310" s="24"/>
      <c r="H310" s="24"/>
    </row>
    <row r="311" spans="1:8" ht="9" thickTop="1" thickBot="1" x14ac:dyDescent="0.2">
      <c r="A311" s="24" t="s">
        <v>522</v>
      </c>
      <c r="B311" s="24"/>
      <c r="C311" s="24"/>
      <c r="D311" s="24"/>
      <c r="E311" s="24"/>
      <c r="F311" s="24"/>
      <c r="G311" s="24"/>
      <c r="H311" s="24"/>
    </row>
    <row r="312" spans="1:8" ht="9" thickTop="1" thickBot="1" x14ac:dyDescent="0.2">
      <c r="A312" s="24" t="s">
        <v>525</v>
      </c>
      <c r="B312" s="24"/>
      <c r="C312" s="24"/>
      <c r="D312" s="24"/>
      <c r="E312" s="24"/>
      <c r="F312" s="24"/>
      <c r="G312" s="24"/>
      <c r="H312" s="24"/>
    </row>
    <row r="313" spans="1:8" ht="9" thickTop="1" thickBot="1" x14ac:dyDescent="0.2">
      <c r="A313" s="24" t="s">
        <v>201</v>
      </c>
      <c r="B313" s="24"/>
      <c r="C313" s="24"/>
      <c r="D313" s="24"/>
      <c r="E313" s="24"/>
      <c r="F313" s="24"/>
      <c r="G313" s="24"/>
      <c r="H313" s="24"/>
    </row>
    <row r="314" spans="1:8" ht="9" thickTop="1" thickBot="1" x14ac:dyDescent="0.2">
      <c r="A314" s="24" t="s">
        <v>6</v>
      </c>
      <c r="B314" s="24"/>
      <c r="C314" s="24"/>
      <c r="D314" s="24"/>
      <c r="E314" s="24"/>
      <c r="F314" s="24"/>
      <c r="G314" s="24"/>
      <c r="H314" s="24"/>
    </row>
    <row r="315" spans="1:8" ht="9" thickTop="1" thickBot="1" x14ac:dyDescent="0.2">
      <c r="A315" s="24" t="s">
        <v>526</v>
      </c>
      <c r="B315" s="24"/>
      <c r="C315" s="24"/>
      <c r="D315" s="24"/>
      <c r="E315" s="24"/>
      <c r="F315" s="24"/>
      <c r="G315" s="24"/>
      <c r="H315" s="24"/>
    </row>
    <row r="316" spans="1:8" ht="9" thickTop="1" thickBot="1" x14ac:dyDescent="0.2">
      <c r="A316" s="24" t="s">
        <v>588</v>
      </c>
      <c r="B316" s="24"/>
      <c r="C316" s="24"/>
      <c r="D316" s="24"/>
      <c r="E316" s="24"/>
      <c r="F316" s="24"/>
      <c r="G316" s="24"/>
      <c r="H316" s="24"/>
    </row>
    <row r="317" spans="1:8" ht="9" thickTop="1" thickBot="1" x14ac:dyDescent="0.2">
      <c r="A317" s="24" t="s">
        <v>528</v>
      </c>
      <c r="B317" s="24"/>
      <c r="C317" s="24"/>
      <c r="D317" s="24"/>
      <c r="E317" s="24"/>
      <c r="F317" s="24"/>
      <c r="G317" s="24"/>
      <c r="H317" s="24"/>
    </row>
    <row r="318" spans="1:8" ht="9" thickTop="1" thickBot="1" x14ac:dyDescent="0.2">
      <c r="A318" s="24" t="s">
        <v>531</v>
      </c>
      <c r="B318" s="24"/>
      <c r="C318" s="24"/>
      <c r="D318" s="24"/>
      <c r="E318" s="24"/>
      <c r="F318" s="24"/>
      <c r="G318" s="24"/>
      <c r="H318" s="24"/>
    </row>
    <row r="319" spans="1:8" ht="9" thickTop="1" thickBot="1" x14ac:dyDescent="0.2">
      <c r="A319" s="24" t="s">
        <v>589</v>
      </c>
      <c r="B319" s="24"/>
      <c r="C319" s="24"/>
      <c r="D319" s="24"/>
      <c r="E319" s="24"/>
      <c r="F319" s="24"/>
      <c r="G319" s="24"/>
      <c r="H319" s="24"/>
    </row>
    <row r="320" spans="1:8" ht="9" thickTop="1" thickBot="1" x14ac:dyDescent="0.2">
      <c r="A320" s="24" t="s">
        <v>517</v>
      </c>
      <c r="B320" s="24"/>
      <c r="C320" s="24"/>
      <c r="D320" s="24"/>
      <c r="E320" s="24"/>
      <c r="F320" s="24"/>
      <c r="G320" s="24"/>
      <c r="H320" s="24"/>
    </row>
    <row r="321" spans="1:8" ht="9" thickTop="1" thickBot="1" x14ac:dyDescent="0.2">
      <c r="A321" s="24" t="s">
        <v>520</v>
      </c>
      <c r="B321" s="24"/>
      <c r="C321" s="24"/>
      <c r="D321" s="24"/>
      <c r="E321" s="24"/>
      <c r="F321" s="24"/>
      <c r="G321" s="24"/>
      <c r="H321" s="24"/>
    </row>
    <row r="322" spans="1:8" ht="9" thickTop="1" thickBot="1" x14ac:dyDescent="0.2">
      <c r="A322" s="24" t="s">
        <v>590</v>
      </c>
      <c r="B322" s="24"/>
      <c r="C322" s="24"/>
      <c r="D322" s="24"/>
      <c r="E322" s="24"/>
      <c r="F322" s="24"/>
      <c r="G322" s="24"/>
      <c r="H322" s="24"/>
    </row>
    <row r="323" spans="1:8" ht="9" thickTop="1" thickBot="1" x14ac:dyDescent="0.2">
      <c r="A323" s="24" t="s">
        <v>533</v>
      </c>
      <c r="B323" s="24"/>
      <c r="C323" s="24"/>
      <c r="D323" s="24"/>
      <c r="E323" s="24"/>
      <c r="F323" s="24"/>
      <c r="G323" s="24"/>
      <c r="H323" s="24"/>
    </row>
    <row r="324" spans="1:8" ht="9" thickTop="1" thickBot="1" x14ac:dyDescent="0.2"/>
    <row r="325" spans="1:8" ht="9" thickTop="1" thickBot="1" x14ac:dyDescent="0.2">
      <c r="A325" s="71" t="s">
        <v>591</v>
      </c>
      <c r="B325" s="71"/>
      <c r="C325" s="71"/>
      <c r="D325" s="71"/>
      <c r="E325" s="71"/>
      <c r="F325" s="71"/>
      <c r="G325" s="71"/>
      <c r="H325" s="71"/>
    </row>
    <row r="326" spans="1:8" ht="9" thickTop="1" thickBot="1" x14ac:dyDescent="0.2">
      <c r="A326" s="24" t="s">
        <v>514</v>
      </c>
      <c r="B326" s="26">
        <f>B308+7</f>
        <v>127</v>
      </c>
      <c r="C326" s="26">
        <f t="shared" ref="C326:H326" si="17">C308+7</f>
        <v>128</v>
      </c>
      <c r="D326" s="26">
        <f t="shared" si="17"/>
        <v>129</v>
      </c>
      <c r="E326" s="26">
        <f t="shared" si="17"/>
        <v>130</v>
      </c>
      <c r="F326" s="26">
        <f t="shared" si="17"/>
        <v>131</v>
      </c>
      <c r="G326" s="26">
        <f t="shared" si="17"/>
        <v>132</v>
      </c>
      <c r="H326" s="26">
        <f t="shared" si="17"/>
        <v>133</v>
      </c>
    </row>
    <row r="327" spans="1:8" ht="9" thickTop="1" thickBot="1" x14ac:dyDescent="0.2">
      <c r="A327" s="24" t="s">
        <v>515</v>
      </c>
      <c r="B327" s="25">
        <v>43227</v>
      </c>
      <c r="C327" s="25">
        <v>43228</v>
      </c>
      <c r="D327" s="25">
        <v>43229</v>
      </c>
      <c r="E327" s="25">
        <v>43230</v>
      </c>
      <c r="F327" s="25">
        <v>43231</v>
      </c>
      <c r="G327" s="25">
        <v>43232</v>
      </c>
      <c r="H327" s="25">
        <v>43233</v>
      </c>
    </row>
    <row r="328" spans="1:8" ht="9" thickTop="1" thickBot="1" x14ac:dyDescent="0.2">
      <c r="A328" s="24" t="s">
        <v>587</v>
      </c>
      <c r="B328" s="24"/>
      <c r="C328" s="24"/>
      <c r="D328" s="24"/>
      <c r="E328" s="24"/>
      <c r="F328" s="24"/>
      <c r="G328" s="24"/>
      <c r="H328" s="24"/>
    </row>
    <row r="329" spans="1:8" ht="9" thickTop="1" thickBot="1" x14ac:dyDescent="0.2">
      <c r="A329" s="24" t="s">
        <v>522</v>
      </c>
      <c r="B329" s="24"/>
      <c r="C329" s="24"/>
      <c r="D329" s="24"/>
      <c r="E329" s="24"/>
      <c r="F329" s="24"/>
      <c r="G329" s="24"/>
      <c r="H329" s="24"/>
    </row>
    <row r="330" spans="1:8" ht="9" thickTop="1" thickBot="1" x14ac:dyDescent="0.2">
      <c r="A330" s="24" t="s">
        <v>525</v>
      </c>
      <c r="B330" s="24"/>
      <c r="C330" s="24"/>
      <c r="D330" s="24"/>
      <c r="E330" s="24"/>
      <c r="F330" s="24"/>
      <c r="G330" s="24"/>
      <c r="H330" s="24"/>
    </row>
    <row r="331" spans="1:8" ht="9" thickTop="1" thickBot="1" x14ac:dyDescent="0.2">
      <c r="A331" s="24" t="s">
        <v>201</v>
      </c>
      <c r="B331" s="24"/>
      <c r="C331" s="24"/>
      <c r="D331" s="24"/>
      <c r="E331" s="24"/>
      <c r="F331" s="24"/>
      <c r="G331" s="24"/>
      <c r="H331" s="24"/>
    </row>
    <row r="332" spans="1:8" ht="9" thickTop="1" thickBot="1" x14ac:dyDescent="0.2">
      <c r="A332" s="24" t="s">
        <v>6</v>
      </c>
      <c r="B332" s="24"/>
      <c r="C332" s="24"/>
      <c r="D332" s="24"/>
      <c r="E332" s="24"/>
      <c r="F332" s="24"/>
      <c r="G332" s="24"/>
      <c r="H332" s="24"/>
    </row>
    <row r="333" spans="1:8" ht="9" thickTop="1" thickBot="1" x14ac:dyDescent="0.2">
      <c r="A333" s="24" t="s">
        <v>526</v>
      </c>
      <c r="B333" s="24"/>
      <c r="C333" s="24"/>
      <c r="D333" s="24"/>
      <c r="E333" s="24"/>
      <c r="F333" s="24"/>
      <c r="G333" s="24"/>
      <c r="H333" s="24"/>
    </row>
    <row r="334" spans="1:8" ht="9" thickTop="1" thickBot="1" x14ac:dyDescent="0.2">
      <c r="A334" s="24" t="s">
        <v>588</v>
      </c>
      <c r="B334" s="24"/>
      <c r="C334" s="24"/>
      <c r="D334" s="24"/>
      <c r="E334" s="24"/>
      <c r="F334" s="24"/>
      <c r="G334" s="24"/>
      <c r="H334" s="24"/>
    </row>
    <row r="335" spans="1:8" ht="9" thickTop="1" thickBot="1" x14ac:dyDescent="0.2">
      <c r="A335" s="24" t="s">
        <v>528</v>
      </c>
      <c r="B335" s="24"/>
      <c r="C335" s="24"/>
      <c r="D335" s="24"/>
      <c r="E335" s="24"/>
      <c r="F335" s="24"/>
      <c r="G335" s="24"/>
      <c r="H335" s="24"/>
    </row>
    <row r="336" spans="1:8" ht="9" thickTop="1" thickBot="1" x14ac:dyDescent="0.2">
      <c r="A336" s="24" t="s">
        <v>531</v>
      </c>
      <c r="B336" s="24"/>
      <c r="C336" s="24"/>
      <c r="D336" s="24"/>
      <c r="E336" s="24"/>
      <c r="F336" s="24"/>
      <c r="G336" s="24"/>
      <c r="H336" s="24"/>
    </row>
    <row r="337" spans="1:8" ht="9" thickTop="1" thickBot="1" x14ac:dyDescent="0.2">
      <c r="A337" s="24" t="s">
        <v>589</v>
      </c>
      <c r="B337" s="24"/>
      <c r="C337" s="24"/>
      <c r="D337" s="24"/>
      <c r="E337" s="24"/>
      <c r="F337" s="24"/>
      <c r="G337" s="24"/>
      <c r="H337" s="24"/>
    </row>
    <row r="338" spans="1:8" ht="9" thickTop="1" thickBot="1" x14ac:dyDescent="0.2">
      <c r="A338" s="24" t="s">
        <v>517</v>
      </c>
      <c r="B338" s="24"/>
      <c r="C338" s="24"/>
      <c r="D338" s="24"/>
      <c r="E338" s="24"/>
      <c r="F338" s="24"/>
      <c r="G338" s="24"/>
      <c r="H338" s="24"/>
    </row>
    <row r="339" spans="1:8" ht="9" thickTop="1" thickBot="1" x14ac:dyDescent="0.2">
      <c r="A339" s="24" t="s">
        <v>520</v>
      </c>
      <c r="B339" s="24"/>
      <c r="C339" s="24"/>
      <c r="D339" s="24"/>
      <c r="E339" s="24"/>
      <c r="F339" s="24"/>
      <c r="G339" s="24"/>
      <c r="H339" s="24"/>
    </row>
    <row r="340" spans="1:8" ht="9" thickTop="1" thickBot="1" x14ac:dyDescent="0.2">
      <c r="A340" s="24" t="s">
        <v>590</v>
      </c>
      <c r="B340" s="24"/>
      <c r="C340" s="24"/>
      <c r="D340" s="24"/>
      <c r="E340" s="24"/>
      <c r="F340" s="24"/>
      <c r="G340" s="24"/>
      <c r="H340" s="24"/>
    </row>
    <row r="341" spans="1:8" ht="9" thickTop="1" thickBot="1" x14ac:dyDescent="0.2">
      <c r="A341" s="24" t="s">
        <v>533</v>
      </c>
      <c r="B341" s="24"/>
      <c r="C341" s="24"/>
      <c r="D341" s="24"/>
      <c r="E341" s="24"/>
      <c r="F341" s="24"/>
      <c r="G341" s="24"/>
      <c r="H341" s="24"/>
    </row>
    <row r="342" spans="1:8" ht="9" thickTop="1" thickBot="1" x14ac:dyDescent="0.2"/>
    <row r="343" spans="1:8" ht="9" thickTop="1" thickBot="1" x14ac:dyDescent="0.2">
      <c r="A343" s="71" t="s">
        <v>591</v>
      </c>
      <c r="B343" s="71"/>
      <c r="C343" s="71"/>
      <c r="D343" s="71"/>
      <c r="E343" s="71"/>
      <c r="F343" s="71"/>
      <c r="G343" s="71"/>
      <c r="H343" s="71"/>
    </row>
    <row r="344" spans="1:8" ht="9" thickTop="1" thickBot="1" x14ac:dyDescent="0.2">
      <c r="A344" s="24" t="s">
        <v>514</v>
      </c>
      <c r="B344" s="26">
        <f>B326+7</f>
        <v>134</v>
      </c>
      <c r="C344" s="26">
        <f t="shared" ref="C344:H344" si="18">C326+7</f>
        <v>135</v>
      </c>
      <c r="D344" s="26">
        <f t="shared" si="18"/>
        <v>136</v>
      </c>
      <c r="E344" s="26">
        <f t="shared" si="18"/>
        <v>137</v>
      </c>
      <c r="F344" s="26">
        <f t="shared" si="18"/>
        <v>138</v>
      </c>
      <c r="G344" s="26">
        <f t="shared" si="18"/>
        <v>139</v>
      </c>
      <c r="H344" s="26">
        <f t="shared" si="18"/>
        <v>140</v>
      </c>
    </row>
    <row r="345" spans="1:8" ht="9" thickTop="1" thickBot="1" x14ac:dyDescent="0.2">
      <c r="A345" s="24" t="s">
        <v>515</v>
      </c>
      <c r="B345" s="25">
        <v>43234</v>
      </c>
      <c r="C345" s="25">
        <v>43235</v>
      </c>
      <c r="D345" s="25">
        <v>43236</v>
      </c>
      <c r="E345" s="25">
        <v>43237</v>
      </c>
      <c r="F345" s="25">
        <v>43238</v>
      </c>
      <c r="G345" s="25">
        <v>43239</v>
      </c>
      <c r="H345" s="25">
        <v>43240</v>
      </c>
    </row>
    <row r="346" spans="1:8" ht="9" thickTop="1" thickBot="1" x14ac:dyDescent="0.2">
      <c r="A346" s="24" t="s">
        <v>587</v>
      </c>
      <c r="B346" s="24"/>
      <c r="C346" s="24"/>
      <c r="D346" s="24"/>
      <c r="E346" s="24"/>
      <c r="F346" s="24"/>
      <c r="G346" s="24"/>
      <c r="H346" s="24"/>
    </row>
    <row r="347" spans="1:8" ht="9" thickTop="1" thickBot="1" x14ac:dyDescent="0.2">
      <c r="A347" s="24" t="s">
        <v>522</v>
      </c>
      <c r="B347" s="24"/>
      <c r="C347" s="24"/>
      <c r="D347" s="24"/>
      <c r="E347" s="24"/>
      <c r="F347" s="24"/>
      <c r="G347" s="24"/>
      <c r="H347" s="24"/>
    </row>
    <row r="348" spans="1:8" ht="9" thickTop="1" thickBot="1" x14ac:dyDescent="0.2">
      <c r="A348" s="24" t="s">
        <v>525</v>
      </c>
      <c r="B348" s="24"/>
      <c r="C348" s="24"/>
      <c r="D348" s="24"/>
      <c r="E348" s="24"/>
      <c r="F348" s="24"/>
      <c r="G348" s="24"/>
      <c r="H348" s="24"/>
    </row>
    <row r="349" spans="1:8" ht="9" thickTop="1" thickBot="1" x14ac:dyDescent="0.2">
      <c r="A349" s="24" t="s">
        <v>201</v>
      </c>
      <c r="B349" s="24"/>
      <c r="C349" s="24"/>
      <c r="D349" s="24"/>
      <c r="E349" s="24"/>
      <c r="F349" s="24"/>
      <c r="G349" s="24"/>
      <c r="H349" s="24"/>
    </row>
    <row r="350" spans="1:8" ht="9" thickTop="1" thickBot="1" x14ac:dyDescent="0.2">
      <c r="A350" s="24" t="s">
        <v>6</v>
      </c>
      <c r="B350" s="24"/>
      <c r="C350" s="24"/>
      <c r="D350" s="24"/>
      <c r="E350" s="24"/>
      <c r="F350" s="24"/>
      <c r="G350" s="24"/>
      <c r="H350" s="24"/>
    </row>
    <row r="351" spans="1:8" ht="9" thickTop="1" thickBot="1" x14ac:dyDescent="0.2">
      <c r="A351" s="24" t="s">
        <v>526</v>
      </c>
      <c r="B351" s="24"/>
      <c r="C351" s="24"/>
      <c r="D351" s="24"/>
      <c r="E351" s="24"/>
      <c r="F351" s="24"/>
      <c r="G351" s="24"/>
      <c r="H351" s="24"/>
    </row>
    <row r="352" spans="1:8" ht="9" thickTop="1" thickBot="1" x14ac:dyDescent="0.2">
      <c r="A352" s="24" t="s">
        <v>588</v>
      </c>
      <c r="B352" s="24"/>
      <c r="C352" s="24"/>
      <c r="D352" s="24"/>
      <c r="E352" s="24"/>
      <c r="F352" s="24"/>
      <c r="G352" s="24"/>
      <c r="H352" s="24"/>
    </row>
    <row r="353" spans="1:8" ht="9" thickTop="1" thickBot="1" x14ac:dyDescent="0.2">
      <c r="A353" s="24" t="s">
        <v>528</v>
      </c>
      <c r="B353" s="24"/>
      <c r="C353" s="24"/>
      <c r="D353" s="24"/>
      <c r="E353" s="24"/>
      <c r="F353" s="24"/>
      <c r="G353" s="24"/>
      <c r="H353" s="24"/>
    </row>
    <row r="354" spans="1:8" ht="9" thickTop="1" thickBot="1" x14ac:dyDescent="0.2">
      <c r="A354" s="24" t="s">
        <v>531</v>
      </c>
      <c r="B354" s="24"/>
      <c r="C354" s="24"/>
      <c r="D354" s="24"/>
      <c r="E354" s="24"/>
      <c r="F354" s="24"/>
      <c r="G354" s="24"/>
      <c r="H354" s="24"/>
    </row>
    <row r="355" spans="1:8" ht="9" thickTop="1" thickBot="1" x14ac:dyDescent="0.2">
      <c r="A355" s="24" t="s">
        <v>589</v>
      </c>
      <c r="B355" s="24"/>
      <c r="C355" s="24"/>
      <c r="D355" s="24"/>
      <c r="E355" s="24"/>
      <c r="F355" s="24"/>
      <c r="G355" s="24"/>
      <c r="H355" s="24"/>
    </row>
    <row r="356" spans="1:8" ht="9" thickTop="1" thickBot="1" x14ac:dyDescent="0.2">
      <c r="A356" s="24" t="s">
        <v>517</v>
      </c>
      <c r="B356" s="24"/>
      <c r="C356" s="24"/>
      <c r="D356" s="24"/>
      <c r="E356" s="24"/>
      <c r="F356" s="24"/>
      <c r="G356" s="24"/>
      <c r="H356" s="24"/>
    </row>
    <row r="357" spans="1:8" ht="9" thickTop="1" thickBot="1" x14ac:dyDescent="0.2">
      <c r="A357" s="24" t="s">
        <v>520</v>
      </c>
      <c r="B357" s="24"/>
      <c r="C357" s="24"/>
      <c r="D357" s="24"/>
      <c r="E357" s="24"/>
      <c r="F357" s="24"/>
      <c r="G357" s="24"/>
      <c r="H357" s="24"/>
    </row>
    <row r="358" spans="1:8" ht="9" thickTop="1" thickBot="1" x14ac:dyDescent="0.2">
      <c r="A358" s="24" t="s">
        <v>590</v>
      </c>
      <c r="B358" s="24"/>
      <c r="C358" s="24"/>
      <c r="D358" s="24"/>
      <c r="E358" s="24"/>
      <c r="F358" s="24"/>
      <c r="G358" s="24"/>
      <c r="H358" s="24"/>
    </row>
    <row r="359" spans="1:8" ht="9" thickTop="1" thickBot="1" x14ac:dyDescent="0.2">
      <c r="A359" s="24" t="s">
        <v>533</v>
      </c>
      <c r="B359" s="24"/>
      <c r="C359" s="24"/>
      <c r="D359" s="24"/>
      <c r="E359" s="24"/>
      <c r="F359" s="24"/>
      <c r="G359" s="24"/>
      <c r="H359" s="24"/>
    </row>
    <row r="360" spans="1:8" ht="9" thickTop="1" thickBot="1" x14ac:dyDescent="0.2"/>
    <row r="361" spans="1:8" ht="9" thickTop="1" thickBot="1" x14ac:dyDescent="0.2">
      <c r="A361" s="71" t="s">
        <v>591</v>
      </c>
      <c r="B361" s="71"/>
      <c r="C361" s="71"/>
      <c r="D361" s="71"/>
      <c r="E361" s="71"/>
      <c r="F361" s="71"/>
      <c r="G361" s="71"/>
      <c r="H361" s="71"/>
    </row>
    <row r="362" spans="1:8" ht="9" thickTop="1" thickBot="1" x14ac:dyDescent="0.2">
      <c r="A362" s="24" t="s">
        <v>514</v>
      </c>
      <c r="B362" s="26">
        <f>B344+7</f>
        <v>141</v>
      </c>
      <c r="C362" s="26">
        <f t="shared" ref="C362:H362" si="19">C344+7</f>
        <v>142</v>
      </c>
      <c r="D362" s="26">
        <f t="shared" si="19"/>
        <v>143</v>
      </c>
      <c r="E362" s="26">
        <f t="shared" si="19"/>
        <v>144</v>
      </c>
      <c r="F362" s="26">
        <f t="shared" si="19"/>
        <v>145</v>
      </c>
      <c r="G362" s="26">
        <f t="shared" si="19"/>
        <v>146</v>
      </c>
      <c r="H362" s="26">
        <f t="shared" si="19"/>
        <v>147</v>
      </c>
    </row>
    <row r="363" spans="1:8" ht="9" thickTop="1" thickBot="1" x14ac:dyDescent="0.2">
      <c r="A363" s="24" t="s">
        <v>515</v>
      </c>
      <c r="B363" s="25">
        <v>43241</v>
      </c>
      <c r="C363" s="25">
        <v>43242</v>
      </c>
      <c r="D363" s="25">
        <v>43243</v>
      </c>
      <c r="E363" s="25">
        <v>43244</v>
      </c>
      <c r="F363" s="25">
        <v>43245</v>
      </c>
      <c r="G363" s="25">
        <v>43246</v>
      </c>
      <c r="H363" s="25">
        <v>43247</v>
      </c>
    </row>
    <row r="364" spans="1:8" ht="9" thickTop="1" thickBot="1" x14ac:dyDescent="0.2">
      <c r="A364" s="24" t="s">
        <v>587</v>
      </c>
      <c r="B364" s="24"/>
      <c r="C364" s="24"/>
      <c r="D364" s="24"/>
      <c r="E364" s="24"/>
      <c r="F364" s="24"/>
      <c r="G364" s="24"/>
      <c r="H364" s="24"/>
    </row>
    <row r="365" spans="1:8" ht="9" thickTop="1" thickBot="1" x14ac:dyDescent="0.2">
      <c r="A365" s="24" t="s">
        <v>522</v>
      </c>
      <c r="B365" s="24"/>
      <c r="C365" s="24"/>
      <c r="D365" s="24"/>
      <c r="E365" s="24"/>
      <c r="F365" s="24"/>
      <c r="G365" s="24"/>
      <c r="H365" s="24"/>
    </row>
    <row r="366" spans="1:8" ht="9" thickTop="1" thickBot="1" x14ac:dyDescent="0.2">
      <c r="A366" s="24" t="s">
        <v>525</v>
      </c>
      <c r="B366" s="24"/>
      <c r="C366" s="24"/>
      <c r="D366" s="24"/>
      <c r="E366" s="24"/>
      <c r="F366" s="24"/>
      <c r="G366" s="24"/>
      <c r="H366" s="24"/>
    </row>
    <row r="367" spans="1:8" ht="9" thickTop="1" thickBot="1" x14ac:dyDescent="0.2">
      <c r="A367" s="24" t="s">
        <v>201</v>
      </c>
      <c r="B367" s="24"/>
      <c r="C367" s="24"/>
      <c r="D367" s="24"/>
      <c r="E367" s="24"/>
      <c r="F367" s="24"/>
      <c r="G367" s="24"/>
      <c r="H367" s="24"/>
    </row>
    <row r="368" spans="1:8" ht="9" thickTop="1" thickBot="1" x14ac:dyDescent="0.2">
      <c r="A368" s="24" t="s">
        <v>6</v>
      </c>
      <c r="B368" s="24"/>
      <c r="C368" s="24"/>
      <c r="D368" s="24"/>
      <c r="E368" s="24"/>
      <c r="F368" s="24"/>
      <c r="G368" s="24"/>
      <c r="H368" s="24"/>
    </row>
    <row r="369" spans="1:8" ht="9" thickTop="1" thickBot="1" x14ac:dyDescent="0.2">
      <c r="A369" s="24" t="s">
        <v>526</v>
      </c>
      <c r="B369" s="24"/>
      <c r="C369" s="24"/>
      <c r="D369" s="24"/>
      <c r="E369" s="24"/>
      <c r="F369" s="24"/>
      <c r="G369" s="24"/>
      <c r="H369" s="24"/>
    </row>
    <row r="370" spans="1:8" ht="9" thickTop="1" thickBot="1" x14ac:dyDescent="0.2">
      <c r="A370" s="24" t="s">
        <v>588</v>
      </c>
      <c r="B370" s="24"/>
      <c r="C370" s="24"/>
      <c r="D370" s="24"/>
      <c r="E370" s="24"/>
      <c r="F370" s="24"/>
      <c r="G370" s="24"/>
      <c r="H370" s="24"/>
    </row>
    <row r="371" spans="1:8" ht="9" thickTop="1" thickBot="1" x14ac:dyDescent="0.2">
      <c r="A371" s="24" t="s">
        <v>528</v>
      </c>
      <c r="B371" s="24"/>
      <c r="C371" s="24"/>
      <c r="D371" s="24"/>
      <c r="E371" s="24"/>
      <c r="F371" s="24"/>
      <c r="G371" s="24"/>
      <c r="H371" s="24"/>
    </row>
    <row r="372" spans="1:8" ht="9" thickTop="1" thickBot="1" x14ac:dyDescent="0.2">
      <c r="A372" s="24" t="s">
        <v>531</v>
      </c>
      <c r="B372" s="24"/>
      <c r="C372" s="24"/>
      <c r="D372" s="24"/>
      <c r="E372" s="24"/>
      <c r="F372" s="24"/>
      <c r="G372" s="24"/>
      <c r="H372" s="24"/>
    </row>
    <row r="373" spans="1:8" ht="9" thickTop="1" thickBot="1" x14ac:dyDescent="0.2">
      <c r="A373" s="24" t="s">
        <v>589</v>
      </c>
      <c r="B373" s="24"/>
      <c r="C373" s="24"/>
      <c r="D373" s="24"/>
      <c r="E373" s="24"/>
      <c r="F373" s="24"/>
      <c r="G373" s="24"/>
      <c r="H373" s="24"/>
    </row>
    <row r="374" spans="1:8" ht="9" thickTop="1" thickBot="1" x14ac:dyDescent="0.2">
      <c r="A374" s="24" t="s">
        <v>517</v>
      </c>
      <c r="B374" s="24"/>
      <c r="C374" s="24"/>
      <c r="D374" s="24"/>
      <c r="E374" s="24"/>
      <c r="F374" s="24"/>
      <c r="G374" s="24"/>
      <c r="H374" s="24"/>
    </row>
    <row r="375" spans="1:8" ht="9" thickTop="1" thickBot="1" x14ac:dyDescent="0.2">
      <c r="A375" s="24" t="s">
        <v>520</v>
      </c>
      <c r="B375" s="24"/>
      <c r="C375" s="24"/>
      <c r="D375" s="24"/>
      <c r="E375" s="24"/>
      <c r="F375" s="24"/>
      <c r="G375" s="24"/>
      <c r="H375" s="24"/>
    </row>
    <row r="376" spans="1:8" ht="9" thickTop="1" thickBot="1" x14ac:dyDescent="0.2">
      <c r="A376" s="24" t="s">
        <v>590</v>
      </c>
      <c r="B376" s="24"/>
      <c r="C376" s="24"/>
      <c r="D376" s="24"/>
      <c r="E376" s="24"/>
      <c r="F376" s="24"/>
      <c r="G376" s="24"/>
      <c r="H376" s="24"/>
    </row>
    <row r="377" spans="1:8" ht="9" thickTop="1" thickBot="1" x14ac:dyDescent="0.2">
      <c r="A377" s="24" t="s">
        <v>533</v>
      </c>
      <c r="B377" s="24"/>
      <c r="C377" s="24"/>
      <c r="D377" s="24"/>
      <c r="E377" s="24"/>
      <c r="F377" s="24"/>
      <c r="G377" s="24"/>
      <c r="H377" s="24"/>
    </row>
    <row r="378" spans="1:8" ht="9" thickTop="1" thickBot="1" x14ac:dyDescent="0.2"/>
    <row r="379" spans="1:8" ht="9" thickTop="1" thickBot="1" x14ac:dyDescent="0.2">
      <c r="A379" s="71" t="s">
        <v>591</v>
      </c>
      <c r="B379" s="71"/>
      <c r="C379" s="71"/>
      <c r="D379" s="71"/>
      <c r="E379" s="71"/>
      <c r="F379" s="71"/>
      <c r="G379" s="71"/>
      <c r="H379" s="71"/>
    </row>
    <row r="380" spans="1:8" ht="9" thickTop="1" thickBot="1" x14ac:dyDescent="0.2">
      <c r="A380" s="24" t="s">
        <v>514</v>
      </c>
      <c r="B380" s="26">
        <f>B362+7</f>
        <v>148</v>
      </c>
      <c r="C380" s="26">
        <f t="shared" ref="C380:H380" si="20">C362+7</f>
        <v>149</v>
      </c>
      <c r="D380" s="26">
        <f t="shared" si="20"/>
        <v>150</v>
      </c>
      <c r="E380" s="26">
        <f t="shared" si="20"/>
        <v>151</v>
      </c>
      <c r="F380" s="26">
        <f t="shared" si="20"/>
        <v>152</v>
      </c>
      <c r="G380" s="26">
        <f t="shared" si="20"/>
        <v>153</v>
      </c>
      <c r="H380" s="26">
        <f t="shared" si="20"/>
        <v>154</v>
      </c>
    </row>
    <row r="381" spans="1:8" ht="9" thickTop="1" thickBot="1" x14ac:dyDescent="0.2">
      <c r="A381" s="24" t="s">
        <v>515</v>
      </c>
      <c r="B381" s="25">
        <v>43248</v>
      </c>
      <c r="C381" s="25">
        <v>43249</v>
      </c>
      <c r="D381" s="25">
        <v>43250</v>
      </c>
      <c r="E381" s="25">
        <v>43251</v>
      </c>
      <c r="F381" s="25">
        <v>43252</v>
      </c>
      <c r="G381" s="25">
        <v>43253</v>
      </c>
      <c r="H381" s="25">
        <v>43254</v>
      </c>
    </row>
    <row r="382" spans="1:8" ht="9" thickTop="1" thickBot="1" x14ac:dyDescent="0.2">
      <c r="A382" s="24" t="s">
        <v>587</v>
      </c>
      <c r="B382" s="24"/>
      <c r="C382" s="24"/>
      <c r="D382" s="24"/>
      <c r="E382" s="24"/>
      <c r="F382" s="24"/>
      <c r="G382" s="24"/>
      <c r="H382" s="24"/>
    </row>
    <row r="383" spans="1:8" ht="9" thickTop="1" thickBot="1" x14ac:dyDescent="0.2">
      <c r="A383" s="24" t="s">
        <v>522</v>
      </c>
      <c r="B383" s="24"/>
      <c r="C383" s="24"/>
      <c r="D383" s="24"/>
      <c r="E383" s="24"/>
      <c r="F383" s="24"/>
      <c r="G383" s="24"/>
      <c r="H383" s="24"/>
    </row>
    <row r="384" spans="1:8" ht="9" thickTop="1" thickBot="1" x14ac:dyDescent="0.2">
      <c r="A384" s="24" t="s">
        <v>525</v>
      </c>
      <c r="B384" s="24"/>
      <c r="C384" s="24"/>
      <c r="D384" s="24"/>
      <c r="E384" s="24"/>
      <c r="F384" s="24"/>
      <c r="G384" s="24"/>
      <c r="H384" s="24"/>
    </row>
    <row r="385" spans="1:8" ht="9" thickTop="1" thickBot="1" x14ac:dyDescent="0.2">
      <c r="A385" s="24" t="s">
        <v>201</v>
      </c>
      <c r="B385" s="24"/>
      <c r="C385" s="24"/>
      <c r="D385" s="24"/>
      <c r="E385" s="24"/>
      <c r="F385" s="24"/>
      <c r="G385" s="24"/>
      <c r="H385" s="24"/>
    </row>
    <row r="386" spans="1:8" ht="9" thickTop="1" thickBot="1" x14ac:dyDescent="0.2">
      <c r="A386" s="24" t="s">
        <v>6</v>
      </c>
      <c r="B386" s="24"/>
      <c r="C386" s="24"/>
      <c r="D386" s="24"/>
      <c r="E386" s="24"/>
      <c r="F386" s="24"/>
      <c r="G386" s="24"/>
      <c r="H386" s="24"/>
    </row>
    <row r="387" spans="1:8" ht="9" thickTop="1" thickBot="1" x14ac:dyDescent="0.2">
      <c r="A387" s="24" t="s">
        <v>526</v>
      </c>
      <c r="B387" s="24"/>
      <c r="C387" s="24"/>
      <c r="D387" s="24"/>
      <c r="E387" s="24"/>
      <c r="F387" s="24"/>
      <c r="G387" s="24"/>
      <c r="H387" s="24"/>
    </row>
    <row r="388" spans="1:8" ht="9" thickTop="1" thickBot="1" x14ac:dyDescent="0.2">
      <c r="A388" s="24" t="s">
        <v>588</v>
      </c>
      <c r="B388" s="24"/>
      <c r="C388" s="24"/>
      <c r="D388" s="24"/>
      <c r="E388" s="24"/>
      <c r="F388" s="24"/>
      <c r="G388" s="24"/>
      <c r="H388" s="24"/>
    </row>
    <row r="389" spans="1:8" ht="9" thickTop="1" thickBot="1" x14ac:dyDescent="0.2">
      <c r="A389" s="24" t="s">
        <v>528</v>
      </c>
      <c r="B389" s="24"/>
      <c r="C389" s="24"/>
      <c r="D389" s="24"/>
      <c r="E389" s="24"/>
      <c r="F389" s="24"/>
      <c r="G389" s="24"/>
      <c r="H389" s="24"/>
    </row>
    <row r="390" spans="1:8" ht="9" thickTop="1" thickBot="1" x14ac:dyDescent="0.2">
      <c r="A390" s="24" t="s">
        <v>531</v>
      </c>
      <c r="B390" s="24"/>
      <c r="C390" s="24"/>
      <c r="D390" s="24"/>
      <c r="E390" s="24"/>
      <c r="F390" s="24"/>
      <c r="G390" s="24"/>
      <c r="H390" s="24"/>
    </row>
    <row r="391" spans="1:8" ht="9" thickTop="1" thickBot="1" x14ac:dyDescent="0.2">
      <c r="A391" s="24" t="s">
        <v>589</v>
      </c>
      <c r="B391" s="24"/>
      <c r="C391" s="24"/>
      <c r="D391" s="24"/>
      <c r="E391" s="24"/>
      <c r="F391" s="24"/>
      <c r="G391" s="24"/>
      <c r="H391" s="24"/>
    </row>
    <row r="392" spans="1:8" ht="9" thickTop="1" thickBot="1" x14ac:dyDescent="0.2">
      <c r="A392" s="24" t="s">
        <v>517</v>
      </c>
      <c r="B392" s="24"/>
      <c r="C392" s="24"/>
      <c r="D392" s="24"/>
      <c r="E392" s="24"/>
      <c r="F392" s="24"/>
      <c r="G392" s="24"/>
      <c r="H392" s="24"/>
    </row>
    <row r="393" spans="1:8" ht="9" thickTop="1" thickBot="1" x14ac:dyDescent="0.2">
      <c r="A393" s="24" t="s">
        <v>520</v>
      </c>
      <c r="B393" s="24"/>
      <c r="C393" s="24"/>
      <c r="D393" s="24"/>
      <c r="E393" s="24"/>
      <c r="F393" s="24"/>
      <c r="G393" s="24"/>
      <c r="H393" s="24"/>
    </row>
    <row r="394" spans="1:8" ht="9" thickTop="1" thickBot="1" x14ac:dyDescent="0.2">
      <c r="A394" s="24" t="s">
        <v>590</v>
      </c>
      <c r="B394" s="24"/>
      <c r="C394" s="24"/>
      <c r="D394" s="24"/>
      <c r="E394" s="24"/>
      <c r="F394" s="24"/>
      <c r="G394" s="24"/>
      <c r="H394" s="24"/>
    </row>
    <row r="395" spans="1:8" ht="9" thickTop="1" thickBot="1" x14ac:dyDescent="0.2">
      <c r="A395" s="24" t="s">
        <v>533</v>
      </c>
      <c r="B395" s="24"/>
      <c r="C395" s="24"/>
      <c r="D395" s="24"/>
      <c r="E395" s="24"/>
      <c r="F395" s="24"/>
      <c r="G395" s="24"/>
      <c r="H395" s="24"/>
    </row>
    <row r="396" spans="1:8" ht="9" thickTop="1" thickBot="1" x14ac:dyDescent="0.2"/>
    <row r="397" spans="1:8" ht="9" thickTop="1" thickBot="1" x14ac:dyDescent="0.2">
      <c r="A397" s="71" t="s">
        <v>591</v>
      </c>
      <c r="B397" s="71"/>
      <c r="C397" s="71"/>
      <c r="D397" s="71"/>
      <c r="E397" s="71"/>
      <c r="F397" s="71"/>
      <c r="G397" s="71"/>
      <c r="H397" s="71"/>
    </row>
    <row r="398" spans="1:8" ht="9" thickTop="1" thickBot="1" x14ac:dyDescent="0.2">
      <c r="A398" s="24" t="s">
        <v>514</v>
      </c>
      <c r="B398" s="26">
        <f>B380+7</f>
        <v>155</v>
      </c>
      <c r="C398" s="26">
        <f t="shared" ref="C398:H398" si="21">C380+7</f>
        <v>156</v>
      </c>
      <c r="D398" s="26">
        <f t="shared" si="21"/>
        <v>157</v>
      </c>
      <c r="E398" s="26">
        <f t="shared" si="21"/>
        <v>158</v>
      </c>
      <c r="F398" s="26">
        <f t="shared" si="21"/>
        <v>159</v>
      </c>
      <c r="G398" s="26">
        <f t="shared" si="21"/>
        <v>160</v>
      </c>
      <c r="H398" s="26">
        <f t="shared" si="21"/>
        <v>161</v>
      </c>
    </row>
    <row r="399" spans="1:8" ht="9" thickTop="1" thickBot="1" x14ac:dyDescent="0.2">
      <c r="A399" s="24" t="s">
        <v>515</v>
      </c>
      <c r="B399" s="25">
        <v>43255</v>
      </c>
      <c r="C399" s="25">
        <v>43256</v>
      </c>
      <c r="D399" s="25">
        <v>43257</v>
      </c>
      <c r="E399" s="25">
        <v>43258</v>
      </c>
      <c r="F399" s="25">
        <v>43259</v>
      </c>
      <c r="G399" s="25">
        <v>43260</v>
      </c>
      <c r="H399" s="25">
        <v>43261</v>
      </c>
    </row>
    <row r="400" spans="1:8" ht="9" thickTop="1" thickBot="1" x14ac:dyDescent="0.2">
      <c r="A400" s="24" t="s">
        <v>587</v>
      </c>
      <c r="B400" s="24"/>
      <c r="C400" s="24"/>
      <c r="D400" s="24"/>
      <c r="E400" s="24"/>
      <c r="F400" s="24"/>
      <c r="G400" s="24"/>
      <c r="H400" s="24"/>
    </row>
    <row r="401" spans="1:8" ht="9" thickTop="1" thickBot="1" x14ac:dyDescent="0.2">
      <c r="A401" s="24" t="s">
        <v>522</v>
      </c>
      <c r="B401" s="24"/>
      <c r="C401" s="24"/>
      <c r="D401" s="24"/>
      <c r="E401" s="24"/>
      <c r="F401" s="24"/>
      <c r="G401" s="24"/>
      <c r="H401" s="24"/>
    </row>
    <row r="402" spans="1:8" ht="9" thickTop="1" thickBot="1" x14ac:dyDescent="0.2">
      <c r="A402" s="24" t="s">
        <v>525</v>
      </c>
      <c r="B402" s="24"/>
      <c r="C402" s="24"/>
      <c r="D402" s="24"/>
      <c r="E402" s="24"/>
      <c r="F402" s="24"/>
      <c r="G402" s="24"/>
      <c r="H402" s="24"/>
    </row>
    <row r="403" spans="1:8" ht="9" thickTop="1" thickBot="1" x14ac:dyDescent="0.2">
      <c r="A403" s="24" t="s">
        <v>201</v>
      </c>
      <c r="B403" s="24"/>
      <c r="C403" s="24"/>
      <c r="D403" s="24"/>
      <c r="E403" s="24"/>
      <c r="F403" s="24"/>
      <c r="G403" s="24"/>
      <c r="H403" s="24"/>
    </row>
    <row r="404" spans="1:8" ht="9" thickTop="1" thickBot="1" x14ac:dyDescent="0.2">
      <c r="A404" s="24" t="s">
        <v>6</v>
      </c>
      <c r="B404" s="24"/>
      <c r="C404" s="24"/>
      <c r="D404" s="24"/>
      <c r="E404" s="24"/>
      <c r="F404" s="24"/>
      <c r="G404" s="24"/>
      <c r="H404" s="24"/>
    </row>
    <row r="405" spans="1:8" ht="9" thickTop="1" thickBot="1" x14ac:dyDescent="0.2">
      <c r="A405" s="24" t="s">
        <v>526</v>
      </c>
      <c r="B405" s="24"/>
      <c r="C405" s="24"/>
      <c r="D405" s="24"/>
      <c r="E405" s="24"/>
      <c r="F405" s="24"/>
      <c r="G405" s="24"/>
      <c r="H405" s="24"/>
    </row>
    <row r="406" spans="1:8" ht="9" thickTop="1" thickBot="1" x14ac:dyDescent="0.2">
      <c r="A406" s="24" t="s">
        <v>588</v>
      </c>
      <c r="B406" s="24"/>
      <c r="C406" s="24"/>
      <c r="D406" s="24"/>
      <c r="E406" s="24"/>
      <c r="F406" s="24"/>
      <c r="G406" s="24"/>
      <c r="H406" s="24"/>
    </row>
    <row r="407" spans="1:8" ht="9" thickTop="1" thickBot="1" x14ac:dyDescent="0.2">
      <c r="A407" s="24" t="s">
        <v>528</v>
      </c>
      <c r="B407" s="24"/>
      <c r="C407" s="24"/>
      <c r="D407" s="24"/>
      <c r="E407" s="24"/>
      <c r="F407" s="24"/>
      <c r="G407" s="24"/>
      <c r="H407" s="24"/>
    </row>
    <row r="408" spans="1:8" ht="9" thickTop="1" thickBot="1" x14ac:dyDescent="0.2">
      <c r="A408" s="24" t="s">
        <v>531</v>
      </c>
      <c r="B408" s="24"/>
      <c r="C408" s="24"/>
      <c r="D408" s="24"/>
      <c r="E408" s="24"/>
      <c r="F408" s="24"/>
      <c r="G408" s="24"/>
      <c r="H408" s="24"/>
    </row>
    <row r="409" spans="1:8" ht="9" thickTop="1" thickBot="1" x14ac:dyDescent="0.2">
      <c r="A409" s="24" t="s">
        <v>589</v>
      </c>
      <c r="B409" s="24"/>
      <c r="C409" s="24"/>
      <c r="D409" s="24"/>
      <c r="E409" s="24"/>
      <c r="F409" s="24"/>
      <c r="G409" s="24"/>
      <c r="H409" s="24"/>
    </row>
    <row r="410" spans="1:8" ht="9" thickTop="1" thickBot="1" x14ac:dyDescent="0.2">
      <c r="A410" s="24" t="s">
        <v>517</v>
      </c>
      <c r="B410" s="24"/>
      <c r="C410" s="24"/>
      <c r="D410" s="24"/>
      <c r="E410" s="24"/>
      <c r="F410" s="24"/>
      <c r="G410" s="24"/>
      <c r="H410" s="24"/>
    </row>
    <row r="411" spans="1:8" ht="9" thickTop="1" thickBot="1" x14ac:dyDescent="0.2">
      <c r="A411" s="24" t="s">
        <v>520</v>
      </c>
      <c r="B411" s="24"/>
      <c r="C411" s="24"/>
      <c r="D411" s="24"/>
      <c r="E411" s="24"/>
      <c r="F411" s="24"/>
      <c r="G411" s="24"/>
      <c r="H411" s="24"/>
    </row>
    <row r="412" spans="1:8" ht="9" thickTop="1" thickBot="1" x14ac:dyDescent="0.2">
      <c r="A412" s="24" t="s">
        <v>590</v>
      </c>
      <c r="B412" s="24"/>
      <c r="C412" s="24"/>
      <c r="D412" s="24"/>
      <c r="E412" s="24"/>
      <c r="F412" s="24"/>
      <c r="G412" s="24"/>
      <c r="H412" s="24"/>
    </row>
    <row r="413" spans="1:8" ht="9" thickTop="1" thickBot="1" x14ac:dyDescent="0.2">
      <c r="A413" s="24" t="s">
        <v>533</v>
      </c>
      <c r="B413" s="24"/>
      <c r="C413" s="24"/>
      <c r="D413" s="24"/>
      <c r="E413" s="24"/>
      <c r="F413" s="24"/>
      <c r="G413" s="24"/>
      <c r="H413" s="24"/>
    </row>
    <row r="414" spans="1:8" ht="9" thickTop="1" thickBot="1" x14ac:dyDescent="0.2"/>
    <row r="415" spans="1:8" ht="9" thickTop="1" thickBot="1" x14ac:dyDescent="0.2">
      <c r="A415" s="71" t="s">
        <v>591</v>
      </c>
      <c r="B415" s="71"/>
      <c r="C415" s="71"/>
      <c r="D415" s="71"/>
      <c r="E415" s="71"/>
      <c r="F415" s="71"/>
      <c r="G415" s="71"/>
      <c r="H415" s="71"/>
    </row>
    <row r="416" spans="1:8" ht="9" thickTop="1" thickBot="1" x14ac:dyDescent="0.2">
      <c r="A416" s="24" t="s">
        <v>514</v>
      </c>
      <c r="B416" s="26">
        <f>B398+7</f>
        <v>162</v>
      </c>
      <c r="C416" s="26">
        <f t="shared" ref="C416:H416" si="22">C398+7</f>
        <v>163</v>
      </c>
      <c r="D416" s="26">
        <f t="shared" si="22"/>
        <v>164</v>
      </c>
      <c r="E416" s="26">
        <f t="shared" si="22"/>
        <v>165</v>
      </c>
      <c r="F416" s="26">
        <f t="shared" si="22"/>
        <v>166</v>
      </c>
      <c r="G416" s="26">
        <f t="shared" si="22"/>
        <v>167</v>
      </c>
      <c r="H416" s="26">
        <f t="shared" si="22"/>
        <v>168</v>
      </c>
    </row>
    <row r="417" spans="1:8" ht="9" thickTop="1" thickBot="1" x14ac:dyDescent="0.2">
      <c r="A417" s="24" t="s">
        <v>515</v>
      </c>
      <c r="B417" s="25">
        <v>43262</v>
      </c>
      <c r="C417" s="25">
        <v>43263</v>
      </c>
      <c r="D417" s="25">
        <v>43264</v>
      </c>
      <c r="E417" s="25">
        <v>43265</v>
      </c>
      <c r="F417" s="25">
        <v>43266</v>
      </c>
      <c r="G417" s="25">
        <v>43267</v>
      </c>
      <c r="H417" s="25">
        <v>43268</v>
      </c>
    </row>
    <row r="418" spans="1:8" ht="9" thickTop="1" thickBot="1" x14ac:dyDescent="0.2">
      <c r="A418" s="24" t="s">
        <v>587</v>
      </c>
      <c r="B418" s="24"/>
      <c r="C418" s="24"/>
      <c r="D418" s="24"/>
      <c r="E418" s="24"/>
      <c r="F418" s="24"/>
      <c r="G418" s="24"/>
      <c r="H418" s="24"/>
    </row>
    <row r="419" spans="1:8" ht="9" thickTop="1" thickBot="1" x14ac:dyDescent="0.2">
      <c r="A419" s="24" t="s">
        <v>522</v>
      </c>
      <c r="B419" s="24"/>
      <c r="C419" s="24"/>
      <c r="D419" s="24"/>
      <c r="E419" s="24"/>
      <c r="F419" s="24"/>
      <c r="G419" s="24"/>
      <c r="H419" s="24"/>
    </row>
    <row r="420" spans="1:8" ht="9" thickTop="1" thickBot="1" x14ac:dyDescent="0.2">
      <c r="A420" s="24" t="s">
        <v>525</v>
      </c>
      <c r="B420" s="24"/>
      <c r="C420" s="24"/>
      <c r="D420" s="24"/>
      <c r="E420" s="24"/>
      <c r="F420" s="24"/>
      <c r="G420" s="24"/>
      <c r="H420" s="24"/>
    </row>
    <row r="421" spans="1:8" ht="9" thickTop="1" thickBot="1" x14ac:dyDescent="0.2">
      <c r="A421" s="24" t="s">
        <v>201</v>
      </c>
      <c r="B421" s="24"/>
      <c r="C421" s="24"/>
      <c r="D421" s="24"/>
      <c r="E421" s="24"/>
      <c r="F421" s="24"/>
      <c r="G421" s="24"/>
      <c r="H421" s="24"/>
    </row>
    <row r="422" spans="1:8" ht="9" thickTop="1" thickBot="1" x14ac:dyDescent="0.2">
      <c r="A422" s="24" t="s">
        <v>6</v>
      </c>
      <c r="B422" s="24"/>
      <c r="C422" s="24"/>
      <c r="D422" s="24"/>
      <c r="E422" s="24"/>
      <c r="F422" s="24"/>
      <c r="G422" s="24"/>
      <c r="H422" s="24"/>
    </row>
    <row r="423" spans="1:8" ht="9" thickTop="1" thickBot="1" x14ac:dyDescent="0.2">
      <c r="A423" s="24" t="s">
        <v>526</v>
      </c>
      <c r="B423" s="24"/>
      <c r="C423" s="24"/>
      <c r="D423" s="24"/>
      <c r="E423" s="24"/>
      <c r="F423" s="24"/>
      <c r="G423" s="24"/>
      <c r="H423" s="24"/>
    </row>
    <row r="424" spans="1:8" ht="9" thickTop="1" thickBot="1" x14ac:dyDescent="0.2">
      <c r="A424" s="24" t="s">
        <v>588</v>
      </c>
      <c r="B424" s="24"/>
      <c r="C424" s="24"/>
      <c r="D424" s="24"/>
      <c r="E424" s="24"/>
      <c r="F424" s="24"/>
      <c r="G424" s="24"/>
      <c r="H424" s="24"/>
    </row>
    <row r="425" spans="1:8" ht="9" thickTop="1" thickBot="1" x14ac:dyDescent="0.2">
      <c r="A425" s="24" t="s">
        <v>528</v>
      </c>
      <c r="B425" s="24"/>
      <c r="C425" s="24"/>
      <c r="D425" s="24"/>
      <c r="E425" s="24"/>
      <c r="F425" s="24"/>
      <c r="G425" s="24"/>
      <c r="H425" s="24"/>
    </row>
    <row r="426" spans="1:8" ht="9" thickTop="1" thickBot="1" x14ac:dyDescent="0.2">
      <c r="A426" s="24" t="s">
        <v>531</v>
      </c>
      <c r="B426" s="24"/>
      <c r="C426" s="24"/>
      <c r="D426" s="24"/>
      <c r="E426" s="24"/>
      <c r="F426" s="24"/>
      <c r="G426" s="24"/>
      <c r="H426" s="24"/>
    </row>
    <row r="427" spans="1:8" ht="9" thickTop="1" thickBot="1" x14ac:dyDescent="0.2">
      <c r="A427" s="24" t="s">
        <v>589</v>
      </c>
      <c r="B427" s="24"/>
      <c r="C427" s="24"/>
      <c r="D427" s="24"/>
      <c r="E427" s="24"/>
      <c r="F427" s="24"/>
      <c r="G427" s="24"/>
      <c r="H427" s="24"/>
    </row>
    <row r="428" spans="1:8" ht="9" thickTop="1" thickBot="1" x14ac:dyDescent="0.2">
      <c r="A428" s="24" t="s">
        <v>517</v>
      </c>
      <c r="B428" s="24"/>
      <c r="C428" s="24"/>
      <c r="D428" s="24"/>
      <c r="E428" s="24"/>
      <c r="F428" s="24"/>
      <c r="G428" s="24"/>
      <c r="H428" s="24"/>
    </row>
    <row r="429" spans="1:8" ht="9" thickTop="1" thickBot="1" x14ac:dyDescent="0.2">
      <c r="A429" s="24" t="s">
        <v>520</v>
      </c>
      <c r="B429" s="24"/>
      <c r="C429" s="24"/>
      <c r="D429" s="24"/>
      <c r="E429" s="24"/>
      <c r="F429" s="24"/>
      <c r="G429" s="24"/>
      <c r="H429" s="24"/>
    </row>
    <row r="430" spans="1:8" ht="9" thickTop="1" thickBot="1" x14ac:dyDescent="0.2">
      <c r="A430" s="24" t="s">
        <v>590</v>
      </c>
      <c r="B430" s="24"/>
      <c r="C430" s="24"/>
      <c r="D430" s="24"/>
      <c r="E430" s="24"/>
      <c r="F430" s="24"/>
      <c r="G430" s="24"/>
      <c r="H430" s="24"/>
    </row>
    <row r="431" spans="1:8" ht="9" thickTop="1" thickBot="1" x14ac:dyDescent="0.2">
      <c r="A431" s="24" t="s">
        <v>533</v>
      </c>
      <c r="B431" s="24"/>
      <c r="C431" s="24"/>
      <c r="D431" s="24"/>
      <c r="E431" s="24"/>
      <c r="F431" s="24"/>
      <c r="G431" s="24"/>
      <c r="H431" s="24"/>
    </row>
    <row r="432" spans="1:8" ht="9" thickTop="1" thickBot="1" x14ac:dyDescent="0.2"/>
    <row r="433" spans="1:8" ht="9" thickTop="1" thickBot="1" x14ac:dyDescent="0.2">
      <c r="A433" s="71" t="s">
        <v>591</v>
      </c>
      <c r="B433" s="71"/>
      <c r="C433" s="71"/>
      <c r="D433" s="71"/>
      <c r="E433" s="71"/>
      <c r="F433" s="71"/>
      <c r="G433" s="71"/>
      <c r="H433" s="71"/>
    </row>
    <row r="434" spans="1:8" ht="9" thickTop="1" thickBot="1" x14ac:dyDescent="0.2">
      <c r="A434" s="24" t="s">
        <v>514</v>
      </c>
      <c r="B434" s="26">
        <f>B416+7</f>
        <v>169</v>
      </c>
      <c r="C434" s="26">
        <f t="shared" ref="C434:H434" si="23">C416+7</f>
        <v>170</v>
      </c>
      <c r="D434" s="26">
        <f t="shared" si="23"/>
        <v>171</v>
      </c>
      <c r="E434" s="26">
        <f t="shared" si="23"/>
        <v>172</v>
      </c>
      <c r="F434" s="26">
        <f t="shared" si="23"/>
        <v>173</v>
      </c>
      <c r="G434" s="26">
        <f t="shared" si="23"/>
        <v>174</v>
      </c>
      <c r="H434" s="26">
        <f t="shared" si="23"/>
        <v>175</v>
      </c>
    </row>
    <row r="435" spans="1:8" ht="9" thickTop="1" thickBot="1" x14ac:dyDescent="0.2">
      <c r="A435" s="24" t="s">
        <v>515</v>
      </c>
      <c r="B435" s="25">
        <v>43269</v>
      </c>
      <c r="C435" s="25">
        <v>43270</v>
      </c>
      <c r="D435" s="25">
        <v>43271</v>
      </c>
      <c r="E435" s="25">
        <v>43272</v>
      </c>
      <c r="F435" s="25">
        <v>43273</v>
      </c>
      <c r="G435" s="25">
        <v>43274</v>
      </c>
      <c r="H435" s="25">
        <v>43275</v>
      </c>
    </row>
    <row r="436" spans="1:8" ht="9" thickTop="1" thickBot="1" x14ac:dyDescent="0.2">
      <c r="A436" s="24" t="s">
        <v>587</v>
      </c>
      <c r="B436" s="24"/>
      <c r="C436" s="24"/>
      <c r="D436" s="24"/>
      <c r="E436" s="24"/>
      <c r="F436" s="24"/>
      <c r="G436" s="24"/>
      <c r="H436" s="24"/>
    </row>
    <row r="437" spans="1:8" ht="9" thickTop="1" thickBot="1" x14ac:dyDescent="0.2">
      <c r="A437" s="24" t="s">
        <v>522</v>
      </c>
      <c r="B437" s="24"/>
      <c r="C437" s="24"/>
      <c r="D437" s="24"/>
      <c r="E437" s="24"/>
      <c r="F437" s="24"/>
      <c r="G437" s="24"/>
      <c r="H437" s="24"/>
    </row>
    <row r="438" spans="1:8" ht="9" thickTop="1" thickBot="1" x14ac:dyDescent="0.2">
      <c r="A438" s="24" t="s">
        <v>525</v>
      </c>
      <c r="B438" s="24"/>
      <c r="C438" s="24"/>
      <c r="D438" s="24"/>
      <c r="E438" s="24"/>
      <c r="F438" s="24"/>
      <c r="G438" s="24"/>
      <c r="H438" s="24"/>
    </row>
    <row r="439" spans="1:8" ht="9" thickTop="1" thickBot="1" x14ac:dyDescent="0.2">
      <c r="A439" s="24" t="s">
        <v>201</v>
      </c>
      <c r="B439" s="24"/>
      <c r="C439" s="24"/>
      <c r="D439" s="24"/>
      <c r="E439" s="24"/>
      <c r="F439" s="24"/>
      <c r="G439" s="24"/>
      <c r="H439" s="24"/>
    </row>
    <row r="440" spans="1:8" ht="9" thickTop="1" thickBot="1" x14ac:dyDescent="0.2">
      <c r="A440" s="24" t="s">
        <v>6</v>
      </c>
      <c r="B440" s="24"/>
      <c r="C440" s="24"/>
      <c r="D440" s="24"/>
      <c r="E440" s="24"/>
      <c r="F440" s="24"/>
      <c r="G440" s="24"/>
      <c r="H440" s="24"/>
    </row>
    <row r="441" spans="1:8" ht="9" thickTop="1" thickBot="1" x14ac:dyDescent="0.2">
      <c r="A441" s="24" t="s">
        <v>526</v>
      </c>
      <c r="B441" s="24"/>
      <c r="C441" s="24"/>
      <c r="D441" s="24"/>
      <c r="E441" s="24"/>
      <c r="F441" s="24"/>
      <c r="G441" s="24"/>
      <c r="H441" s="24"/>
    </row>
    <row r="442" spans="1:8" ht="9" thickTop="1" thickBot="1" x14ac:dyDescent="0.2">
      <c r="A442" s="24" t="s">
        <v>588</v>
      </c>
      <c r="B442" s="24"/>
      <c r="C442" s="24"/>
      <c r="D442" s="24"/>
      <c r="E442" s="24"/>
      <c r="F442" s="24"/>
      <c r="G442" s="24"/>
      <c r="H442" s="24"/>
    </row>
    <row r="443" spans="1:8" ht="9" thickTop="1" thickBot="1" x14ac:dyDescent="0.2">
      <c r="A443" s="24" t="s">
        <v>528</v>
      </c>
      <c r="B443" s="24"/>
      <c r="C443" s="24"/>
      <c r="D443" s="24"/>
      <c r="E443" s="24"/>
      <c r="F443" s="24"/>
      <c r="G443" s="24"/>
      <c r="H443" s="24"/>
    </row>
    <row r="444" spans="1:8" ht="9" thickTop="1" thickBot="1" x14ac:dyDescent="0.2">
      <c r="A444" s="24" t="s">
        <v>531</v>
      </c>
      <c r="B444" s="24"/>
      <c r="C444" s="24"/>
      <c r="D444" s="24"/>
      <c r="E444" s="24"/>
      <c r="F444" s="24"/>
      <c r="G444" s="24"/>
      <c r="H444" s="24"/>
    </row>
    <row r="445" spans="1:8" ht="9" thickTop="1" thickBot="1" x14ac:dyDescent="0.2">
      <c r="A445" s="24" t="s">
        <v>589</v>
      </c>
      <c r="B445" s="24"/>
      <c r="C445" s="24"/>
      <c r="D445" s="24"/>
      <c r="E445" s="24"/>
      <c r="F445" s="24"/>
      <c r="G445" s="24"/>
      <c r="H445" s="24"/>
    </row>
    <row r="446" spans="1:8" ht="9" thickTop="1" thickBot="1" x14ac:dyDescent="0.2">
      <c r="A446" s="24" t="s">
        <v>517</v>
      </c>
      <c r="B446" s="24"/>
      <c r="C446" s="24"/>
      <c r="D446" s="24"/>
      <c r="E446" s="24"/>
      <c r="F446" s="24"/>
      <c r="G446" s="24"/>
      <c r="H446" s="24"/>
    </row>
    <row r="447" spans="1:8" ht="9" thickTop="1" thickBot="1" x14ac:dyDescent="0.2">
      <c r="A447" s="24" t="s">
        <v>520</v>
      </c>
      <c r="B447" s="24"/>
      <c r="C447" s="24"/>
      <c r="D447" s="24"/>
      <c r="E447" s="24"/>
      <c r="F447" s="24"/>
      <c r="G447" s="24"/>
      <c r="H447" s="24"/>
    </row>
    <row r="448" spans="1:8" ht="9" thickTop="1" thickBot="1" x14ac:dyDescent="0.2">
      <c r="A448" s="24" t="s">
        <v>590</v>
      </c>
      <c r="B448" s="24"/>
      <c r="C448" s="24"/>
      <c r="D448" s="24"/>
      <c r="E448" s="24"/>
      <c r="F448" s="24"/>
      <c r="G448" s="24"/>
      <c r="H448" s="24"/>
    </row>
    <row r="449" spans="1:8" ht="9" thickTop="1" thickBot="1" x14ac:dyDescent="0.2">
      <c r="A449" s="24" t="s">
        <v>533</v>
      </c>
      <c r="B449" s="24"/>
      <c r="C449" s="24"/>
      <c r="D449" s="24"/>
      <c r="E449" s="24"/>
      <c r="F449" s="24"/>
      <c r="G449" s="24"/>
      <c r="H449" s="24"/>
    </row>
    <row r="450" spans="1:8" ht="9" thickTop="1" thickBot="1" x14ac:dyDescent="0.2"/>
    <row r="451" spans="1:8" ht="9" thickTop="1" thickBot="1" x14ac:dyDescent="0.2">
      <c r="A451" s="71" t="s">
        <v>591</v>
      </c>
      <c r="B451" s="71"/>
      <c r="C451" s="71"/>
      <c r="D451" s="71"/>
      <c r="E451" s="71"/>
      <c r="F451" s="71"/>
      <c r="G451" s="71"/>
      <c r="H451" s="71"/>
    </row>
    <row r="452" spans="1:8" ht="9" thickTop="1" thickBot="1" x14ac:dyDescent="0.2">
      <c r="A452" s="24" t="s">
        <v>514</v>
      </c>
      <c r="B452" s="26">
        <f>B434+7</f>
        <v>176</v>
      </c>
      <c r="C452" s="26">
        <f t="shared" ref="C452:H452" si="24">C434+7</f>
        <v>177</v>
      </c>
      <c r="D452" s="26">
        <f t="shared" si="24"/>
        <v>178</v>
      </c>
      <c r="E452" s="26">
        <f t="shared" si="24"/>
        <v>179</v>
      </c>
      <c r="F452" s="26">
        <f t="shared" si="24"/>
        <v>180</v>
      </c>
      <c r="G452" s="26">
        <f t="shared" si="24"/>
        <v>181</v>
      </c>
      <c r="H452" s="26">
        <f t="shared" si="24"/>
        <v>182</v>
      </c>
    </row>
    <row r="453" spans="1:8" ht="9" thickTop="1" thickBot="1" x14ac:dyDescent="0.2">
      <c r="A453" s="24" t="s">
        <v>515</v>
      </c>
      <c r="B453" s="25">
        <v>43276</v>
      </c>
      <c r="C453" s="25">
        <v>43277</v>
      </c>
      <c r="D453" s="25">
        <v>43278</v>
      </c>
      <c r="E453" s="25">
        <v>43279</v>
      </c>
      <c r="F453" s="25">
        <v>43280</v>
      </c>
      <c r="G453" s="25">
        <v>43281</v>
      </c>
      <c r="H453" s="25">
        <v>43282</v>
      </c>
    </row>
    <row r="454" spans="1:8" ht="9" thickTop="1" thickBot="1" x14ac:dyDescent="0.2">
      <c r="A454" s="24" t="s">
        <v>587</v>
      </c>
      <c r="B454" s="24"/>
      <c r="C454" s="24"/>
      <c r="D454" s="24"/>
      <c r="E454" s="24"/>
      <c r="F454" s="24"/>
      <c r="G454" s="24"/>
      <c r="H454" s="24"/>
    </row>
    <row r="455" spans="1:8" ht="9" thickTop="1" thickBot="1" x14ac:dyDescent="0.2">
      <c r="A455" s="24" t="s">
        <v>522</v>
      </c>
      <c r="B455" s="24"/>
      <c r="C455" s="24"/>
      <c r="D455" s="24"/>
      <c r="E455" s="24"/>
      <c r="F455" s="24"/>
      <c r="G455" s="24"/>
      <c r="H455" s="24"/>
    </row>
    <row r="456" spans="1:8" ht="9" thickTop="1" thickBot="1" x14ac:dyDescent="0.2">
      <c r="A456" s="24" t="s">
        <v>525</v>
      </c>
      <c r="B456" s="24"/>
      <c r="C456" s="24"/>
      <c r="D456" s="24"/>
      <c r="E456" s="24"/>
      <c r="F456" s="24"/>
      <c r="G456" s="24"/>
      <c r="H456" s="24"/>
    </row>
    <row r="457" spans="1:8" ht="9" thickTop="1" thickBot="1" x14ac:dyDescent="0.2">
      <c r="A457" s="24" t="s">
        <v>201</v>
      </c>
      <c r="B457" s="24"/>
      <c r="C457" s="24"/>
      <c r="D457" s="24"/>
      <c r="E457" s="24"/>
      <c r="F457" s="24"/>
      <c r="G457" s="24"/>
      <c r="H457" s="24"/>
    </row>
    <row r="458" spans="1:8" ht="9" thickTop="1" thickBot="1" x14ac:dyDescent="0.2">
      <c r="A458" s="24" t="s">
        <v>6</v>
      </c>
      <c r="B458" s="24"/>
      <c r="C458" s="24"/>
      <c r="D458" s="24"/>
      <c r="E458" s="24"/>
      <c r="F458" s="24"/>
      <c r="G458" s="24"/>
      <c r="H458" s="24"/>
    </row>
    <row r="459" spans="1:8" ht="9" thickTop="1" thickBot="1" x14ac:dyDescent="0.2">
      <c r="A459" s="24" t="s">
        <v>526</v>
      </c>
      <c r="B459" s="24"/>
      <c r="C459" s="24"/>
      <c r="D459" s="24"/>
      <c r="E459" s="24"/>
      <c r="F459" s="24"/>
      <c r="G459" s="24"/>
      <c r="H459" s="24"/>
    </row>
    <row r="460" spans="1:8" ht="9" thickTop="1" thickBot="1" x14ac:dyDescent="0.2">
      <c r="A460" s="24" t="s">
        <v>588</v>
      </c>
      <c r="B460" s="24"/>
      <c r="C460" s="24"/>
      <c r="D460" s="24"/>
      <c r="E460" s="24"/>
      <c r="F460" s="24"/>
      <c r="G460" s="24"/>
      <c r="H460" s="24"/>
    </row>
    <row r="461" spans="1:8" ht="9" thickTop="1" thickBot="1" x14ac:dyDescent="0.2">
      <c r="A461" s="24" t="s">
        <v>528</v>
      </c>
      <c r="B461" s="24"/>
      <c r="C461" s="24"/>
      <c r="D461" s="24"/>
      <c r="E461" s="24"/>
      <c r="F461" s="24"/>
      <c r="G461" s="24"/>
      <c r="H461" s="24"/>
    </row>
    <row r="462" spans="1:8" ht="9" thickTop="1" thickBot="1" x14ac:dyDescent="0.2">
      <c r="A462" s="24" t="s">
        <v>531</v>
      </c>
      <c r="B462" s="24"/>
      <c r="C462" s="24"/>
      <c r="D462" s="24"/>
      <c r="E462" s="24"/>
      <c r="F462" s="24"/>
      <c r="G462" s="24"/>
      <c r="H462" s="24"/>
    </row>
    <row r="463" spans="1:8" ht="9" thickTop="1" thickBot="1" x14ac:dyDescent="0.2">
      <c r="A463" s="24" t="s">
        <v>589</v>
      </c>
      <c r="B463" s="24"/>
      <c r="C463" s="24"/>
      <c r="D463" s="24"/>
      <c r="E463" s="24"/>
      <c r="F463" s="24"/>
      <c r="G463" s="24"/>
      <c r="H463" s="24"/>
    </row>
    <row r="464" spans="1:8" ht="9" thickTop="1" thickBot="1" x14ac:dyDescent="0.2">
      <c r="A464" s="24" t="s">
        <v>517</v>
      </c>
      <c r="B464" s="24"/>
      <c r="C464" s="24"/>
      <c r="D464" s="24"/>
      <c r="E464" s="24"/>
      <c r="F464" s="24"/>
      <c r="G464" s="24"/>
      <c r="H464" s="24"/>
    </row>
    <row r="465" spans="1:8" ht="9" thickTop="1" thickBot="1" x14ac:dyDescent="0.2">
      <c r="A465" s="24" t="s">
        <v>520</v>
      </c>
      <c r="B465" s="24"/>
      <c r="C465" s="24"/>
      <c r="D465" s="24"/>
      <c r="E465" s="24"/>
      <c r="F465" s="24"/>
      <c r="G465" s="24"/>
      <c r="H465" s="24"/>
    </row>
    <row r="466" spans="1:8" ht="9" thickTop="1" thickBot="1" x14ac:dyDescent="0.2">
      <c r="A466" s="24" t="s">
        <v>590</v>
      </c>
      <c r="B466" s="24"/>
      <c r="C466" s="24"/>
      <c r="D466" s="24"/>
      <c r="E466" s="24"/>
      <c r="F466" s="24"/>
      <c r="G466" s="24"/>
      <c r="H466" s="24"/>
    </row>
    <row r="467" spans="1:8" ht="9" thickTop="1" thickBot="1" x14ac:dyDescent="0.2">
      <c r="A467" s="24" t="s">
        <v>533</v>
      </c>
      <c r="B467" s="24"/>
      <c r="C467" s="24"/>
      <c r="D467" s="24"/>
      <c r="E467" s="24"/>
      <c r="F467" s="24"/>
      <c r="G467" s="24"/>
      <c r="H467" s="24"/>
    </row>
    <row r="468" spans="1:8" ht="9" thickTop="1" thickBot="1" x14ac:dyDescent="0.2"/>
    <row r="469" spans="1:8" ht="9" thickTop="1" thickBot="1" x14ac:dyDescent="0.2">
      <c r="A469" s="71" t="s">
        <v>591</v>
      </c>
      <c r="B469" s="71"/>
      <c r="C469" s="71"/>
      <c r="D469" s="71"/>
      <c r="E469" s="71"/>
      <c r="F469" s="71"/>
      <c r="G469" s="71"/>
      <c r="H469" s="71"/>
    </row>
    <row r="470" spans="1:8" ht="9" thickTop="1" thickBot="1" x14ac:dyDescent="0.2">
      <c r="A470" s="24" t="s">
        <v>514</v>
      </c>
      <c r="B470" s="26">
        <f>B452+7</f>
        <v>183</v>
      </c>
      <c r="C470" s="26">
        <f t="shared" ref="C470:H470" si="25">C452+7</f>
        <v>184</v>
      </c>
      <c r="D470" s="26">
        <f t="shared" si="25"/>
        <v>185</v>
      </c>
      <c r="E470" s="26">
        <f t="shared" si="25"/>
        <v>186</v>
      </c>
      <c r="F470" s="26">
        <f t="shared" si="25"/>
        <v>187</v>
      </c>
      <c r="G470" s="26">
        <f t="shared" si="25"/>
        <v>188</v>
      </c>
      <c r="H470" s="26">
        <f t="shared" si="25"/>
        <v>189</v>
      </c>
    </row>
    <row r="471" spans="1:8" ht="9" thickTop="1" thickBot="1" x14ac:dyDescent="0.2">
      <c r="A471" s="24" t="s">
        <v>515</v>
      </c>
      <c r="B471" s="25">
        <v>43283</v>
      </c>
      <c r="C471" s="25">
        <v>43284</v>
      </c>
      <c r="D471" s="25">
        <v>43285</v>
      </c>
      <c r="E471" s="25">
        <v>43286</v>
      </c>
      <c r="F471" s="25">
        <v>43287</v>
      </c>
      <c r="G471" s="25">
        <v>43288</v>
      </c>
      <c r="H471" s="25">
        <v>43289</v>
      </c>
    </row>
    <row r="472" spans="1:8" ht="9" thickTop="1" thickBot="1" x14ac:dyDescent="0.2">
      <c r="A472" s="24" t="s">
        <v>587</v>
      </c>
      <c r="B472" s="24"/>
      <c r="C472" s="24"/>
      <c r="D472" s="24"/>
      <c r="E472" s="24"/>
      <c r="F472" s="24"/>
      <c r="G472" s="24"/>
      <c r="H472" s="24"/>
    </row>
    <row r="473" spans="1:8" ht="9" thickTop="1" thickBot="1" x14ac:dyDescent="0.2">
      <c r="A473" s="24" t="s">
        <v>522</v>
      </c>
      <c r="B473" s="24"/>
      <c r="C473" s="24"/>
      <c r="D473" s="24"/>
      <c r="E473" s="24"/>
      <c r="F473" s="24"/>
      <c r="G473" s="24"/>
      <c r="H473" s="24"/>
    </row>
    <row r="474" spans="1:8" ht="9" thickTop="1" thickBot="1" x14ac:dyDescent="0.2">
      <c r="A474" s="24" t="s">
        <v>525</v>
      </c>
      <c r="B474" s="24"/>
      <c r="C474" s="24"/>
      <c r="D474" s="24"/>
      <c r="E474" s="24"/>
      <c r="F474" s="24"/>
      <c r="G474" s="24"/>
      <c r="H474" s="24"/>
    </row>
    <row r="475" spans="1:8" ht="9" thickTop="1" thickBot="1" x14ac:dyDescent="0.2">
      <c r="A475" s="24" t="s">
        <v>201</v>
      </c>
      <c r="B475" s="24"/>
      <c r="C475" s="24"/>
      <c r="D475" s="24"/>
      <c r="E475" s="24"/>
      <c r="F475" s="24"/>
      <c r="G475" s="24"/>
      <c r="H475" s="24"/>
    </row>
    <row r="476" spans="1:8" ht="9" thickTop="1" thickBot="1" x14ac:dyDescent="0.2">
      <c r="A476" s="24" t="s">
        <v>6</v>
      </c>
      <c r="B476" s="24"/>
      <c r="C476" s="24"/>
      <c r="D476" s="24"/>
      <c r="E476" s="24"/>
      <c r="F476" s="24"/>
      <c r="G476" s="24"/>
      <c r="H476" s="24"/>
    </row>
    <row r="477" spans="1:8" ht="9" thickTop="1" thickBot="1" x14ac:dyDescent="0.2">
      <c r="A477" s="24" t="s">
        <v>526</v>
      </c>
      <c r="B477" s="24"/>
      <c r="C477" s="24"/>
      <c r="D477" s="24"/>
      <c r="E477" s="24"/>
      <c r="F477" s="24"/>
      <c r="G477" s="24"/>
      <c r="H477" s="24"/>
    </row>
    <row r="478" spans="1:8" ht="9" thickTop="1" thickBot="1" x14ac:dyDescent="0.2">
      <c r="A478" s="24" t="s">
        <v>588</v>
      </c>
      <c r="B478" s="24"/>
      <c r="C478" s="24"/>
      <c r="D478" s="24"/>
      <c r="E478" s="24"/>
      <c r="F478" s="24"/>
      <c r="G478" s="24"/>
      <c r="H478" s="24"/>
    </row>
    <row r="479" spans="1:8" ht="9" thickTop="1" thickBot="1" x14ac:dyDescent="0.2">
      <c r="A479" s="24" t="s">
        <v>528</v>
      </c>
      <c r="B479" s="24"/>
      <c r="C479" s="24"/>
      <c r="D479" s="24"/>
      <c r="E479" s="24"/>
      <c r="F479" s="24"/>
      <c r="G479" s="24"/>
      <c r="H479" s="24"/>
    </row>
    <row r="480" spans="1:8" ht="9" thickTop="1" thickBot="1" x14ac:dyDescent="0.2">
      <c r="A480" s="24" t="s">
        <v>531</v>
      </c>
      <c r="B480" s="24"/>
      <c r="C480" s="24"/>
      <c r="D480" s="24"/>
      <c r="E480" s="24"/>
      <c r="F480" s="24"/>
      <c r="G480" s="24"/>
      <c r="H480" s="24"/>
    </row>
    <row r="481" spans="1:8" ht="9" thickTop="1" thickBot="1" x14ac:dyDescent="0.2">
      <c r="A481" s="24" t="s">
        <v>589</v>
      </c>
      <c r="B481" s="24"/>
      <c r="C481" s="24"/>
      <c r="D481" s="24"/>
      <c r="E481" s="24"/>
      <c r="F481" s="24"/>
      <c r="G481" s="24"/>
      <c r="H481" s="24"/>
    </row>
    <row r="482" spans="1:8" ht="9" thickTop="1" thickBot="1" x14ac:dyDescent="0.2">
      <c r="A482" s="24" t="s">
        <v>517</v>
      </c>
      <c r="B482" s="24"/>
      <c r="C482" s="24"/>
      <c r="D482" s="24"/>
      <c r="E482" s="24"/>
      <c r="F482" s="24"/>
      <c r="G482" s="24"/>
      <c r="H482" s="24"/>
    </row>
    <row r="483" spans="1:8" ht="9" thickTop="1" thickBot="1" x14ac:dyDescent="0.2">
      <c r="A483" s="24" t="s">
        <v>520</v>
      </c>
      <c r="B483" s="24"/>
      <c r="C483" s="24"/>
      <c r="D483" s="24"/>
      <c r="E483" s="24"/>
      <c r="F483" s="24"/>
      <c r="G483" s="24"/>
      <c r="H483" s="24"/>
    </row>
    <row r="484" spans="1:8" ht="9" thickTop="1" thickBot="1" x14ac:dyDescent="0.2">
      <c r="A484" s="24" t="s">
        <v>590</v>
      </c>
      <c r="B484" s="24"/>
      <c r="C484" s="24"/>
      <c r="D484" s="24"/>
      <c r="E484" s="24"/>
      <c r="F484" s="24"/>
      <c r="G484" s="24"/>
      <c r="H484" s="24"/>
    </row>
    <row r="485" spans="1:8" ht="9" thickTop="1" thickBot="1" x14ac:dyDescent="0.2">
      <c r="A485" s="24" t="s">
        <v>533</v>
      </c>
      <c r="B485" s="24"/>
      <c r="C485" s="24"/>
      <c r="D485" s="24"/>
      <c r="E485" s="24"/>
      <c r="F485" s="24"/>
      <c r="G485" s="24"/>
      <c r="H485" s="24"/>
    </row>
    <row r="486" spans="1:8" ht="9" thickTop="1" thickBot="1" x14ac:dyDescent="0.2"/>
    <row r="487" spans="1:8" ht="9" thickTop="1" thickBot="1" x14ac:dyDescent="0.2">
      <c r="A487" s="71" t="s">
        <v>591</v>
      </c>
      <c r="B487" s="71"/>
      <c r="C487" s="71"/>
      <c r="D487" s="71"/>
      <c r="E487" s="71"/>
      <c r="F487" s="71"/>
      <c r="G487" s="71"/>
      <c r="H487" s="71"/>
    </row>
    <row r="488" spans="1:8" ht="9" thickTop="1" thickBot="1" x14ac:dyDescent="0.2">
      <c r="A488" s="24" t="s">
        <v>514</v>
      </c>
      <c r="B488" s="26">
        <f>B470+7</f>
        <v>190</v>
      </c>
      <c r="C488" s="26">
        <f t="shared" ref="C488:H488" si="26">C470+7</f>
        <v>191</v>
      </c>
      <c r="D488" s="26">
        <f t="shared" si="26"/>
        <v>192</v>
      </c>
      <c r="E488" s="26">
        <f t="shared" si="26"/>
        <v>193</v>
      </c>
      <c r="F488" s="26">
        <f t="shared" si="26"/>
        <v>194</v>
      </c>
      <c r="G488" s="26">
        <f t="shared" si="26"/>
        <v>195</v>
      </c>
      <c r="H488" s="26">
        <f t="shared" si="26"/>
        <v>196</v>
      </c>
    </row>
    <row r="489" spans="1:8" ht="9" thickTop="1" thickBot="1" x14ac:dyDescent="0.2">
      <c r="A489" s="24" t="s">
        <v>515</v>
      </c>
      <c r="B489" s="25">
        <v>43290</v>
      </c>
      <c r="C489" s="25">
        <v>43291</v>
      </c>
      <c r="D489" s="25">
        <v>43292</v>
      </c>
      <c r="E489" s="25">
        <v>43293</v>
      </c>
      <c r="F489" s="25">
        <v>43294</v>
      </c>
      <c r="G489" s="25">
        <v>43295</v>
      </c>
      <c r="H489" s="25">
        <v>43296</v>
      </c>
    </row>
    <row r="490" spans="1:8" ht="9" thickTop="1" thickBot="1" x14ac:dyDescent="0.2">
      <c r="A490" s="24" t="s">
        <v>587</v>
      </c>
      <c r="B490" s="24"/>
      <c r="C490" s="24"/>
      <c r="D490" s="24"/>
      <c r="E490" s="24"/>
      <c r="F490" s="24"/>
      <c r="G490" s="24"/>
      <c r="H490" s="24"/>
    </row>
    <row r="491" spans="1:8" ht="9" thickTop="1" thickBot="1" x14ac:dyDescent="0.2">
      <c r="A491" s="24" t="s">
        <v>522</v>
      </c>
      <c r="B491" s="24"/>
      <c r="C491" s="24"/>
      <c r="D491" s="24"/>
      <c r="E491" s="24"/>
      <c r="F491" s="24"/>
      <c r="G491" s="24"/>
      <c r="H491" s="24"/>
    </row>
    <row r="492" spans="1:8" ht="9" thickTop="1" thickBot="1" x14ac:dyDescent="0.2">
      <c r="A492" s="24" t="s">
        <v>525</v>
      </c>
      <c r="B492" s="24"/>
      <c r="C492" s="24"/>
      <c r="D492" s="24"/>
      <c r="E492" s="24"/>
      <c r="F492" s="24"/>
      <c r="G492" s="24"/>
      <c r="H492" s="24"/>
    </row>
    <row r="493" spans="1:8" ht="9" thickTop="1" thickBot="1" x14ac:dyDescent="0.2">
      <c r="A493" s="24" t="s">
        <v>201</v>
      </c>
      <c r="B493" s="24"/>
      <c r="C493" s="24"/>
      <c r="D493" s="24"/>
      <c r="E493" s="24"/>
      <c r="F493" s="24"/>
      <c r="G493" s="24"/>
      <c r="H493" s="24"/>
    </row>
    <row r="494" spans="1:8" ht="9" thickTop="1" thickBot="1" x14ac:dyDescent="0.2">
      <c r="A494" s="24" t="s">
        <v>6</v>
      </c>
      <c r="B494" s="24"/>
      <c r="C494" s="24"/>
      <c r="D494" s="24"/>
      <c r="E494" s="24"/>
      <c r="F494" s="24"/>
      <c r="G494" s="24"/>
      <c r="H494" s="24"/>
    </row>
    <row r="495" spans="1:8" ht="9" thickTop="1" thickBot="1" x14ac:dyDescent="0.2">
      <c r="A495" s="24" t="s">
        <v>526</v>
      </c>
      <c r="B495" s="24"/>
      <c r="C495" s="24"/>
      <c r="D495" s="24"/>
      <c r="E495" s="24"/>
      <c r="F495" s="24"/>
      <c r="G495" s="24"/>
      <c r="H495" s="24"/>
    </row>
    <row r="496" spans="1:8" ht="9" thickTop="1" thickBot="1" x14ac:dyDescent="0.2">
      <c r="A496" s="24" t="s">
        <v>588</v>
      </c>
      <c r="B496" s="24"/>
      <c r="C496" s="24"/>
      <c r="D496" s="24"/>
      <c r="E496" s="24"/>
      <c r="F496" s="24"/>
      <c r="G496" s="24"/>
      <c r="H496" s="24"/>
    </row>
    <row r="497" spans="1:8" ht="9" thickTop="1" thickBot="1" x14ac:dyDescent="0.2">
      <c r="A497" s="24" t="s">
        <v>528</v>
      </c>
      <c r="B497" s="24"/>
      <c r="C497" s="24"/>
      <c r="D497" s="24"/>
      <c r="E497" s="24"/>
      <c r="F497" s="24"/>
      <c r="G497" s="24"/>
      <c r="H497" s="24"/>
    </row>
    <row r="498" spans="1:8" ht="9" thickTop="1" thickBot="1" x14ac:dyDescent="0.2">
      <c r="A498" s="24" t="s">
        <v>531</v>
      </c>
      <c r="B498" s="24"/>
      <c r="C498" s="24"/>
      <c r="D498" s="24"/>
      <c r="E498" s="24"/>
      <c r="F498" s="24"/>
      <c r="G498" s="24"/>
      <c r="H498" s="24"/>
    </row>
    <row r="499" spans="1:8" ht="9" thickTop="1" thickBot="1" x14ac:dyDescent="0.2">
      <c r="A499" s="24" t="s">
        <v>589</v>
      </c>
      <c r="B499" s="24"/>
      <c r="C499" s="24"/>
      <c r="D499" s="24"/>
      <c r="E499" s="24"/>
      <c r="F499" s="24"/>
      <c r="G499" s="24"/>
      <c r="H499" s="24"/>
    </row>
    <row r="500" spans="1:8" ht="9" thickTop="1" thickBot="1" x14ac:dyDescent="0.2">
      <c r="A500" s="24" t="s">
        <v>517</v>
      </c>
      <c r="B500" s="24"/>
      <c r="C500" s="24"/>
      <c r="D500" s="24"/>
      <c r="E500" s="24"/>
      <c r="F500" s="24"/>
      <c r="G500" s="24"/>
      <c r="H500" s="24"/>
    </row>
    <row r="501" spans="1:8" ht="9" thickTop="1" thickBot="1" x14ac:dyDescent="0.2">
      <c r="A501" s="24" t="s">
        <v>520</v>
      </c>
      <c r="B501" s="24"/>
      <c r="C501" s="24"/>
      <c r="D501" s="24"/>
      <c r="E501" s="24"/>
      <c r="F501" s="24"/>
      <c r="G501" s="24"/>
      <c r="H501" s="24"/>
    </row>
    <row r="502" spans="1:8" ht="9" thickTop="1" thickBot="1" x14ac:dyDescent="0.2">
      <c r="A502" s="24" t="s">
        <v>590</v>
      </c>
      <c r="B502" s="24"/>
      <c r="C502" s="24"/>
      <c r="D502" s="24"/>
      <c r="E502" s="24"/>
      <c r="F502" s="24"/>
      <c r="G502" s="24"/>
      <c r="H502" s="24"/>
    </row>
    <row r="503" spans="1:8" ht="9" thickTop="1" thickBot="1" x14ac:dyDescent="0.2">
      <c r="A503" s="24" t="s">
        <v>533</v>
      </c>
      <c r="B503" s="24"/>
      <c r="C503" s="24"/>
      <c r="D503" s="24"/>
      <c r="E503" s="24"/>
      <c r="F503" s="24"/>
      <c r="G503" s="24"/>
      <c r="H503" s="24"/>
    </row>
    <row r="504" spans="1:8" ht="9" thickTop="1" thickBot="1" x14ac:dyDescent="0.2"/>
    <row r="505" spans="1:8" ht="9" thickTop="1" thickBot="1" x14ac:dyDescent="0.2">
      <c r="A505" s="71" t="s">
        <v>591</v>
      </c>
      <c r="B505" s="71"/>
      <c r="C505" s="71"/>
      <c r="D505" s="71"/>
      <c r="E505" s="71"/>
      <c r="F505" s="71"/>
      <c r="G505" s="71"/>
      <c r="H505" s="71"/>
    </row>
    <row r="506" spans="1:8" ht="9" thickTop="1" thickBot="1" x14ac:dyDescent="0.2">
      <c r="A506" s="24" t="s">
        <v>514</v>
      </c>
      <c r="B506" s="26">
        <f>B488+7</f>
        <v>197</v>
      </c>
      <c r="C506" s="26">
        <f t="shared" ref="C506:H506" si="27">C488+7</f>
        <v>198</v>
      </c>
      <c r="D506" s="26">
        <f t="shared" si="27"/>
        <v>199</v>
      </c>
      <c r="E506" s="26">
        <f t="shared" si="27"/>
        <v>200</v>
      </c>
      <c r="F506" s="26">
        <f t="shared" si="27"/>
        <v>201</v>
      </c>
      <c r="G506" s="26">
        <f t="shared" si="27"/>
        <v>202</v>
      </c>
      <c r="H506" s="26">
        <f t="shared" si="27"/>
        <v>203</v>
      </c>
    </row>
    <row r="507" spans="1:8" ht="9" thickTop="1" thickBot="1" x14ac:dyDescent="0.2">
      <c r="A507" s="24" t="s">
        <v>515</v>
      </c>
      <c r="B507" s="25">
        <v>43297</v>
      </c>
      <c r="C507" s="25">
        <v>43298</v>
      </c>
      <c r="D507" s="25">
        <v>43299</v>
      </c>
      <c r="E507" s="25">
        <v>43300</v>
      </c>
      <c r="F507" s="25">
        <v>43301</v>
      </c>
      <c r="G507" s="25">
        <v>43302</v>
      </c>
      <c r="H507" s="25">
        <v>43303</v>
      </c>
    </row>
    <row r="508" spans="1:8" ht="9" thickTop="1" thickBot="1" x14ac:dyDescent="0.2">
      <c r="A508" s="24" t="s">
        <v>587</v>
      </c>
      <c r="B508" s="24"/>
      <c r="C508" s="24"/>
      <c r="D508" s="24"/>
      <c r="E508" s="24"/>
      <c r="F508" s="24"/>
      <c r="G508" s="24"/>
      <c r="H508" s="24"/>
    </row>
    <row r="509" spans="1:8" ht="9" thickTop="1" thickBot="1" x14ac:dyDescent="0.2">
      <c r="A509" s="24" t="s">
        <v>522</v>
      </c>
      <c r="B509" s="24"/>
      <c r="C509" s="24"/>
      <c r="D509" s="24"/>
      <c r="E509" s="24"/>
      <c r="F509" s="24"/>
      <c r="G509" s="24"/>
      <c r="H509" s="24"/>
    </row>
    <row r="510" spans="1:8" ht="9" thickTop="1" thickBot="1" x14ac:dyDescent="0.2">
      <c r="A510" s="24" t="s">
        <v>525</v>
      </c>
      <c r="B510" s="24"/>
      <c r="C510" s="24"/>
      <c r="D510" s="24"/>
      <c r="E510" s="24"/>
      <c r="F510" s="24"/>
      <c r="G510" s="24"/>
      <c r="H510" s="24"/>
    </row>
    <row r="511" spans="1:8" ht="9" thickTop="1" thickBot="1" x14ac:dyDescent="0.2">
      <c r="A511" s="24" t="s">
        <v>201</v>
      </c>
      <c r="B511" s="24"/>
      <c r="C511" s="24"/>
      <c r="D511" s="24"/>
      <c r="E511" s="24"/>
      <c r="F511" s="24"/>
      <c r="G511" s="24"/>
      <c r="H511" s="24"/>
    </row>
    <row r="512" spans="1:8" ht="9" thickTop="1" thickBot="1" x14ac:dyDescent="0.2">
      <c r="A512" s="24" t="s">
        <v>6</v>
      </c>
      <c r="B512" s="24"/>
      <c r="C512" s="24"/>
      <c r="D512" s="24"/>
      <c r="E512" s="24"/>
      <c r="F512" s="24"/>
      <c r="G512" s="24"/>
      <c r="H512" s="24"/>
    </row>
    <row r="513" spans="1:8" ht="9" thickTop="1" thickBot="1" x14ac:dyDescent="0.2">
      <c r="A513" s="24" t="s">
        <v>526</v>
      </c>
      <c r="B513" s="24"/>
      <c r="C513" s="24"/>
      <c r="D513" s="24"/>
      <c r="E513" s="24"/>
      <c r="F513" s="24"/>
      <c r="G513" s="24"/>
      <c r="H513" s="24"/>
    </row>
    <row r="514" spans="1:8" ht="9" thickTop="1" thickBot="1" x14ac:dyDescent="0.2">
      <c r="A514" s="24" t="s">
        <v>588</v>
      </c>
      <c r="B514" s="24"/>
      <c r="C514" s="24"/>
      <c r="D514" s="24"/>
      <c r="E514" s="24"/>
      <c r="F514" s="24"/>
      <c r="G514" s="24"/>
      <c r="H514" s="24"/>
    </row>
    <row r="515" spans="1:8" ht="9" thickTop="1" thickBot="1" x14ac:dyDescent="0.2">
      <c r="A515" s="24" t="s">
        <v>528</v>
      </c>
      <c r="B515" s="24"/>
      <c r="C515" s="24"/>
      <c r="D515" s="24"/>
      <c r="E515" s="24"/>
      <c r="F515" s="24"/>
      <c r="G515" s="24"/>
      <c r="H515" s="24"/>
    </row>
    <row r="516" spans="1:8" ht="9" thickTop="1" thickBot="1" x14ac:dyDescent="0.2">
      <c r="A516" s="24" t="s">
        <v>531</v>
      </c>
      <c r="B516" s="24"/>
      <c r="C516" s="24"/>
      <c r="D516" s="24"/>
      <c r="E516" s="24"/>
      <c r="F516" s="24"/>
      <c r="G516" s="24"/>
      <c r="H516" s="24"/>
    </row>
    <row r="517" spans="1:8" ht="9" thickTop="1" thickBot="1" x14ac:dyDescent="0.2">
      <c r="A517" s="24" t="s">
        <v>589</v>
      </c>
      <c r="B517" s="24"/>
      <c r="C517" s="24"/>
      <c r="D517" s="24"/>
      <c r="E517" s="24"/>
      <c r="F517" s="24"/>
      <c r="G517" s="24"/>
      <c r="H517" s="24"/>
    </row>
    <row r="518" spans="1:8" ht="9" thickTop="1" thickBot="1" x14ac:dyDescent="0.2">
      <c r="A518" s="24" t="s">
        <v>517</v>
      </c>
      <c r="B518" s="24"/>
      <c r="C518" s="24"/>
      <c r="D518" s="24"/>
      <c r="E518" s="24"/>
      <c r="F518" s="24"/>
      <c r="G518" s="24"/>
      <c r="H518" s="24"/>
    </row>
    <row r="519" spans="1:8" ht="9" thickTop="1" thickBot="1" x14ac:dyDescent="0.2">
      <c r="A519" s="24" t="s">
        <v>520</v>
      </c>
      <c r="B519" s="24"/>
      <c r="C519" s="24"/>
      <c r="D519" s="24"/>
      <c r="E519" s="24"/>
      <c r="F519" s="24"/>
      <c r="G519" s="24"/>
      <c r="H519" s="24"/>
    </row>
    <row r="520" spans="1:8" ht="9" thickTop="1" thickBot="1" x14ac:dyDescent="0.2">
      <c r="A520" s="24" t="s">
        <v>590</v>
      </c>
      <c r="B520" s="24"/>
      <c r="C520" s="24"/>
      <c r="D520" s="24"/>
      <c r="E520" s="24"/>
      <c r="F520" s="24"/>
      <c r="G520" s="24"/>
      <c r="H520" s="24"/>
    </row>
    <row r="521" spans="1:8" ht="9" thickTop="1" thickBot="1" x14ac:dyDescent="0.2">
      <c r="A521" s="24" t="s">
        <v>533</v>
      </c>
      <c r="B521" s="24"/>
      <c r="C521" s="24"/>
      <c r="D521" s="24"/>
      <c r="E521" s="24"/>
      <c r="F521" s="24"/>
      <c r="G521" s="24"/>
      <c r="H521" s="24"/>
    </row>
    <row r="522" spans="1:8" ht="9" thickTop="1" thickBot="1" x14ac:dyDescent="0.2"/>
    <row r="523" spans="1:8" ht="9" thickTop="1" thickBot="1" x14ac:dyDescent="0.2">
      <c r="A523" s="71" t="s">
        <v>591</v>
      </c>
      <c r="B523" s="71"/>
      <c r="C523" s="71"/>
      <c r="D523" s="71"/>
      <c r="E523" s="71"/>
      <c r="F523" s="71"/>
      <c r="G523" s="71"/>
      <c r="H523" s="71"/>
    </row>
    <row r="524" spans="1:8" ht="9" thickTop="1" thickBot="1" x14ac:dyDescent="0.2">
      <c r="A524" s="24" t="s">
        <v>514</v>
      </c>
      <c r="B524" s="26">
        <f>B506+7</f>
        <v>204</v>
      </c>
      <c r="C524" s="26">
        <f t="shared" ref="C524:H524" si="28">C506+7</f>
        <v>205</v>
      </c>
      <c r="D524" s="26">
        <f t="shared" si="28"/>
        <v>206</v>
      </c>
      <c r="E524" s="26">
        <f t="shared" si="28"/>
        <v>207</v>
      </c>
      <c r="F524" s="26">
        <f t="shared" si="28"/>
        <v>208</v>
      </c>
      <c r="G524" s="26">
        <f t="shared" si="28"/>
        <v>209</v>
      </c>
      <c r="H524" s="26">
        <f t="shared" si="28"/>
        <v>210</v>
      </c>
    </row>
    <row r="525" spans="1:8" ht="9" thickTop="1" thickBot="1" x14ac:dyDescent="0.2">
      <c r="A525" s="24" t="s">
        <v>515</v>
      </c>
      <c r="B525" s="25">
        <v>43304</v>
      </c>
      <c r="C525" s="25">
        <v>43305</v>
      </c>
      <c r="D525" s="25">
        <v>43306</v>
      </c>
      <c r="E525" s="25">
        <v>43307</v>
      </c>
      <c r="F525" s="25">
        <v>43308</v>
      </c>
      <c r="G525" s="25">
        <v>43309</v>
      </c>
      <c r="H525" s="25">
        <v>43310</v>
      </c>
    </row>
    <row r="526" spans="1:8" ht="9" thickTop="1" thickBot="1" x14ac:dyDescent="0.2">
      <c r="A526" s="24" t="s">
        <v>587</v>
      </c>
      <c r="B526" s="24"/>
      <c r="C526" s="24"/>
      <c r="D526" s="24"/>
      <c r="E526" s="24"/>
      <c r="F526" s="24"/>
      <c r="G526" s="24"/>
      <c r="H526" s="24"/>
    </row>
    <row r="527" spans="1:8" ht="9" thickTop="1" thickBot="1" x14ac:dyDescent="0.2">
      <c r="A527" s="24" t="s">
        <v>522</v>
      </c>
      <c r="B527" s="24"/>
      <c r="C527" s="24"/>
      <c r="D527" s="24"/>
      <c r="E527" s="24"/>
      <c r="F527" s="24"/>
      <c r="G527" s="24"/>
      <c r="H527" s="24"/>
    </row>
    <row r="528" spans="1:8" ht="9" thickTop="1" thickBot="1" x14ac:dyDescent="0.2">
      <c r="A528" s="24" t="s">
        <v>525</v>
      </c>
      <c r="B528" s="24"/>
      <c r="C528" s="24"/>
      <c r="D528" s="24"/>
      <c r="E528" s="24"/>
      <c r="F528" s="24"/>
      <c r="G528" s="24"/>
      <c r="H528" s="24"/>
    </row>
    <row r="529" spans="1:8" ht="9" thickTop="1" thickBot="1" x14ac:dyDescent="0.2">
      <c r="A529" s="24" t="s">
        <v>201</v>
      </c>
      <c r="B529" s="24"/>
      <c r="C529" s="24"/>
      <c r="D529" s="24"/>
      <c r="E529" s="24"/>
      <c r="F529" s="24"/>
      <c r="G529" s="24"/>
      <c r="H529" s="24"/>
    </row>
    <row r="530" spans="1:8" ht="9" thickTop="1" thickBot="1" x14ac:dyDescent="0.2">
      <c r="A530" s="24" t="s">
        <v>6</v>
      </c>
      <c r="B530" s="24"/>
      <c r="C530" s="24"/>
      <c r="D530" s="24"/>
      <c r="E530" s="24"/>
      <c r="F530" s="24"/>
      <c r="G530" s="24"/>
      <c r="H530" s="24"/>
    </row>
    <row r="531" spans="1:8" ht="9" thickTop="1" thickBot="1" x14ac:dyDescent="0.2">
      <c r="A531" s="24" t="s">
        <v>526</v>
      </c>
      <c r="B531" s="24"/>
      <c r="C531" s="24"/>
      <c r="D531" s="24"/>
      <c r="E531" s="24"/>
      <c r="F531" s="24"/>
      <c r="G531" s="24"/>
      <c r="H531" s="24"/>
    </row>
    <row r="532" spans="1:8" ht="9" thickTop="1" thickBot="1" x14ac:dyDescent="0.2">
      <c r="A532" s="24" t="s">
        <v>588</v>
      </c>
      <c r="B532" s="24"/>
      <c r="C532" s="24"/>
      <c r="D532" s="24"/>
      <c r="E532" s="24"/>
      <c r="F532" s="24"/>
      <c r="G532" s="24"/>
      <c r="H532" s="24"/>
    </row>
    <row r="533" spans="1:8" ht="9" thickTop="1" thickBot="1" x14ac:dyDescent="0.2">
      <c r="A533" s="24" t="s">
        <v>528</v>
      </c>
      <c r="B533" s="24"/>
      <c r="C533" s="24"/>
      <c r="D533" s="24"/>
      <c r="E533" s="24"/>
      <c r="F533" s="24"/>
      <c r="G533" s="24"/>
      <c r="H533" s="24"/>
    </row>
    <row r="534" spans="1:8" ht="9" thickTop="1" thickBot="1" x14ac:dyDescent="0.2">
      <c r="A534" s="24" t="s">
        <v>531</v>
      </c>
      <c r="B534" s="24"/>
      <c r="C534" s="24"/>
      <c r="D534" s="24"/>
      <c r="E534" s="24"/>
      <c r="F534" s="24"/>
      <c r="G534" s="24"/>
      <c r="H534" s="24"/>
    </row>
    <row r="535" spans="1:8" ht="9" thickTop="1" thickBot="1" x14ac:dyDescent="0.2">
      <c r="A535" s="24" t="s">
        <v>589</v>
      </c>
      <c r="B535" s="24"/>
      <c r="C535" s="24"/>
      <c r="D535" s="24"/>
      <c r="E535" s="24"/>
      <c r="F535" s="24"/>
      <c r="G535" s="24"/>
      <c r="H535" s="24"/>
    </row>
    <row r="536" spans="1:8" ht="9" thickTop="1" thickBot="1" x14ac:dyDescent="0.2">
      <c r="A536" s="24" t="s">
        <v>517</v>
      </c>
      <c r="B536" s="24"/>
      <c r="C536" s="24"/>
      <c r="D536" s="24"/>
      <c r="E536" s="24"/>
      <c r="F536" s="24"/>
      <c r="G536" s="24"/>
      <c r="H536" s="24"/>
    </row>
    <row r="537" spans="1:8" ht="9" thickTop="1" thickBot="1" x14ac:dyDescent="0.2">
      <c r="A537" s="24" t="s">
        <v>520</v>
      </c>
      <c r="B537" s="24"/>
      <c r="C537" s="24"/>
      <c r="D537" s="24"/>
      <c r="E537" s="24"/>
      <c r="F537" s="24"/>
      <c r="G537" s="24"/>
      <c r="H537" s="24"/>
    </row>
    <row r="538" spans="1:8" ht="9" thickTop="1" thickBot="1" x14ac:dyDescent="0.2">
      <c r="A538" s="24" t="s">
        <v>590</v>
      </c>
      <c r="B538" s="24"/>
      <c r="C538" s="24"/>
      <c r="D538" s="24"/>
      <c r="E538" s="24"/>
      <c r="F538" s="24"/>
      <c r="G538" s="24"/>
      <c r="H538" s="24"/>
    </row>
    <row r="539" spans="1:8" ht="9" thickTop="1" thickBot="1" x14ac:dyDescent="0.2">
      <c r="A539" s="24" t="s">
        <v>533</v>
      </c>
      <c r="B539" s="24"/>
      <c r="C539" s="24"/>
      <c r="D539" s="24"/>
      <c r="E539" s="24"/>
      <c r="F539" s="24"/>
      <c r="G539" s="24"/>
      <c r="H539" s="24"/>
    </row>
    <row r="540" spans="1:8" ht="9" thickTop="1" thickBot="1" x14ac:dyDescent="0.2"/>
    <row r="541" spans="1:8" ht="9" thickTop="1" thickBot="1" x14ac:dyDescent="0.2">
      <c r="A541" s="71" t="s">
        <v>591</v>
      </c>
      <c r="B541" s="71"/>
      <c r="C541" s="71"/>
      <c r="D541" s="71"/>
      <c r="E541" s="71"/>
      <c r="F541" s="71"/>
      <c r="G541" s="71"/>
      <c r="H541" s="71"/>
    </row>
    <row r="542" spans="1:8" ht="9" thickTop="1" thickBot="1" x14ac:dyDescent="0.2">
      <c r="A542" s="24" t="s">
        <v>514</v>
      </c>
      <c r="B542" s="26">
        <f>B524+7</f>
        <v>211</v>
      </c>
      <c r="C542" s="26">
        <f t="shared" ref="C542:H542" si="29">C524+7</f>
        <v>212</v>
      </c>
      <c r="D542" s="26">
        <f t="shared" si="29"/>
        <v>213</v>
      </c>
      <c r="E542" s="26">
        <f t="shared" si="29"/>
        <v>214</v>
      </c>
      <c r="F542" s="26">
        <f t="shared" si="29"/>
        <v>215</v>
      </c>
      <c r="G542" s="26">
        <f t="shared" si="29"/>
        <v>216</v>
      </c>
      <c r="H542" s="26">
        <f t="shared" si="29"/>
        <v>217</v>
      </c>
    </row>
    <row r="543" spans="1:8" ht="9" thickTop="1" thickBot="1" x14ac:dyDescent="0.2">
      <c r="A543" s="24" t="s">
        <v>515</v>
      </c>
      <c r="B543" s="25">
        <v>43311</v>
      </c>
      <c r="C543" s="25">
        <v>43312</v>
      </c>
      <c r="D543" s="25">
        <v>43313</v>
      </c>
      <c r="E543" s="25">
        <v>43314</v>
      </c>
      <c r="F543" s="25">
        <v>43315</v>
      </c>
      <c r="G543" s="25">
        <v>43316</v>
      </c>
      <c r="H543" s="25">
        <v>43317</v>
      </c>
    </row>
    <row r="544" spans="1:8" ht="9" thickTop="1" thickBot="1" x14ac:dyDescent="0.2">
      <c r="A544" s="24" t="s">
        <v>587</v>
      </c>
      <c r="B544" s="24"/>
      <c r="C544" s="24"/>
      <c r="D544" s="24"/>
      <c r="E544" s="24"/>
      <c r="F544" s="24"/>
      <c r="G544" s="24"/>
      <c r="H544" s="24"/>
    </row>
    <row r="545" spans="1:8" ht="9" thickTop="1" thickBot="1" x14ac:dyDescent="0.2">
      <c r="A545" s="24" t="s">
        <v>522</v>
      </c>
      <c r="B545" s="24"/>
      <c r="C545" s="24"/>
      <c r="D545" s="24"/>
      <c r="E545" s="24"/>
      <c r="F545" s="24"/>
      <c r="G545" s="24"/>
      <c r="H545" s="24"/>
    </row>
    <row r="546" spans="1:8" ht="9" thickTop="1" thickBot="1" x14ac:dyDescent="0.2">
      <c r="A546" s="24" t="s">
        <v>525</v>
      </c>
      <c r="B546" s="24"/>
      <c r="C546" s="24"/>
      <c r="D546" s="24"/>
      <c r="E546" s="24"/>
      <c r="F546" s="24"/>
      <c r="G546" s="24"/>
      <c r="H546" s="24"/>
    </row>
    <row r="547" spans="1:8" ht="9" thickTop="1" thickBot="1" x14ac:dyDescent="0.2">
      <c r="A547" s="24" t="s">
        <v>201</v>
      </c>
      <c r="B547" s="24"/>
      <c r="C547" s="24"/>
      <c r="D547" s="24"/>
      <c r="E547" s="24"/>
      <c r="F547" s="24"/>
      <c r="G547" s="24"/>
      <c r="H547" s="24"/>
    </row>
    <row r="548" spans="1:8" ht="9" thickTop="1" thickBot="1" x14ac:dyDescent="0.2">
      <c r="A548" s="24" t="s">
        <v>6</v>
      </c>
      <c r="B548" s="24"/>
      <c r="C548" s="24"/>
      <c r="D548" s="24"/>
      <c r="E548" s="24"/>
      <c r="F548" s="24"/>
      <c r="G548" s="24"/>
      <c r="H548" s="24"/>
    </row>
    <row r="549" spans="1:8" ht="9" thickTop="1" thickBot="1" x14ac:dyDescent="0.2">
      <c r="A549" s="24" t="s">
        <v>526</v>
      </c>
      <c r="B549" s="24"/>
      <c r="C549" s="24"/>
      <c r="D549" s="24"/>
      <c r="E549" s="24"/>
      <c r="F549" s="24"/>
      <c r="G549" s="24"/>
      <c r="H549" s="24"/>
    </row>
    <row r="550" spans="1:8" ht="9" thickTop="1" thickBot="1" x14ac:dyDescent="0.2">
      <c r="A550" s="24" t="s">
        <v>588</v>
      </c>
      <c r="B550" s="24"/>
      <c r="C550" s="24"/>
      <c r="D550" s="24"/>
      <c r="E550" s="24"/>
      <c r="F550" s="24"/>
      <c r="G550" s="24"/>
      <c r="H550" s="24"/>
    </row>
    <row r="551" spans="1:8" ht="9" thickTop="1" thickBot="1" x14ac:dyDescent="0.2">
      <c r="A551" s="24" t="s">
        <v>528</v>
      </c>
      <c r="B551" s="24"/>
      <c r="C551" s="24"/>
      <c r="D551" s="24"/>
      <c r="E551" s="24"/>
      <c r="F551" s="24"/>
      <c r="G551" s="24"/>
      <c r="H551" s="24"/>
    </row>
    <row r="552" spans="1:8" ht="9" thickTop="1" thickBot="1" x14ac:dyDescent="0.2">
      <c r="A552" s="24" t="s">
        <v>531</v>
      </c>
      <c r="B552" s="24"/>
      <c r="C552" s="24"/>
      <c r="D552" s="24"/>
      <c r="E552" s="24"/>
      <c r="F552" s="24"/>
      <c r="G552" s="24"/>
      <c r="H552" s="24"/>
    </row>
    <row r="553" spans="1:8" ht="9" thickTop="1" thickBot="1" x14ac:dyDescent="0.2">
      <c r="A553" s="24" t="s">
        <v>589</v>
      </c>
      <c r="B553" s="24"/>
      <c r="C553" s="24"/>
      <c r="D553" s="24"/>
      <c r="E553" s="24"/>
      <c r="F553" s="24"/>
      <c r="G553" s="24"/>
      <c r="H553" s="24"/>
    </row>
    <row r="554" spans="1:8" ht="9" thickTop="1" thickBot="1" x14ac:dyDescent="0.2">
      <c r="A554" s="24" t="s">
        <v>517</v>
      </c>
      <c r="B554" s="24"/>
      <c r="C554" s="24"/>
      <c r="D554" s="24"/>
      <c r="E554" s="24"/>
      <c r="F554" s="24"/>
      <c r="G554" s="24"/>
      <c r="H554" s="24"/>
    </row>
    <row r="555" spans="1:8" ht="9" thickTop="1" thickBot="1" x14ac:dyDescent="0.2">
      <c r="A555" s="24" t="s">
        <v>520</v>
      </c>
      <c r="B555" s="24"/>
      <c r="C555" s="24"/>
      <c r="D555" s="24"/>
      <c r="E555" s="24"/>
      <c r="F555" s="24"/>
      <c r="G555" s="24"/>
      <c r="H555" s="24"/>
    </row>
    <row r="556" spans="1:8" ht="9" thickTop="1" thickBot="1" x14ac:dyDescent="0.2">
      <c r="A556" s="24" t="s">
        <v>590</v>
      </c>
      <c r="B556" s="24"/>
      <c r="C556" s="24"/>
      <c r="D556" s="24"/>
      <c r="E556" s="24"/>
      <c r="F556" s="24"/>
      <c r="G556" s="24"/>
      <c r="H556" s="24"/>
    </row>
    <row r="557" spans="1:8" ht="9" thickTop="1" thickBot="1" x14ac:dyDescent="0.2">
      <c r="A557" s="24" t="s">
        <v>533</v>
      </c>
      <c r="B557" s="24"/>
      <c r="C557" s="24"/>
      <c r="D557" s="24"/>
      <c r="E557" s="24"/>
      <c r="F557" s="24"/>
      <c r="G557" s="24"/>
      <c r="H557" s="24"/>
    </row>
    <row r="558" spans="1:8" ht="9" thickTop="1" thickBot="1" x14ac:dyDescent="0.2"/>
    <row r="559" spans="1:8" ht="9" thickTop="1" thickBot="1" x14ac:dyDescent="0.2">
      <c r="A559" s="71" t="s">
        <v>591</v>
      </c>
      <c r="B559" s="71"/>
      <c r="C559" s="71"/>
      <c r="D559" s="71"/>
      <c r="E559" s="71"/>
      <c r="F559" s="71"/>
      <c r="G559" s="71"/>
      <c r="H559" s="71"/>
    </row>
    <row r="560" spans="1:8" ht="9" thickTop="1" thickBot="1" x14ac:dyDescent="0.2">
      <c r="A560" s="24" t="s">
        <v>514</v>
      </c>
      <c r="B560" s="26">
        <f>B542+7</f>
        <v>218</v>
      </c>
      <c r="C560" s="26">
        <f t="shared" ref="C560:H560" si="30">C542+7</f>
        <v>219</v>
      </c>
      <c r="D560" s="26">
        <f t="shared" si="30"/>
        <v>220</v>
      </c>
      <c r="E560" s="26">
        <f t="shared" si="30"/>
        <v>221</v>
      </c>
      <c r="F560" s="26">
        <f t="shared" si="30"/>
        <v>222</v>
      </c>
      <c r="G560" s="26">
        <f t="shared" si="30"/>
        <v>223</v>
      </c>
      <c r="H560" s="26">
        <f t="shared" si="30"/>
        <v>224</v>
      </c>
    </row>
    <row r="561" spans="1:8" ht="9" thickTop="1" thickBot="1" x14ac:dyDescent="0.2">
      <c r="A561" s="24" t="s">
        <v>515</v>
      </c>
      <c r="B561" s="25">
        <v>43318</v>
      </c>
      <c r="C561" s="25">
        <v>43319</v>
      </c>
      <c r="D561" s="25">
        <v>43320</v>
      </c>
      <c r="E561" s="25">
        <v>43321</v>
      </c>
      <c r="F561" s="25">
        <v>43322</v>
      </c>
      <c r="G561" s="25">
        <v>43323</v>
      </c>
      <c r="H561" s="25">
        <v>43324</v>
      </c>
    </row>
    <row r="562" spans="1:8" ht="9" thickTop="1" thickBot="1" x14ac:dyDescent="0.2">
      <c r="A562" s="24" t="s">
        <v>587</v>
      </c>
      <c r="B562" s="24"/>
      <c r="C562" s="24"/>
      <c r="D562" s="24"/>
      <c r="E562" s="24"/>
      <c r="F562" s="24"/>
      <c r="G562" s="24"/>
      <c r="H562" s="24"/>
    </row>
    <row r="563" spans="1:8" ht="9" thickTop="1" thickBot="1" x14ac:dyDescent="0.2">
      <c r="A563" s="24" t="s">
        <v>522</v>
      </c>
      <c r="B563" s="24"/>
      <c r="C563" s="24"/>
      <c r="D563" s="24"/>
      <c r="E563" s="24"/>
      <c r="F563" s="24"/>
      <c r="G563" s="24"/>
      <c r="H563" s="24"/>
    </row>
    <row r="564" spans="1:8" ht="9" thickTop="1" thickBot="1" x14ac:dyDescent="0.2">
      <c r="A564" s="24" t="s">
        <v>525</v>
      </c>
      <c r="B564" s="24"/>
      <c r="C564" s="24"/>
      <c r="D564" s="24"/>
      <c r="E564" s="24"/>
      <c r="F564" s="24"/>
      <c r="G564" s="24"/>
      <c r="H564" s="24"/>
    </row>
    <row r="565" spans="1:8" ht="9" thickTop="1" thickBot="1" x14ac:dyDescent="0.2">
      <c r="A565" s="24" t="s">
        <v>201</v>
      </c>
      <c r="B565" s="24"/>
      <c r="C565" s="24"/>
      <c r="D565" s="24"/>
      <c r="E565" s="24"/>
      <c r="F565" s="24"/>
      <c r="G565" s="24"/>
      <c r="H565" s="24"/>
    </row>
    <row r="566" spans="1:8" ht="9" thickTop="1" thickBot="1" x14ac:dyDescent="0.2">
      <c r="A566" s="24" t="s">
        <v>6</v>
      </c>
      <c r="B566" s="24"/>
      <c r="C566" s="24"/>
      <c r="D566" s="24"/>
      <c r="E566" s="24"/>
      <c r="F566" s="24"/>
      <c r="G566" s="24"/>
      <c r="H566" s="24"/>
    </row>
    <row r="567" spans="1:8" ht="9" thickTop="1" thickBot="1" x14ac:dyDescent="0.2">
      <c r="A567" s="24" t="s">
        <v>526</v>
      </c>
      <c r="B567" s="24"/>
      <c r="C567" s="24"/>
      <c r="D567" s="24"/>
      <c r="E567" s="24"/>
      <c r="F567" s="24"/>
      <c r="G567" s="24"/>
      <c r="H567" s="24"/>
    </row>
    <row r="568" spans="1:8" ht="9" thickTop="1" thickBot="1" x14ac:dyDescent="0.2">
      <c r="A568" s="24" t="s">
        <v>588</v>
      </c>
      <c r="B568" s="24"/>
      <c r="C568" s="24"/>
      <c r="D568" s="24"/>
      <c r="E568" s="24"/>
      <c r="F568" s="24"/>
      <c r="G568" s="24"/>
      <c r="H568" s="24"/>
    </row>
    <row r="569" spans="1:8" ht="9" thickTop="1" thickBot="1" x14ac:dyDescent="0.2">
      <c r="A569" s="24" t="s">
        <v>528</v>
      </c>
      <c r="B569" s="24"/>
      <c r="C569" s="24"/>
      <c r="D569" s="24"/>
      <c r="E569" s="24"/>
      <c r="F569" s="24"/>
      <c r="G569" s="24"/>
      <c r="H569" s="24"/>
    </row>
    <row r="570" spans="1:8" ht="9" thickTop="1" thickBot="1" x14ac:dyDescent="0.2">
      <c r="A570" s="24" t="s">
        <v>531</v>
      </c>
      <c r="B570" s="24"/>
      <c r="C570" s="24"/>
      <c r="D570" s="24"/>
      <c r="E570" s="24"/>
      <c r="F570" s="24"/>
      <c r="G570" s="24"/>
      <c r="H570" s="24"/>
    </row>
    <row r="571" spans="1:8" ht="9" thickTop="1" thickBot="1" x14ac:dyDescent="0.2">
      <c r="A571" s="24" t="s">
        <v>589</v>
      </c>
      <c r="B571" s="24"/>
      <c r="C571" s="24"/>
      <c r="D571" s="24"/>
      <c r="E571" s="24"/>
      <c r="F571" s="24"/>
      <c r="G571" s="24"/>
      <c r="H571" s="24"/>
    </row>
    <row r="572" spans="1:8" ht="9" thickTop="1" thickBot="1" x14ac:dyDescent="0.2">
      <c r="A572" s="24" t="s">
        <v>517</v>
      </c>
      <c r="B572" s="24"/>
      <c r="C572" s="24"/>
      <c r="D572" s="24"/>
      <c r="E572" s="24"/>
      <c r="F572" s="24"/>
      <c r="G572" s="24"/>
      <c r="H572" s="24"/>
    </row>
    <row r="573" spans="1:8" ht="9" thickTop="1" thickBot="1" x14ac:dyDescent="0.2">
      <c r="A573" s="24" t="s">
        <v>520</v>
      </c>
      <c r="B573" s="24"/>
      <c r="C573" s="24"/>
      <c r="D573" s="24"/>
      <c r="E573" s="24"/>
      <c r="F573" s="24"/>
      <c r="G573" s="24"/>
      <c r="H573" s="24"/>
    </row>
    <row r="574" spans="1:8" ht="9" thickTop="1" thickBot="1" x14ac:dyDescent="0.2">
      <c r="A574" s="24" t="s">
        <v>590</v>
      </c>
      <c r="B574" s="24"/>
      <c r="C574" s="24"/>
      <c r="D574" s="24"/>
      <c r="E574" s="24"/>
      <c r="F574" s="24"/>
      <c r="G574" s="24"/>
      <c r="H574" s="24"/>
    </row>
    <row r="575" spans="1:8" ht="9" thickTop="1" thickBot="1" x14ac:dyDescent="0.2">
      <c r="A575" s="24" t="s">
        <v>533</v>
      </c>
      <c r="B575" s="24"/>
      <c r="C575" s="24"/>
      <c r="D575" s="24"/>
      <c r="E575" s="24"/>
      <c r="F575" s="24"/>
      <c r="G575" s="24"/>
      <c r="H575" s="24"/>
    </row>
    <row r="576" spans="1:8" ht="9" thickTop="1" thickBot="1" x14ac:dyDescent="0.2"/>
    <row r="577" spans="1:8" ht="9" thickTop="1" thickBot="1" x14ac:dyDescent="0.2">
      <c r="A577" s="71" t="s">
        <v>591</v>
      </c>
      <c r="B577" s="71"/>
      <c r="C577" s="71"/>
      <c r="D577" s="71"/>
      <c r="E577" s="71"/>
      <c r="F577" s="71"/>
      <c r="G577" s="71"/>
      <c r="H577" s="71"/>
    </row>
    <row r="578" spans="1:8" ht="9" thickTop="1" thickBot="1" x14ac:dyDescent="0.2">
      <c r="A578" s="24" t="s">
        <v>514</v>
      </c>
      <c r="B578" s="26">
        <f>B560+7</f>
        <v>225</v>
      </c>
      <c r="C578" s="26">
        <f t="shared" ref="C578:H578" si="31">C560+7</f>
        <v>226</v>
      </c>
      <c r="D578" s="26">
        <f t="shared" si="31"/>
        <v>227</v>
      </c>
      <c r="E578" s="26">
        <f t="shared" si="31"/>
        <v>228</v>
      </c>
      <c r="F578" s="26">
        <f t="shared" si="31"/>
        <v>229</v>
      </c>
      <c r="G578" s="26">
        <f t="shared" si="31"/>
        <v>230</v>
      </c>
      <c r="H578" s="26">
        <f t="shared" si="31"/>
        <v>231</v>
      </c>
    </row>
    <row r="579" spans="1:8" ht="9" thickTop="1" thickBot="1" x14ac:dyDescent="0.2">
      <c r="A579" s="24" t="s">
        <v>515</v>
      </c>
      <c r="B579" s="25">
        <v>43325</v>
      </c>
      <c r="C579" s="25">
        <v>43326</v>
      </c>
      <c r="D579" s="25">
        <v>43327</v>
      </c>
      <c r="E579" s="25">
        <v>43328</v>
      </c>
      <c r="F579" s="25">
        <v>43329</v>
      </c>
      <c r="G579" s="25">
        <v>43330</v>
      </c>
      <c r="H579" s="25">
        <v>43331</v>
      </c>
    </row>
    <row r="580" spans="1:8" ht="9" thickTop="1" thickBot="1" x14ac:dyDescent="0.2">
      <c r="A580" s="24" t="s">
        <v>587</v>
      </c>
      <c r="B580" s="24"/>
      <c r="C580" s="24"/>
      <c r="D580" s="24"/>
      <c r="E580" s="24"/>
      <c r="F580" s="24"/>
      <c r="G580" s="24"/>
      <c r="H580" s="24"/>
    </row>
    <row r="581" spans="1:8" ht="9" thickTop="1" thickBot="1" x14ac:dyDescent="0.2">
      <c r="A581" s="24" t="s">
        <v>522</v>
      </c>
      <c r="B581" s="24"/>
      <c r="C581" s="24"/>
      <c r="D581" s="24"/>
      <c r="E581" s="24"/>
      <c r="F581" s="24"/>
      <c r="G581" s="24"/>
      <c r="H581" s="24"/>
    </row>
    <row r="582" spans="1:8" ht="9" thickTop="1" thickBot="1" x14ac:dyDescent="0.2">
      <c r="A582" s="24" t="s">
        <v>525</v>
      </c>
      <c r="B582" s="24"/>
      <c r="C582" s="24"/>
      <c r="D582" s="24"/>
      <c r="E582" s="24"/>
      <c r="F582" s="24"/>
      <c r="G582" s="24"/>
      <c r="H582" s="24"/>
    </row>
    <row r="583" spans="1:8" ht="9" thickTop="1" thickBot="1" x14ac:dyDescent="0.2">
      <c r="A583" s="24" t="s">
        <v>201</v>
      </c>
      <c r="B583" s="24"/>
      <c r="C583" s="24"/>
      <c r="D583" s="24"/>
      <c r="E583" s="24"/>
      <c r="F583" s="24"/>
      <c r="G583" s="24"/>
      <c r="H583" s="24"/>
    </row>
    <row r="584" spans="1:8" ht="9" thickTop="1" thickBot="1" x14ac:dyDescent="0.2">
      <c r="A584" s="24" t="s">
        <v>6</v>
      </c>
      <c r="B584" s="24"/>
      <c r="C584" s="24"/>
      <c r="D584" s="24"/>
      <c r="E584" s="24"/>
      <c r="F584" s="24"/>
      <c r="G584" s="24"/>
      <c r="H584" s="24"/>
    </row>
    <row r="585" spans="1:8" ht="9" thickTop="1" thickBot="1" x14ac:dyDescent="0.2">
      <c r="A585" s="24" t="s">
        <v>526</v>
      </c>
      <c r="B585" s="24"/>
      <c r="C585" s="24"/>
      <c r="D585" s="24"/>
      <c r="E585" s="24"/>
      <c r="F585" s="24"/>
      <c r="G585" s="24"/>
      <c r="H585" s="24"/>
    </row>
    <row r="586" spans="1:8" ht="9" thickTop="1" thickBot="1" x14ac:dyDescent="0.2">
      <c r="A586" s="24" t="s">
        <v>588</v>
      </c>
      <c r="B586" s="24"/>
      <c r="C586" s="24"/>
      <c r="D586" s="24"/>
      <c r="E586" s="24"/>
      <c r="F586" s="24"/>
      <c r="G586" s="24"/>
      <c r="H586" s="24"/>
    </row>
    <row r="587" spans="1:8" ht="9" thickTop="1" thickBot="1" x14ac:dyDescent="0.2">
      <c r="A587" s="24" t="s">
        <v>528</v>
      </c>
      <c r="B587" s="24"/>
      <c r="C587" s="24"/>
      <c r="D587" s="24"/>
      <c r="E587" s="24"/>
      <c r="F587" s="24"/>
      <c r="G587" s="24"/>
      <c r="H587" s="24"/>
    </row>
    <row r="588" spans="1:8" ht="9" thickTop="1" thickBot="1" x14ac:dyDescent="0.2">
      <c r="A588" s="24" t="s">
        <v>531</v>
      </c>
      <c r="B588" s="24"/>
      <c r="C588" s="24"/>
      <c r="D588" s="24"/>
      <c r="E588" s="24"/>
      <c r="F588" s="24"/>
      <c r="G588" s="24"/>
      <c r="H588" s="24"/>
    </row>
    <row r="589" spans="1:8" ht="9" thickTop="1" thickBot="1" x14ac:dyDescent="0.2">
      <c r="A589" s="24" t="s">
        <v>589</v>
      </c>
      <c r="B589" s="24"/>
      <c r="C589" s="24"/>
      <c r="D589" s="24"/>
      <c r="E589" s="24"/>
      <c r="F589" s="24"/>
      <c r="G589" s="24"/>
      <c r="H589" s="24"/>
    </row>
    <row r="590" spans="1:8" ht="9" thickTop="1" thickBot="1" x14ac:dyDescent="0.2">
      <c r="A590" s="24" t="s">
        <v>517</v>
      </c>
      <c r="B590" s="24"/>
      <c r="C590" s="24"/>
      <c r="D590" s="24"/>
      <c r="E590" s="24"/>
      <c r="F590" s="24"/>
      <c r="G590" s="24"/>
      <c r="H590" s="24"/>
    </row>
    <row r="591" spans="1:8" ht="9" thickTop="1" thickBot="1" x14ac:dyDescent="0.2">
      <c r="A591" s="24" t="s">
        <v>520</v>
      </c>
      <c r="B591" s="24"/>
      <c r="C591" s="24"/>
      <c r="D591" s="24"/>
      <c r="E591" s="24"/>
      <c r="F591" s="24"/>
      <c r="G591" s="24"/>
      <c r="H591" s="24"/>
    </row>
    <row r="592" spans="1:8" ht="9" thickTop="1" thickBot="1" x14ac:dyDescent="0.2">
      <c r="A592" s="24" t="s">
        <v>590</v>
      </c>
      <c r="B592" s="24"/>
      <c r="C592" s="24"/>
      <c r="D592" s="24"/>
      <c r="E592" s="24"/>
      <c r="F592" s="24"/>
      <c r="G592" s="24"/>
      <c r="H592" s="24"/>
    </row>
    <row r="593" spans="1:8" ht="9" thickTop="1" thickBot="1" x14ac:dyDescent="0.2">
      <c r="A593" s="24" t="s">
        <v>533</v>
      </c>
      <c r="B593" s="24"/>
      <c r="C593" s="24"/>
      <c r="D593" s="24"/>
      <c r="E593" s="24"/>
      <c r="F593" s="24"/>
      <c r="G593" s="24"/>
      <c r="H593" s="24"/>
    </row>
    <row r="594" spans="1:8" ht="9" thickTop="1" thickBot="1" x14ac:dyDescent="0.2"/>
    <row r="595" spans="1:8" ht="9" thickTop="1" thickBot="1" x14ac:dyDescent="0.2">
      <c r="A595" s="71" t="s">
        <v>591</v>
      </c>
      <c r="B595" s="71"/>
      <c r="C595" s="71"/>
      <c r="D595" s="71"/>
      <c r="E595" s="71"/>
      <c r="F595" s="71"/>
      <c r="G595" s="71"/>
      <c r="H595" s="71"/>
    </row>
    <row r="596" spans="1:8" ht="9" thickTop="1" thickBot="1" x14ac:dyDescent="0.2">
      <c r="A596" s="24" t="s">
        <v>514</v>
      </c>
      <c r="B596" s="26">
        <f>B578+7</f>
        <v>232</v>
      </c>
      <c r="C596" s="26">
        <f t="shared" ref="C596:H596" si="32">C578+7</f>
        <v>233</v>
      </c>
      <c r="D596" s="26">
        <f t="shared" si="32"/>
        <v>234</v>
      </c>
      <c r="E596" s="26">
        <f t="shared" si="32"/>
        <v>235</v>
      </c>
      <c r="F596" s="26">
        <f t="shared" si="32"/>
        <v>236</v>
      </c>
      <c r="G596" s="26">
        <f t="shared" si="32"/>
        <v>237</v>
      </c>
      <c r="H596" s="26">
        <f t="shared" si="32"/>
        <v>238</v>
      </c>
    </row>
    <row r="597" spans="1:8" ht="9" thickTop="1" thickBot="1" x14ac:dyDescent="0.2">
      <c r="A597" s="24" t="s">
        <v>515</v>
      </c>
      <c r="B597" s="25">
        <v>43332</v>
      </c>
      <c r="C597" s="25">
        <v>43333</v>
      </c>
      <c r="D597" s="25">
        <v>43334</v>
      </c>
      <c r="E597" s="25">
        <v>43335</v>
      </c>
      <c r="F597" s="25">
        <v>43336</v>
      </c>
      <c r="G597" s="25">
        <v>43337</v>
      </c>
      <c r="H597" s="25">
        <v>43338</v>
      </c>
    </row>
    <row r="598" spans="1:8" ht="9" thickTop="1" thickBot="1" x14ac:dyDescent="0.2">
      <c r="A598" s="24" t="s">
        <v>587</v>
      </c>
      <c r="B598" s="24"/>
      <c r="C598" s="24"/>
      <c r="D598" s="24"/>
      <c r="E598" s="24"/>
      <c r="F598" s="24"/>
      <c r="G598" s="24"/>
      <c r="H598" s="24"/>
    </row>
    <row r="599" spans="1:8" ht="9" thickTop="1" thickBot="1" x14ac:dyDescent="0.2">
      <c r="A599" s="24" t="s">
        <v>522</v>
      </c>
      <c r="B599" s="24"/>
      <c r="C599" s="24"/>
      <c r="D599" s="24"/>
      <c r="E599" s="24"/>
      <c r="F599" s="24"/>
      <c r="G599" s="24"/>
      <c r="H599" s="24"/>
    </row>
    <row r="600" spans="1:8" ht="9" thickTop="1" thickBot="1" x14ac:dyDescent="0.2">
      <c r="A600" s="24" t="s">
        <v>525</v>
      </c>
      <c r="B600" s="24"/>
      <c r="C600" s="24"/>
      <c r="D600" s="24"/>
      <c r="E600" s="24"/>
      <c r="F600" s="24"/>
      <c r="G600" s="24"/>
      <c r="H600" s="24"/>
    </row>
    <row r="601" spans="1:8" ht="9" thickTop="1" thickBot="1" x14ac:dyDescent="0.2">
      <c r="A601" s="24" t="s">
        <v>201</v>
      </c>
      <c r="B601" s="24"/>
      <c r="C601" s="24"/>
      <c r="D601" s="24"/>
      <c r="E601" s="24"/>
      <c r="F601" s="24"/>
      <c r="G601" s="24"/>
      <c r="H601" s="24"/>
    </row>
    <row r="602" spans="1:8" ht="9" thickTop="1" thickBot="1" x14ac:dyDescent="0.2">
      <c r="A602" s="24" t="s">
        <v>6</v>
      </c>
      <c r="B602" s="24"/>
      <c r="C602" s="24"/>
      <c r="D602" s="24"/>
      <c r="E602" s="24"/>
      <c r="F602" s="24"/>
      <c r="G602" s="24"/>
      <c r="H602" s="24"/>
    </row>
    <row r="603" spans="1:8" ht="9" thickTop="1" thickBot="1" x14ac:dyDescent="0.2">
      <c r="A603" s="24" t="s">
        <v>526</v>
      </c>
      <c r="B603" s="24"/>
      <c r="C603" s="24"/>
      <c r="D603" s="24"/>
      <c r="E603" s="24"/>
      <c r="F603" s="24"/>
      <c r="G603" s="24"/>
      <c r="H603" s="24"/>
    </row>
    <row r="604" spans="1:8" ht="9" thickTop="1" thickBot="1" x14ac:dyDescent="0.2">
      <c r="A604" s="24" t="s">
        <v>588</v>
      </c>
      <c r="B604" s="24"/>
      <c r="C604" s="24"/>
      <c r="D604" s="24"/>
      <c r="E604" s="24"/>
      <c r="F604" s="24"/>
      <c r="G604" s="24"/>
      <c r="H604" s="24"/>
    </row>
    <row r="605" spans="1:8" ht="9" thickTop="1" thickBot="1" x14ac:dyDescent="0.2">
      <c r="A605" s="24" t="s">
        <v>528</v>
      </c>
      <c r="B605" s="24"/>
      <c r="C605" s="24"/>
      <c r="D605" s="24"/>
      <c r="E605" s="24"/>
      <c r="F605" s="24"/>
      <c r="G605" s="24"/>
      <c r="H605" s="24"/>
    </row>
    <row r="606" spans="1:8" ht="9" thickTop="1" thickBot="1" x14ac:dyDescent="0.2">
      <c r="A606" s="24" t="s">
        <v>531</v>
      </c>
      <c r="B606" s="24"/>
      <c r="C606" s="24"/>
      <c r="D606" s="24"/>
      <c r="E606" s="24"/>
      <c r="F606" s="24"/>
      <c r="G606" s="24"/>
      <c r="H606" s="24"/>
    </row>
    <row r="607" spans="1:8" ht="9" thickTop="1" thickBot="1" x14ac:dyDescent="0.2">
      <c r="A607" s="24" t="s">
        <v>589</v>
      </c>
      <c r="B607" s="24"/>
      <c r="C607" s="24"/>
      <c r="D607" s="24"/>
      <c r="E607" s="24"/>
      <c r="F607" s="24"/>
      <c r="G607" s="24"/>
      <c r="H607" s="24"/>
    </row>
    <row r="608" spans="1:8" ht="9" thickTop="1" thickBot="1" x14ac:dyDescent="0.2">
      <c r="A608" s="24" t="s">
        <v>517</v>
      </c>
      <c r="B608" s="24"/>
      <c r="C608" s="24"/>
      <c r="D608" s="24"/>
      <c r="E608" s="24"/>
      <c r="F608" s="24"/>
      <c r="G608" s="24"/>
      <c r="H608" s="24"/>
    </row>
    <row r="609" spans="1:8" ht="9" thickTop="1" thickBot="1" x14ac:dyDescent="0.2">
      <c r="A609" s="24" t="s">
        <v>520</v>
      </c>
      <c r="B609" s="24"/>
      <c r="C609" s="24"/>
      <c r="D609" s="24"/>
      <c r="E609" s="24"/>
      <c r="F609" s="24"/>
      <c r="G609" s="24"/>
      <c r="H609" s="24"/>
    </row>
    <row r="610" spans="1:8" ht="9" thickTop="1" thickBot="1" x14ac:dyDescent="0.2">
      <c r="A610" s="24" t="s">
        <v>590</v>
      </c>
      <c r="B610" s="24"/>
      <c r="C610" s="24"/>
      <c r="D610" s="24"/>
      <c r="E610" s="24"/>
      <c r="F610" s="24"/>
      <c r="G610" s="24"/>
      <c r="H610" s="24"/>
    </row>
    <row r="611" spans="1:8" ht="9" thickTop="1" thickBot="1" x14ac:dyDescent="0.2">
      <c r="A611" s="24" t="s">
        <v>533</v>
      </c>
      <c r="B611" s="24"/>
      <c r="C611" s="24"/>
      <c r="D611" s="24"/>
      <c r="E611" s="24"/>
      <c r="F611" s="24"/>
      <c r="G611" s="24"/>
      <c r="H611" s="24"/>
    </row>
    <row r="612" spans="1:8" ht="9" thickTop="1" thickBot="1" x14ac:dyDescent="0.2"/>
    <row r="613" spans="1:8" ht="9" thickTop="1" thickBot="1" x14ac:dyDescent="0.2">
      <c r="A613" s="71" t="s">
        <v>591</v>
      </c>
      <c r="B613" s="71"/>
      <c r="C613" s="71"/>
      <c r="D613" s="71"/>
      <c r="E613" s="71"/>
      <c r="F613" s="71"/>
      <c r="G613" s="71"/>
      <c r="H613" s="71"/>
    </row>
    <row r="614" spans="1:8" ht="9" thickTop="1" thickBot="1" x14ac:dyDescent="0.2">
      <c r="A614" s="24" t="s">
        <v>514</v>
      </c>
      <c r="B614" s="26">
        <f>B596+7</f>
        <v>239</v>
      </c>
      <c r="C614" s="26">
        <f t="shared" ref="C614:H614" si="33">C596+7</f>
        <v>240</v>
      </c>
      <c r="D614" s="26">
        <f t="shared" si="33"/>
        <v>241</v>
      </c>
      <c r="E614" s="26">
        <f t="shared" si="33"/>
        <v>242</v>
      </c>
      <c r="F614" s="26">
        <f t="shared" si="33"/>
        <v>243</v>
      </c>
      <c r="G614" s="26">
        <f t="shared" si="33"/>
        <v>244</v>
      </c>
      <c r="H614" s="26">
        <f t="shared" si="33"/>
        <v>245</v>
      </c>
    </row>
    <row r="615" spans="1:8" ht="9" thickTop="1" thickBot="1" x14ac:dyDescent="0.2">
      <c r="A615" s="24" t="s">
        <v>515</v>
      </c>
      <c r="B615" s="25">
        <v>43339</v>
      </c>
      <c r="C615" s="25">
        <v>43340</v>
      </c>
      <c r="D615" s="25">
        <v>43341</v>
      </c>
      <c r="E615" s="25">
        <v>43342</v>
      </c>
      <c r="F615" s="25">
        <v>43343</v>
      </c>
      <c r="G615" s="25">
        <v>43344</v>
      </c>
      <c r="H615" s="25">
        <v>43345</v>
      </c>
    </row>
    <row r="616" spans="1:8" ht="9" thickTop="1" thickBot="1" x14ac:dyDescent="0.2">
      <c r="A616" s="24" t="s">
        <v>587</v>
      </c>
      <c r="B616" s="24"/>
      <c r="C616" s="24"/>
      <c r="D616" s="24"/>
      <c r="E616" s="24"/>
      <c r="F616" s="24"/>
      <c r="G616" s="24"/>
      <c r="H616" s="24"/>
    </row>
    <row r="617" spans="1:8" ht="9" thickTop="1" thickBot="1" x14ac:dyDescent="0.2">
      <c r="A617" s="24" t="s">
        <v>522</v>
      </c>
      <c r="B617" s="24"/>
      <c r="C617" s="24"/>
      <c r="D617" s="24"/>
      <c r="E617" s="24"/>
      <c r="F617" s="24"/>
      <c r="G617" s="24"/>
      <c r="H617" s="24"/>
    </row>
    <row r="618" spans="1:8" ht="9" thickTop="1" thickBot="1" x14ac:dyDescent="0.2">
      <c r="A618" s="24" t="s">
        <v>525</v>
      </c>
      <c r="B618" s="24"/>
      <c r="C618" s="24"/>
      <c r="D618" s="24"/>
      <c r="E618" s="24"/>
      <c r="F618" s="24"/>
      <c r="G618" s="24"/>
      <c r="H618" s="24"/>
    </row>
    <row r="619" spans="1:8" ht="9" thickTop="1" thickBot="1" x14ac:dyDescent="0.2">
      <c r="A619" s="24" t="s">
        <v>201</v>
      </c>
      <c r="B619" s="24"/>
      <c r="C619" s="24"/>
      <c r="D619" s="24"/>
      <c r="E619" s="24"/>
      <c r="F619" s="24"/>
      <c r="G619" s="24"/>
      <c r="H619" s="24"/>
    </row>
    <row r="620" spans="1:8" ht="9" thickTop="1" thickBot="1" x14ac:dyDescent="0.2">
      <c r="A620" s="24" t="s">
        <v>6</v>
      </c>
      <c r="B620" s="24"/>
      <c r="C620" s="24"/>
      <c r="D620" s="24"/>
      <c r="E620" s="24"/>
      <c r="F620" s="24"/>
      <c r="G620" s="24"/>
      <c r="H620" s="24"/>
    </row>
    <row r="621" spans="1:8" ht="9" thickTop="1" thickBot="1" x14ac:dyDescent="0.2">
      <c r="A621" s="24" t="s">
        <v>526</v>
      </c>
      <c r="B621" s="24"/>
      <c r="C621" s="24"/>
      <c r="D621" s="24"/>
      <c r="E621" s="24"/>
      <c r="F621" s="24"/>
      <c r="G621" s="24"/>
      <c r="H621" s="24"/>
    </row>
    <row r="622" spans="1:8" ht="9" thickTop="1" thickBot="1" x14ac:dyDescent="0.2">
      <c r="A622" s="24" t="s">
        <v>588</v>
      </c>
      <c r="B622" s="24"/>
      <c r="C622" s="24"/>
      <c r="D622" s="24"/>
      <c r="E622" s="24"/>
      <c r="F622" s="24"/>
      <c r="G622" s="24"/>
      <c r="H622" s="24"/>
    </row>
    <row r="623" spans="1:8" ht="9" thickTop="1" thickBot="1" x14ac:dyDescent="0.2">
      <c r="A623" s="24" t="s">
        <v>528</v>
      </c>
      <c r="B623" s="24"/>
      <c r="C623" s="24"/>
      <c r="D623" s="24"/>
      <c r="E623" s="24"/>
      <c r="F623" s="24"/>
      <c r="G623" s="24"/>
      <c r="H623" s="24"/>
    </row>
    <row r="624" spans="1:8" ht="9" thickTop="1" thickBot="1" x14ac:dyDescent="0.2">
      <c r="A624" s="24" t="s">
        <v>531</v>
      </c>
      <c r="B624" s="24"/>
      <c r="C624" s="24"/>
      <c r="D624" s="24"/>
      <c r="E624" s="24"/>
      <c r="F624" s="24"/>
      <c r="G624" s="24"/>
      <c r="H624" s="24"/>
    </row>
    <row r="625" spans="1:8" ht="9" thickTop="1" thickBot="1" x14ac:dyDescent="0.2">
      <c r="A625" s="24" t="s">
        <v>589</v>
      </c>
      <c r="B625" s="24"/>
      <c r="C625" s="24"/>
      <c r="D625" s="24"/>
      <c r="E625" s="24"/>
      <c r="F625" s="24"/>
      <c r="G625" s="24"/>
      <c r="H625" s="24"/>
    </row>
    <row r="626" spans="1:8" ht="9" thickTop="1" thickBot="1" x14ac:dyDescent="0.2">
      <c r="A626" s="24" t="s">
        <v>517</v>
      </c>
      <c r="B626" s="24"/>
      <c r="C626" s="24"/>
      <c r="D626" s="24"/>
      <c r="E626" s="24"/>
      <c r="F626" s="24"/>
      <c r="G626" s="24"/>
      <c r="H626" s="24"/>
    </row>
    <row r="627" spans="1:8" ht="9" thickTop="1" thickBot="1" x14ac:dyDescent="0.2">
      <c r="A627" s="24" t="s">
        <v>520</v>
      </c>
      <c r="B627" s="24"/>
      <c r="C627" s="24"/>
      <c r="D627" s="24"/>
      <c r="E627" s="24"/>
      <c r="F627" s="24"/>
      <c r="G627" s="24"/>
      <c r="H627" s="24"/>
    </row>
    <row r="628" spans="1:8" ht="9" thickTop="1" thickBot="1" x14ac:dyDescent="0.2">
      <c r="A628" s="24" t="s">
        <v>590</v>
      </c>
      <c r="B628" s="24"/>
      <c r="C628" s="24"/>
      <c r="D628" s="24"/>
      <c r="E628" s="24"/>
      <c r="F628" s="24"/>
      <c r="G628" s="24"/>
      <c r="H628" s="24"/>
    </row>
    <row r="629" spans="1:8" ht="9" thickTop="1" thickBot="1" x14ac:dyDescent="0.2">
      <c r="A629" s="24" t="s">
        <v>533</v>
      </c>
      <c r="B629" s="24"/>
      <c r="C629" s="24"/>
      <c r="D629" s="24"/>
      <c r="E629" s="24"/>
      <c r="F629" s="24"/>
      <c r="G629" s="24"/>
      <c r="H629" s="24"/>
    </row>
    <row r="630" spans="1:8" ht="9" thickTop="1" thickBot="1" x14ac:dyDescent="0.2"/>
    <row r="631" spans="1:8" ht="9" thickTop="1" thickBot="1" x14ac:dyDescent="0.2">
      <c r="A631" s="71" t="s">
        <v>591</v>
      </c>
      <c r="B631" s="71"/>
      <c r="C631" s="71"/>
      <c r="D631" s="71"/>
      <c r="E631" s="71"/>
      <c r="F631" s="71"/>
      <c r="G631" s="71"/>
      <c r="H631" s="71"/>
    </row>
    <row r="632" spans="1:8" ht="9" thickTop="1" thickBot="1" x14ac:dyDescent="0.2">
      <c r="A632" s="24" t="s">
        <v>514</v>
      </c>
      <c r="B632" s="26">
        <f>B614+7</f>
        <v>246</v>
      </c>
      <c r="C632" s="26">
        <f t="shared" ref="C632:H632" si="34">C614+7</f>
        <v>247</v>
      </c>
      <c r="D632" s="26">
        <f t="shared" si="34"/>
        <v>248</v>
      </c>
      <c r="E632" s="26">
        <f t="shared" si="34"/>
        <v>249</v>
      </c>
      <c r="F632" s="26">
        <f t="shared" si="34"/>
        <v>250</v>
      </c>
      <c r="G632" s="26">
        <f t="shared" si="34"/>
        <v>251</v>
      </c>
      <c r="H632" s="26">
        <f t="shared" si="34"/>
        <v>252</v>
      </c>
    </row>
    <row r="633" spans="1:8" ht="9" thickTop="1" thickBot="1" x14ac:dyDescent="0.2">
      <c r="A633" s="24" t="s">
        <v>515</v>
      </c>
      <c r="B633" s="25">
        <v>43346</v>
      </c>
      <c r="C633" s="25">
        <v>43347</v>
      </c>
      <c r="D633" s="25">
        <v>43348</v>
      </c>
      <c r="E633" s="25">
        <v>43349</v>
      </c>
      <c r="F633" s="25">
        <v>43350</v>
      </c>
      <c r="G633" s="25">
        <v>43351</v>
      </c>
      <c r="H633" s="25">
        <v>43352</v>
      </c>
    </row>
    <row r="634" spans="1:8" ht="9" thickTop="1" thickBot="1" x14ac:dyDescent="0.2">
      <c r="A634" s="24" t="s">
        <v>587</v>
      </c>
      <c r="B634" s="24"/>
      <c r="C634" s="24"/>
      <c r="D634" s="24"/>
      <c r="E634" s="24"/>
      <c r="F634" s="24"/>
      <c r="G634" s="24"/>
      <c r="H634" s="24"/>
    </row>
    <row r="635" spans="1:8" ht="9" thickTop="1" thickBot="1" x14ac:dyDescent="0.2">
      <c r="A635" s="24" t="s">
        <v>522</v>
      </c>
      <c r="B635" s="24"/>
      <c r="C635" s="24"/>
      <c r="D635" s="24"/>
      <c r="E635" s="24"/>
      <c r="F635" s="24"/>
      <c r="G635" s="24"/>
      <c r="H635" s="24"/>
    </row>
    <row r="636" spans="1:8" ht="9" thickTop="1" thickBot="1" x14ac:dyDescent="0.2">
      <c r="A636" s="24" t="s">
        <v>525</v>
      </c>
      <c r="B636" s="24"/>
      <c r="C636" s="24"/>
      <c r="D636" s="24"/>
      <c r="E636" s="24"/>
      <c r="F636" s="24"/>
      <c r="G636" s="24"/>
      <c r="H636" s="24"/>
    </row>
    <row r="637" spans="1:8" ht="9" thickTop="1" thickBot="1" x14ac:dyDescent="0.2">
      <c r="A637" s="24" t="s">
        <v>201</v>
      </c>
      <c r="B637" s="24"/>
      <c r="C637" s="24"/>
      <c r="D637" s="24"/>
      <c r="E637" s="24"/>
      <c r="F637" s="24"/>
      <c r="G637" s="24"/>
      <c r="H637" s="24"/>
    </row>
    <row r="638" spans="1:8" ht="9" thickTop="1" thickBot="1" x14ac:dyDescent="0.2">
      <c r="A638" s="24" t="s">
        <v>6</v>
      </c>
      <c r="B638" s="24"/>
      <c r="C638" s="24"/>
      <c r="D638" s="24"/>
      <c r="E638" s="24"/>
      <c r="F638" s="24"/>
      <c r="G638" s="24"/>
      <c r="H638" s="24"/>
    </row>
    <row r="639" spans="1:8" ht="9" thickTop="1" thickBot="1" x14ac:dyDescent="0.2">
      <c r="A639" s="24" t="s">
        <v>526</v>
      </c>
      <c r="B639" s="24"/>
      <c r="C639" s="24"/>
      <c r="D639" s="24"/>
      <c r="E639" s="24"/>
      <c r="F639" s="24"/>
      <c r="G639" s="24"/>
      <c r="H639" s="24"/>
    </row>
    <row r="640" spans="1:8" ht="9" thickTop="1" thickBot="1" x14ac:dyDescent="0.2">
      <c r="A640" s="24" t="s">
        <v>588</v>
      </c>
      <c r="B640" s="24"/>
      <c r="C640" s="24"/>
      <c r="D640" s="24"/>
      <c r="E640" s="24"/>
      <c r="F640" s="24"/>
      <c r="G640" s="24"/>
      <c r="H640" s="24"/>
    </row>
    <row r="641" spans="1:8" ht="9" thickTop="1" thickBot="1" x14ac:dyDescent="0.2">
      <c r="A641" s="24" t="s">
        <v>528</v>
      </c>
      <c r="B641" s="24"/>
      <c r="C641" s="24"/>
      <c r="D641" s="24"/>
      <c r="E641" s="24"/>
      <c r="F641" s="24"/>
      <c r="G641" s="24"/>
      <c r="H641" s="24"/>
    </row>
    <row r="642" spans="1:8" ht="9" thickTop="1" thickBot="1" x14ac:dyDescent="0.2">
      <c r="A642" s="24" t="s">
        <v>531</v>
      </c>
      <c r="B642" s="24"/>
      <c r="C642" s="24"/>
      <c r="D642" s="24"/>
      <c r="E642" s="24"/>
      <c r="F642" s="24"/>
      <c r="G642" s="24"/>
      <c r="H642" s="24"/>
    </row>
    <row r="643" spans="1:8" ht="9" thickTop="1" thickBot="1" x14ac:dyDescent="0.2">
      <c r="A643" s="24" t="s">
        <v>589</v>
      </c>
      <c r="B643" s="24"/>
      <c r="C643" s="24"/>
      <c r="D643" s="24"/>
      <c r="E643" s="24"/>
      <c r="F643" s="24"/>
      <c r="G643" s="24"/>
      <c r="H643" s="24"/>
    </row>
    <row r="644" spans="1:8" ht="9" thickTop="1" thickBot="1" x14ac:dyDescent="0.2">
      <c r="A644" s="24" t="s">
        <v>517</v>
      </c>
      <c r="B644" s="24"/>
      <c r="C644" s="24"/>
      <c r="D644" s="24"/>
      <c r="E644" s="24"/>
      <c r="F644" s="24"/>
      <c r="G644" s="24"/>
      <c r="H644" s="24"/>
    </row>
    <row r="645" spans="1:8" ht="9" thickTop="1" thickBot="1" x14ac:dyDescent="0.2">
      <c r="A645" s="24" t="s">
        <v>520</v>
      </c>
      <c r="B645" s="24"/>
      <c r="C645" s="24"/>
      <c r="D645" s="24"/>
      <c r="E645" s="24"/>
      <c r="F645" s="24"/>
      <c r="G645" s="24"/>
      <c r="H645" s="24"/>
    </row>
    <row r="646" spans="1:8" ht="9" thickTop="1" thickBot="1" x14ac:dyDescent="0.2">
      <c r="A646" s="24" t="s">
        <v>590</v>
      </c>
      <c r="B646" s="24"/>
      <c r="C646" s="24"/>
      <c r="D646" s="24"/>
      <c r="E646" s="24"/>
      <c r="F646" s="24"/>
      <c r="G646" s="24"/>
      <c r="H646" s="24"/>
    </row>
    <row r="647" spans="1:8" ht="9" thickTop="1" thickBot="1" x14ac:dyDescent="0.2">
      <c r="A647" s="24" t="s">
        <v>533</v>
      </c>
      <c r="B647" s="24"/>
      <c r="C647" s="24"/>
      <c r="D647" s="24"/>
      <c r="E647" s="24"/>
      <c r="F647" s="24"/>
      <c r="G647" s="24"/>
      <c r="H647" s="24"/>
    </row>
    <row r="648" spans="1:8" ht="9" thickTop="1" thickBot="1" x14ac:dyDescent="0.2"/>
    <row r="649" spans="1:8" ht="9" thickTop="1" thickBot="1" x14ac:dyDescent="0.2">
      <c r="A649" s="71" t="s">
        <v>591</v>
      </c>
      <c r="B649" s="71"/>
      <c r="C649" s="71"/>
      <c r="D649" s="71"/>
      <c r="E649" s="71"/>
      <c r="F649" s="71"/>
      <c r="G649" s="71"/>
      <c r="H649" s="71"/>
    </row>
    <row r="650" spans="1:8" ht="9" thickTop="1" thickBot="1" x14ac:dyDescent="0.2">
      <c r="A650" s="24" t="s">
        <v>514</v>
      </c>
      <c r="B650" s="26">
        <f>B632+7</f>
        <v>253</v>
      </c>
      <c r="C650" s="26">
        <f t="shared" ref="C650:H650" si="35">C632+7</f>
        <v>254</v>
      </c>
      <c r="D650" s="26">
        <f t="shared" si="35"/>
        <v>255</v>
      </c>
      <c r="E650" s="26">
        <f t="shared" si="35"/>
        <v>256</v>
      </c>
      <c r="F650" s="26">
        <f t="shared" si="35"/>
        <v>257</v>
      </c>
      <c r="G650" s="26">
        <f t="shared" si="35"/>
        <v>258</v>
      </c>
      <c r="H650" s="26">
        <f t="shared" si="35"/>
        <v>259</v>
      </c>
    </row>
    <row r="651" spans="1:8" ht="9" thickTop="1" thickBot="1" x14ac:dyDescent="0.2">
      <c r="A651" s="24" t="s">
        <v>515</v>
      </c>
      <c r="B651" s="25">
        <v>43353</v>
      </c>
      <c r="C651" s="25">
        <v>43354</v>
      </c>
      <c r="D651" s="25">
        <v>43355</v>
      </c>
      <c r="E651" s="25">
        <v>43356</v>
      </c>
      <c r="F651" s="25">
        <v>43357</v>
      </c>
      <c r="G651" s="25">
        <v>43358</v>
      </c>
      <c r="H651" s="25">
        <v>43359</v>
      </c>
    </row>
    <row r="652" spans="1:8" ht="9" thickTop="1" thickBot="1" x14ac:dyDescent="0.2">
      <c r="A652" s="24" t="s">
        <v>587</v>
      </c>
      <c r="B652" s="24"/>
      <c r="C652" s="24"/>
      <c r="D652" s="24"/>
      <c r="E652" s="24"/>
      <c r="F652" s="24"/>
      <c r="G652" s="24"/>
      <c r="H652" s="24"/>
    </row>
    <row r="653" spans="1:8" ht="9" thickTop="1" thickBot="1" x14ac:dyDescent="0.2">
      <c r="A653" s="24" t="s">
        <v>522</v>
      </c>
      <c r="B653" s="24"/>
      <c r="C653" s="24"/>
      <c r="D653" s="24"/>
      <c r="E653" s="24"/>
      <c r="F653" s="24"/>
      <c r="G653" s="24"/>
      <c r="H653" s="24"/>
    </row>
    <row r="654" spans="1:8" ht="9" thickTop="1" thickBot="1" x14ac:dyDescent="0.2">
      <c r="A654" s="24" t="s">
        <v>525</v>
      </c>
      <c r="B654" s="24"/>
      <c r="C654" s="24"/>
      <c r="D654" s="24"/>
      <c r="E654" s="24"/>
      <c r="F654" s="24"/>
      <c r="G654" s="24"/>
      <c r="H654" s="24"/>
    </row>
    <row r="655" spans="1:8" ht="9" thickTop="1" thickBot="1" x14ac:dyDescent="0.2">
      <c r="A655" s="24" t="s">
        <v>201</v>
      </c>
      <c r="B655" s="24"/>
      <c r="C655" s="24"/>
      <c r="D655" s="24"/>
      <c r="E655" s="24"/>
      <c r="F655" s="24"/>
      <c r="G655" s="24"/>
      <c r="H655" s="24"/>
    </row>
    <row r="656" spans="1:8" ht="9" thickTop="1" thickBot="1" x14ac:dyDescent="0.2">
      <c r="A656" s="24" t="s">
        <v>6</v>
      </c>
      <c r="B656" s="24"/>
      <c r="C656" s="24"/>
      <c r="D656" s="24"/>
      <c r="E656" s="24"/>
      <c r="F656" s="24"/>
      <c r="G656" s="24"/>
      <c r="H656" s="24"/>
    </row>
    <row r="657" spans="1:8" ht="9" thickTop="1" thickBot="1" x14ac:dyDescent="0.2">
      <c r="A657" s="24" t="s">
        <v>526</v>
      </c>
      <c r="B657" s="24"/>
      <c r="C657" s="24"/>
      <c r="D657" s="24"/>
      <c r="E657" s="24"/>
      <c r="F657" s="24"/>
      <c r="G657" s="24"/>
      <c r="H657" s="24"/>
    </row>
    <row r="658" spans="1:8" ht="9" thickTop="1" thickBot="1" x14ac:dyDescent="0.2">
      <c r="A658" s="24" t="s">
        <v>588</v>
      </c>
      <c r="B658" s="24"/>
      <c r="C658" s="24"/>
      <c r="D658" s="24"/>
      <c r="E658" s="24"/>
      <c r="F658" s="24"/>
      <c r="G658" s="24"/>
      <c r="H658" s="24"/>
    </row>
    <row r="659" spans="1:8" ht="9" thickTop="1" thickBot="1" x14ac:dyDescent="0.2">
      <c r="A659" s="24" t="s">
        <v>528</v>
      </c>
      <c r="B659" s="24"/>
      <c r="C659" s="24"/>
      <c r="D659" s="24"/>
      <c r="E659" s="24"/>
      <c r="F659" s="24"/>
      <c r="G659" s="24"/>
      <c r="H659" s="24"/>
    </row>
    <row r="660" spans="1:8" ht="9" thickTop="1" thickBot="1" x14ac:dyDescent="0.2">
      <c r="A660" s="24" t="s">
        <v>531</v>
      </c>
      <c r="B660" s="24"/>
      <c r="C660" s="24"/>
      <c r="D660" s="24"/>
      <c r="E660" s="24"/>
      <c r="F660" s="24"/>
      <c r="G660" s="24"/>
      <c r="H660" s="24"/>
    </row>
    <row r="661" spans="1:8" ht="9" thickTop="1" thickBot="1" x14ac:dyDescent="0.2">
      <c r="A661" s="24" t="s">
        <v>589</v>
      </c>
      <c r="B661" s="24"/>
      <c r="C661" s="24"/>
      <c r="D661" s="24"/>
      <c r="E661" s="24"/>
      <c r="F661" s="24"/>
      <c r="G661" s="24"/>
      <c r="H661" s="24"/>
    </row>
    <row r="662" spans="1:8" ht="9" thickTop="1" thickBot="1" x14ac:dyDescent="0.2">
      <c r="A662" s="24" t="s">
        <v>517</v>
      </c>
      <c r="B662" s="24"/>
      <c r="C662" s="24"/>
      <c r="D662" s="24"/>
      <c r="E662" s="24"/>
      <c r="F662" s="24"/>
      <c r="G662" s="24"/>
      <c r="H662" s="24"/>
    </row>
    <row r="663" spans="1:8" ht="9" thickTop="1" thickBot="1" x14ac:dyDescent="0.2">
      <c r="A663" s="24" t="s">
        <v>520</v>
      </c>
      <c r="B663" s="24"/>
      <c r="C663" s="24"/>
      <c r="D663" s="24"/>
      <c r="E663" s="24"/>
      <c r="F663" s="24"/>
      <c r="G663" s="24"/>
      <c r="H663" s="24"/>
    </row>
    <row r="664" spans="1:8" ht="9" thickTop="1" thickBot="1" x14ac:dyDescent="0.2">
      <c r="A664" s="24" t="s">
        <v>590</v>
      </c>
      <c r="B664" s="24"/>
      <c r="C664" s="24"/>
      <c r="D664" s="24"/>
      <c r="E664" s="24"/>
      <c r="F664" s="24"/>
      <c r="G664" s="24"/>
      <c r="H664" s="24"/>
    </row>
    <row r="665" spans="1:8" ht="9" thickTop="1" thickBot="1" x14ac:dyDescent="0.2">
      <c r="A665" s="24" t="s">
        <v>533</v>
      </c>
      <c r="B665" s="24"/>
      <c r="C665" s="24"/>
      <c r="D665" s="24"/>
      <c r="E665" s="24"/>
      <c r="F665" s="24"/>
      <c r="G665" s="24"/>
      <c r="H665" s="24"/>
    </row>
    <row r="666" spans="1:8" ht="9" thickTop="1" thickBot="1" x14ac:dyDescent="0.2"/>
    <row r="667" spans="1:8" ht="9" thickTop="1" thickBot="1" x14ac:dyDescent="0.2">
      <c r="A667" s="71" t="s">
        <v>591</v>
      </c>
      <c r="B667" s="71"/>
      <c r="C667" s="71"/>
      <c r="D667" s="71"/>
      <c r="E667" s="71"/>
      <c r="F667" s="71"/>
      <c r="G667" s="71"/>
      <c r="H667" s="71"/>
    </row>
    <row r="668" spans="1:8" ht="9" thickTop="1" thickBot="1" x14ac:dyDescent="0.2">
      <c r="A668" s="24" t="s">
        <v>514</v>
      </c>
      <c r="B668" s="26">
        <f>B650+7</f>
        <v>260</v>
      </c>
      <c r="C668" s="26">
        <f t="shared" ref="C668:H668" si="36">C650+7</f>
        <v>261</v>
      </c>
      <c r="D668" s="26">
        <f t="shared" si="36"/>
        <v>262</v>
      </c>
      <c r="E668" s="26">
        <f t="shared" si="36"/>
        <v>263</v>
      </c>
      <c r="F668" s="26">
        <f t="shared" si="36"/>
        <v>264</v>
      </c>
      <c r="G668" s="26">
        <f t="shared" si="36"/>
        <v>265</v>
      </c>
      <c r="H668" s="26">
        <f t="shared" si="36"/>
        <v>266</v>
      </c>
    </row>
    <row r="669" spans="1:8" ht="9" thickTop="1" thickBot="1" x14ac:dyDescent="0.2">
      <c r="A669" s="24" t="s">
        <v>515</v>
      </c>
      <c r="B669" s="25">
        <v>43360</v>
      </c>
      <c r="C669" s="25">
        <v>43361</v>
      </c>
      <c r="D669" s="25">
        <v>43362</v>
      </c>
      <c r="E669" s="25">
        <v>43363</v>
      </c>
      <c r="F669" s="25">
        <v>43364</v>
      </c>
      <c r="G669" s="25">
        <v>43365</v>
      </c>
      <c r="H669" s="25">
        <v>43366</v>
      </c>
    </row>
    <row r="670" spans="1:8" ht="9" thickTop="1" thickBot="1" x14ac:dyDescent="0.2">
      <c r="A670" s="24" t="s">
        <v>587</v>
      </c>
      <c r="B670" s="24"/>
      <c r="C670" s="24"/>
      <c r="D670" s="24"/>
      <c r="E670" s="24"/>
      <c r="F670" s="24"/>
      <c r="G670" s="24"/>
      <c r="H670" s="24"/>
    </row>
    <row r="671" spans="1:8" ht="9" thickTop="1" thickBot="1" x14ac:dyDescent="0.2">
      <c r="A671" s="24" t="s">
        <v>522</v>
      </c>
      <c r="B671" s="24"/>
      <c r="C671" s="24"/>
      <c r="D671" s="24"/>
      <c r="E671" s="24"/>
      <c r="F671" s="24"/>
      <c r="G671" s="24"/>
      <c r="H671" s="24"/>
    </row>
    <row r="672" spans="1:8" ht="9" thickTop="1" thickBot="1" x14ac:dyDescent="0.2">
      <c r="A672" s="24" t="s">
        <v>525</v>
      </c>
      <c r="B672" s="24"/>
      <c r="C672" s="24"/>
      <c r="D672" s="24"/>
      <c r="E672" s="24"/>
      <c r="F672" s="24"/>
      <c r="G672" s="24"/>
      <c r="H672" s="24"/>
    </row>
    <row r="673" spans="1:8" ht="9" thickTop="1" thickBot="1" x14ac:dyDescent="0.2">
      <c r="A673" s="24" t="s">
        <v>201</v>
      </c>
      <c r="B673" s="24"/>
      <c r="C673" s="24"/>
      <c r="D673" s="24"/>
      <c r="E673" s="24"/>
      <c r="F673" s="24"/>
      <c r="G673" s="24"/>
      <c r="H673" s="24"/>
    </row>
    <row r="674" spans="1:8" ht="9" thickTop="1" thickBot="1" x14ac:dyDescent="0.2">
      <c r="A674" s="24" t="s">
        <v>6</v>
      </c>
      <c r="B674" s="24"/>
      <c r="C674" s="24"/>
      <c r="D674" s="24"/>
      <c r="E674" s="24"/>
      <c r="F674" s="24"/>
      <c r="G674" s="24"/>
      <c r="H674" s="24"/>
    </row>
    <row r="675" spans="1:8" ht="9" thickTop="1" thickBot="1" x14ac:dyDescent="0.2">
      <c r="A675" s="24" t="s">
        <v>526</v>
      </c>
      <c r="B675" s="24"/>
      <c r="C675" s="24"/>
      <c r="D675" s="24"/>
      <c r="E675" s="24"/>
      <c r="F675" s="24"/>
      <c r="G675" s="24"/>
      <c r="H675" s="24"/>
    </row>
    <row r="676" spans="1:8" ht="9" thickTop="1" thickBot="1" x14ac:dyDescent="0.2">
      <c r="A676" s="24" t="s">
        <v>588</v>
      </c>
      <c r="B676" s="24"/>
      <c r="C676" s="24"/>
      <c r="D676" s="24"/>
      <c r="E676" s="24"/>
      <c r="F676" s="24"/>
      <c r="G676" s="24"/>
      <c r="H676" s="24"/>
    </row>
    <row r="677" spans="1:8" ht="9" thickTop="1" thickBot="1" x14ac:dyDescent="0.2">
      <c r="A677" s="24" t="s">
        <v>528</v>
      </c>
      <c r="B677" s="24"/>
      <c r="C677" s="24"/>
      <c r="D677" s="24"/>
      <c r="E677" s="24"/>
      <c r="F677" s="24"/>
      <c r="G677" s="24"/>
      <c r="H677" s="24"/>
    </row>
    <row r="678" spans="1:8" ht="9" thickTop="1" thickBot="1" x14ac:dyDescent="0.2">
      <c r="A678" s="24" t="s">
        <v>531</v>
      </c>
      <c r="B678" s="24"/>
      <c r="C678" s="24"/>
      <c r="D678" s="24"/>
      <c r="E678" s="24"/>
      <c r="F678" s="24"/>
      <c r="G678" s="24"/>
      <c r="H678" s="24"/>
    </row>
    <row r="679" spans="1:8" ht="9" thickTop="1" thickBot="1" x14ac:dyDescent="0.2">
      <c r="A679" s="24" t="s">
        <v>589</v>
      </c>
      <c r="B679" s="24"/>
      <c r="C679" s="24"/>
      <c r="D679" s="24"/>
      <c r="E679" s="24"/>
      <c r="F679" s="24"/>
      <c r="G679" s="24"/>
      <c r="H679" s="24"/>
    </row>
    <row r="680" spans="1:8" ht="9" thickTop="1" thickBot="1" x14ac:dyDescent="0.2">
      <c r="A680" s="24" t="s">
        <v>517</v>
      </c>
      <c r="B680" s="24"/>
      <c r="C680" s="24"/>
      <c r="D680" s="24"/>
      <c r="E680" s="24"/>
      <c r="F680" s="24"/>
      <c r="G680" s="24"/>
      <c r="H680" s="24"/>
    </row>
    <row r="681" spans="1:8" ht="9" thickTop="1" thickBot="1" x14ac:dyDescent="0.2">
      <c r="A681" s="24" t="s">
        <v>520</v>
      </c>
      <c r="B681" s="24"/>
      <c r="C681" s="24"/>
      <c r="D681" s="24"/>
      <c r="E681" s="24"/>
      <c r="F681" s="24"/>
      <c r="G681" s="24"/>
      <c r="H681" s="24"/>
    </row>
    <row r="682" spans="1:8" ht="9" thickTop="1" thickBot="1" x14ac:dyDescent="0.2">
      <c r="A682" s="24" t="s">
        <v>590</v>
      </c>
      <c r="B682" s="24"/>
      <c r="C682" s="24"/>
      <c r="D682" s="24"/>
      <c r="E682" s="24"/>
      <c r="F682" s="24"/>
      <c r="G682" s="24"/>
      <c r="H682" s="24"/>
    </row>
    <row r="683" spans="1:8" ht="9" thickTop="1" thickBot="1" x14ac:dyDescent="0.2">
      <c r="A683" s="24" t="s">
        <v>533</v>
      </c>
      <c r="B683" s="24"/>
      <c r="C683" s="24"/>
      <c r="D683" s="24"/>
      <c r="E683" s="24"/>
      <c r="F683" s="24"/>
      <c r="G683" s="24"/>
      <c r="H683" s="24"/>
    </row>
    <row r="684" spans="1:8" ht="9" thickTop="1" thickBot="1" x14ac:dyDescent="0.2"/>
    <row r="685" spans="1:8" ht="9" thickTop="1" thickBot="1" x14ac:dyDescent="0.2">
      <c r="A685" s="71" t="s">
        <v>591</v>
      </c>
      <c r="B685" s="71"/>
      <c r="C685" s="71"/>
      <c r="D685" s="71"/>
      <c r="E685" s="71"/>
      <c r="F685" s="71"/>
      <c r="G685" s="71"/>
      <c r="H685" s="71"/>
    </row>
    <row r="686" spans="1:8" ht="9" thickTop="1" thickBot="1" x14ac:dyDescent="0.2">
      <c r="A686" s="24" t="s">
        <v>514</v>
      </c>
      <c r="B686" s="26">
        <f>B668+7</f>
        <v>267</v>
      </c>
      <c r="C686" s="26">
        <f t="shared" ref="C686:H686" si="37">C668+7</f>
        <v>268</v>
      </c>
      <c r="D686" s="26">
        <f t="shared" si="37"/>
        <v>269</v>
      </c>
      <c r="E686" s="26">
        <f t="shared" si="37"/>
        <v>270</v>
      </c>
      <c r="F686" s="26">
        <f t="shared" si="37"/>
        <v>271</v>
      </c>
      <c r="G686" s="26">
        <f t="shared" si="37"/>
        <v>272</v>
      </c>
      <c r="H686" s="26">
        <f t="shared" si="37"/>
        <v>273</v>
      </c>
    </row>
    <row r="687" spans="1:8" ht="9" thickTop="1" thickBot="1" x14ac:dyDescent="0.2">
      <c r="A687" s="24" t="s">
        <v>515</v>
      </c>
      <c r="B687" s="25">
        <v>43367</v>
      </c>
      <c r="C687" s="25">
        <v>43368</v>
      </c>
      <c r="D687" s="25">
        <v>43369</v>
      </c>
      <c r="E687" s="25">
        <v>43370</v>
      </c>
      <c r="F687" s="25">
        <v>43371</v>
      </c>
      <c r="G687" s="25">
        <v>43372</v>
      </c>
      <c r="H687" s="25">
        <v>43373</v>
      </c>
    </row>
    <row r="688" spans="1:8" ht="9" thickTop="1" thickBot="1" x14ac:dyDescent="0.2">
      <c r="A688" s="24" t="s">
        <v>587</v>
      </c>
      <c r="B688" s="24"/>
      <c r="C688" s="24"/>
      <c r="D688" s="24"/>
      <c r="E688" s="24"/>
      <c r="F688" s="24"/>
      <c r="G688" s="24"/>
      <c r="H688" s="24"/>
    </row>
    <row r="689" spans="1:8" ht="9" thickTop="1" thickBot="1" x14ac:dyDescent="0.2">
      <c r="A689" s="24" t="s">
        <v>522</v>
      </c>
      <c r="B689" s="24"/>
      <c r="C689" s="24"/>
      <c r="D689" s="24"/>
      <c r="E689" s="24"/>
      <c r="F689" s="24"/>
      <c r="G689" s="24"/>
      <c r="H689" s="24"/>
    </row>
    <row r="690" spans="1:8" ht="9" thickTop="1" thickBot="1" x14ac:dyDescent="0.2">
      <c r="A690" s="24" t="s">
        <v>525</v>
      </c>
      <c r="B690" s="24"/>
      <c r="C690" s="24"/>
      <c r="D690" s="24"/>
      <c r="E690" s="24"/>
      <c r="F690" s="24"/>
      <c r="G690" s="24"/>
      <c r="H690" s="24"/>
    </row>
    <row r="691" spans="1:8" ht="9" thickTop="1" thickBot="1" x14ac:dyDescent="0.2">
      <c r="A691" s="24" t="s">
        <v>201</v>
      </c>
      <c r="B691" s="24"/>
      <c r="C691" s="24"/>
      <c r="D691" s="24"/>
      <c r="E691" s="24"/>
      <c r="F691" s="24"/>
      <c r="G691" s="24"/>
      <c r="H691" s="24"/>
    </row>
    <row r="692" spans="1:8" ht="9" thickTop="1" thickBot="1" x14ac:dyDescent="0.2">
      <c r="A692" s="24" t="s">
        <v>6</v>
      </c>
      <c r="B692" s="24"/>
      <c r="C692" s="24"/>
      <c r="D692" s="24"/>
      <c r="E692" s="24"/>
      <c r="F692" s="24"/>
      <c r="G692" s="24"/>
      <c r="H692" s="24"/>
    </row>
    <row r="693" spans="1:8" ht="9" thickTop="1" thickBot="1" x14ac:dyDescent="0.2">
      <c r="A693" s="24" t="s">
        <v>526</v>
      </c>
      <c r="B693" s="24"/>
      <c r="C693" s="24"/>
      <c r="D693" s="24"/>
      <c r="E693" s="24"/>
      <c r="F693" s="24"/>
      <c r="G693" s="24"/>
      <c r="H693" s="24"/>
    </row>
    <row r="694" spans="1:8" ht="9" thickTop="1" thickBot="1" x14ac:dyDescent="0.2">
      <c r="A694" s="24" t="s">
        <v>588</v>
      </c>
      <c r="B694" s="24"/>
      <c r="C694" s="24"/>
      <c r="D694" s="24"/>
      <c r="E694" s="24"/>
      <c r="F694" s="24"/>
      <c r="G694" s="24"/>
      <c r="H694" s="24"/>
    </row>
    <row r="695" spans="1:8" ht="9" thickTop="1" thickBot="1" x14ac:dyDescent="0.2">
      <c r="A695" s="24" t="s">
        <v>528</v>
      </c>
      <c r="B695" s="24"/>
      <c r="C695" s="24"/>
      <c r="D695" s="24"/>
      <c r="E695" s="24"/>
      <c r="F695" s="24"/>
      <c r="G695" s="24"/>
      <c r="H695" s="24"/>
    </row>
    <row r="696" spans="1:8" ht="9" thickTop="1" thickBot="1" x14ac:dyDescent="0.2">
      <c r="A696" s="24" t="s">
        <v>531</v>
      </c>
      <c r="B696" s="24"/>
      <c r="C696" s="24"/>
      <c r="D696" s="24"/>
      <c r="E696" s="24"/>
      <c r="F696" s="24"/>
      <c r="G696" s="24"/>
      <c r="H696" s="24"/>
    </row>
    <row r="697" spans="1:8" ht="9" thickTop="1" thickBot="1" x14ac:dyDescent="0.2">
      <c r="A697" s="24" t="s">
        <v>589</v>
      </c>
      <c r="B697" s="24"/>
      <c r="C697" s="24"/>
      <c r="D697" s="24"/>
      <c r="E697" s="24"/>
      <c r="F697" s="24"/>
      <c r="G697" s="24"/>
      <c r="H697" s="24"/>
    </row>
    <row r="698" spans="1:8" ht="9" thickTop="1" thickBot="1" x14ac:dyDescent="0.2">
      <c r="A698" s="24" t="s">
        <v>517</v>
      </c>
      <c r="B698" s="24"/>
      <c r="C698" s="24"/>
      <c r="D698" s="24"/>
      <c r="E698" s="24"/>
      <c r="F698" s="24"/>
      <c r="G698" s="24"/>
      <c r="H698" s="24"/>
    </row>
    <row r="699" spans="1:8" ht="9" thickTop="1" thickBot="1" x14ac:dyDescent="0.2">
      <c r="A699" s="24" t="s">
        <v>520</v>
      </c>
      <c r="B699" s="24"/>
      <c r="C699" s="24"/>
      <c r="D699" s="24"/>
      <c r="E699" s="24"/>
      <c r="F699" s="24"/>
      <c r="G699" s="24"/>
      <c r="H699" s="24"/>
    </row>
    <row r="700" spans="1:8" ht="9" thickTop="1" thickBot="1" x14ac:dyDescent="0.2">
      <c r="A700" s="24" t="s">
        <v>590</v>
      </c>
      <c r="B700" s="24"/>
      <c r="C700" s="24"/>
      <c r="D700" s="24"/>
      <c r="E700" s="24"/>
      <c r="F700" s="24"/>
      <c r="G700" s="24"/>
      <c r="H700" s="24"/>
    </row>
    <row r="701" spans="1:8" ht="9" thickTop="1" thickBot="1" x14ac:dyDescent="0.2">
      <c r="A701" s="24" t="s">
        <v>533</v>
      </c>
      <c r="B701" s="24"/>
      <c r="C701" s="24"/>
      <c r="D701" s="24"/>
      <c r="E701" s="24"/>
      <c r="F701" s="24"/>
      <c r="G701" s="24"/>
      <c r="H701" s="24"/>
    </row>
    <row r="702" spans="1:8" ht="9" thickTop="1" thickBot="1" x14ac:dyDescent="0.2"/>
    <row r="703" spans="1:8" ht="9" thickTop="1" thickBot="1" x14ac:dyDescent="0.2">
      <c r="A703" s="71" t="s">
        <v>591</v>
      </c>
      <c r="B703" s="71"/>
      <c r="C703" s="71"/>
      <c r="D703" s="71"/>
      <c r="E703" s="71"/>
      <c r="F703" s="71"/>
      <c r="G703" s="71"/>
      <c r="H703" s="71"/>
    </row>
    <row r="704" spans="1:8" ht="9" thickTop="1" thickBot="1" x14ac:dyDescent="0.2">
      <c r="A704" s="24" t="s">
        <v>514</v>
      </c>
      <c r="B704" s="26">
        <f>B686+7</f>
        <v>274</v>
      </c>
      <c r="C704" s="26">
        <f t="shared" ref="C704:H704" si="38">C686+7</f>
        <v>275</v>
      </c>
      <c r="D704" s="26">
        <f t="shared" si="38"/>
        <v>276</v>
      </c>
      <c r="E704" s="26">
        <f t="shared" si="38"/>
        <v>277</v>
      </c>
      <c r="F704" s="26">
        <f t="shared" si="38"/>
        <v>278</v>
      </c>
      <c r="G704" s="26">
        <f t="shared" si="38"/>
        <v>279</v>
      </c>
      <c r="H704" s="26">
        <f t="shared" si="38"/>
        <v>280</v>
      </c>
    </row>
    <row r="705" spans="1:8" ht="9" thickTop="1" thickBot="1" x14ac:dyDescent="0.2">
      <c r="A705" s="24" t="s">
        <v>515</v>
      </c>
      <c r="B705" s="25">
        <v>43374</v>
      </c>
      <c r="C705" s="25">
        <v>43375</v>
      </c>
      <c r="D705" s="25">
        <v>43376</v>
      </c>
      <c r="E705" s="25">
        <v>43377</v>
      </c>
      <c r="F705" s="25">
        <v>43378</v>
      </c>
      <c r="G705" s="25">
        <v>43379</v>
      </c>
      <c r="H705" s="25">
        <v>43380</v>
      </c>
    </row>
    <row r="706" spans="1:8" ht="9" thickTop="1" thickBot="1" x14ac:dyDescent="0.2">
      <c r="A706" s="24" t="s">
        <v>587</v>
      </c>
      <c r="B706" s="24"/>
      <c r="C706" s="24"/>
      <c r="D706" s="24"/>
      <c r="E706" s="24"/>
      <c r="F706" s="24"/>
      <c r="G706" s="24"/>
      <c r="H706" s="24"/>
    </row>
    <row r="707" spans="1:8" ht="9" thickTop="1" thickBot="1" x14ac:dyDescent="0.2">
      <c r="A707" s="24" t="s">
        <v>522</v>
      </c>
      <c r="B707" s="24"/>
      <c r="C707" s="24"/>
      <c r="D707" s="24"/>
      <c r="E707" s="24"/>
      <c r="F707" s="24"/>
      <c r="G707" s="24"/>
      <c r="H707" s="24"/>
    </row>
    <row r="708" spans="1:8" ht="9" thickTop="1" thickBot="1" x14ac:dyDescent="0.2">
      <c r="A708" s="24" t="s">
        <v>525</v>
      </c>
      <c r="B708" s="24"/>
      <c r="C708" s="24"/>
      <c r="D708" s="24"/>
      <c r="E708" s="24"/>
      <c r="F708" s="24"/>
      <c r="G708" s="24"/>
      <c r="H708" s="24"/>
    </row>
    <row r="709" spans="1:8" ht="9" thickTop="1" thickBot="1" x14ac:dyDescent="0.2">
      <c r="A709" s="24" t="s">
        <v>201</v>
      </c>
      <c r="B709" s="24"/>
      <c r="C709" s="24"/>
      <c r="D709" s="24"/>
      <c r="E709" s="24"/>
      <c r="F709" s="24"/>
      <c r="G709" s="24"/>
      <c r="H709" s="24"/>
    </row>
    <row r="710" spans="1:8" ht="9" thickTop="1" thickBot="1" x14ac:dyDescent="0.2">
      <c r="A710" s="24" t="s">
        <v>6</v>
      </c>
      <c r="B710" s="24"/>
      <c r="C710" s="24"/>
      <c r="D710" s="24"/>
      <c r="E710" s="24"/>
      <c r="F710" s="24"/>
      <c r="G710" s="24"/>
      <c r="H710" s="24"/>
    </row>
    <row r="711" spans="1:8" ht="9" thickTop="1" thickBot="1" x14ac:dyDescent="0.2">
      <c r="A711" s="24" t="s">
        <v>526</v>
      </c>
      <c r="B711" s="24"/>
      <c r="C711" s="24"/>
      <c r="D711" s="24"/>
      <c r="E711" s="24"/>
      <c r="F711" s="24"/>
      <c r="G711" s="24"/>
      <c r="H711" s="24"/>
    </row>
    <row r="712" spans="1:8" ht="9" thickTop="1" thickBot="1" x14ac:dyDescent="0.2">
      <c r="A712" s="24" t="s">
        <v>588</v>
      </c>
      <c r="B712" s="24"/>
      <c r="C712" s="24"/>
      <c r="D712" s="24"/>
      <c r="E712" s="24"/>
      <c r="F712" s="24"/>
      <c r="G712" s="24"/>
      <c r="H712" s="24"/>
    </row>
    <row r="713" spans="1:8" ht="9" thickTop="1" thickBot="1" x14ac:dyDescent="0.2">
      <c r="A713" s="24" t="s">
        <v>528</v>
      </c>
      <c r="B713" s="24"/>
      <c r="C713" s="24"/>
      <c r="D713" s="24"/>
      <c r="E713" s="24"/>
      <c r="F713" s="24"/>
      <c r="G713" s="24"/>
      <c r="H713" s="24"/>
    </row>
    <row r="714" spans="1:8" ht="9" thickTop="1" thickBot="1" x14ac:dyDescent="0.2">
      <c r="A714" s="24" t="s">
        <v>531</v>
      </c>
      <c r="B714" s="24"/>
      <c r="C714" s="24"/>
      <c r="D714" s="24"/>
      <c r="E714" s="24"/>
      <c r="F714" s="24"/>
      <c r="G714" s="24"/>
      <c r="H714" s="24"/>
    </row>
    <row r="715" spans="1:8" ht="9" thickTop="1" thickBot="1" x14ac:dyDescent="0.2">
      <c r="A715" s="24" t="s">
        <v>589</v>
      </c>
      <c r="B715" s="24"/>
      <c r="C715" s="24"/>
      <c r="D715" s="24"/>
      <c r="E715" s="24"/>
      <c r="F715" s="24"/>
      <c r="G715" s="24"/>
      <c r="H715" s="24"/>
    </row>
    <row r="716" spans="1:8" ht="9" thickTop="1" thickBot="1" x14ac:dyDescent="0.2">
      <c r="A716" s="24" t="s">
        <v>517</v>
      </c>
      <c r="B716" s="24"/>
      <c r="C716" s="24"/>
      <c r="D716" s="24"/>
      <c r="E716" s="24"/>
      <c r="F716" s="24"/>
      <c r="G716" s="24"/>
      <c r="H716" s="24"/>
    </row>
    <row r="717" spans="1:8" ht="9" thickTop="1" thickBot="1" x14ac:dyDescent="0.2">
      <c r="A717" s="24" t="s">
        <v>520</v>
      </c>
      <c r="B717" s="24"/>
      <c r="C717" s="24"/>
      <c r="D717" s="24"/>
      <c r="E717" s="24"/>
      <c r="F717" s="24"/>
      <c r="G717" s="24"/>
      <c r="H717" s="24"/>
    </row>
    <row r="718" spans="1:8" ht="9" thickTop="1" thickBot="1" x14ac:dyDescent="0.2">
      <c r="A718" s="24" t="s">
        <v>590</v>
      </c>
      <c r="B718" s="24"/>
      <c r="C718" s="24"/>
      <c r="D718" s="24"/>
      <c r="E718" s="24"/>
      <c r="F718" s="24"/>
      <c r="G718" s="24"/>
      <c r="H718" s="24"/>
    </row>
    <row r="719" spans="1:8" ht="9" thickTop="1" thickBot="1" x14ac:dyDescent="0.2">
      <c r="A719" s="24" t="s">
        <v>533</v>
      </c>
      <c r="B719" s="24"/>
      <c r="C719" s="24"/>
      <c r="D719" s="24"/>
      <c r="E719" s="24"/>
      <c r="F719" s="24"/>
      <c r="G719" s="24"/>
      <c r="H719" s="24"/>
    </row>
    <row r="720" spans="1:8" ht="9" thickTop="1" thickBot="1" x14ac:dyDescent="0.2"/>
    <row r="721" spans="1:8" ht="9" thickTop="1" thickBot="1" x14ac:dyDescent="0.2">
      <c r="A721" s="71" t="s">
        <v>591</v>
      </c>
      <c r="B721" s="71"/>
      <c r="C721" s="71"/>
      <c r="D721" s="71"/>
      <c r="E721" s="71"/>
      <c r="F721" s="71"/>
      <c r="G721" s="71"/>
      <c r="H721" s="71"/>
    </row>
    <row r="722" spans="1:8" ht="9" thickTop="1" thickBot="1" x14ac:dyDescent="0.2">
      <c r="A722" s="24" t="s">
        <v>514</v>
      </c>
      <c r="B722" s="26">
        <f>B704+7</f>
        <v>281</v>
      </c>
      <c r="C722" s="26">
        <f t="shared" ref="C722:H722" si="39">C704+7</f>
        <v>282</v>
      </c>
      <c r="D722" s="26">
        <f t="shared" si="39"/>
        <v>283</v>
      </c>
      <c r="E722" s="26">
        <f t="shared" si="39"/>
        <v>284</v>
      </c>
      <c r="F722" s="26">
        <f t="shared" si="39"/>
        <v>285</v>
      </c>
      <c r="G722" s="26">
        <f t="shared" si="39"/>
        <v>286</v>
      </c>
      <c r="H722" s="26">
        <f t="shared" si="39"/>
        <v>287</v>
      </c>
    </row>
    <row r="723" spans="1:8" ht="9" thickTop="1" thickBot="1" x14ac:dyDescent="0.2">
      <c r="A723" s="24" t="s">
        <v>515</v>
      </c>
      <c r="B723" s="25">
        <v>43381</v>
      </c>
      <c r="C723" s="25">
        <v>43382</v>
      </c>
      <c r="D723" s="25">
        <v>43383</v>
      </c>
      <c r="E723" s="25">
        <v>43384</v>
      </c>
      <c r="F723" s="25">
        <v>43385</v>
      </c>
      <c r="G723" s="25">
        <v>43386</v>
      </c>
      <c r="H723" s="25">
        <v>43387</v>
      </c>
    </row>
    <row r="724" spans="1:8" ht="9" thickTop="1" thickBot="1" x14ac:dyDescent="0.2">
      <c r="A724" s="24" t="s">
        <v>587</v>
      </c>
      <c r="B724" s="24"/>
      <c r="C724" s="24"/>
      <c r="D724" s="24"/>
      <c r="E724" s="24"/>
      <c r="F724" s="24"/>
      <c r="G724" s="24"/>
      <c r="H724" s="24"/>
    </row>
    <row r="725" spans="1:8" ht="9" thickTop="1" thickBot="1" x14ac:dyDescent="0.2">
      <c r="A725" s="24" t="s">
        <v>522</v>
      </c>
      <c r="B725" s="24"/>
      <c r="C725" s="24"/>
      <c r="D725" s="24"/>
      <c r="E725" s="24"/>
      <c r="F725" s="24"/>
      <c r="G725" s="24"/>
      <c r="H725" s="24"/>
    </row>
    <row r="726" spans="1:8" ht="9" thickTop="1" thickBot="1" x14ac:dyDescent="0.2">
      <c r="A726" s="24" t="s">
        <v>525</v>
      </c>
      <c r="B726" s="24"/>
      <c r="C726" s="24"/>
      <c r="D726" s="24"/>
      <c r="E726" s="24"/>
      <c r="F726" s="24"/>
      <c r="G726" s="24"/>
      <c r="H726" s="24"/>
    </row>
    <row r="727" spans="1:8" ht="9" thickTop="1" thickBot="1" x14ac:dyDescent="0.2">
      <c r="A727" s="24" t="s">
        <v>201</v>
      </c>
      <c r="B727" s="24"/>
      <c r="C727" s="24"/>
      <c r="D727" s="24"/>
      <c r="E727" s="24"/>
      <c r="F727" s="24"/>
      <c r="G727" s="24"/>
      <c r="H727" s="24"/>
    </row>
    <row r="728" spans="1:8" ht="9" thickTop="1" thickBot="1" x14ac:dyDescent="0.2">
      <c r="A728" s="24" t="s">
        <v>6</v>
      </c>
      <c r="B728" s="24"/>
      <c r="C728" s="24"/>
      <c r="D728" s="24"/>
      <c r="E728" s="24"/>
      <c r="F728" s="24"/>
      <c r="G728" s="24"/>
      <c r="H728" s="24"/>
    </row>
    <row r="729" spans="1:8" ht="9" thickTop="1" thickBot="1" x14ac:dyDescent="0.2">
      <c r="A729" s="24" t="s">
        <v>526</v>
      </c>
      <c r="B729" s="24"/>
      <c r="C729" s="24"/>
      <c r="D729" s="24"/>
      <c r="E729" s="24"/>
      <c r="F729" s="24"/>
      <c r="G729" s="24"/>
      <c r="H729" s="24"/>
    </row>
    <row r="730" spans="1:8" ht="9" thickTop="1" thickBot="1" x14ac:dyDescent="0.2">
      <c r="A730" s="24" t="s">
        <v>588</v>
      </c>
      <c r="B730" s="24"/>
      <c r="C730" s="24"/>
      <c r="D730" s="24"/>
      <c r="E730" s="24"/>
      <c r="F730" s="24"/>
      <c r="G730" s="24"/>
      <c r="H730" s="24"/>
    </row>
    <row r="731" spans="1:8" ht="9" thickTop="1" thickBot="1" x14ac:dyDescent="0.2">
      <c r="A731" s="24" t="s">
        <v>528</v>
      </c>
      <c r="B731" s="24"/>
      <c r="C731" s="24"/>
      <c r="D731" s="24"/>
      <c r="E731" s="24"/>
      <c r="F731" s="24"/>
      <c r="G731" s="24"/>
      <c r="H731" s="24"/>
    </row>
    <row r="732" spans="1:8" ht="9" thickTop="1" thickBot="1" x14ac:dyDescent="0.2">
      <c r="A732" s="24" t="s">
        <v>531</v>
      </c>
      <c r="B732" s="24"/>
      <c r="C732" s="24"/>
      <c r="D732" s="24"/>
      <c r="E732" s="24"/>
      <c r="F732" s="24"/>
      <c r="G732" s="24"/>
      <c r="H732" s="24"/>
    </row>
    <row r="733" spans="1:8" ht="9" thickTop="1" thickBot="1" x14ac:dyDescent="0.2">
      <c r="A733" s="24" t="s">
        <v>589</v>
      </c>
      <c r="B733" s="24"/>
      <c r="C733" s="24"/>
      <c r="D733" s="24"/>
      <c r="E733" s="24"/>
      <c r="F733" s="24"/>
      <c r="G733" s="24"/>
      <c r="H733" s="24"/>
    </row>
    <row r="734" spans="1:8" ht="9" thickTop="1" thickBot="1" x14ac:dyDescent="0.2">
      <c r="A734" s="24" t="s">
        <v>517</v>
      </c>
      <c r="B734" s="24"/>
      <c r="C734" s="24"/>
      <c r="D734" s="24"/>
      <c r="E734" s="24"/>
      <c r="F734" s="24"/>
      <c r="G734" s="24"/>
      <c r="H734" s="24"/>
    </row>
    <row r="735" spans="1:8" ht="9" thickTop="1" thickBot="1" x14ac:dyDescent="0.2">
      <c r="A735" s="24" t="s">
        <v>520</v>
      </c>
      <c r="B735" s="24"/>
      <c r="C735" s="24"/>
      <c r="D735" s="24"/>
      <c r="E735" s="24"/>
      <c r="F735" s="24"/>
      <c r="G735" s="24"/>
      <c r="H735" s="24"/>
    </row>
    <row r="736" spans="1:8" ht="9" thickTop="1" thickBot="1" x14ac:dyDescent="0.2">
      <c r="A736" s="24" t="s">
        <v>590</v>
      </c>
      <c r="B736" s="24"/>
      <c r="C736" s="24"/>
      <c r="D736" s="24"/>
      <c r="E736" s="24"/>
      <c r="F736" s="24"/>
      <c r="G736" s="24"/>
      <c r="H736" s="24"/>
    </row>
    <row r="737" spans="1:8" ht="9" thickTop="1" thickBot="1" x14ac:dyDescent="0.2">
      <c r="A737" s="24" t="s">
        <v>533</v>
      </c>
      <c r="B737" s="24"/>
      <c r="C737" s="24"/>
      <c r="D737" s="24"/>
      <c r="E737" s="24"/>
      <c r="F737" s="24"/>
      <c r="G737" s="24"/>
      <c r="H737" s="24"/>
    </row>
    <row r="738" spans="1:8" ht="9" thickTop="1" thickBot="1" x14ac:dyDescent="0.2"/>
    <row r="739" spans="1:8" ht="9" thickTop="1" thickBot="1" x14ac:dyDescent="0.2">
      <c r="A739" s="71" t="s">
        <v>591</v>
      </c>
      <c r="B739" s="71"/>
      <c r="C739" s="71"/>
      <c r="D739" s="71"/>
      <c r="E739" s="71"/>
      <c r="F739" s="71"/>
      <c r="G739" s="71"/>
      <c r="H739" s="71"/>
    </row>
    <row r="740" spans="1:8" ht="9" thickTop="1" thickBot="1" x14ac:dyDescent="0.2">
      <c r="A740" s="24" t="s">
        <v>514</v>
      </c>
      <c r="B740" s="26">
        <f>B722+7</f>
        <v>288</v>
      </c>
      <c r="C740" s="26">
        <f t="shared" ref="C740:H740" si="40">C722+7</f>
        <v>289</v>
      </c>
      <c r="D740" s="26">
        <f t="shared" si="40"/>
        <v>290</v>
      </c>
      <c r="E740" s="26">
        <f t="shared" si="40"/>
        <v>291</v>
      </c>
      <c r="F740" s="26">
        <f t="shared" si="40"/>
        <v>292</v>
      </c>
      <c r="G740" s="26">
        <f t="shared" si="40"/>
        <v>293</v>
      </c>
      <c r="H740" s="26">
        <f t="shared" si="40"/>
        <v>294</v>
      </c>
    </row>
    <row r="741" spans="1:8" ht="9" thickTop="1" thickBot="1" x14ac:dyDescent="0.2">
      <c r="A741" s="24" t="s">
        <v>515</v>
      </c>
      <c r="B741" s="25">
        <v>43388</v>
      </c>
      <c r="C741" s="25">
        <v>43389</v>
      </c>
      <c r="D741" s="25">
        <v>43390</v>
      </c>
      <c r="E741" s="25">
        <v>43391</v>
      </c>
      <c r="F741" s="25">
        <v>43392</v>
      </c>
      <c r="G741" s="25">
        <v>43393</v>
      </c>
      <c r="H741" s="25">
        <v>43394</v>
      </c>
    </row>
    <row r="742" spans="1:8" ht="9" thickTop="1" thickBot="1" x14ac:dyDescent="0.2">
      <c r="A742" s="24" t="s">
        <v>587</v>
      </c>
      <c r="B742" s="24"/>
      <c r="C742" s="24"/>
      <c r="D742" s="24"/>
      <c r="E742" s="24"/>
      <c r="F742" s="24"/>
      <c r="G742" s="24"/>
      <c r="H742" s="24"/>
    </row>
    <row r="743" spans="1:8" ht="9" thickTop="1" thickBot="1" x14ac:dyDescent="0.2">
      <c r="A743" s="24" t="s">
        <v>522</v>
      </c>
      <c r="B743" s="24"/>
      <c r="C743" s="24"/>
      <c r="D743" s="24"/>
      <c r="E743" s="24"/>
      <c r="F743" s="24"/>
      <c r="G743" s="24"/>
      <c r="H743" s="24"/>
    </row>
    <row r="744" spans="1:8" ht="9" thickTop="1" thickBot="1" x14ac:dyDescent="0.2">
      <c r="A744" s="24" t="s">
        <v>525</v>
      </c>
      <c r="B744" s="24"/>
      <c r="C744" s="24"/>
      <c r="D744" s="24"/>
      <c r="E744" s="24"/>
      <c r="F744" s="24"/>
      <c r="G744" s="24"/>
      <c r="H744" s="24"/>
    </row>
    <row r="745" spans="1:8" ht="9" thickTop="1" thickBot="1" x14ac:dyDescent="0.2">
      <c r="A745" s="24" t="s">
        <v>201</v>
      </c>
      <c r="B745" s="24"/>
      <c r="C745" s="24"/>
      <c r="D745" s="24"/>
      <c r="E745" s="24"/>
      <c r="F745" s="24"/>
      <c r="G745" s="24"/>
      <c r="H745" s="24"/>
    </row>
    <row r="746" spans="1:8" ht="9" thickTop="1" thickBot="1" x14ac:dyDescent="0.2">
      <c r="A746" s="24" t="s">
        <v>6</v>
      </c>
      <c r="B746" s="24"/>
      <c r="C746" s="24"/>
      <c r="D746" s="24"/>
      <c r="E746" s="24"/>
      <c r="F746" s="24"/>
      <c r="G746" s="24"/>
      <c r="H746" s="24"/>
    </row>
    <row r="747" spans="1:8" ht="9" thickTop="1" thickBot="1" x14ac:dyDescent="0.2">
      <c r="A747" s="24" t="s">
        <v>526</v>
      </c>
      <c r="B747" s="24"/>
      <c r="C747" s="24"/>
      <c r="D747" s="24"/>
      <c r="E747" s="24"/>
      <c r="F747" s="24"/>
      <c r="G747" s="24"/>
      <c r="H747" s="24"/>
    </row>
    <row r="748" spans="1:8" ht="9" thickTop="1" thickBot="1" x14ac:dyDescent="0.2">
      <c r="A748" s="24" t="s">
        <v>588</v>
      </c>
      <c r="B748" s="24"/>
      <c r="C748" s="24"/>
      <c r="D748" s="24"/>
      <c r="E748" s="24"/>
      <c r="F748" s="24"/>
      <c r="G748" s="24"/>
      <c r="H748" s="24"/>
    </row>
    <row r="749" spans="1:8" ht="9" thickTop="1" thickBot="1" x14ac:dyDescent="0.2">
      <c r="A749" s="24" t="s">
        <v>528</v>
      </c>
      <c r="B749" s="24"/>
      <c r="C749" s="24"/>
      <c r="D749" s="24"/>
      <c r="E749" s="24"/>
      <c r="F749" s="24"/>
      <c r="G749" s="24"/>
      <c r="H749" s="24"/>
    </row>
    <row r="750" spans="1:8" ht="9" thickTop="1" thickBot="1" x14ac:dyDescent="0.2">
      <c r="A750" s="24" t="s">
        <v>531</v>
      </c>
      <c r="B750" s="24"/>
      <c r="C750" s="24"/>
      <c r="D750" s="24"/>
      <c r="E750" s="24"/>
      <c r="F750" s="24"/>
      <c r="G750" s="24"/>
      <c r="H750" s="24"/>
    </row>
    <row r="751" spans="1:8" ht="9" thickTop="1" thickBot="1" x14ac:dyDescent="0.2">
      <c r="A751" s="24" t="s">
        <v>589</v>
      </c>
      <c r="B751" s="24"/>
      <c r="C751" s="24"/>
      <c r="D751" s="24"/>
      <c r="E751" s="24"/>
      <c r="F751" s="24"/>
      <c r="G751" s="24"/>
      <c r="H751" s="24"/>
    </row>
    <row r="752" spans="1:8" ht="9" thickTop="1" thickBot="1" x14ac:dyDescent="0.2">
      <c r="A752" s="24" t="s">
        <v>517</v>
      </c>
      <c r="B752" s="24"/>
      <c r="C752" s="24"/>
      <c r="D752" s="24"/>
      <c r="E752" s="24"/>
      <c r="F752" s="24"/>
      <c r="G752" s="24"/>
      <c r="H752" s="24"/>
    </row>
    <row r="753" spans="1:8" ht="9" thickTop="1" thickBot="1" x14ac:dyDescent="0.2">
      <c r="A753" s="24" t="s">
        <v>520</v>
      </c>
      <c r="B753" s="24"/>
      <c r="C753" s="24"/>
      <c r="D753" s="24"/>
      <c r="E753" s="24"/>
      <c r="F753" s="24"/>
      <c r="G753" s="24"/>
      <c r="H753" s="24"/>
    </row>
    <row r="754" spans="1:8" ht="9" thickTop="1" thickBot="1" x14ac:dyDescent="0.2">
      <c r="A754" s="24" t="s">
        <v>590</v>
      </c>
      <c r="B754" s="24"/>
      <c r="C754" s="24"/>
      <c r="D754" s="24"/>
      <c r="E754" s="24"/>
      <c r="F754" s="24"/>
      <c r="G754" s="24"/>
      <c r="H754" s="24"/>
    </row>
    <row r="755" spans="1:8" ht="9" thickTop="1" thickBot="1" x14ac:dyDescent="0.2">
      <c r="A755" s="24" t="s">
        <v>533</v>
      </c>
      <c r="B755" s="24"/>
      <c r="C755" s="24"/>
      <c r="D755" s="24"/>
      <c r="E755" s="24"/>
      <c r="F755" s="24"/>
      <c r="G755" s="24"/>
      <c r="H755" s="24"/>
    </row>
    <row r="756" spans="1:8" ht="9" thickTop="1" thickBot="1" x14ac:dyDescent="0.2"/>
    <row r="757" spans="1:8" ht="9" thickTop="1" thickBot="1" x14ac:dyDescent="0.2">
      <c r="A757" s="71" t="s">
        <v>591</v>
      </c>
      <c r="B757" s="71"/>
      <c r="C757" s="71"/>
      <c r="D757" s="71"/>
      <c r="E757" s="71"/>
      <c r="F757" s="71"/>
      <c r="G757" s="71"/>
      <c r="H757" s="71"/>
    </row>
    <row r="758" spans="1:8" ht="9" thickTop="1" thickBot="1" x14ac:dyDescent="0.2">
      <c r="A758" s="24" t="s">
        <v>514</v>
      </c>
      <c r="B758" s="26">
        <f>B740+7</f>
        <v>295</v>
      </c>
      <c r="C758" s="26">
        <f t="shared" ref="C758:H758" si="41">C740+7</f>
        <v>296</v>
      </c>
      <c r="D758" s="26">
        <f t="shared" si="41"/>
        <v>297</v>
      </c>
      <c r="E758" s="26">
        <f t="shared" si="41"/>
        <v>298</v>
      </c>
      <c r="F758" s="26">
        <f t="shared" si="41"/>
        <v>299</v>
      </c>
      <c r="G758" s="26">
        <f t="shared" si="41"/>
        <v>300</v>
      </c>
      <c r="H758" s="26">
        <f t="shared" si="41"/>
        <v>301</v>
      </c>
    </row>
    <row r="759" spans="1:8" ht="9" thickTop="1" thickBot="1" x14ac:dyDescent="0.2">
      <c r="A759" s="24" t="s">
        <v>515</v>
      </c>
      <c r="B759" s="25">
        <v>43395</v>
      </c>
      <c r="C759" s="25">
        <v>43396</v>
      </c>
      <c r="D759" s="25">
        <v>43397</v>
      </c>
      <c r="E759" s="25">
        <v>43398</v>
      </c>
      <c r="F759" s="25">
        <v>43399</v>
      </c>
      <c r="G759" s="25">
        <v>43400</v>
      </c>
      <c r="H759" s="25">
        <v>43401</v>
      </c>
    </row>
    <row r="760" spans="1:8" ht="9" thickTop="1" thickBot="1" x14ac:dyDescent="0.2">
      <c r="A760" s="24" t="s">
        <v>587</v>
      </c>
      <c r="B760" s="24"/>
      <c r="C760" s="24"/>
      <c r="D760" s="24"/>
      <c r="E760" s="24"/>
      <c r="F760" s="24"/>
      <c r="G760" s="24"/>
      <c r="H760" s="24"/>
    </row>
    <row r="761" spans="1:8" ht="9" thickTop="1" thickBot="1" x14ac:dyDescent="0.2">
      <c r="A761" s="24" t="s">
        <v>522</v>
      </c>
      <c r="B761" s="24"/>
      <c r="C761" s="24"/>
      <c r="D761" s="24"/>
      <c r="E761" s="24"/>
      <c r="F761" s="24"/>
      <c r="G761" s="24"/>
      <c r="H761" s="24"/>
    </row>
    <row r="762" spans="1:8" ht="9" thickTop="1" thickBot="1" x14ac:dyDescent="0.2">
      <c r="A762" s="24" t="s">
        <v>525</v>
      </c>
      <c r="B762" s="24"/>
      <c r="C762" s="24"/>
      <c r="D762" s="24"/>
      <c r="E762" s="24"/>
      <c r="F762" s="24"/>
      <c r="G762" s="24"/>
      <c r="H762" s="24"/>
    </row>
    <row r="763" spans="1:8" ht="9" thickTop="1" thickBot="1" x14ac:dyDescent="0.2">
      <c r="A763" s="24" t="s">
        <v>201</v>
      </c>
      <c r="B763" s="24"/>
      <c r="C763" s="24"/>
      <c r="D763" s="24"/>
      <c r="E763" s="24"/>
      <c r="F763" s="24"/>
      <c r="G763" s="24"/>
      <c r="H763" s="24"/>
    </row>
    <row r="764" spans="1:8" ht="9" thickTop="1" thickBot="1" x14ac:dyDescent="0.2">
      <c r="A764" s="24" t="s">
        <v>6</v>
      </c>
      <c r="B764" s="24"/>
      <c r="C764" s="24"/>
      <c r="D764" s="24"/>
      <c r="E764" s="24"/>
      <c r="F764" s="24"/>
      <c r="G764" s="24"/>
      <c r="H764" s="24"/>
    </row>
    <row r="765" spans="1:8" ht="9" thickTop="1" thickBot="1" x14ac:dyDescent="0.2">
      <c r="A765" s="24" t="s">
        <v>526</v>
      </c>
      <c r="B765" s="24"/>
      <c r="C765" s="24"/>
      <c r="D765" s="24"/>
      <c r="E765" s="24"/>
      <c r="F765" s="24"/>
      <c r="G765" s="24"/>
      <c r="H765" s="24"/>
    </row>
    <row r="766" spans="1:8" ht="9" thickTop="1" thickBot="1" x14ac:dyDescent="0.2">
      <c r="A766" s="24" t="s">
        <v>588</v>
      </c>
      <c r="B766" s="24"/>
      <c r="C766" s="24"/>
      <c r="D766" s="24"/>
      <c r="E766" s="24"/>
      <c r="F766" s="24"/>
      <c r="G766" s="24"/>
      <c r="H766" s="24"/>
    </row>
    <row r="767" spans="1:8" ht="9" thickTop="1" thickBot="1" x14ac:dyDescent="0.2">
      <c r="A767" s="24" t="s">
        <v>528</v>
      </c>
      <c r="B767" s="24"/>
      <c r="C767" s="24"/>
      <c r="D767" s="24"/>
      <c r="E767" s="24"/>
      <c r="F767" s="24"/>
      <c r="G767" s="24"/>
      <c r="H767" s="24"/>
    </row>
    <row r="768" spans="1:8" ht="9" thickTop="1" thickBot="1" x14ac:dyDescent="0.2">
      <c r="A768" s="24" t="s">
        <v>531</v>
      </c>
      <c r="B768" s="24"/>
      <c r="C768" s="24"/>
      <c r="D768" s="24"/>
      <c r="E768" s="24"/>
      <c r="F768" s="24"/>
      <c r="G768" s="24"/>
      <c r="H768" s="24"/>
    </row>
    <row r="769" spans="1:8" ht="9" thickTop="1" thickBot="1" x14ac:dyDescent="0.2">
      <c r="A769" s="24" t="s">
        <v>589</v>
      </c>
      <c r="B769" s="24"/>
      <c r="C769" s="24"/>
      <c r="D769" s="24"/>
      <c r="E769" s="24"/>
      <c r="F769" s="24"/>
      <c r="G769" s="24"/>
      <c r="H769" s="24"/>
    </row>
    <row r="770" spans="1:8" ht="9" thickTop="1" thickBot="1" x14ac:dyDescent="0.2">
      <c r="A770" s="24" t="s">
        <v>517</v>
      </c>
      <c r="B770" s="24"/>
      <c r="C770" s="24"/>
      <c r="D770" s="24"/>
      <c r="E770" s="24"/>
      <c r="F770" s="24"/>
      <c r="G770" s="24"/>
      <c r="H770" s="24"/>
    </row>
    <row r="771" spans="1:8" ht="9" thickTop="1" thickBot="1" x14ac:dyDescent="0.2">
      <c r="A771" s="24" t="s">
        <v>520</v>
      </c>
      <c r="B771" s="24"/>
      <c r="C771" s="24"/>
      <c r="D771" s="24"/>
      <c r="E771" s="24"/>
      <c r="F771" s="24"/>
      <c r="G771" s="24"/>
      <c r="H771" s="24"/>
    </row>
    <row r="772" spans="1:8" ht="9" thickTop="1" thickBot="1" x14ac:dyDescent="0.2">
      <c r="A772" s="24" t="s">
        <v>590</v>
      </c>
      <c r="B772" s="24"/>
      <c r="C772" s="24"/>
      <c r="D772" s="24"/>
      <c r="E772" s="24"/>
      <c r="F772" s="24"/>
      <c r="G772" s="24"/>
      <c r="H772" s="24"/>
    </row>
    <row r="773" spans="1:8" ht="9" thickTop="1" thickBot="1" x14ac:dyDescent="0.2">
      <c r="A773" s="24" t="s">
        <v>533</v>
      </c>
      <c r="B773" s="24"/>
      <c r="C773" s="24"/>
      <c r="D773" s="24"/>
      <c r="E773" s="24"/>
      <c r="F773" s="24"/>
      <c r="G773" s="24"/>
      <c r="H773" s="24"/>
    </row>
    <row r="774" spans="1:8" ht="9" thickTop="1" thickBot="1" x14ac:dyDescent="0.2"/>
    <row r="775" spans="1:8" ht="9" thickTop="1" thickBot="1" x14ac:dyDescent="0.2">
      <c r="A775" s="71" t="s">
        <v>591</v>
      </c>
      <c r="B775" s="71"/>
      <c r="C775" s="71"/>
      <c r="D775" s="71"/>
      <c r="E775" s="71"/>
      <c r="F775" s="71"/>
      <c r="G775" s="71"/>
      <c r="H775" s="71"/>
    </row>
    <row r="776" spans="1:8" ht="9" thickTop="1" thickBot="1" x14ac:dyDescent="0.2">
      <c r="A776" s="24" t="s">
        <v>514</v>
      </c>
      <c r="B776" s="26">
        <f>B758+7</f>
        <v>302</v>
      </c>
      <c r="C776" s="26">
        <f t="shared" ref="C776:H776" si="42">C758+7</f>
        <v>303</v>
      </c>
      <c r="D776" s="26">
        <f t="shared" si="42"/>
        <v>304</v>
      </c>
      <c r="E776" s="26">
        <f t="shared" si="42"/>
        <v>305</v>
      </c>
      <c r="F776" s="26">
        <f t="shared" si="42"/>
        <v>306</v>
      </c>
      <c r="G776" s="26">
        <f t="shared" si="42"/>
        <v>307</v>
      </c>
      <c r="H776" s="26">
        <f t="shared" si="42"/>
        <v>308</v>
      </c>
    </row>
    <row r="777" spans="1:8" ht="9" thickTop="1" thickBot="1" x14ac:dyDescent="0.2">
      <c r="A777" s="24" t="s">
        <v>515</v>
      </c>
      <c r="B777" s="25">
        <v>43402</v>
      </c>
      <c r="C777" s="25">
        <v>43403</v>
      </c>
      <c r="D777" s="25">
        <v>43404</v>
      </c>
      <c r="E777" s="25">
        <v>43405</v>
      </c>
      <c r="F777" s="25">
        <v>43406</v>
      </c>
      <c r="G777" s="25">
        <v>43407</v>
      </c>
      <c r="H777" s="25">
        <v>43408</v>
      </c>
    </row>
    <row r="778" spans="1:8" ht="9" thickTop="1" thickBot="1" x14ac:dyDescent="0.2">
      <c r="A778" s="24" t="s">
        <v>587</v>
      </c>
      <c r="B778" s="24"/>
      <c r="C778" s="24"/>
      <c r="D778" s="24"/>
      <c r="E778" s="24"/>
      <c r="F778" s="24"/>
      <c r="G778" s="24"/>
      <c r="H778" s="24"/>
    </row>
    <row r="779" spans="1:8" ht="9" thickTop="1" thickBot="1" x14ac:dyDescent="0.2">
      <c r="A779" s="24" t="s">
        <v>522</v>
      </c>
      <c r="B779" s="24"/>
      <c r="C779" s="24"/>
      <c r="D779" s="24"/>
      <c r="E779" s="24"/>
      <c r="F779" s="24"/>
      <c r="G779" s="24"/>
      <c r="H779" s="24"/>
    </row>
    <row r="780" spans="1:8" ht="9" thickTop="1" thickBot="1" x14ac:dyDescent="0.2">
      <c r="A780" s="24" t="s">
        <v>525</v>
      </c>
      <c r="B780" s="24"/>
      <c r="C780" s="24"/>
      <c r="D780" s="24"/>
      <c r="E780" s="24"/>
      <c r="F780" s="24"/>
      <c r="G780" s="24"/>
      <c r="H780" s="24"/>
    </row>
    <row r="781" spans="1:8" ht="9" thickTop="1" thickBot="1" x14ac:dyDescent="0.2">
      <c r="A781" s="24" t="s">
        <v>201</v>
      </c>
      <c r="B781" s="24"/>
      <c r="C781" s="24"/>
      <c r="D781" s="24"/>
      <c r="E781" s="24"/>
      <c r="F781" s="24"/>
      <c r="G781" s="24"/>
      <c r="H781" s="24"/>
    </row>
    <row r="782" spans="1:8" ht="9" thickTop="1" thickBot="1" x14ac:dyDescent="0.2">
      <c r="A782" s="24" t="s">
        <v>6</v>
      </c>
      <c r="B782" s="24"/>
      <c r="C782" s="24"/>
      <c r="D782" s="24"/>
      <c r="E782" s="24"/>
      <c r="F782" s="24"/>
      <c r="G782" s="24"/>
      <c r="H782" s="24"/>
    </row>
    <row r="783" spans="1:8" ht="9" thickTop="1" thickBot="1" x14ac:dyDescent="0.2">
      <c r="A783" s="24" t="s">
        <v>526</v>
      </c>
      <c r="B783" s="24"/>
      <c r="C783" s="24"/>
      <c r="D783" s="24"/>
      <c r="E783" s="24"/>
      <c r="F783" s="24"/>
      <c r="G783" s="24"/>
      <c r="H783" s="24"/>
    </row>
    <row r="784" spans="1:8" ht="9" thickTop="1" thickBot="1" x14ac:dyDescent="0.2">
      <c r="A784" s="24" t="s">
        <v>588</v>
      </c>
      <c r="B784" s="24"/>
      <c r="C784" s="24"/>
      <c r="D784" s="24"/>
      <c r="E784" s="24"/>
      <c r="F784" s="24"/>
      <c r="G784" s="24"/>
      <c r="H784" s="24"/>
    </row>
    <row r="785" spans="1:8" ht="9" thickTop="1" thickBot="1" x14ac:dyDescent="0.2">
      <c r="A785" s="24" t="s">
        <v>528</v>
      </c>
      <c r="B785" s="24"/>
      <c r="C785" s="24"/>
      <c r="D785" s="24"/>
      <c r="E785" s="24"/>
      <c r="F785" s="24"/>
      <c r="G785" s="24"/>
      <c r="H785" s="24"/>
    </row>
    <row r="786" spans="1:8" ht="9" thickTop="1" thickBot="1" x14ac:dyDescent="0.2">
      <c r="A786" s="24" t="s">
        <v>531</v>
      </c>
      <c r="B786" s="24"/>
      <c r="C786" s="24"/>
      <c r="D786" s="24"/>
      <c r="E786" s="24"/>
      <c r="F786" s="24"/>
      <c r="G786" s="24"/>
      <c r="H786" s="24"/>
    </row>
    <row r="787" spans="1:8" ht="9" thickTop="1" thickBot="1" x14ac:dyDescent="0.2">
      <c r="A787" s="24" t="s">
        <v>589</v>
      </c>
      <c r="B787" s="24"/>
      <c r="C787" s="24"/>
      <c r="D787" s="24"/>
      <c r="E787" s="24"/>
      <c r="F787" s="24"/>
      <c r="G787" s="24"/>
      <c r="H787" s="24"/>
    </row>
    <row r="788" spans="1:8" ht="9" thickTop="1" thickBot="1" x14ac:dyDescent="0.2">
      <c r="A788" s="24" t="s">
        <v>517</v>
      </c>
      <c r="B788" s="24"/>
      <c r="C788" s="24"/>
      <c r="D788" s="24"/>
      <c r="E788" s="24"/>
      <c r="F788" s="24"/>
      <c r="G788" s="24"/>
      <c r="H788" s="24"/>
    </row>
    <row r="789" spans="1:8" ht="9" thickTop="1" thickBot="1" x14ac:dyDescent="0.2">
      <c r="A789" s="24" t="s">
        <v>520</v>
      </c>
      <c r="B789" s="24"/>
      <c r="C789" s="24"/>
      <c r="D789" s="24"/>
      <c r="E789" s="24"/>
      <c r="F789" s="24"/>
      <c r="G789" s="24"/>
      <c r="H789" s="24"/>
    </row>
    <row r="790" spans="1:8" ht="9" thickTop="1" thickBot="1" x14ac:dyDescent="0.2">
      <c r="A790" s="24" t="s">
        <v>590</v>
      </c>
      <c r="B790" s="24"/>
      <c r="C790" s="24"/>
      <c r="D790" s="24"/>
      <c r="E790" s="24"/>
      <c r="F790" s="24"/>
      <c r="G790" s="24"/>
      <c r="H790" s="24"/>
    </row>
    <row r="791" spans="1:8" ht="9" thickTop="1" thickBot="1" x14ac:dyDescent="0.2">
      <c r="A791" s="24" t="s">
        <v>533</v>
      </c>
      <c r="B791" s="24"/>
      <c r="C791" s="24"/>
      <c r="D791" s="24"/>
      <c r="E791" s="24"/>
      <c r="F791" s="24"/>
      <c r="G791" s="24"/>
      <c r="H791" s="24"/>
    </row>
    <row r="792" spans="1:8" ht="9" thickTop="1" thickBot="1" x14ac:dyDescent="0.2"/>
    <row r="793" spans="1:8" ht="9" thickTop="1" thickBot="1" x14ac:dyDescent="0.2">
      <c r="A793" s="71" t="s">
        <v>591</v>
      </c>
      <c r="B793" s="71"/>
      <c r="C793" s="71"/>
      <c r="D793" s="71"/>
      <c r="E793" s="71"/>
      <c r="F793" s="71"/>
      <c r="G793" s="71"/>
      <c r="H793" s="71"/>
    </row>
    <row r="794" spans="1:8" ht="9" thickTop="1" thickBot="1" x14ac:dyDescent="0.2">
      <c r="A794" s="24" t="s">
        <v>514</v>
      </c>
      <c r="B794" s="26">
        <f>B776+7</f>
        <v>309</v>
      </c>
      <c r="C794" s="26">
        <f t="shared" ref="C794:H794" si="43">C776+7</f>
        <v>310</v>
      </c>
      <c r="D794" s="26">
        <f t="shared" si="43"/>
        <v>311</v>
      </c>
      <c r="E794" s="26">
        <f t="shared" si="43"/>
        <v>312</v>
      </c>
      <c r="F794" s="26">
        <f t="shared" si="43"/>
        <v>313</v>
      </c>
      <c r="G794" s="26">
        <f t="shared" si="43"/>
        <v>314</v>
      </c>
      <c r="H794" s="26">
        <f t="shared" si="43"/>
        <v>315</v>
      </c>
    </row>
    <row r="795" spans="1:8" ht="9" thickTop="1" thickBot="1" x14ac:dyDescent="0.2">
      <c r="A795" s="24" t="s">
        <v>515</v>
      </c>
      <c r="B795" s="25">
        <v>43409</v>
      </c>
      <c r="C795" s="25">
        <v>43410</v>
      </c>
      <c r="D795" s="25">
        <v>43411</v>
      </c>
      <c r="E795" s="25">
        <v>43412</v>
      </c>
      <c r="F795" s="25">
        <v>43413</v>
      </c>
      <c r="G795" s="25">
        <v>43414</v>
      </c>
      <c r="H795" s="25">
        <v>43415</v>
      </c>
    </row>
    <row r="796" spans="1:8" ht="9" thickTop="1" thickBot="1" x14ac:dyDescent="0.2">
      <c r="A796" s="24" t="s">
        <v>587</v>
      </c>
      <c r="B796" s="24"/>
      <c r="C796" s="24"/>
      <c r="D796" s="24"/>
      <c r="E796" s="24"/>
      <c r="F796" s="24"/>
      <c r="G796" s="24"/>
      <c r="H796" s="24"/>
    </row>
    <row r="797" spans="1:8" ht="9" thickTop="1" thickBot="1" x14ac:dyDescent="0.2">
      <c r="A797" s="24" t="s">
        <v>522</v>
      </c>
      <c r="B797" s="24"/>
      <c r="C797" s="24"/>
      <c r="D797" s="24"/>
      <c r="E797" s="24"/>
      <c r="F797" s="24"/>
      <c r="G797" s="24"/>
      <c r="H797" s="24"/>
    </row>
    <row r="798" spans="1:8" ht="9" thickTop="1" thickBot="1" x14ac:dyDescent="0.2">
      <c r="A798" s="24" t="s">
        <v>525</v>
      </c>
      <c r="B798" s="24"/>
      <c r="C798" s="24"/>
      <c r="D798" s="24"/>
      <c r="E798" s="24"/>
      <c r="F798" s="24"/>
      <c r="G798" s="24"/>
      <c r="H798" s="24"/>
    </row>
    <row r="799" spans="1:8" ht="9" thickTop="1" thickBot="1" x14ac:dyDescent="0.2">
      <c r="A799" s="24" t="s">
        <v>201</v>
      </c>
      <c r="B799" s="24"/>
      <c r="C799" s="24"/>
      <c r="D799" s="24"/>
      <c r="E799" s="24"/>
      <c r="F799" s="24"/>
      <c r="G799" s="24"/>
      <c r="H799" s="24"/>
    </row>
    <row r="800" spans="1:8" ht="9" thickTop="1" thickBot="1" x14ac:dyDescent="0.2">
      <c r="A800" s="24" t="s">
        <v>6</v>
      </c>
      <c r="B800" s="24"/>
      <c r="C800" s="24"/>
      <c r="D800" s="24"/>
      <c r="E800" s="24"/>
      <c r="F800" s="24"/>
      <c r="G800" s="24"/>
      <c r="H800" s="24"/>
    </row>
    <row r="801" spans="1:8" ht="9" thickTop="1" thickBot="1" x14ac:dyDescent="0.2">
      <c r="A801" s="24" t="s">
        <v>526</v>
      </c>
      <c r="B801" s="24"/>
      <c r="C801" s="24"/>
      <c r="D801" s="24"/>
      <c r="E801" s="24"/>
      <c r="F801" s="24"/>
      <c r="G801" s="24"/>
      <c r="H801" s="24"/>
    </row>
    <row r="802" spans="1:8" ht="9" thickTop="1" thickBot="1" x14ac:dyDescent="0.2">
      <c r="A802" s="24" t="s">
        <v>588</v>
      </c>
      <c r="B802" s="24"/>
      <c r="C802" s="24"/>
      <c r="D802" s="24"/>
      <c r="E802" s="24"/>
      <c r="F802" s="24"/>
      <c r="G802" s="24"/>
      <c r="H802" s="24"/>
    </row>
    <row r="803" spans="1:8" ht="9" thickTop="1" thickBot="1" x14ac:dyDescent="0.2">
      <c r="A803" s="24" t="s">
        <v>528</v>
      </c>
      <c r="B803" s="24"/>
      <c r="C803" s="24"/>
      <c r="D803" s="24"/>
      <c r="E803" s="24"/>
      <c r="F803" s="24"/>
      <c r="G803" s="24"/>
      <c r="H803" s="24"/>
    </row>
    <row r="804" spans="1:8" ht="9" thickTop="1" thickBot="1" x14ac:dyDescent="0.2">
      <c r="A804" s="24" t="s">
        <v>531</v>
      </c>
      <c r="B804" s="24"/>
      <c r="C804" s="24"/>
      <c r="D804" s="24"/>
      <c r="E804" s="24"/>
      <c r="F804" s="24"/>
      <c r="G804" s="24"/>
      <c r="H804" s="24"/>
    </row>
    <row r="805" spans="1:8" ht="9" thickTop="1" thickBot="1" x14ac:dyDescent="0.2">
      <c r="A805" s="24" t="s">
        <v>589</v>
      </c>
      <c r="B805" s="24"/>
      <c r="C805" s="24"/>
      <c r="D805" s="24"/>
      <c r="E805" s="24"/>
      <c r="F805" s="24"/>
      <c r="G805" s="24"/>
      <c r="H805" s="24"/>
    </row>
    <row r="806" spans="1:8" ht="9" thickTop="1" thickBot="1" x14ac:dyDescent="0.2">
      <c r="A806" s="24" t="s">
        <v>517</v>
      </c>
      <c r="B806" s="24"/>
      <c r="C806" s="24"/>
      <c r="D806" s="24"/>
      <c r="E806" s="24"/>
      <c r="F806" s="24"/>
      <c r="G806" s="24"/>
      <c r="H806" s="24"/>
    </row>
    <row r="807" spans="1:8" ht="9" thickTop="1" thickBot="1" x14ac:dyDescent="0.2">
      <c r="A807" s="24" t="s">
        <v>520</v>
      </c>
      <c r="B807" s="24"/>
      <c r="C807" s="24"/>
      <c r="D807" s="24"/>
      <c r="E807" s="24"/>
      <c r="F807" s="24"/>
      <c r="G807" s="24"/>
      <c r="H807" s="24"/>
    </row>
    <row r="808" spans="1:8" ht="9" thickTop="1" thickBot="1" x14ac:dyDescent="0.2">
      <c r="A808" s="24" t="s">
        <v>590</v>
      </c>
      <c r="B808" s="24"/>
      <c r="C808" s="24"/>
      <c r="D808" s="24"/>
      <c r="E808" s="24"/>
      <c r="F808" s="24"/>
      <c r="G808" s="24"/>
      <c r="H808" s="24"/>
    </row>
    <row r="809" spans="1:8" ht="9" thickTop="1" thickBot="1" x14ac:dyDescent="0.2">
      <c r="A809" s="24" t="s">
        <v>533</v>
      </c>
      <c r="B809" s="24"/>
      <c r="C809" s="24"/>
      <c r="D809" s="24"/>
      <c r="E809" s="24"/>
      <c r="F809" s="24"/>
      <c r="G809" s="24"/>
      <c r="H809" s="24"/>
    </row>
    <row r="810" spans="1:8" ht="9" thickTop="1" thickBot="1" x14ac:dyDescent="0.2"/>
    <row r="811" spans="1:8" ht="9" thickTop="1" thickBot="1" x14ac:dyDescent="0.2">
      <c r="A811" s="71" t="s">
        <v>591</v>
      </c>
      <c r="B811" s="71"/>
      <c r="C811" s="71"/>
      <c r="D811" s="71"/>
      <c r="E811" s="71"/>
      <c r="F811" s="71"/>
      <c r="G811" s="71"/>
      <c r="H811" s="71"/>
    </row>
    <row r="812" spans="1:8" ht="9" thickTop="1" thickBot="1" x14ac:dyDescent="0.2">
      <c r="A812" s="24" t="s">
        <v>514</v>
      </c>
      <c r="B812" s="26">
        <f>B794+7</f>
        <v>316</v>
      </c>
      <c r="C812" s="26">
        <f t="shared" ref="C812:H812" si="44">C794+7</f>
        <v>317</v>
      </c>
      <c r="D812" s="26">
        <f t="shared" si="44"/>
        <v>318</v>
      </c>
      <c r="E812" s="26">
        <f t="shared" si="44"/>
        <v>319</v>
      </c>
      <c r="F812" s="26">
        <f t="shared" si="44"/>
        <v>320</v>
      </c>
      <c r="G812" s="26">
        <f t="shared" si="44"/>
        <v>321</v>
      </c>
      <c r="H812" s="26">
        <f t="shared" si="44"/>
        <v>322</v>
      </c>
    </row>
    <row r="813" spans="1:8" ht="9" thickTop="1" thickBot="1" x14ac:dyDescent="0.2">
      <c r="A813" s="24" t="s">
        <v>515</v>
      </c>
      <c r="B813" s="25">
        <v>43416</v>
      </c>
      <c r="C813" s="25">
        <v>43417</v>
      </c>
      <c r="D813" s="25">
        <v>43418</v>
      </c>
      <c r="E813" s="25">
        <v>43419</v>
      </c>
      <c r="F813" s="25">
        <v>43420</v>
      </c>
      <c r="G813" s="25">
        <v>43421</v>
      </c>
      <c r="H813" s="25">
        <v>43422</v>
      </c>
    </row>
    <row r="814" spans="1:8" ht="9" thickTop="1" thickBot="1" x14ac:dyDescent="0.2">
      <c r="A814" s="24" t="s">
        <v>587</v>
      </c>
      <c r="B814" s="24"/>
      <c r="C814" s="24"/>
      <c r="D814" s="24"/>
      <c r="E814" s="24"/>
      <c r="F814" s="24"/>
      <c r="G814" s="24"/>
      <c r="H814" s="24"/>
    </row>
    <row r="815" spans="1:8" ht="9" thickTop="1" thickBot="1" x14ac:dyDescent="0.2">
      <c r="A815" s="24" t="s">
        <v>522</v>
      </c>
      <c r="B815" s="24"/>
      <c r="C815" s="24"/>
      <c r="D815" s="24"/>
      <c r="E815" s="24"/>
      <c r="F815" s="24"/>
      <c r="G815" s="24"/>
      <c r="H815" s="24"/>
    </row>
    <row r="816" spans="1:8" ht="9" thickTop="1" thickBot="1" x14ac:dyDescent="0.2">
      <c r="A816" s="24" t="s">
        <v>525</v>
      </c>
      <c r="B816" s="24"/>
      <c r="C816" s="24"/>
      <c r="D816" s="24"/>
      <c r="E816" s="24"/>
      <c r="F816" s="24"/>
      <c r="G816" s="24"/>
      <c r="H816" s="24"/>
    </row>
    <row r="817" spans="1:8" ht="9" thickTop="1" thickBot="1" x14ac:dyDescent="0.2">
      <c r="A817" s="24" t="s">
        <v>201</v>
      </c>
      <c r="B817" s="24"/>
      <c r="C817" s="24"/>
      <c r="D817" s="24"/>
      <c r="E817" s="24"/>
      <c r="F817" s="24"/>
      <c r="G817" s="24"/>
      <c r="H817" s="24"/>
    </row>
    <row r="818" spans="1:8" ht="9" thickTop="1" thickBot="1" x14ac:dyDescent="0.2">
      <c r="A818" s="24" t="s">
        <v>6</v>
      </c>
      <c r="B818" s="24"/>
      <c r="C818" s="24"/>
      <c r="D818" s="24"/>
      <c r="E818" s="24"/>
      <c r="F818" s="24"/>
      <c r="G818" s="24"/>
      <c r="H818" s="24"/>
    </row>
    <row r="819" spans="1:8" ht="9" thickTop="1" thickBot="1" x14ac:dyDescent="0.2">
      <c r="A819" s="24" t="s">
        <v>526</v>
      </c>
      <c r="B819" s="24"/>
      <c r="C819" s="24"/>
      <c r="D819" s="24"/>
      <c r="E819" s="24"/>
      <c r="F819" s="24"/>
      <c r="G819" s="24"/>
      <c r="H819" s="24"/>
    </row>
    <row r="820" spans="1:8" ht="9" thickTop="1" thickBot="1" x14ac:dyDescent="0.2">
      <c r="A820" s="24" t="s">
        <v>588</v>
      </c>
      <c r="B820" s="24"/>
      <c r="C820" s="24"/>
      <c r="D820" s="24"/>
      <c r="E820" s="24"/>
      <c r="F820" s="24"/>
      <c r="G820" s="24"/>
      <c r="H820" s="24"/>
    </row>
    <row r="821" spans="1:8" ht="9" thickTop="1" thickBot="1" x14ac:dyDescent="0.2">
      <c r="A821" s="24" t="s">
        <v>528</v>
      </c>
      <c r="B821" s="24"/>
      <c r="C821" s="24"/>
      <c r="D821" s="24"/>
      <c r="E821" s="24"/>
      <c r="F821" s="24"/>
      <c r="G821" s="24"/>
      <c r="H821" s="24"/>
    </row>
    <row r="822" spans="1:8" ht="9" thickTop="1" thickBot="1" x14ac:dyDescent="0.2">
      <c r="A822" s="24" t="s">
        <v>531</v>
      </c>
      <c r="B822" s="24"/>
      <c r="C822" s="24"/>
      <c r="D822" s="24"/>
      <c r="E822" s="24"/>
      <c r="F822" s="24"/>
      <c r="G822" s="24"/>
      <c r="H822" s="24"/>
    </row>
    <row r="823" spans="1:8" ht="9" thickTop="1" thickBot="1" x14ac:dyDescent="0.2">
      <c r="A823" s="24" t="s">
        <v>589</v>
      </c>
      <c r="B823" s="24"/>
      <c r="C823" s="24"/>
      <c r="D823" s="24"/>
      <c r="E823" s="24"/>
      <c r="F823" s="24"/>
      <c r="G823" s="24"/>
      <c r="H823" s="24"/>
    </row>
    <row r="824" spans="1:8" ht="9" thickTop="1" thickBot="1" x14ac:dyDescent="0.2">
      <c r="A824" s="24" t="s">
        <v>517</v>
      </c>
      <c r="B824" s="24"/>
      <c r="C824" s="24"/>
      <c r="D824" s="24"/>
      <c r="E824" s="24"/>
      <c r="F824" s="24"/>
      <c r="G824" s="24"/>
      <c r="H824" s="24"/>
    </row>
    <row r="825" spans="1:8" ht="9" thickTop="1" thickBot="1" x14ac:dyDescent="0.2">
      <c r="A825" s="24" t="s">
        <v>520</v>
      </c>
      <c r="B825" s="24"/>
      <c r="C825" s="24"/>
      <c r="D825" s="24"/>
      <c r="E825" s="24"/>
      <c r="F825" s="24"/>
      <c r="G825" s="24"/>
      <c r="H825" s="24"/>
    </row>
    <row r="826" spans="1:8" ht="9" thickTop="1" thickBot="1" x14ac:dyDescent="0.2">
      <c r="A826" s="24" t="s">
        <v>590</v>
      </c>
      <c r="B826" s="24"/>
      <c r="C826" s="24"/>
      <c r="D826" s="24"/>
      <c r="E826" s="24"/>
      <c r="F826" s="24"/>
      <c r="G826" s="24"/>
      <c r="H826" s="24"/>
    </row>
    <row r="827" spans="1:8" ht="9" thickTop="1" thickBot="1" x14ac:dyDescent="0.2">
      <c r="A827" s="24" t="s">
        <v>533</v>
      </c>
      <c r="B827" s="24"/>
      <c r="C827" s="24"/>
      <c r="D827" s="24"/>
      <c r="E827" s="24"/>
      <c r="F827" s="24"/>
      <c r="G827" s="24"/>
      <c r="H827" s="24"/>
    </row>
    <row r="828" spans="1:8" ht="9" thickTop="1" thickBot="1" x14ac:dyDescent="0.2"/>
    <row r="829" spans="1:8" ht="9" thickTop="1" thickBot="1" x14ac:dyDescent="0.2">
      <c r="A829" s="71" t="s">
        <v>591</v>
      </c>
      <c r="B829" s="71"/>
      <c r="C829" s="71"/>
      <c r="D829" s="71"/>
      <c r="E829" s="71"/>
      <c r="F829" s="71"/>
      <c r="G829" s="71"/>
      <c r="H829" s="71"/>
    </row>
    <row r="830" spans="1:8" ht="9" thickTop="1" thickBot="1" x14ac:dyDescent="0.2">
      <c r="A830" s="24" t="s">
        <v>514</v>
      </c>
      <c r="B830" s="26">
        <f>B812+7</f>
        <v>323</v>
      </c>
      <c r="C830" s="26">
        <f t="shared" ref="C830:H830" si="45">C812+7</f>
        <v>324</v>
      </c>
      <c r="D830" s="26">
        <f t="shared" si="45"/>
        <v>325</v>
      </c>
      <c r="E830" s="26">
        <f t="shared" si="45"/>
        <v>326</v>
      </c>
      <c r="F830" s="26">
        <f t="shared" si="45"/>
        <v>327</v>
      </c>
      <c r="G830" s="26">
        <f t="shared" si="45"/>
        <v>328</v>
      </c>
      <c r="H830" s="26">
        <f t="shared" si="45"/>
        <v>329</v>
      </c>
    </row>
    <row r="831" spans="1:8" ht="9" thickTop="1" thickBot="1" x14ac:dyDescent="0.2">
      <c r="A831" s="24" t="s">
        <v>515</v>
      </c>
      <c r="B831" s="25">
        <v>43423</v>
      </c>
      <c r="C831" s="25">
        <v>43424</v>
      </c>
      <c r="D831" s="25">
        <v>43425</v>
      </c>
      <c r="E831" s="25">
        <v>43426</v>
      </c>
      <c r="F831" s="25">
        <v>43427</v>
      </c>
      <c r="G831" s="25">
        <v>43428</v>
      </c>
      <c r="H831" s="25">
        <v>43429</v>
      </c>
    </row>
    <row r="832" spans="1:8" ht="9" thickTop="1" thickBot="1" x14ac:dyDescent="0.2">
      <c r="A832" s="24" t="s">
        <v>587</v>
      </c>
      <c r="B832" s="24"/>
      <c r="C832" s="24"/>
      <c r="D832" s="24"/>
      <c r="E832" s="24"/>
      <c r="F832" s="24"/>
      <c r="G832" s="24"/>
      <c r="H832" s="24"/>
    </row>
    <row r="833" spans="1:8" ht="9" thickTop="1" thickBot="1" x14ac:dyDescent="0.2">
      <c r="A833" s="24" t="s">
        <v>522</v>
      </c>
      <c r="B833" s="24"/>
      <c r="C833" s="24"/>
      <c r="D833" s="24"/>
      <c r="E833" s="24"/>
      <c r="F833" s="24"/>
      <c r="G833" s="24"/>
      <c r="H833" s="24"/>
    </row>
    <row r="834" spans="1:8" ht="9" thickTop="1" thickBot="1" x14ac:dyDescent="0.2">
      <c r="A834" s="24" t="s">
        <v>525</v>
      </c>
      <c r="B834" s="24"/>
      <c r="C834" s="24"/>
      <c r="D834" s="24"/>
      <c r="E834" s="24"/>
      <c r="F834" s="24"/>
      <c r="G834" s="24"/>
      <c r="H834" s="24"/>
    </row>
    <row r="835" spans="1:8" ht="9" thickTop="1" thickBot="1" x14ac:dyDescent="0.2">
      <c r="A835" s="24" t="s">
        <v>201</v>
      </c>
      <c r="B835" s="24"/>
      <c r="C835" s="24"/>
      <c r="D835" s="24"/>
      <c r="E835" s="24"/>
      <c r="F835" s="24"/>
      <c r="G835" s="24"/>
      <c r="H835" s="24"/>
    </row>
    <row r="836" spans="1:8" ht="9" thickTop="1" thickBot="1" x14ac:dyDescent="0.2">
      <c r="A836" s="24" t="s">
        <v>6</v>
      </c>
      <c r="B836" s="24"/>
      <c r="C836" s="24"/>
      <c r="D836" s="24"/>
      <c r="E836" s="24"/>
      <c r="F836" s="24"/>
      <c r="G836" s="24"/>
      <c r="H836" s="24"/>
    </row>
    <row r="837" spans="1:8" ht="9" thickTop="1" thickBot="1" x14ac:dyDescent="0.2">
      <c r="A837" s="24" t="s">
        <v>526</v>
      </c>
      <c r="B837" s="24"/>
      <c r="C837" s="24"/>
      <c r="D837" s="24"/>
      <c r="E837" s="24"/>
      <c r="F837" s="24"/>
      <c r="G837" s="24"/>
      <c r="H837" s="24"/>
    </row>
    <row r="838" spans="1:8" ht="9" thickTop="1" thickBot="1" x14ac:dyDescent="0.2">
      <c r="A838" s="24" t="s">
        <v>588</v>
      </c>
      <c r="B838" s="24"/>
      <c r="C838" s="24"/>
      <c r="D838" s="24"/>
      <c r="E838" s="24"/>
      <c r="F838" s="24"/>
      <c r="G838" s="24"/>
      <c r="H838" s="24"/>
    </row>
    <row r="839" spans="1:8" ht="9" thickTop="1" thickBot="1" x14ac:dyDescent="0.2">
      <c r="A839" s="24" t="s">
        <v>528</v>
      </c>
      <c r="B839" s="24"/>
      <c r="C839" s="24"/>
      <c r="D839" s="24"/>
      <c r="E839" s="24"/>
      <c r="F839" s="24"/>
      <c r="G839" s="24"/>
      <c r="H839" s="24"/>
    </row>
    <row r="840" spans="1:8" ht="9" thickTop="1" thickBot="1" x14ac:dyDescent="0.2">
      <c r="A840" s="24" t="s">
        <v>531</v>
      </c>
      <c r="B840" s="24"/>
      <c r="C840" s="24"/>
      <c r="D840" s="24"/>
      <c r="E840" s="24"/>
      <c r="F840" s="24"/>
      <c r="G840" s="24"/>
      <c r="H840" s="24"/>
    </row>
    <row r="841" spans="1:8" ht="9" thickTop="1" thickBot="1" x14ac:dyDescent="0.2">
      <c r="A841" s="24" t="s">
        <v>589</v>
      </c>
      <c r="B841" s="24"/>
      <c r="C841" s="24"/>
      <c r="D841" s="24"/>
      <c r="E841" s="24"/>
      <c r="F841" s="24"/>
      <c r="G841" s="24"/>
      <c r="H841" s="24"/>
    </row>
    <row r="842" spans="1:8" ht="9" thickTop="1" thickBot="1" x14ac:dyDescent="0.2">
      <c r="A842" s="24" t="s">
        <v>517</v>
      </c>
      <c r="B842" s="24"/>
      <c r="C842" s="24"/>
      <c r="D842" s="24"/>
      <c r="E842" s="24"/>
      <c r="F842" s="24"/>
      <c r="G842" s="24"/>
      <c r="H842" s="24"/>
    </row>
    <row r="843" spans="1:8" ht="9" thickTop="1" thickBot="1" x14ac:dyDescent="0.2">
      <c r="A843" s="24" t="s">
        <v>520</v>
      </c>
      <c r="B843" s="24"/>
      <c r="C843" s="24"/>
      <c r="D843" s="24"/>
      <c r="E843" s="24"/>
      <c r="F843" s="24"/>
      <c r="G843" s="24"/>
      <c r="H843" s="24"/>
    </row>
    <row r="844" spans="1:8" ht="9" thickTop="1" thickBot="1" x14ac:dyDescent="0.2">
      <c r="A844" s="24" t="s">
        <v>590</v>
      </c>
      <c r="B844" s="24"/>
      <c r="C844" s="24"/>
      <c r="D844" s="24"/>
      <c r="E844" s="24"/>
      <c r="F844" s="24"/>
      <c r="G844" s="24"/>
      <c r="H844" s="24"/>
    </row>
    <row r="845" spans="1:8" ht="9" thickTop="1" thickBot="1" x14ac:dyDescent="0.2">
      <c r="A845" s="24" t="s">
        <v>533</v>
      </c>
      <c r="B845" s="24"/>
      <c r="C845" s="24"/>
      <c r="D845" s="24"/>
      <c r="E845" s="24"/>
      <c r="F845" s="24"/>
      <c r="G845" s="24"/>
      <c r="H845" s="24"/>
    </row>
    <row r="846" spans="1:8" ht="9" thickTop="1" thickBot="1" x14ac:dyDescent="0.2"/>
    <row r="847" spans="1:8" ht="9" thickTop="1" thickBot="1" x14ac:dyDescent="0.2">
      <c r="A847" s="71" t="s">
        <v>591</v>
      </c>
      <c r="B847" s="71"/>
      <c r="C847" s="71"/>
      <c r="D847" s="71"/>
      <c r="E847" s="71"/>
      <c r="F847" s="71"/>
      <c r="G847" s="71"/>
      <c r="H847" s="71"/>
    </row>
    <row r="848" spans="1:8" ht="9" thickTop="1" thickBot="1" x14ac:dyDescent="0.2">
      <c r="A848" s="24" t="s">
        <v>514</v>
      </c>
      <c r="B848" s="26">
        <f>B830+7</f>
        <v>330</v>
      </c>
      <c r="C848" s="26">
        <f t="shared" ref="C848:H848" si="46">C830+7</f>
        <v>331</v>
      </c>
      <c r="D848" s="26">
        <f t="shared" si="46"/>
        <v>332</v>
      </c>
      <c r="E848" s="26">
        <f t="shared" si="46"/>
        <v>333</v>
      </c>
      <c r="F848" s="26">
        <f t="shared" si="46"/>
        <v>334</v>
      </c>
      <c r="G848" s="26">
        <f t="shared" si="46"/>
        <v>335</v>
      </c>
      <c r="H848" s="26">
        <f t="shared" si="46"/>
        <v>336</v>
      </c>
    </row>
    <row r="849" spans="1:8" ht="9" thickTop="1" thickBot="1" x14ac:dyDescent="0.2">
      <c r="A849" s="24" t="s">
        <v>515</v>
      </c>
      <c r="B849" s="25">
        <v>43430</v>
      </c>
      <c r="C849" s="25">
        <v>43431</v>
      </c>
      <c r="D849" s="25">
        <v>43432</v>
      </c>
      <c r="E849" s="25">
        <v>43433</v>
      </c>
      <c r="F849" s="25">
        <v>43434</v>
      </c>
      <c r="G849" s="25">
        <v>43435</v>
      </c>
      <c r="H849" s="25">
        <v>43436</v>
      </c>
    </row>
    <row r="850" spans="1:8" ht="9" thickTop="1" thickBot="1" x14ac:dyDescent="0.2">
      <c r="A850" s="24" t="s">
        <v>587</v>
      </c>
      <c r="B850" s="24"/>
      <c r="C850" s="24"/>
      <c r="D850" s="24"/>
      <c r="E850" s="24"/>
      <c r="F850" s="24"/>
      <c r="G850" s="24"/>
      <c r="H850" s="24"/>
    </row>
    <row r="851" spans="1:8" ht="9" thickTop="1" thickBot="1" x14ac:dyDescent="0.2">
      <c r="A851" s="24" t="s">
        <v>522</v>
      </c>
      <c r="B851" s="24"/>
      <c r="C851" s="24"/>
      <c r="D851" s="24"/>
      <c r="E851" s="24"/>
      <c r="F851" s="24"/>
      <c r="G851" s="24"/>
      <c r="H851" s="24"/>
    </row>
    <row r="852" spans="1:8" ht="9" thickTop="1" thickBot="1" x14ac:dyDescent="0.2">
      <c r="A852" s="24" t="s">
        <v>525</v>
      </c>
      <c r="B852" s="24"/>
      <c r="C852" s="24"/>
      <c r="D852" s="24"/>
      <c r="E852" s="24"/>
      <c r="F852" s="24"/>
      <c r="G852" s="24"/>
      <c r="H852" s="24"/>
    </row>
    <row r="853" spans="1:8" ht="9" thickTop="1" thickBot="1" x14ac:dyDescent="0.2">
      <c r="A853" s="24" t="s">
        <v>201</v>
      </c>
      <c r="B853" s="24"/>
      <c r="C853" s="24"/>
      <c r="D853" s="24"/>
      <c r="E853" s="24"/>
      <c r="F853" s="24"/>
      <c r="G853" s="24"/>
      <c r="H853" s="24"/>
    </row>
    <row r="854" spans="1:8" ht="9" thickTop="1" thickBot="1" x14ac:dyDescent="0.2">
      <c r="A854" s="24" t="s">
        <v>6</v>
      </c>
      <c r="B854" s="24"/>
      <c r="C854" s="24"/>
      <c r="D854" s="24"/>
      <c r="E854" s="24"/>
      <c r="F854" s="24"/>
      <c r="G854" s="24"/>
      <c r="H854" s="24"/>
    </row>
    <row r="855" spans="1:8" ht="9" thickTop="1" thickBot="1" x14ac:dyDescent="0.2">
      <c r="A855" s="24" t="s">
        <v>526</v>
      </c>
      <c r="B855" s="24"/>
      <c r="C855" s="24"/>
      <c r="D855" s="24"/>
      <c r="E855" s="24"/>
      <c r="F855" s="24"/>
      <c r="G855" s="24"/>
      <c r="H855" s="24"/>
    </row>
    <row r="856" spans="1:8" ht="9" thickTop="1" thickBot="1" x14ac:dyDescent="0.2">
      <c r="A856" s="24" t="s">
        <v>588</v>
      </c>
      <c r="B856" s="24"/>
      <c r="C856" s="24"/>
      <c r="D856" s="24"/>
      <c r="E856" s="24"/>
      <c r="F856" s="24"/>
      <c r="G856" s="24"/>
      <c r="H856" s="24"/>
    </row>
    <row r="857" spans="1:8" ht="9" thickTop="1" thickBot="1" x14ac:dyDescent="0.2">
      <c r="A857" s="24" t="s">
        <v>528</v>
      </c>
      <c r="B857" s="24"/>
      <c r="C857" s="24"/>
      <c r="D857" s="24"/>
      <c r="E857" s="24"/>
      <c r="F857" s="24"/>
      <c r="G857" s="24"/>
      <c r="H857" s="24"/>
    </row>
    <row r="858" spans="1:8" ht="9" thickTop="1" thickBot="1" x14ac:dyDescent="0.2">
      <c r="A858" s="24" t="s">
        <v>531</v>
      </c>
      <c r="B858" s="24"/>
      <c r="C858" s="24"/>
      <c r="D858" s="24"/>
      <c r="E858" s="24"/>
      <c r="F858" s="24"/>
      <c r="G858" s="24"/>
      <c r="H858" s="24"/>
    </row>
    <row r="859" spans="1:8" ht="9" thickTop="1" thickBot="1" x14ac:dyDescent="0.2">
      <c r="A859" s="24" t="s">
        <v>589</v>
      </c>
      <c r="B859" s="24"/>
      <c r="C859" s="24"/>
      <c r="D859" s="24"/>
      <c r="E859" s="24"/>
      <c r="F859" s="24"/>
      <c r="G859" s="24"/>
      <c r="H859" s="24"/>
    </row>
    <row r="860" spans="1:8" ht="9" thickTop="1" thickBot="1" x14ac:dyDescent="0.2">
      <c r="A860" s="24" t="s">
        <v>517</v>
      </c>
      <c r="B860" s="24"/>
      <c r="C860" s="24"/>
      <c r="D860" s="24"/>
      <c r="E860" s="24"/>
      <c r="F860" s="24"/>
      <c r="G860" s="24"/>
      <c r="H860" s="24"/>
    </row>
    <row r="861" spans="1:8" ht="9" thickTop="1" thickBot="1" x14ac:dyDescent="0.2">
      <c r="A861" s="24" t="s">
        <v>520</v>
      </c>
      <c r="B861" s="24"/>
      <c r="C861" s="24"/>
      <c r="D861" s="24"/>
      <c r="E861" s="24"/>
      <c r="F861" s="24"/>
      <c r="G861" s="24"/>
      <c r="H861" s="24"/>
    </row>
    <row r="862" spans="1:8" ht="9" thickTop="1" thickBot="1" x14ac:dyDescent="0.2">
      <c r="A862" s="24" t="s">
        <v>590</v>
      </c>
      <c r="B862" s="24"/>
      <c r="C862" s="24"/>
      <c r="D862" s="24"/>
      <c r="E862" s="24"/>
      <c r="F862" s="24"/>
      <c r="G862" s="24"/>
      <c r="H862" s="24"/>
    </row>
    <row r="863" spans="1:8" ht="9" thickTop="1" thickBot="1" x14ac:dyDescent="0.2">
      <c r="A863" s="24" t="s">
        <v>533</v>
      </c>
      <c r="B863" s="24"/>
      <c r="C863" s="24"/>
      <c r="D863" s="24"/>
      <c r="E863" s="24"/>
      <c r="F863" s="24"/>
      <c r="G863" s="24"/>
      <c r="H863" s="24"/>
    </row>
    <row r="864" spans="1:8" ht="9" thickTop="1" thickBot="1" x14ac:dyDescent="0.2"/>
    <row r="865" spans="1:8" ht="9" thickTop="1" thickBot="1" x14ac:dyDescent="0.2">
      <c r="A865" s="71" t="s">
        <v>591</v>
      </c>
      <c r="B865" s="71"/>
      <c r="C865" s="71"/>
      <c r="D865" s="71"/>
      <c r="E865" s="71"/>
      <c r="F865" s="71"/>
      <c r="G865" s="71"/>
      <c r="H865" s="71"/>
    </row>
    <row r="866" spans="1:8" ht="9" thickTop="1" thickBot="1" x14ac:dyDescent="0.2">
      <c r="A866" s="24" t="s">
        <v>514</v>
      </c>
      <c r="B866" s="26">
        <f>B848+7</f>
        <v>337</v>
      </c>
      <c r="C866" s="26">
        <f t="shared" ref="C866:H866" si="47">C848+7</f>
        <v>338</v>
      </c>
      <c r="D866" s="26">
        <f t="shared" si="47"/>
        <v>339</v>
      </c>
      <c r="E866" s="26">
        <f t="shared" si="47"/>
        <v>340</v>
      </c>
      <c r="F866" s="26">
        <f t="shared" si="47"/>
        <v>341</v>
      </c>
      <c r="G866" s="26">
        <f t="shared" si="47"/>
        <v>342</v>
      </c>
      <c r="H866" s="26">
        <f t="shared" si="47"/>
        <v>343</v>
      </c>
    </row>
    <row r="867" spans="1:8" ht="9" thickTop="1" thickBot="1" x14ac:dyDescent="0.2">
      <c r="A867" s="24" t="s">
        <v>515</v>
      </c>
      <c r="B867" s="25">
        <v>43437</v>
      </c>
      <c r="C867" s="25">
        <v>43438</v>
      </c>
      <c r="D867" s="25">
        <v>43439</v>
      </c>
      <c r="E867" s="25">
        <v>43440</v>
      </c>
      <c r="F867" s="25">
        <v>43441</v>
      </c>
      <c r="G867" s="25">
        <v>43442</v>
      </c>
      <c r="H867" s="25">
        <v>43443</v>
      </c>
    </row>
    <row r="868" spans="1:8" ht="9" thickTop="1" thickBot="1" x14ac:dyDescent="0.2">
      <c r="A868" s="24" t="s">
        <v>587</v>
      </c>
      <c r="B868" s="24"/>
      <c r="C868" s="24"/>
      <c r="D868" s="24"/>
      <c r="E868" s="24"/>
      <c r="F868" s="24"/>
      <c r="G868" s="24"/>
      <c r="H868" s="24"/>
    </row>
    <row r="869" spans="1:8" ht="9" thickTop="1" thickBot="1" x14ac:dyDescent="0.2">
      <c r="A869" s="24" t="s">
        <v>522</v>
      </c>
      <c r="B869" s="24"/>
      <c r="C869" s="24"/>
      <c r="D869" s="24"/>
      <c r="E869" s="24"/>
      <c r="F869" s="24"/>
      <c r="G869" s="24"/>
      <c r="H869" s="24"/>
    </row>
    <row r="870" spans="1:8" ht="9" thickTop="1" thickBot="1" x14ac:dyDescent="0.2">
      <c r="A870" s="24" t="s">
        <v>525</v>
      </c>
      <c r="B870" s="24"/>
      <c r="C870" s="24"/>
      <c r="D870" s="24"/>
      <c r="E870" s="24"/>
      <c r="F870" s="24"/>
      <c r="G870" s="24"/>
      <c r="H870" s="24"/>
    </row>
    <row r="871" spans="1:8" ht="9" thickTop="1" thickBot="1" x14ac:dyDescent="0.2">
      <c r="A871" s="24" t="s">
        <v>201</v>
      </c>
      <c r="B871" s="24"/>
      <c r="C871" s="24"/>
      <c r="D871" s="24"/>
      <c r="E871" s="24"/>
      <c r="F871" s="24"/>
      <c r="G871" s="24"/>
      <c r="H871" s="24"/>
    </row>
    <row r="872" spans="1:8" ht="9" thickTop="1" thickBot="1" x14ac:dyDescent="0.2">
      <c r="A872" s="24" t="s">
        <v>6</v>
      </c>
      <c r="B872" s="24"/>
      <c r="C872" s="24"/>
      <c r="D872" s="24"/>
      <c r="E872" s="24"/>
      <c r="F872" s="24"/>
      <c r="G872" s="24"/>
      <c r="H872" s="24"/>
    </row>
    <row r="873" spans="1:8" ht="9" thickTop="1" thickBot="1" x14ac:dyDescent="0.2">
      <c r="A873" s="24" t="s">
        <v>526</v>
      </c>
      <c r="B873" s="24"/>
      <c r="C873" s="24"/>
      <c r="D873" s="24"/>
      <c r="E873" s="24"/>
      <c r="F873" s="24"/>
      <c r="G873" s="24"/>
      <c r="H873" s="24"/>
    </row>
    <row r="874" spans="1:8" ht="9" thickTop="1" thickBot="1" x14ac:dyDescent="0.2">
      <c r="A874" s="24" t="s">
        <v>588</v>
      </c>
      <c r="B874" s="24"/>
      <c r="C874" s="24"/>
      <c r="D874" s="24"/>
      <c r="E874" s="24"/>
      <c r="F874" s="24"/>
      <c r="G874" s="24"/>
      <c r="H874" s="24"/>
    </row>
    <row r="875" spans="1:8" ht="9" thickTop="1" thickBot="1" x14ac:dyDescent="0.2">
      <c r="A875" s="24" t="s">
        <v>528</v>
      </c>
      <c r="B875" s="24"/>
      <c r="C875" s="24"/>
      <c r="D875" s="24"/>
      <c r="E875" s="24"/>
      <c r="F875" s="24"/>
      <c r="G875" s="24"/>
      <c r="H875" s="24"/>
    </row>
    <row r="876" spans="1:8" ht="9" thickTop="1" thickBot="1" x14ac:dyDescent="0.2">
      <c r="A876" s="24" t="s">
        <v>531</v>
      </c>
      <c r="B876" s="24"/>
      <c r="C876" s="24"/>
      <c r="D876" s="24"/>
      <c r="E876" s="24"/>
      <c r="F876" s="24"/>
      <c r="G876" s="24"/>
      <c r="H876" s="24"/>
    </row>
    <row r="877" spans="1:8" ht="9" thickTop="1" thickBot="1" x14ac:dyDescent="0.2">
      <c r="A877" s="24" t="s">
        <v>589</v>
      </c>
      <c r="B877" s="24"/>
      <c r="C877" s="24"/>
      <c r="D877" s="24"/>
      <c r="E877" s="24"/>
      <c r="F877" s="24"/>
      <c r="G877" s="24"/>
      <c r="H877" s="24"/>
    </row>
    <row r="878" spans="1:8" ht="9" thickTop="1" thickBot="1" x14ac:dyDescent="0.2">
      <c r="A878" s="24" t="s">
        <v>517</v>
      </c>
      <c r="B878" s="24"/>
      <c r="C878" s="24"/>
      <c r="D878" s="24"/>
      <c r="E878" s="24"/>
      <c r="F878" s="24"/>
      <c r="G878" s="24"/>
      <c r="H878" s="24"/>
    </row>
    <row r="879" spans="1:8" ht="9" thickTop="1" thickBot="1" x14ac:dyDescent="0.2">
      <c r="A879" s="24" t="s">
        <v>520</v>
      </c>
      <c r="B879" s="24"/>
      <c r="C879" s="24"/>
      <c r="D879" s="24"/>
      <c r="E879" s="24"/>
      <c r="F879" s="24"/>
      <c r="G879" s="24"/>
      <c r="H879" s="24"/>
    </row>
    <row r="880" spans="1:8" ht="9" thickTop="1" thickBot="1" x14ac:dyDescent="0.2">
      <c r="A880" s="24" t="s">
        <v>590</v>
      </c>
      <c r="B880" s="24"/>
      <c r="C880" s="24"/>
      <c r="D880" s="24"/>
      <c r="E880" s="24"/>
      <c r="F880" s="24"/>
      <c r="G880" s="24"/>
      <c r="H880" s="24"/>
    </row>
    <row r="881" spans="1:8" ht="9" thickTop="1" thickBot="1" x14ac:dyDescent="0.2">
      <c r="A881" s="24" t="s">
        <v>533</v>
      </c>
      <c r="B881" s="24"/>
      <c r="C881" s="24"/>
      <c r="D881" s="24"/>
      <c r="E881" s="24"/>
      <c r="F881" s="24"/>
      <c r="G881" s="24"/>
      <c r="H881" s="24"/>
    </row>
    <row r="882" spans="1:8" ht="9" thickTop="1" thickBot="1" x14ac:dyDescent="0.2"/>
    <row r="883" spans="1:8" ht="9" thickTop="1" thickBot="1" x14ac:dyDescent="0.2">
      <c r="A883" s="71" t="s">
        <v>591</v>
      </c>
      <c r="B883" s="71"/>
      <c r="C883" s="71"/>
      <c r="D883" s="71"/>
      <c r="E883" s="71"/>
      <c r="F883" s="71"/>
      <c r="G883" s="71"/>
      <c r="H883" s="71"/>
    </row>
    <row r="884" spans="1:8" ht="9" thickTop="1" thickBot="1" x14ac:dyDescent="0.2">
      <c r="A884" s="24" t="s">
        <v>514</v>
      </c>
      <c r="B884" s="26">
        <f>B866+7</f>
        <v>344</v>
      </c>
      <c r="C884" s="26">
        <f t="shared" ref="C884:H884" si="48">C866+7</f>
        <v>345</v>
      </c>
      <c r="D884" s="26">
        <f t="shared" si="48"/>
        <v>346</v>
      </c>
      <c r="E884" s="26">
        <f t="shared" si="48"/>
        <v>347</v>
      </c>
      <c r="F884" s="26">
        <f t="shared" si="48"/>
        <v>348</v>
      </c>
      <c r="G884" s="26">
        <f t="shared" si="48"/>
        <v>349</v>
      </c>
      <c r="H884" s="26">
        <f t="shared" si="48"/>
        <v>350</v>
      </c>
    </row>
    <row r="885" spans="1:8" ht="9" thickTop="1" thickBot="1" x14ac:dyDescent="0.2">
      <c r="A885" s="24" t="s">
        <v>515</v>
      </c>
      <c r="B885" s="25">
        <v>43444</v>
      </c>
      <c r="C885" s="25">
        <v>43445</v>
      </c>
      <c r="D885" s="25">
        <v>43446</v>
      </c>
      <c r="E885" s="25">
        <v>43447</v>
      </c>
      <c r="F885" s="25">
        <v>43448</v>
      </c>
      <c r="G885" s="25">
        <v>43449</v>
      </c>
      <c r="H885" s="25">
        <v>43450</v>
      </c>
    </row>
    <row r="886" spans="1:8" ht="9" thickTop="1" thickBot="1" x14ac:dyDescent="0.2">
      <c r="A886" s="24" t="s">
        <v>587</v>
      </c>
      <c r="B886" s="24"/>
      <c r="C886" s="24"/>
      <c r="D886" s="24"/>
      <c r="E886" s="24"/>
      <c r="F886" s="24"/>
      <c r="G886" s="24"/>
      <c r="H886" s="24"/>
    </row>
    <row r="887" spans="1:8" ht="9" thickTop="1" thickBot="1" x14ac:dyDescent="0.2">
      <c r="A887" s="24" t="s">
        <v>522</v>
      </c>
      <c r="B887" s="24"/>
      <c r="C887" s="24"/>
      <c r="D887" s="24"/>
      <c r="E887" s="24"/>
      <c r="F887" s="24"/>
      <c r="G887" s="24"/>
      <c r="H887" s="24"/>
    </row>
    <row r="888" spans="1:8" ht="9" thickTop="1" thickBot="1" x14ac:dyDescent="0.2">
      <c r="A888" s="24" t="s">
        <v>525</v>
      </c>
      <c r="B888" s="24"/>
      <c r="C888" s="24"/>
      <c r="D888" s="24"/>
      <c r="E888" s="24"/>
      <c r="F888" s="24"/>
      <c r="G888" s="24"/>
      <c r="H888" s="24"/>
    </row>
    <row r="889" spans="1:8" ht="9" thickTop="1" thickBot="1" x14ac:dyDescent="0.2">
      <c r="A889" s="24" t="s">
        <v>201</v>
      </c>
      <c r="B889" s="24"/>
      <c r="C889" s="24"/>
      <c r="D889" s="24"/>
      <c r="E889" s="24"/>
      <c r="F889" s="24"/>
      <c r="G889" s="24"/>
      <c r="H889" s="24"/>
    </row>
    <row r="890" spans="1:8" ht="9" thickTop="1" thickBot="1" x14ac:dyDescent="0.2">
      <c r="A890" s="24" t="s">
        <v>6</v>
      </c>
      <c r="B890" s="24"/>
      <c r="C890" s="24"/>
      <c r="D890" s="24"/>
      <c r="E890" s="24"/>
      <c r="F890" s="24"/>
      <c r="G890" s="24"/>
      <c r="H890" s="24"/>
    </row>
    <row r="891" spans="1:8" ht="9" thickTop="1" thickBot="1" x14ac:dyDescent="0.2">
      <c r="A891" s="24" t="s">
        <v>526</v>
      </c>
      <c r="B891" s="24"/>
      <c r="C891" s="24"/>
      <c r="D891" s="24"/>
      <c r="E891" s="24"/>
      <c r="F891" s="24"/>
      <c r="G891" s="24"/>
      <c r="H891" s="24"/>
    </row>
    <row r="892" spans="1:8" ht="9" thickTop="1" thickBot="1" x14ac:dyDescent="0.2">
      <c r="A892" s="24" t="s">
        <v>588</v>
      </c>
      <c r="B892" s="24"/>
      <c r="C892" s="24"/>
      <c r="D892" s="24"/>
      <c r="E892" s="24"/>
      <c r="F892" s="24"/>
      <c r="G892" s="24"/>
      <c r="H892" s="24"/>
    </row>
    <row r="893" spans="1:8" ht="9" thickTop="1" thickBot="1" x14ac:dyDescent="0.2">
      <c r="A893" s="24" t="s">
        <v>528</v>
      </c>
      <c r="B893" s="24"/>
      <c r="C893" s="24"/>
      <c r="D893" s="24"/>
      <c r="E893" s="24"/>
      <c r="F893" s="24"/>
      <c r="G893" s="24"/>
      <c r="H893" s="24"/>
    </row>
    <row r="894" spans="1:8" ht="9" thickTop="1" thickBot="1" x14ac:dyDescent="0.2">
      <c r="A894" s="24" t="s">
        <v>531</v>
      </c>
      <c r="B894" s="24"/>
      <c r="C894" s="24"/>
      <c r="D894" s="24"/>
      <c r="E894" s="24"/>
      <c r="F894" s="24"/>
      <c r="G894" s="24"/>
      <c r="H894" s="24"/>
    </row>
    <row r="895" spans="1:8" ht="9" thickTop="1" thickBot="1" x14ac:dyDescent="0.2">
      <c r="A895" s="24" t="s">
        <v>589</v>
      </c>
      <c r="B895" s="24"/>
      <c r="C895" s="24"/>
      <c r="D895" s="24"/>
      <c r="E895" s="24"/>
      <c r="F895" s="24"/>
      <c r="G895" s="24"/>
      <c r="H895" s="24"/>
    </row>
    <row r="896" spans="1:8" ht="9" thickTop="1" thickBot="1" x14ac:dyDescent="0.2">
      <c r="A896" s="24" t="s">
        <v>517</v>
      </c>
      <c r="B896" s="24"/>
      <c r="C896" s="24"/>
      <c r="D896" s="24"/>
      <c r="E896" s="24"/>
      <c r="F896" s="24"/>
      <c r="G896" s="24"/>
      <c r="H896" s="24"/>
    </row>
    <row r="897" spans="1:8" ht="9" thickTop="1" thickBot="1" x14ac:dyDescent="0.2">
      <c r="A897" s="24" t="s">
        <v>520</v>
      </c>
      <c r="B897" s="24"/>
      <c r="C897" s="24"/>
      <c r="D897" s="24"/>
      <c r="E897" s="24"/>
      <c r="F897" s="24"/>
      <c r="G897" s="24"/>
      <c r="H897" s="24"/>
    </row>
    <row r="898" spans="1:8" ht="9" thickTop="1" thickBot="1" x14ac:dyDescent="0.2">
      <c r="A898" s="24" t="s">
        <v>590</v>
      </c>
      <c r="B898" s="24"/>
      <c r="C898" s="24"/>
      <c r="D898" s="24"/>
      <c r="E898" s="24"/>
      <c r="F898" s="24"/>
      <c r="G898" s="24"/>
      <c r="H898" s="24"/>
    </row>
    <row r="899" spans="1:8" ht="9" thickTop="1" thickBot="1" x14ac:dyDescent="0.2">
      <c r="A899" s="24" t="s">
        <v>533</v>
      </c>
      <c r="B899" s="24"/>
      <c r="C899" s="24"/>
      <c r="D899" s="24"/>
      <c r="E899" s="24"/>
      <c r="F899" s="24"/>
      <c r="G899" s="24"/>
      <c r="H899" s="24"/>
    </row>
    <row r="900" spans="1:8" ht="9" thickTop="1" thickBot="1" x14ac:dyDescent="0.2"/>
    <row r="901" spans="1:8" ht="9" thickTop="1" thickBot="1" x14ac:dyDescent="0.2">
      <c r="A901" s="71" t="s">
        <v>591</v>
      </c>
      <c r="B901" s="71"/>
      <c r="C901" s="71"/>
      <c r="D901" s="71"/>
      <c r="E901" s="71"/>
      <c r="F901" s="71"/>
      <c r="G901" s="71"/>
      <c r="H901" s="71"/>
    </row>
    <row r="902" spans="1:8" ht="9" thickTop="1" thickBot="1" x14ac:dyDescent="0.2">
      <c r="A902" s="24" t="s">
        <v>514</v>
      </c>
      <c r="B902" s="26">
        <f>B884+7</f>
        <v>351</v>
      </c>
      <c r="C902" s="26">
        <f t="shared" ref="C902:H902" si="49">C884+7</f>
        <v>352</v>
      </c>
      <c r="D902" s="26">
        <f t="shared" si="49"/>
        <v>353</v>
      </c>
      <c r="E902" s="26">
        <f t="shared" si="49"/>
        <v>354</v>
      </c>
      <c r="F902" s="26">
        <f t="shared" si="49"/>
        <v>355</v>
      </c>
      <c r="G902" s="26">
        <f t="shared" si="49"/>
        <v>356</v>
      </c>
      <c r="H902" s="26">
        <f t="shared" si="49"/>
        <v>357</v>
      </c>
    </row>
    <row r="903" spans="1:8" ht="9" thickTop="1" thickBot="1" x14ac:dyDescent="0.2">
      <c r="A903" s="24" t="s">
        <v>515</v>
      </c>
      <c r="B903" s="25">
        <v>43451</v>
      </c>
      <c r="C903" s="25">
        <v>43452</v>
      </c>
      <c r="D903" s="25">
        <v>43453</v>
      </c>
      <c r="E903" s="25">
        <v>43454</v>
      </c>
      <c r="F903" s="25">
        <v>43455</v>
      </c>
      <c r="G903" s="25">
        <v>43456</v>
      </c>
      <c r="H903" s="25">
        <v>43457</v>
      </c>
    </row>
    <row r="904" spans="1:8" ht="9" thickTop="1" thickBot="1" x14ac:dyDescent="0.2">
      <c r="A904" s="24" t="s">
        <v>587</v>
      </c>
      <c r="B904" s="24"/>
      <c r="C904" s="24"/>
      <c r="D904" s="24"/>
      <c r="E904" s="24"/>
      <c r="F904" s="24"/>
      <c r="G904" s="24"/>
      <c r="H904" s="24"/>
    </row>
    <row r="905" spans="1:8" ht="9" thickTop="1" thickBot="1" x14ac:dyDescent="0.2">
      <c r="A905" s="24" t="s">
        <v>522</v>
      </c>
      <c r="B905" s="24"/>
      <c r="C905" s="24"/>
      <c r="D905" s="24"/>
      <c r="E905" s="24"/>
      <c r="F905" s="24"/>
      <c r="G905" s="24"/>
      <c r="H905" s="24"/>
    </row>
    <row r="906" spans="1:8" ht="9" thickTop="1" thickBot="1" x14ac:dyDescent="0.2">
      <c r="A906" s="24" t="s">
        <v>525</v>
      </c>
      <c r="B906" s="24"/>
      <c r="C906" s="24"/>
      <c r="D906" s="24"/>
      <c r="E906" s="24"/>
      <c r="F906" s="24"/>
      <c r="G906" s="24"/>
      <c r="H906" s="24"/>
    </row>
    <row r="907" spans="1:8" ht="9" thickTop="1" thickBot="1" x14ac:dyDescent="0.2">
      <c r="A907" s="24" t="s">
        <v>201</v>
      </c>
      <c r="B907" s="24"/>
      <c r="C907" s="24"/>
      <c r="D907" s="24"/>
      <c r="E907" s="24"/>
      <c r="F907" s="24"/>
      <c r="G907" s="24"/>
      <c r="H907" s="24"/>
    </row>
    <row r="908" spans="1:8" ht="9" thickTop="1" thickBot="1" x14ac:dyDescent="0.2">
      <c r="A908" s="24" t="s">
        <v>6</v>
      </c>
      <c r="B908" s="24"/>
      <c r="C908" s="24"/>
      <c r="D908" s="24"/>
      <c r="E908" s="24"/>
      <c r="F908" s="24"/>
      <c r="G908" s="24"/>
      <c r="H908" s="24"/>
    </row>
    <row r="909" spans="1:8" ht="9" thickTop="1" thickBot="1" x14ac:dyDescent="0.2">
      <c r="A909" s="24" t="s">
        <v>526</v>
      </c>
      <c r="B909" s="24"/>
      <c r="C909" s="24"/>
      <c r="D909" s="24"/>
      <c r="E909" s="24"/>
      <c r="F909" s="24"/>
      <c r="G909" s="24"/>
      <c r="H909" s="24"/>
    </row>
    <row r="910" spans="1:8" ht="9" thickTop="1" thickBot="1" x14ac:dyDescent="0.2">
      <c r="A910" s="24" t="s">
        <v>588</v>
      </c>
      <c r="B910" s="24"/>
      <c r="C910" s="24"/>
      <c r="D910" s="24"/>
      <c r="E910" s="24"/>
      <c r="F910" s="24"/>
      <c r="G910" s="24"/>
      <c r="H910" s="24"/>
    </row>
    <row r="911" spans="1:8" ht="9" thickTop="1" thickBot="1" x14ac:dyDescent="0.2">
      <c r="A911" s="24" t="s">
        <v>528</v>
      </c>
      <c r="B911" s="24"/>
      <c r="C911" s="24"/>
      <c r="D911" s="24"/>
      <c r="E911" s="24"/>
      <c r="F911" s="24"/>
      <c r="G911" s="24"/>
      <c r="H911" s="24"/>
    </row>
    <row r="912" spans="1:8" ht="9" thickTop="1" thickBot="1" x14ac:dyDescent="0.2">
      <c r="A912" s="24" t="s">
        <v>531</v>
      </c>
      <c r="B912" s="24"/>
      <c r="C912" s="24"/>
      <c r="D912" s="24"/>
      <c r="E912" s="24"/>
      <c r="F912" s="24"/>
      <c r="G912" s="24"/>
      <c r="H912" s="24"/>
    </row>
    <row r="913" spans="1:8" ht="9" thickTop="1" thickBot="1" x14ac:dyDescent="0.2">
      <c r="A913" s="24" t="s">
        <v>589</v>
      </c>
      <c r="B913" s="24"/>
      <c r="C913" s="24"/>
      <c r="D913" s="24"/>
      <c r="E913" s="24"/>
      <c r="F913" s="24"/>
      <c r="G913" s="24"/>
      <c r="H913" s="24"/>
    </row>
    <row r="914" spans="1:8" ht="9" thickTop="1" thickBot="1" x14ac:dyDescent="0.2">
      <c r="A914" s="24" t="s">
        <v>517</v>
      </c>
      <c r="B914" s="24"/>
      <c r="C914" s="24"/>
      <c r="D914" s="24"/>
      <c r="E914" s="24"/>
      <c r="F914" s="24"/>
      <c r="G914" s="24"/>
      <c r="H914" s="24"/>
    </row>
    <row r="915" spans="1:8" ht="9" thickTop="1" thickBot="1" x14ac:dyDescent="0.2">
      <c r="A915" s="24" t="s">
        <v>520</v>
      </c>
      <c r="B915" s="24"/>
      <c r="C915" s="24"/>
      <c r="D915" s="24"/>
      <c r="E915" s="24"/>
      <c r="F915" s="24"/>
      <c r="G915" s="24"/>
      <c r="H915" s="24"/>
    </row>
    <row r="916" spans="1:8" ht="9" thickTop="1" thickBot="1" x14ac:dyDescent="0.2">
      <c r="A916" s="24" t="s">
        <v>590</v>
      </c>
      <c r="B916" s="24"/>
      <c r="C916" s="24"/>
      <c r="D916" s="24"/>
      <c r="E916" s="24"/>
      <c r="F916" s="24"/>
      <c r="G916" s="24"/>
      <c r="H916" s="24"/>
    </row>
    <row r="917" spans="1:8" ht="9" thickTop="1" thickBot="1" x14ac:dyDescent="0.2">
      <c r="A917" s="24" t="s">
        <v>533</v>
      </c>
      <c r="B917" s="24"/>
      <c r="C917" s="24"/>
      <c r="D917" s="24"/>
      <c r="E917" s="24"/>
      <c r="F917" s="24"/>
      <c r="G917" s="24"/>
      <c r="H917" s="24"/>
    </row>
    <row r="918" spans="1:8" ht="9" thickTop="1" thickBot="1" x14ac:dyDescent="0.2"/>
    <row r="919" spans="1:8" ht="9" thickTop="1" thickBot="1" x14ac:dyDescent="0.2">
      <c r="A919" s="71" t="s">
        <v>591</v>
      </c>
      <c r="B919" s="71"/>
      <c r="C919" s="71"/>
      <c r="D919" s="71"/>
      <c r="E919" s="71"/>
      <c r="F919" s="71"/>
      <c r="G919" s="71"/>
      <c r="H919" s="71"/>
    </row>
    <row r="920" spans="1:8" ht="9" thickTop="1" thickBot="1" x14ac:dyDescent="0.2">
      <c r="A920" s="24" t="s">
        <v>514</v>
      </c>
      <c r="B920" s="26">
        <f>B902+7</f>
        <v>358</v>
      </c>
      <c r="C920" s="26">
        <f t="shared" ref="C920:H920" si="50">C902+7</f>
        <v>359</v>
      </c>
      <c r="D920" s="26">
        <f t="shared" si="50"/>
        <v>360</v>
      </c>
      <c r="E920" s="26">
        <f t="shared" si="50"/>
        <v>361</v>
      </c>
      <c r="F920" s="26">
        <f t="shared" si="50"/>
        <v>362</v>
      </c>
      <c r="G920" s="26">
        <f t="shared" si="50"/>
        <v>363</v>
      </c>
      <c r="H920" s="26">
        <f t="shared" si="50"/>
        <v>364</v>
      </c>
    </row>
    <row r="921" spans="1:8" ht="9" thickTop="1" thickBot="1" x14ac:dyDescent="0.2">
      <c r="A921" s="24" t="s">
        <v>515</v>
      </c>
      <c r="B921" s="25">
        <v>43458</v>
      </c>
      <c r="C921" s="25">
        <v>43459</v>
      </c>
      <c r="D921" s="25">
        <v>43460</v>
      </c>
      <c r="E921" s="25">
        <v>43461</v>
      </c>
      <c r="F921" s="25">
        <v>43462</v>
      </c>
      <c r="G921" s="25">
        <v>43463</v>
      </c>
      <c r="H921" s="25">
        <v>43464</v>
      </c>
    </row>
    <row r="922" spans="1:8" ht="9" thickTop="1" thickBot="1" x14ac:dyDescent="0.2">
      <c r="A922" s="24" t="s">
        <v>587</v>
      </c>
      <c r="B922" s="24"/>
      <c r="C922" s="24"/>
      <c r="D922" s="24"/>
      <c r="E922" s="24"/>
      <c r="F922" s="24"/>
      <c r="G922" s="24"/>
      <c r="H922" s="24"/>
    </row>
    <row r="923" spans="1:8" ht="9" thickTop="1" thickBot="1" x14ac:dyDescent="0.2">
      <c r="A923" s="24" t="s">
        <v>522</v>
      </c>
      <c r="B923" s="24"/>
      <c r="C923" s="24"/>
      <c r="D923" s="24"/>
      <c r="E923" s="24"/>
      <c r="F923" s="24"/>
      <c r="G923" s="24"/>
      <c r="H923" s="24"/>
    </row>
    <row r="924" spans="1:8" ht="9" thickTop="1" thickBot="1" x14ac:dyDescent="0.2">
      <c r="A924" s="24" t="s">
        <v>525</v>
      </c>
      <c r="B924" s="24"/>
      <c r="C924" s="24"/>
      <c r="D924" s="24"/>
      <c r="E924" s="24"/>
      <c r="F924" s="24"/>
      <c r="G924" s="24"/>
      <c r="H924" s="24"/>
    </row>
    <row r="925" spans="1:8" ht="9" thickTop="1" thickBot="1" x14ac:dyDescent="0.2">
      <c r="A925" s="24" t="s">
        <v>201</v>
      </c>
      <c r="B925" s="24"/>
      <c r="C925" s="24"/>
      <c r="D925" s="24"/>
      <c r="E925" s="24"/>
      <c r="F925" s="24"/>
      <c r="G925" s="24"/>
      <c r="H925" s="24"/>
    </row>
    <row r="926" spans="1:8" ht="9" thickTop="1" thickBot="1" x14ac:dyDescent="0.2">
      <c r="A926" s="24" t="s">
        <v>6</v>
      </c>
      <c r="B926" s="24"/>
      <c r="C926" s="24"/>
      <c r="D926" s="24"/>
      <c r="E926" s="24"/>
      <c r="F926" s="24"/>
      <c r="G926" s="24"/>
      <c r="H926" s="24"/>
    </row>
    <row r="927" spans="1:8" ht="9" thickTop="1" thickBot="1" x14ac:dyDescent="0.2">
      <c r="A927" s="24" t="s">
        <v>526</v>
      </c>
      <c r="B927" s="24"/>
      <c r="C927" s="24"/>
      <c r="D927" s="24"/>
      <c r="E927" s="24"/>
      <c r="F927" s="24"/>
      <c r="G927" s="24"/>
      <c r="H927" s="24"/>
    </row>
    <row r="928" spans="1:8" ht="9" thickTop="1" thickBot="1" x14ac:dyDescent="0.2">
      <c r="A928" s="24" t="s">
        <v>588</v>
      </c>
      <c r="B928" s="24"/>
      <c r="C928" s="24"/>
      <c r="D928" s="24"/>
      <c r="E928" s="24"/>
      <c r="F928" s="24"/>
      <c r="G928" s="24"/>
      <c r="H928" s="24"/>
    </row>
    <row r="929" spans="1:8" ht="9" thickTop="1" thickBot="1" x14ac:dyDescent="0.2">
      <c r="A929" s="24" t="s">
        <v>528</v>
      </c>
      <c r="B929" s="24"/>
      <c r="C929" s="24"/>
      <c r="D929" s="24"/>
      <c r="E929" s="24"/>
      <c r="F929" s="24"/>
      <c r="G929" s="24"/>
      <c r="H929" s="24"/>
    </row>
    <row r="930" spans="1:8" ht="9" thickTop="1" thickBot="1" x14ac:dyDescent="0.2">
      <c r="A930" s="24" t="s">
        <v>531</v>
      </c>
      <c r="B930" s="24"/>
      <c r="C930" s="24"/>
      <c r="D930" s="24"/>
      <c r="E930" s="24"/>
      <c r="F930" s="24"/>
      <c r="G930" s="24"/>
      <c r="H930" s="24"/>
    </row>
    <row r="931" spans="1:8" ht="9" thickTop="1" thickBot="1" x14ac:dyDescent="0.2">
      <c r="A931" s="24" t="s">
        <v>589</v>
      </c>
      <c r="B931" s="24"/>
      <c r="C931" s="24"/>
      <c r="D931" s="24"/>
      <c r="E931" s="24"/>
      <c r="F931" s="24"/>
      <c r="G931" s="24"/>
      <c r="H931" s="24"/>
    </row>
    <row r="932" spans="1:8" ht="9" thickTop="1" thickBot="1" x14ac:dyDescent="0.2">
      <c r="A932" s="24" t="s">
        <v>517</v>
      </c>
      <c r="B932" s="24"/>
      <c r="C932" s="24"/>
      <c r="D932" s="24"/>
      <c r="E932" s="24"/>
      <c r="F932" s="24"/>
      <c r="G932" s="24"/>
      <c r="H932" s="24"/>
    </row>
    <row r="933" spans="1:8" ht="9" thickTop="1" thickBot="1" x14ac:dyDescent="0.2">
      <c r="A933" s="24" t="s">
        <v>520</v>
      </c>
      <c r="B933" s="24"/>
      <c r="C933" s="24"/>
      <c r="D933" s="24"/>
      <c r="E933" s="24"/>
      <c r="F933" s="24"/>
      <c r="G933" s="24"/>
      <c r="H933" s="24"/>
    </row>
    <row r="934" spans="1:8" ht="9" thickTop="1" thickBot="1" x14ac:dyDescent="0.2">
      <c r="A934" s="24" t="s">
        <v>590</v>
      </c>
      <c r="B934" s="24"/>
      <c r="C934" s="24"/>
      <c r="D934" s="24"/>
      <c r="E934" s="24"/>
      <c r="F934" s="24"/>
      <c r="G934" s="24"/>
      <c r="H934" s="24"/>
    </row>
    <row r="935" spans="1:8" ht="9" thickTop="1" thickBot="1" x14ac:dyDescent="0.2">
      <c r="A935" s="24" t="s">
        <v>533</v>
      </c>
      <c r="B935" s="24"/>
      <c r="C935" s="24"/>
      <c r="D935" s="24"/>
      <c r="E935" s="24"/>
      <c r="F935" s="24"/>
      <c r="G935" s="24"/>
      <c r="H935" s="24"/>
    </row>
    <row r="936" spans="1:8" ht="9" thickTop="1" thickBot="1" x14ac:dyDescent="0.2"/>
    <row r="937" spans="1:8" ht="9" customHeight="1" thickTop="1" thickBot="1" x14ac:dyDescent="0.2">
      <c r="A937" s="72" t="s">
        <v>591</v>
      </c>
      <c r="B937" s="73"/>
      <c r="C937" s="74"/>
      <c r="D937" s="30"/>
      <c r="E937" s="30"/>
      <c r="F937" s="30"/>
      <c r="G937" s="30"/>
      <c r="H937" s="30"/>
    </row>
    <row r="938" spans="1:8" ht="9" thickTop="1" thickBot="1" x14ac:dyDescent="0.2">
      <c r="A938" s="24" t="s">
        <v>514</v>
      </c>
      <c r="B938" s="26">
        <f>B920+7</f>
        <v>365</v>
      </c>
      <c r="C938" s="26">
        <f t="shared" ref="C938" si="51">C920+7</f>
        <v>366</v>
      </c>
      <c r="D938" s="27"/>
      <c r="E938" s="27"/>
      <c r="F938" s="27"/>
      <c r="G938" s="27"/>
      <c r="H938" s="27"/>
    </row>
    <row r="939" spans="1:8" ht="9" thickTop="1" thickBot="1" x14ac:dyDescent="0.2">
      <c r="A939" s="24" t="s">
        <v>515</v>
      </c>
      <c r="B939" s="25">
        <v>43465</v>
      </c>
      <c r="C939" s="25"/>
      <c r="D939" s="28"/>
      <c r="E939" s="28"/>
      <c r="F939" s="28"/>
      <c r="G939" s="28"/>
      <c r="H939" s="28"/>
    </row>
    <row r="940" spans="1:8" ht="9" thickTop="1" thickBot="1" x14ac:dyDescent="0.2">
      <c r="A940" s="24" t="s">
        <v>587</v>
      </c>
      <c r="B940" s="24"/>
      <c r="C940" s="24"/>
      <c r="D940" s="29"/>
      <c r="E940" s="29"/>
      <c r="F940" s="29"/>
      <c r="G940" s="29"/>
      <c r="H940" s="29"/>
    </row>
    <row r="941" spans="1:8" ht="9" thickTop="1" thickBot="1" x14ac:dyDescent="0.2">
      <c r="A941" s="24" t="s">
        <v>522</v>
      </c>
      <c r="B941" s="24"/>
      <c r="C941" s="24"/>
      <c r="D941" s="29"/>
      <c r="E941" s="29"/>
      <c r="F941" s="29"/>
      <c r="G941" s="29"/>
      <c r="H941" s="29"/>
    </row>
    <row r="942" spans="1:8" ht="9" thickTop="1" thickBot="1" x14ac:dyDescent="0.2">
      <c r="A942" s="24" t="s">
        <v>525</v>
      </c>
      <c r="B942" s="24"/>
      <c r="C942" s="24"/>
      <c r="D942" s="29"/>
      <c r="E942" s="29"/>
      <c r="F942" s="29"/>
      <c r="G942" s="29"/>
      <c r="H942" s="29"/>
    </row>
    <row r="943" spans="1:8" ht="9" thickTop="1" thickBot="1" x14ac:dyDescent="0.2">
      <c r="A943" s="24" t="s">
        <v>201</v>
      </c>
      <c r="B943" s="24"/>
      <c r="C943" s="24"/>
      <c r="D943" s="29"/>
      <c r="E943" s="29"/>
      <c r="F943" s="29"/>
      <c r="G943" s="29"/>
      <c r="H943" s="29"/>
    </row>
    <row r="944" spans="1:8" ht="9" thickTop="1" thickBot="1" x14ac:dyDescent="0.2">
      <c r="A944" s="24" t="s">
        <v>6</v>
      </c>
      <c r="B944" s="24"/>
      <c r="C944" s="24"/>
      <c r="D944" s="29"/>
      <c r="E944" s="29"/>
      <c r="F944" s="29"/>
      <c r="G944" s="29"/>
      <c r="H944" s="29"/>
    </row>
    <row r="945" spans="1:8" ht="9" thickTop="1" thickBot="1" x14ac:dyDescent="0.2">
      <c r="A945" s="24" t="s">
        <v>526</v>
      </c>
      <c r="B945" s="24"/>
      <c r="C945" s="24"/>
      <c r="D945" s="29"/>
      <c r="E945" s="29"/>
      <c r="F945" s="29"/>
      <c r="G945" s="29"/>
      <c r="H945" s="29"/>
    </row>
    <row r="946" spans="1:8" ht="9" thickTop="1" thickBot="1" x14ac:dyDescent="0.2">
      <c r="A946" s="24" t="s">
        <v>588</v>
      </c>
      <c r="B946" s="24"/>
      <c r="C946" s="24"/>
      <c r="D946" s="29"/>
      <c r="E946" s="29"/>
      <c r="F946" s="29"/>
      <c r="G946" s="29"/>
      <c r="H946" s="29"/>
    </row>
    <row r="947" spans="1:8" ht="9" thickTop="1" thickBot="1" x14ac:dyDescent="0.2">
      <c r="A947" s="24" t="s">
        <v>528</v>
      </c>
      <c r="B947" s="24"/>
      <c r="C947" s="24"/>
      <c r="D947" s="29"/>
      <c r="E947" s="29"/>
      <c r="F947" s="29"/>
      <c r="G947" s="29"/>
      <c r="H947" s="29"/>
    </row>
    <row r="948" spans="1:8" ht="9" thickTop="1" thickBot="1" x14ac:dyDescent="0.2">
      <c r="A948" s="24" t="s">
        <v>531</v>
      </c>
      <c r="B948" s="24"/>
      <c r="C948" s="24"/>
      <c r="D948" s="29"/>
      <c r="E948" s="29"/>
      <c r="F948" s="29"/>
      <c r="G948" s="29"/>
      <c r="H948" s="29"/>
    </row>
    <row r="949" spans="1:8" ht="9" thickTop="1" thickBot="1" x14ac:dyDescent="0.2">
      <c r="A949" s="24" t="s">
        <v>589</v>
      </c>
      <c r="B949" s="24"/>
      <c r="C949" s="24"/>
      <c r="D949" s="29"/>
      <c r="E949" s="29"/>
      <c r="F949" s="29"/>
      <c r="G949" s="29"/>
      <c r="H949" s="29"/>
    </row>
    <row r="950" spans="1:8" ht="9" thickTop="1" thickBot="1" x14ac:dyDescent="0.2">
      <c r="A950" s="24" t="s">
        <v>517</v>
      </c>
      <c r="B950" s="24"/>
      <c r="C950" s="24"/>
      <c r="D950" s="29"/>
      <c r="E950" s="29"/>
      <c r="F950" s="29"/>
      <c r="G950" s="29"/>
      <c r="H950" s="29"/>
    </row>
    <row r="951" spans="1:8" ht="9" thickTop="1" thickBot="1" x14ac:dyDescent="0.2">
      <c r="A951" s="24" t="s">
        <v>520</v>
      </c>
      <c r="B951" s="24"/>
      <c r="C951" s="24"/>
      <c r="D951" s="29"/>
      <c r="E951" s="29"/>
      <c r="F951" s="29"/>
      <c r="G951" s="29"/>
      <c r="H951" s="29"/>
    </row>
    <row r="952" spans="1:8" ht="9" thickTop="1" thickBot="1" x14ac:dyDescent="0.2">
      <c r="A952" s="24" t="s">
        <v>590</v>
      </c>
      <c r="B952" s="24"/>
      <c r="C952" s="24"/>
      <c r="D952" s="29"/>
      <c r="E952" s="29"/>
      <c r="F952" s="29"/>
      <c r="G952" s="29"/>
      <c r="H952" s="29"/>
    </row>
    <row r="953" spans="1:8" ht="9" thickTop="1" thickBot="1" x14ac:dyDescent="0.2">
      <c r="A953" s="24" t="s">
        <v>533</v>
      </c>
      <c r="B953" s="24"/>
      <c r="C953" s="24"/>
      <c r="D953" s="29"/>
      <c r="E953" s="29"/>
      <c r="F953" s="29"/>
      <c r="G953" s="29"/>
      <c r="H953" s="29"/>
    </row>
    <row r="954" spans="1:8" ht="8.4" thickTop="1" x14ac:dyDescent="0.15"/>
  </sheetData>
  <mergeCells count="53">
    <mergeCell ref="A1:H1"/>
    <mergeCell ref="A127:H127"/>
    <mergeCell ref="A19:H19"/>
    <mergeCell ref="A37:H37"/>
    <mergeCell ref="A55:H55"/>
    <mergeCell ref="A73:H73"/>
    <mergeCell ref="A91:H91"/>
    <mergeCell ref="A109:H109"/>
    <mergeCell ref="A631:H631"/>
    <mergeCell ref="A595:H595"/>
    <mergeCell ref="A613:H613"/>
    <mergeCell ref="A379:H379"/>
    <mergeCell ref="A415:H415"/>
    <mergeCell ref="A433:H433"/>
    <mergeCell ref="A451:H451"/>
    <mergeCell ref="A469:H469"/>
    <mergeCell ref="A523:H523"/>
    <mergeCell ref="A541:H541"/>
    <mergeCell ref="A559:H559"/>
    <mergeCell ref="A577:H577"/>
    <mergeCell ref="A505:H505"/>
    <mergeCell ref="A145:H145"/>
    <mergeCell ref="A163:H163"/>
    <mergeCell ref="A181:H181"/>
    <mergeCell ref="A199:H199"/>
    <mergeCell ref="A307:H307"/>
    <mergeCell ref="A253:H253"/>
    <mergeCell ref="A217:H217"/>
    <mergeCell ref="A235:H235"/>
    <mergeCell ref="A271:H271"/>
    <mergeCell ref="A289:H289"/>
    <mergeCell ref="A325:H325"/>
    <mergeCell ref="A343:H343"/>
    <mergeCell ref="A361:H361"/>
    <mergeCell ref="A397:H397"/>
    <mergeCell ref="A487:H487"/>
    <mergeCell ref="A649:H649"/>
    <mergeCell ref="A667:H667"/>
    <mergeCell ref="A685:H685"/>
    <mergeCell ref="A703:H703"/>
    <mergeCell ref="A721:H721"/>
    <mergeCell ref="A739:H739"/>
    <mergeCell ref="A757:H757"/>
    <mergeCell ref="A775:H775"/>
    <mergeCell ref="A793:H793"/>
    <mergeCell ref="A811:H811"/>
    <mergeCell ref="A919:H919"/>
    <mergeCell ref="A937:C937"/>
    <mergeCell ref="A829:H829"/>
    <mergeCell ref="A847:H847"/>
    <mergeCell ref="A865:H865"/>
    <mergeCell ref="A883:H883"/>
    <mergeCell ref="A901:H901"/>
  </mergeCells>
  <printOptions gridLines="1"/>
  <pageMargins left="0" right="0" top="0" bottom="0" header="0" footer="0"/>
  <pageSetup paperSize="9" orientation="landscape" r:id="rId1"/>
  <headerFooter>
    <oddFooter>&amp;C&amp;P/&amp;N</oddFooter>
  </headerFooter>
  <rowBreaks count="17" manualBreakCount="17">
    <brk id="54" max="7" man="1"/>
    <brk id="108" max="7" man="1"/>
    <brk id="162" max="7" man="1"/>
    <brk id="216" max="7" man="1"/>
    <brk id="270" max="7" man="1"/>
    <brk id="324" max="7" man="1"/>
    <brk id="378" max="7" man="1"/>
    <brk id="432" max="7" man="1"/>
    <brk id="486" max="7" man="1"/>
    <brk id="540" max="7" man="1"/>
    <brk id="594" max="7" man="1"/>
    <brk id="648" max="7" man="1"/>
    <brk id="702" max="7" man="1"/>
    <brk id="756" max="7" man="1"/>
    <brk id="810" max="7" man="1"/>
    <brk id="864" max="7" man="1"/>
    <brk id="918" max="7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ropositionMenusVWE"/>
  <dimension ref="A1:H159"/>
  <sheetViews>
    <sheetView workbookViewId="0">
      <selection sqref="A1:H1"/>
    </sheetView>
  </sheetViews>
  <sheetFormatPr baseColWidth="10" defaultColWidth="10.921875" defaultRowHeight="7.8" x14ac:dyDescent="0.15"/>
  <cols>
    <col min="1" max="1" width="10" style="23" customWidth="1"/>
    <col min="2" max="8" width="13.23046875" style="23" customWidth="1"/>
    <col min="9" max="16384" width="10.921875" style="23"/>
  </cols>
  <sheetData>
    <row r="1" spans="1:8" ht="9.75" thickTop="1" thickBot="1" x14ac:dyDescent="0.2">
      <c r="A1" s="71" t="s">
        <v>592</v>
      </c>
      <c r="B1" s="71"/>
      <c r="C1" s="71"/>
      <c r="D1" s="71"/>
      <c r="E1" s="71"/>
      <c r="F1" s="71"/>
      <c r="G1" s="71"/>
      <c r="H1" s="71"/>
    </row>
    <row r="2" spans="1:8" ht="9.75" thickTop="1" thickBot="1" x14ac:dyDescent="0.2">
      <c r="A2" s="24"/>
      <c r="B2" s="24"/>
      <c r="C2" s="24"/>
      <c r="D2" s="24"/>
      <c r="E2" s="24"/>
      <c r="F2" s="24"/>
      <c r="G2" s="24"/>
      <c r="H2" s="24"/>
    </row>
    <row r="3" spans="1:8" ht="9" thickTop="1" thickBot="1" x14ac:dyDescent="0.2">
      <c r="A3" s="24" t="s">
        <v>514</v>
      </c>
      <c r="B3" s="26" t="s">
        <v>580</v>
      </c>
      <c r="C3" s="26" t="s">
        <v>581</v>
      </c>
      <c r="D3" s="26" t="s">
        <v>582</v>
      </c>
      <c r="E3" s="26" t="s">
        <v>583</v>
      </c>
      <c r="F3" s="26" t="s">
        <v>584</v>
      </c>
      <c r="G3" s="26" t="s">
        <v>585</v>
      </c>
      <c r="H3" s="26" t="s">
        <v>586</v>
      </c>
    </row>
    <row r="4" spans="1:8" ht="9.75" thickTop="1" thickBot="1" x14ac:dyDescent="0.2">
      <c r="A4" s="24" t="s">
        <v>515</v>
      </c>
      <c r="B4" s="25">
        <v>43106</v>
      </c>
      <c r="C4" s="25">
        <v>43107</v>
      </c>
      <c r="D4" s="25">
        <v>43113</v>
      </c>
      <c r="E4" s="25">
        <v>43114</v>
      </c>
      <c r="F4" s="25">
        <v>43120</v>
      </c>
      <c r="G4" s="25">
        <v>43121</v>
      </c>
      <c r="H4" s="25">
        <v>43127</v>
      </c>
    </row>
    <row r="5" spans="1:8" ht="9" thickTop="1" thickBot="1" x14ac:dyDescent="0.2">
      <c r="A5" s="24" t="s">
        <v>588</v>
      </c>
      <c r="B5" s="24"/>
      <c r="C5" s="24"/>
      <c r="D5" s="24"/>
      <c r="E5" s="24"/>
      <c r="F5" s="24"/>
      <c r="G5" s="24"/>
      <c r="H5" s="24"/>
    </row>
    <row r="6" spans="1:8" ht="9.75" thickTop="1" thickBot="1" x14ac:dyDescent="0.2">
      <c r="A6" s="24" t="s">
        <v>528</v>
      </c>
      <c r="B6" s="24"/>
      <c r="C6" s="24"/>
      <c r="D6" s="24"/>
      <c r="E6" s="24"/>
      <c r="F6" s="24"/>
      <c r="G6" s="24"/>
      <c r="H6" s="24"/>
    </row>
    <row r="7" spans="1:8" ht="9" thickTop="1" thickBot="1" x14ac:dyDescent="0.2">
      <c r="A7" s="24" t="s">
        <v>531</v>
      </c>
      <c r="B7" s="24"/>
      <c r="C7" s="24"/>
      <c r="D7" s="24"/>
      <c r="E7" s="24"/>
      <c r="F7" s="24"/>
      <c r="G7" s="24"/>
      <c r="H7" s="24"/>
    </row>
    <row r="8" spans="1:8" ht="9" thickTop="1" thickBot="1" x14ac:dyDescent="0.2">
      <c r="A8" s="24" t="s">
        <v>590</v>
      </c>
      <c r="B8" s="24"/>
      <c r="C8" s="24"/>
      <c r="D8" s="24"/>
      <c r="E8" s="24"/>
      <c r="F8" s="24"/>
      <c r="G8" s="24"/>
      <c r="H8" s="24"/>
    </row>
    <row r="9" spans="1:8" ht="9.75" thickTop="1" thickBot="1" x14ac:dyDescent="0.2">
      <c r="A9" s="24" t="s">
        <v>533</v>
      </c>
      <c r="B9" s="24"/>
      <c r="C9" s="24"/>
      <c r="D9" s="24"/>
      <c r="E9" s="24"/>
      <c r="F9" s="24"/>
      <c r="G9" s="24"/>
      <c r="H9" s="24"/>
    </row>
    <row r="10" spans="1:8" ht="9.75" thickTop="1" thickBot="1" x14ac:dyDescent="0.2"/>
    <row r="11" spans="1:8" ht="9.75" thickTop="1" thickBot="1" x14ac:dyDescent="0.2">
      <c r="A11" s="71" t="s">
        <v>592</v>
      </c>
      <c r="B11" s="71"/>
      <c r="C11" s="71"/>
      <c r="D11" s="71"/>
      <c r="E11" s="71"/>
      <c r="F11" s="71"/>
      <c r="G11" s="71"/>
      <c r="H11" s="71"/>
    </row>
    <row r="12" spans="1:8" ht="9.75" thickTop="1" thickBot="1" x14ac:dyDescent="0.2">
      <c r="A12" s="24"/>
      <c r="B12" s="24"/>
      <c r="C12" s="24"/>
      <c r="D12" s="24"/>
      <c r="E12" s="24"/>
      <c r="F12" s="24"/>
      <c r="G12" s="24"/>
      <c r="H12" s="24"/>
    </row>
    <row r="13" spans="1:8" ht="9" thickTop="1" thickBot="1" x14ac:dyDescent="0.2">
      <c r="A13" s="24" t="s">
        <v>514</v>
      </c>
      <c r="B13" s="26">
        <f>B3+7</f>
        <v>8</v>
      </c>
      <c r="C13" s="26">
        <f t="shared" ref="C13:H13" si="0">C3+7</f>
        <v>9</v>
      </c>
      <c r="D13" s="26">
        <f t="shared" si="0"/>
        <v>10</v>
      </c>
      <c r="E13" s="26">
        <f t="shared" si="0"/>
        <v>11</v>
      </c>
      <c r="F13" s="26">
        <f t="shared" si="0"/>
        <v>12</v>
      </c>
      <c r="G13" s="26">
        <f t="shared" si="0"/>
        <v>13</v>
      </c>
      <c r="H13" s="26">
        <f t="shared" si="0"/>
        <v>14</v>
      </c>
    </row>
    <row r="14" spans="1:8" ht="9.75" thickTop="1" thickBot="1" x14ac:dyDescent="0.2">
      <c r="A14" s="24" t="s">
        <v>515</v>
      </c>
      <c r="B14" s="25">
        <v>43128</v>
      </c>
      <c r="C14" s="25">
        <v>43134</v>
      </c>
      <c r="D14" s="25">
        <v>43135</v>
      </c>
      <c r="E14" s="25">
        <v>43141</v>
      </c>
      <c r="F14" s="25">
        <v>43142</v>
      </c>
      <c r="G14" s="25">
        <v>43148</v>
      </c>
      <c r="H14" s="25">
        <v>43149</v>
      </c>
    </row>
    <row r="15" spans="1:8" ht="9" thickTop="1" thickBot="1" x14ac:dyDescent="0.2">
      <c r="A15" s="24" t="s">
        <v>588</v>
      </c>
      <c r="B15" s="24"/>
      <c r="C15" s="24"/>
      <c r="D15" s="24"/>
      <c r="E15" s="24"/>
      <c r="F15" s="24"/>
      <c r="G15" s="24"/>
      <c r="H15" s="24"/>
    </row>
    <row r="16" spans="1:8" ht="9.75" thickTop="1" thickBot="1" x14ac:dyDescent="0.2">
      <c r="A16" s="24" t="s">
        <v>528</v>
      </c>
      <c r="B16" s="24"/>
      <c r="C16" s="24"/>
      <c r="D16" s="24"/>
      <c r="E16" s="24"/>
      <c r="F16" s="24"/>
      <c r="G16" s="24"/>
      <c r="H16" s="24"/>
    </row>
    <row r="17" spans="1:8" ht="9" thickTop="1" thickBot="1" x14ac:dyDescent="0.2">
      <c r="A17" s="24" t="s">
        <v>531</v>
      </c>
      <c r="B17" s="24"/>
      <c r="C17" s="24"/>
      <c r="D17" s="24"/>
      <c r="E17" s="24"/>
      <c r="F17" s="24"/>
      <c r="G17" s="24"/>
      <c r="H17" s="24"/>
    </row>
    <row r="18" spans="1:8" ht="9" thickTop="1" thickBot="1" x14ac:dyDescent="0.2">
      <c r="A18" s="24" t="s">
        <v>590</v>
      </c>
      <c r="B18" s="24"/>
      <c r="C18" s="24"/>
      <c r="D18" s="24"/>
      <c r="E18" s="24"/>
      <c r="F18" s="24"/>
      <c r="G18" s="24"/>
      <c r="H18" s="24"/>
    </row>
    <row r="19" spans="1:8" ht="9.75" thickTop="1" thickBot="1" x14ac:dyDescent="0.2">
      <c r="A19" s="24" t="s">
        <v>533</v>
      </c>
      <c r="B19" s="24"/>
      <c r="C19" s="24"/>
      <c r="D19" s="24"/>
      <c r="E19" s="24"/>
      <c r="F19" s="24"/>
      <c r="G19" s="24"/>
      <c r="H19" s="24"/>
    </row>
    <row r="20" spans="1:8" ht="9.75" thickTop="1" thickBot="1" x14ac:dyDescent="0.2"/>
    <row r="21" spans="1:8" ht="9.75" thickTop="1" thickBot="1" x14ac:dyDescent="0.2">
      <c r="A21" s="71" t="s">
        <v>592</v>
      </c>
      <c r="B21" s="71"/>
      <c r="C21" s="71"/>
      <c r="D21" s="71"/>
      <c r="E21" s="71"/>
      <c r="F21" s="71"/>
      <c r="G21" s="71"/>
      <c r="H21" s="71"/>
    </row>
    <row r="22" spans="1:8" ht="9.75" thickTop="1" thickBot="1" x14ac:dyDescent="0.2">
      <c r="A22" s="24"/>
      <c r="B22" s="24"/>
      <c r="C22" s="24"/>
      <c r="D22" s="24"/>
      <c r="E22" s="24"/>
      <c r="F22" s="24"/>
      <c r="G22" s="24"/>
      <c r="H22" s="24"/>
    </row>
    <row r="23" spans="1:8" ht="9" thickTop="1" thickBot="1" x14ac:dyDescent="0.2">
      <c r="A23" s="24" t="s">
        <v>514</v>
      </c>
      <c r="B23" s="26">
        <f>B13+7</f>
        <v>15</v>
      </c>
      <c r="C23" s="26">
        <f t="shared" ref="C23:H23" si="1">C13+7</f>
        <v>16</v>
      </c>
      <c r="D23" s="26">
        <f t="shared" si="1"/>
        <v>17</v>
      </c>
      <c r="E23" s="26">
        <f t="shared" si="1"/>
        <v>18</v>
      </c>
      <c r="F23" s="26">
        <f t="shared" si="1"/>
        <v>19</v>
      </c>
      <c r="G23" s="26">
        <f t="shared" si="1"/>
        <v>20</v>
      </c>
      <c r="H23" s="26">
        <f t="shared" si="1"/>
        <v>21</v>
      </c>
    </row>
    <row r="24" spans="1:8" ht="9.75" thickTop="1" thickBot="1" x14ac:dyDescent="0.2">
      <c r="A24" s="24" t="s">
        <v>515</v>
      </c>
      <c r="B24" s="25">
        <v>43155</v>
      </c>
      <c r="C24" s="25">
        <v>43156</v>
      </c>
      <c r="D24" s="25">
        <v>43162</v>
      </c>
      <c r="E24" s="25">
        <v>43183</v>
      </c>
      <c r="F24" s="25">
        <v>43169</v>
      </c>
      <c r="G24" s="25">
        <v>43170</v>
      </c>
      <c r="H24" s="25">
        <v>43176</v>
      </c>
    </row>
    <row r="25" spans="1:8" ht="9" thickTop="1" thickBot="1" x14ac:dyDescent="0.2">
      <c r="A25" s="24" t="s">
        <v>588</v>
      </c>
      <c r="B25" s="24"/>
      <c r="C25" s="24"/>
      <c r="D25" s="24"/>
      <c r="E25" s="24"/>
      <c r="F25" s="24"/>
      <c r="G25" s="24"/>
      <c r="H25" s="24"/>
    </row>
    <row r="26" spans="1:8" ht="9.75" thickTop="1" thickBot="1" x14ac:dyDescent="0.2">
      <c r="A26" s="24" t="s">
        <v>528</v>
      </c>
      <c r="B26" s="24"/>
      <c r="C26" s="24"/>
      <c r="D26" s="24"/>
      <c r="E26" s="24"/>
      <c r="F26" s="24"/>
      <c r="G26" s="24"/>
      <c r="H26" s="24"/>
    </row>
    <row r="27" spans="1:8" ht="9" thickTop="1" thickBot="1" x14ac:dyDescent="0.2">
      <c r="A27" s="24" t="s">
        <v>531</v>
      </c>
      <c r="B27" s="24"/>
      <c r="C27" s="24"/>
      <c r="D27" s="24"/>
      <c r="E27" s="24"/>
      <c r="F27" s="24"/>
      <c r="G27" s="24"/>
      <c r="H27" s="24"/>
    </row>
    <row r="28" spans="1:8" ht="9" thickTop="1" thickBot="1" x14ac:dyDescent="0.2">
      <c r="A28" s="24" t="s">
        <v>590</v>
      </c>
      <c r="B28" s="24"/>
      <c r="C28" s="24"/>
      <c r="D28" s="24"/>
      <c r="E28" s="24"/>
      <c r="F28" s="24"/>
      <c r="G28" s="24"/>
      <c r="H28" s="24"/>
    </row>
    <row r="29" spans="1:8" ht="9.75" thickTop="1" thickBot="1" x14ac:dyDescent="0.2">
      <c r="A29" s="24" t="s">
        <v>533</v>
      </c>
      <c r="B29" s="24"/>
      <c r="C29" s="24"/>
      <c r="D29" s="24"/>
      <c r="E29" s="24"/>
      <c r="F29" s="24"/>
      <c r="G29" s="24"/>
      <c r="H29" s="24"/>
    </row>
    <row r="30" spans="1:8" ht="9.75" thickTop="1" thickBot="1" x14ac:dyDescent="0.2"/>
    <row r="31" spans="1:8" ht="9.75" thickTop="1" thickBot="1" x14ac:dyDescent="0.2">
      <c r="A31" s="71" t="s">
        <v>592</v>
      </c>
      <c r="B31" s="71"/>
      <c r="C31" s="71"/>
      <c r="D31" s="71"/>
      <c r="E31" s="71"/>
      <c r="F31" s="71"/>
      <c r="G31" s="71"/>
      <c r="H31" s="71"/>
    </row>
    <row r="32" spans="1:8" ht="9.75" thickTop="1" thickBot="1" x14ac:dyDescent="0.2">
      <c r="A32" s="24"/>
      <c r="B32" s="24"/>
      <c r="C32" s="24"/>
      <c r="D32" s="24"/>
      <c r="E32" s="24"/>
      <c r="F32" s="24"/>
      <c r="G32" s="24"/>
      <c r="H32" s="24"/>
    </row>
    <row r="33" spans="1:8" ht="9" thickTop="1" thickBot="1" x14ac:dyDescent="0.2">
      <c r="A33" s="24" t="s">
        <v>514</v>
      </c>
      <c r="B33" s="26">
        <f>B23+7</f>
        <v>22</v>
      </c>
      <c r="C33" s="26">
        <f t="shared" ref="C33:H33" si="2">C23+7</f>
        <v>23</v>
      </c>
      <c r="D33" s="26">
        <f t="shared" si="2"/>
        <v>24</v>
      </c>
      <c r="E33" s="26">
        <f t="shared" si="2"/>
        <v>25</v>
      </c>
      <c r="F33" s="26">
        <f t="shared" si="2"/>
        <v>26</v>
      </c>
      <c r="G33" s="26">
        <f t="shared" si="2"/>
        <v>27</v>
      </c>
      <c r="H33" s="26">
        <f t="shared" si="2"/>
        <v>28</v>
      </c>
    </row>
    <row r="34" spans="1:8" ht="9.75" thickTop="1" thickBot="1" x14ac:dyDescent="0.2">
      <c r="A34" s="24" t="s">
        <v>515</v>
      </c>
      <c r="B34" s="25">
        <v>43177</v>
      </c>
      <c r="C34" s="25">
        <v>43183</v>
      </c>
      <c r="D34" s="25">
        <v>43184</v>
      </c>
      <c r="E34" s="25">
        <v>43190</v>
      </c>
      <c r="F34" s="25">
        <v>43191</v>
      </c>
      <c r="G34" s="25">
        <v>43197</v>
      </c>
      <c r="H34" s="25">
        <v>43198</v>
      </c>
    </row>
    <row r="35" spans="1:8" ht="9" thickTop="1" thickBot="1" x14ac:dyDescent="0.2">
      <c r="A35" s="24" t="s">
        <v>588</v>
      </c>
      <c r="B35" s="24"/>
      <c r="C35" s="24"/>
      <c r="D35" s="24"/>
      <c r="E35" s="24"/>
      <c r="F35" s="24"/>
      <c r="G35" s="24"/>
      <c r="H35" s="24"/>
    </row>
    <row r="36" spans="1:8" ht="9.75" thickTop="1" thickBot="1" x14ac:dyDescent="0.2">
      <c r="A36" s="24" t="s">
        <v>528</v>
      </c>
      <c r="B36" s="24"/>
      <c r="C36" s="24"/>
      <c r="D36" s="24"/>
      <c r="E36" s="24"/>
      <c r="F36" s="24"/>
      <c r="G36" s="24"/>
      <c r="H36" s="24"/>
    </row>
    <row r="37" spans="1:8" ht="9" thickTop="1" thickBot="1" x14ac:dyDescent="0.2">
      <c r="A37" s="24" t="s">
        <v>531</v>
      </c>
      <c r="B37" s="24"/>
      <c r="C37" s="24"/>
      <c r="D37" s="24"/>
      <c r="E37" s="24"/>
      <c r="F37" s="24"/>
      <c r="G37" s="24"/>
      <c r="H37" s="24"/>
    </row>
    <row r="38" spans="1:8" ht="9" thickTop="1" thickBot="1" x14ac:dyDescent="0.2">
      <c r="A38" s="24" t="s">
        <v>590</v>
      </c>
      <c r="B38" s="24"/>
      <c r="C38" s="24"/>
      <c r="D38" s="24"/>
      <c r="E38" s="24"/>
      <c r="F38" s="24"/>
      <c r="G38" s="24"/>
      <c r="H38" s="24"/>
    </row>
    <row r="39" spans="1:8" ht="9.75" thickTop="1" thickBot="1" x14ac:dyDescent="0.2">
      <c r="A39" s="24" t="s">
        <v>533</v>
      </c>
      <c r="B39" s="24"/>
      <c r="C39" s="24"/>
      <c r="D39" s="24"/>
      <c r="E39" s="24"/>
      <c r="F39" s="24"/>
      <c r="G39" s="24"/>
      <c r="H39" s="24"/>
    </row>
    <row r="40" spans="1:8" ht="9.75" thickTop="1" thickBot="1" x14ac:dyDescent="0.2"/>
    <row r="41" spans="1:8" ht="9.75" thickTop="1" thickBot="1" x14ac:dyDescent="0.2">
      <c r="A41" s="71" t="s">
        <v>592</v>
      </c>
      <c r="B41" s="71"/>
      <c r="C41" s="71"/>
      <c r="D41" s="71"/>
      <c r="E41" s="71"/>
      <c r="F41" s="71"/>
      <c r="G41" s="71"/>
      <c r="H41" s="71"/>
    </row>
    <row r="42" spans="1:8" ht="9.75" thickTop="1" thickBot="1" x14ac:dyDescent="0.2">
      <c r="A42" s="24"/>
      <c r="B42" s="24"/>
      <c r="C42" s="24"/>
      <c r="D42" s="24"/>
      <c r="E42" s="24"/>
      <c r="F42" s="24"/>
      <c r="G42" s="24"/>
      <c r="H42" s="24"/>
    </row>
    <row r="43" spans="1:8" ht="9" thickTop="1" thickBot="1" x14ac:dyDescent="0.2">
      <c r="A43" s="24" t="s">
        <v>514</v>
      </c>
      <c r="B43" s="26">
        <f>B33+7</f>
        <v>29</v>
      </c>
      <c r="C43" s="26">
        <f t="shared" ref="C43:H43" si="3">C33+7</f>
        <v>30</v>
      </c>
      <c r="D43" s="26">
        <f t="shared" si="3"/>
        <v>31</v>
      </c>
      <c r="E43" s="26">
        <f t="shared" si="3"/>
        <v>32</v>
      </c>
      <c r="F43" s="26">
        <f t="shared" si="3"/>
        <v>33</v>
      </c>
      <c r="G43" s="26">
        <f t="shared" si="3"/>
        <v>34</v>
      </c>
      <c r="H43" s="26">
        <f t="shared" si="3"/>
        <v>35</v>
      </c>
    </row>
    <row r="44" spans="1:8" ht="9" thickTop="1" thickBot="1" x14ac:dyDescent="0.2">
      <c r="A44" s="24" t="s">
        <v>515</v>
      </c>
      <c r="B44" s="25">
        <v>43204</v>
      </c>
      <c r="C44" s="25">
        <v>43205</v>
      </c>
      <c r="D44" s="25">
        <v>43211</v>
      </c>
      <c r="E44" s="25">
        <v>43212</v>
      </c>
      <c r="F44" s="25">
        <v>43218</v>
      </c>
      <c r="G44" s="25">
        <v>43219</v>
      </c>
      <c r="H44" s="25">
        <v>43225</v>
      </c>
    </row>
    <row r="45" spans="1:8" ht="9" thickTop="1" thickBot="1" x14ac:dyDescent="0.2">
      <c r="A45" s="24" t="s">
        <v>588</v>
      </c>
      <c r="B45" s="24"/>
      <c r="C45" s="24"/>
      <c r="D45" s="24"/>
      <c r="E45" s="24"/>
      <c r="F45" s="24"/>
      <c r="G45" s="24"/>
      <c r="H45" s="24"/>
    </row>
    <row r="46" spans="1:8" ht="9" thickTop="1" thickBot="1" x14ac:dyDescent="0.2">
      <c r="A46" s="24" t="s">
        <v>528</v>
      </c>
      <c r="B46" s="24"/>
      <c r="C46" s="24"/>
      <c r="D46" s="24"/>
      <c r="E46" s="24"/>
      <c r="F46" s="24"/>
      <c r="G46" s="24"/>
      <c r="H46" s="24"/>
    </row>
    <row r="47" spans="1:8" ht="9" thickTop="1" thickBot="1" x14ac:dyDescent="0.2">
      <c r="A47" s="24" t="s">
        <v>531</v>
      </c>
      <c r="B47" s="24"/>
      <c r="C47" s="24"/>
      <c r="D47" s="24"/>
      <c r="E47" s="24"/>
      <c r="F47" s="24"/>
      <c r="G47" s="24"/>
      <c r="H47" s="24"/>
    </row>
    <row r="48" spans="1:8" ht="9" thickTop="1" thickBot="1" x14ac:dyDescent="0.2">
      <c r="A48" s="24" t="s">
        <v>590</v>
      </c>
      <c r="B48" s="24"/>
      <c r="C48" s="24"/>
      <c r="D48" s="24"/>
      <c r="E48" s="24"/>
      <c r="F48" s="24"/>
      <c r="G48" s="24"/>
      <c r="H48" s="24"/>
    </row>
    <row r="49" spans="1:8" ht="9" thickTop="1" thickBot="1" x14ac:dyDescent="0.2">
      <c r="A49" s="24" t="s">
        <v>533</v>
      </c>
      <c r="B49" s="24"/>
      <c r="C49" s="24"/>
      <c r="D49" s="24"/>
      <c r="E49" s="24"/>
      <c r="F49" s="24"/>
      <c r="G49" s="24"/>
      <c r="H49" s="24"/>
    </row>
    <row r="50" spans="1:8" ht="9" thickTop="1" thickBot="1" x14ac:dyDescent="0.2"/>
    <row r="51" spans="1:8" ht="9" thickTop="1" thickBot="1" x14ac:dyDescent="0.2">
      <c r="A51" s="71" t="s">
        <v>592</v>
      </c>
      <c r="B51" s="71"/>
      <c r="C51" s="71"/>
      <c r="D51" s="71"/>
      <c r="E51" s="71"/>
      <c r="F51" s="71"/>
      <c r="G51" s="71"/>
      <c r="H51" s="71"/>
    </row>
    <row r="52" spans="1:8" ht="9" thickTop="1" thickBot="1" x14ac:dyDescent="0.2">
      <c r="A52" s="24"/>
      <c r="B52" s="24"/>
      <c r="C52" s="24"/>
      <c r="D52" s="24"/>
      <c r="E52" s="24"/>
      <c r="F52" s="24"/>
      <c r="G52" s="24"/>
      <c r="H52" s="24"/>
    </row>
    <row r="53" spans="1:8" ht="9" thickTop="1" thickBot="1" x14ac:dyDescent="0.2">
      <c r="A53" s="24" t="s">
        <v>514</v>
      </c>
      <c r="B53" s="26">
        <f>B43+7</f>
        <v>36</v>
      </c>
      <c r="C53" s="26">
        <f t="shared" ref="C53:H53" si="4">C43+7</f>
        <v>37</v>
      </c>
      <c r="D53" s="26">
        <f t="shared" si="4"/>
        <v>38</v>
      </c>
      <c r="E53" s="26">
        <f t="shared" si="4"/>
        <v>39</v>
      </c>
      <c r="F53" s="26">
        <f t="shared" si="4"/>
        <v>40</v>
      </c>
      <c r="G53" s="26">
        <f t="shared" si="4"/>
        <v>41</v>
      </c>
      <c r="H53" s="26">
        <f t="shared" si="4"/>
        <v>42</v>
      </c>
    </row>
    <row r="54" spans="1:8" ht="9" thickTop="1" thickBot="1" x14ac:dyDescent="0.2">
      <c r="A54" s="24" t="s">
        <v>515</v>
      </c>
      <c r="B54" s="25">
        <v>43226</v>
      </c>
      <c r="C54" s="25">
        <v>43232</v>
      </c>
      <c r="D54" s="25">
        <v>43233</v>
      </c>
      <c r="E54" s="25">
        <v>43239</v>
      </c>
      <c r="F54" s="25">
        <v>43240</v>
      </c>
      <c r="G54" s="25">
        <v>43246</v>
      </c>
      <c r="H54" s="25">
        <v>43247</v>
      </c>
    </row>
    <row r="55" spans="1:8" ht="9" thickTop="1" thickBot="1" x14ac:dyDescent="0.2">
      <c r="A55" s="24" t="s">
        <v>588</v>
      </c>
      <c r="B55" s="24"/>
      <c r="C55" s="24"/>
      <c r="D55" s="24"/>
      <c r="E55" s="24"/>
      <c r="F55" s="24"/>
      <c r="G55" s="24"/>
      <c r="H55" s="24"/>
    </row>
    <row r="56" spans="1:8" ht="9" thickTop="1" thickBot="1" x14ac:dyDescent="0.2">
      <c r="A56" s="24" t="s">
        <v>528</v>
      </c>
      <c r="B56" s="24"/>
      <c r="C56" s="24"/>
      <c r="D56" s="24"/>
      <c r="E56" s="24"/>
      <c r="F56" s="24"/>
      <c r="G56" s="24"/>
      <c r="H56" s="24"/>
    </row>
    <row r="57" spans="1:8" ht="9" thickTop="1" thickBot="1" x14ac:dyDescent="0.2">
      <c r="A57" s="24" t="s">
        <v>531</v>
      </c>
      <c r="B57" s="24"/>
      <c r="C57" s="24"/>
      <c r="D57" s="24"/>
      <c r="E57" s="24"/>
      <c r="F57" s="24"/>
      <c r="G57" s="24"/>
      <c r="H57" s="24"/>
    </row>
    <row r="58" spans="1:8" ht="9" thickTop="1" thickBot="1" x14ac:dyDescent="0.2">
      <c r="A58" s="24" t="s">
        <v>590</v>
      </c>
      <c r="B58" s="24"/>
      <c r="C58" s="24"/>
      <c r="D58" s="24"/>
      <c r="E58" s="24"/>
      <c r="F58" s="24"/>
      <c r="G58" s="24"/>
      <c r="H58" s="24"/>
    </row>
    <row r="59" spans="1:8" ht="9" thickTop="1" thickBot="1" x14ac:dyDescent="0.2">
      <c r="A59" s="24" t="s">
        <v>533</v>
      </c>
      <c r="B59" s="24"/>
      <c r="C59" s="24"/>
      <c r="D59" s="24"/>
      <c r="E59" s="24"/>
      <c r="F59" s="24"/>
      <c r="G59" s="24"/>
      <c r="H59" s="24"/>
    </row>
    <row r="60" spans="1:8" ht="9" thickTop="1" thickBot="1" x14ac:dyDescent="0.2"/>
    <row r="61" spans="1:8" ht="9" thickTop="1" thickBot="1" x14ac:dyDescent="0.2">
      <c r="A61" s="71" t="s">
        <v>592</v>
      </c>
      <c r="B61" s="71"/>
      <c r="C61" s="71"/>
      <c r="D61" s="71"/>
      <c r="E61" s="71"/>
      <c r="F61" s="71"/>
      <c r="G61" s="71"/>
      <c r="H61" s="71"/>
    </row>
    <row r="62" spans="1:8" ht="9" thickTop="1" thickBot="1" x14ac:dyDescent="0.2">
      <c r="A62" s="24"/>
      <c r="B62" s="24"/>
      <c r="C62" s="24"/>
      <c r="D62" s="24"/>
      <c r="E62" s="24"/>
      <c r="F62" s="24"/>
      <c r="G62" s="24"/>
      <c r="H62" s="24"/>
    </row>
    <row r="63" spans="1:8" ht="9" thickTop="1" thickBot="1" x14ac:dyDescent="0.2">
      <c r="A63" s="24" t="s">
        <v>514</v>
      </c>
      <c r="B63" s="26">
        <f>B53+7</f>
        <v>43</v>
      </c>
      <c r="C63" s="26">
        <f t="shared" ref="C63:H63" si="5">C53+7</f>
        <v>44</v>
      </c>
      <c r="D63" s="26">
        <f t="shared" si="5"/>
        <v>45</v>
      </c>
      <c r="E63" s="26">
        <f t="shared" si="5"/>
        <v>46</v>
      </c>
      <c r="F63" s="26">
        <f t="shared" si="5"/>
        <v>47</v>
      </c>
      <c r="G63" s="26">
        <f t="shared" si="5"/>
        <v>48</v>
      </c>
      <c r="H63" s="26">
        <f t="shared" si="5"/>
        <v>49</v>
      </c>
    </row>
    <row r="64" spans="1:8" ht="9" thickTop="1" thickBot="1" x14ac:dyDescent="0.2">
      <c r="A64" s="24" t="s">
        <v>515</v>
      </c>
      <c r="B64" s="25">
        <v>43253</v>
      </c>
      <c r="C64" s="25">
        <v>43254</v>
      </c>
      <c r="D64" s="25">
        <v>43260</v>
      </c>
      <c r="E64" s="25">
        <v>43261</v>
      </c>
      <c r="F64" s="25">
        <v>43267</v>
      </c>
      <c r="G64" s="25">
        <v>43268</v>
      </c>
      <c r="H64" s="25">
        <v>43274</v>
      </c>
    </row>
    <row r="65" spans="1:8" ht="9" thickTop="1" thickBot="1" x14ac:dyDescent="0.2">
      <c r="A65" s="24" t="s">
        <v>588</v>
      </c>
      <c r="B65" s="24"/>
      <c r="C65" s="24"/>
      <c r="D65" s="24"/>
      <c r="E65" s="24"/>
      <c r="F65" s="24"/>
      <c r="G65" s="24"/>
      <c r="H65" s="24"/>
    </row>
    <row r="66" spans="1:8" ht="9" thickTop="1" thickBot="1" x14ac:dyDescent="0.2">
      <c r="A66" s="24" t="s">
        <v>528</v>
      </c>
      <c r="B66" s="24"/>
      <c r="C66" s="24"/>
      <c r="D66" s="24"/>
      <c r="E66" s="24"/>
      <c r="F66" s="24"/>
      <c r="G66" s="24"/>
      <c r="H66" s="24"/>
    </row>
    <row r="67" spans="1:8" ht="9" thickTop="1" thickBot="1" x14ac:dyDescent="0.2">
      <c r="A67" s="24" t="s">
        <v>531</v>
      </c>
      <c r="B67" s="24"/>
      <c r="C67" s="24"/>
      <c r="D67" s="24"/>
      <c r="E67" s="24"/>
      <c r="F67" s="24"/>
      <c r="G67" s="24"/>
      <c r="H67" s="24"/>
    </row>
    <row r="68" spans="1:8" ht="9" thickTop="1" thickBot="1" x14ac:dyDescent="0.2">
      <c r="A68" s="24" t="s">
        <v>590</v>
      </c>
      <c r="B68" s="24"/>
      <c r="C68" s="24"/>
      <c r="D68" s="24"/>
      <c r="E68" s="24"/>
      <c r="F68" s="24"/>
      <c r="G68" s="24"/>
      <c r="H68" s="24"/>
    </row>
    <row r="69" spans="1:8" ht="9" thickTop="1" thickBot="1" x14ac:dyDescent="0.2">
      <c r="A69" s="24" t="s">
        <v>533</v>
      </c>
      <c r="B69" s="24"/>
      <c r="C69" s="24"/>
      <c r="D69" s="24"/>
      <c r="E69" s="24"/>
      <c r="F69" s="24"/>
      <c r="G69" s="24"/>
      <c r="H69" s="24"/>
    </row>
    <row r="70" spans="1:8" ht="9" thickTop="1" thickBot="1" x14ac:dyDescent="0.2"/>
    <row r="71" spans="1:8" ht="9" thickTop="1" thickBot="1" x14ac:dyDescent="0.2">
      <c r="A71" s="71" t="s">
        <v>592</v>
      </c>
      <c r="B71" s="71"/>
      <c r="C71" s="71"/>
      <c r="D71" s="71"/>
      <c r="E71" s="71"/>
      <c r="F71" s="71"/>
      <c r="G71" s="71"/>
      <c r="H71" s="71"/>
    </row>
    <row r="72" spans="1:8" ht="9" thickTop="1" thickBot="1" x14ac:dyDescent="0.2">
      <c r="A72" s="24"/>
      <c r="B72" s="24"/>
      <c r="C72" s="24"/>
      <c r="D72" s="24"/>
      <c r="E72" s="24"/>
      <c r="F72" s="24"/>
      <c r="G72" s="24"/>
      <c r="H72" s="24"/>
    </row>
    <row r="73" spans="1:8" ht="9" thickTop="1" thickBot="1" x14ac:dyDescent="0.2">
      <c r="A73" s="24" t="s">
        <v>514</v>
      </c>
      <c r="B73" s="26">
        <f>B63+7</f>
        <v>50</v>
      </c>
      <c r="C73" s="26">
        <f t="shared" ref="C73:H73" si="6">C63+7</f>
        <v>51</v>
      </c>
      <c r="D73" s="26">
        <f t="shared" si="6"/>
        <v>52</v>
      </c>
      <c r="E73" s="26">
        <f t="shared" si="6"/>
        <v>53</v>
      </c>
      <c r="F73" s="26">
        <f t="shared" si="6"/>
        <v>54</v>
      </c>
      <c r="G73" s="26">
        <f t="shared" si="6"/>
        <v>55</v>
      </c>
      <c r="H73" s="26">
        <f t="shared" si="6"/>
        <v>56</v>
      </c>
    </row>
    <row r="74" spans="1:8" ht="9" thickTop="1" thickBot="1" x14ac:dyDescent="0.2">
      <c r="A74" s="24" t="s">
        <v>515</v>
      </c>
      <c r="B74" s="25">
        <v>43275</v>
      </c>
      <c r="C74" s="25">
        <v>43281</v>
      </c>
      <c r="D74" s="25">
        <v>43282</v>
      </c>
      <c r="E74" s="25">
        <v>43288</v>
      </c>
      <c r="F74" s="25">
        <v>43289</v>
      </c>
      <c r="G74" s="25">
        <v>43295</v>
      </c>
      <c r="H74" s="25">
        <v>43296</v>
      </c>
    </row>
    <row r="75" spans="1:8" ht="9" thickTop="1" thickBot="1" x14ac:dyDescent="0.2">
      <c r="A75" s="24" t="s">
        <v>588</v>
      </c>
      <c r="B75" s="24"/>
      <c r="C75" s="24"/>
      <c r="D75" s="24"/>
      <c r="E75" s="24"/>
      <c r="F75" s="24"/>
      <c r="G75" s="24"/>
      <c r="H75" s="24"/>
    </row>
    <row r="76" spans="1:8" ht="9" thickTop="1" thickBot="1" x14ac:dyDescent="0.2">
      <c r="A76" s="24" t="s">
        <v>528</v>
      </c>
      <c r="B76" s="24"/>
      <c r="C76" s="24"/>
      <c r="D76" s="24"/>
      <c r="E76" s="24"/>
      <c r="F76" s="24"/>
      <c r="G76" s="24"/>
      <c r="H76" s="24"/>
    </row>
    <row r="77" spans="1:8" ht="9" thickTop="1" thickBot="1" x14ac:dyDescent="0.2">
      <c r="A77" s="24" t="s">
        <v>531</v>
      </c>
      <c r="B77" s="24"/>
      <c r="C77" s="24"/>
      <c r="D77" s="24"/>
      <c r="E77" s="24"/>
      <c r="F77" s="24"/>
      <c r="G77" s="24"/>
      <c r="H77" s="24"/>
    </row>
    <row r="78" spans="1:8" ht="9" thickTop="1" thickBot="1" x14ac:dyDescent="0.2">
      <c r="A78" s="24" t="s">
        <v>590</v>
      </c>
      <c r="B78" s="24"/>
      <c r="C78" s="24"/>
      <c r="D78" s="24"/>
      <c r="E78" s="24"/>
      <c r="F78" s="24"/>
      <c r="G78" s="24"/>
      <c r="H78" s="24"/>
    </row>
    <row r="79" spans="1:8" ht="9" thickTop="1" thickBot="1" x14ac:dyDescent="0.2">
      <c r="A79" s="24" t="s">
        <v>533</v>
      </c>
      <c r="B79" s="24"/>
      <c r="C79" s="24"/>
      <c r="D79" s="24"/>
      <c r="E79" s="24"/>
      <c r="F79" s="24"/>
      <c r="G79" s="24"/>
      <c r="H79" s="24"/>
    </row>
    <row r="80" spans="1:8" ht="9" thickTop="1" thickBot="1" x14ac:dyDescent="0.2"/>
    <row r="81" spans="1:8" ht="9" thickTop="1" thickBot="1" x14ac:dyDescent="0.2">
      <c r="A81" s="71" t="s">
        <v>592</v>
      </c>
      <c r="B81" s="71"/>
      <c r="C81" s="71"/>
      <c r="D81" s="71"/>
      <c r="E81" s="71"/>
      <c r="F81" s="71"/>
      <c r="G81" s="71"/>
      <c r="H81" s="71"/>
    </row>
    <row r="82" spans="1:8" ht="9" thickTop="1" thickBot="1" x14ac:dyDescent="0.2">
      <c r="A82" s="24"/>
      <c r="B82" s="24"/>
      <c r="C82" s="24"/>
      <c r="D82" s="24"/>
      <c r="E82" s="24"/>
      <c r="F82" s="24"/>
      <c r="G82" s="24"/>
      <c r="H82" s="24"/>
    </row>
    <row r="83" spans="1:8" ht="9" thickTop="1" thickBot="1" x14ac:dyDescent="0.2">
      <c r="A83" s="24" t="s">
        <v>514</v>
      </c>
      <c r="B83" s="26">
        <f>B73+7</f>
        <v>57</v>
      </c>
      <c r="C83" s="26">
        <f t="shared" ref="C83:H83" si="7">C73+7</f>
        <v>58</v>
      </c>
      <c r="D83" s="26">
        <f t="shared" si="7"/>
        <v>59</v>
      </c>
      <c r="E83" s="26">
        <f t="shared" si="7"/>
        <v>60</v>
      </c>
      <c r="F83" s="26">
        <f t="shared" si="7"/>
        <v>61</v>
      </c>
      <c r="G83" s="26">
        <f t="shared" si="7"/>
        <v>62</v>
      </c>
      <c r="H83" s="26">
        <f t="shared" si="7"/>
        <v>63</v>
      </c>
    </row>
    <row r="84" spans="1:8" ht="9" thickTop="1" thickBot="1" x14ac:dyDescent="0.2">
      <c r="A84" s="24" t="s">
        <v>515</v>
      </c>
      <c r="B84" s="25">
        <v>43302</v>
      </c>
      <c r="C84" s="25">
        <v>43303</v>
      </c>
      <c r="D84" s="25">
        <v>43309</v>
      </c>
      <c r="E84" s="25">
        <v>43310</v>
      </c>
      <c r="F84" s="25">
        <v>43316</v>
      </c>
      <c r="G84" s="25">
        <v>43317</v>
      </c>
      <c r="H84" s="25">
        <v>43323</v>
      </c>
    </row>
    <row r="85" spans="1:8" ht="9" thickTop="1" thickBot="1" x14ac:dyDescent="0.2">
      <c r="A85" s="24" t="s">
        <v>588</v>
      </c>
      <c r="B85" s="24"/>
      <c r="C85" s="24"/>
      <c r="D85" s="24"/>
      <c r="E85" s="24"/>
      <c r="F85" s="24"/>
      <c r="G85" s="24"/>
      <c r="H85" s="24"/>
    </row>
    <row r="86" spans="1:8" ht="9" thickTop="1" thickBot="1" x14ac:dyDescent="0.2">
      <c r="A86" s="24" t="s">
        <v>528</v>
      </c>
      <c r="B86" s="24"/>
      <c r="C86" s="24"/>
      <c r="D86" s="24"/>
      <c r="E86" s="24"/>
      <c r="F86" s="24"/>
      <c r="G86" s="24"/>
      <c r="H86" s="24"/>
    </row>
    <row r="87" spans="1:8" ht="9" thickTop="1" thickBot="1" x14ac:dyDescent="0.2">
      <c r="A87" s="24" t="s">
        <v>531</v>
      </c>
      <c r="B87" s="24"/>
      <c r="C87" s="24"/>
      <c r="D87" s="24"/>
      <c r="E87" s="24"/>
      <c r="F87" s="24"/>
      <c r="G87" s="24"/>
      <c r="H87" s="24"/>
    </row>
    <row r="88" spans="1:8" ht="9" thickTop="1" thickBot="1" x14ac:dyDescent="0.2">
      <c r="A88" s="24" t="s">
        <v>590</v>
      </c>
      <c r="B88" s="24"/>
      <c r="C88" s="24"/>
      <c r="D88" s="24"/>
      <c r="E88" s="24"/>
      <c r="F88" s="24"/>
      <c r="G88" s="24"/>
      <c r="H88" s="24"/>
    </row>
    <row r="89" spans="1:8" ht="9" thickTop="1" thickBot="1" x14ac:dyDescent="0.2">
      <c r="A89" s="24" t="s">
        <v>533</v>
      </c>
      <c r="B89" s="24"/>
      <c r="C89" s="24"/>
      <c r="D89" s="24"/>
      <c r="E89" s="24"/>
      <c r="F89" s="24"/>
      <c r="G89" s="24"/>
      <c r="H89" s="24"/>
    </row>
    <row r="90" spans="1:8" ht="9" thickTop="1" thickBot="1" x14ac:dyDescent="0.2"/>
    <row r="91" spans="1:8" ht="9" thickTop="1" thickBot="1" x14ac:dyDescent="0.2">
      <c r="A91" s="71" t="s">
        <v>592</v>
      </c>
      <c r="B91" s="71"/>
      <c r="C91" s="71"/>
      <c r="D91" s="71"/>
      <c r="E91" s="71"/>
      <c r="F91" s="71"/>
      <c r="G91" s="71"/>
      <c r="H91" s="71"/>
    </row>
    <row r="92" spans="1:8" ht="9" thickTop="1" thickBot="1" x14ac:dyDescent="0.2">
      <c r="A92" s="24"/>
      <c r="B92" s="24"/>
      <c r="C92" s="24"/>
      <c r="D92" s="24"/>
      <c r="E92" s="24"/>
      <c r="F92" s="24"/>
      <c r="G92" s="24"/>
      <c r="H92" s="24"/>
    </row>
    <row r="93" spans="1:8" ht="9" thickTop="1" thickBot="1" x14ac:dyDescent="0.2">
      <c r="A93" s="24" t="s">
        <v>514</v>
      </c>
      <c r="B93" s="26">
        <f>B83+7</f>
        <v>64</v>
      </c>
      <c r="C93" s="26">
        <f t="shared" ref="C93:H93" si="8">C83+7</f>
        <v>65</v>
      </c>
      <c r="D93" s="26">
        <f t="shared" si="8"/>
        <v>66</v>
      </c>
      <c r="E93" s="26">
        <f t="shared" si="8"/>
        <v>67</v>
      </c>
      <c r="F93" s="26">
        <f t="shared" si="8"/>
        <v>68</v>
      </c>
      <c r="G93" s="26">
        <f t="shared" si="8"/>
        <v>69</v>
      </c>
      <c r="H93" s="26">
        <f t="shared" si="8"/>
        <v>70</v>
      </c>
    </row>
    <row r="94" spans="1:8" ht="9" thickTop="1" thickBot="1" x14ac:dyDescent="0.2">
      <c r="A94" s="24" t="s">
        <v>515</v>
      </c>
      <c r="B94" s="25">
        <v>43324</v>
      </c>
      <c r="C94" s="25">
        <v>43330</v>
      </c>
      <c r="D94" s="25">
        <v>43331</v>
      </c>
      <c r="E94" s="25">
        <v>43337</v>
      </c>
      <c r="F94" s="25">
        <v>43338</v>
      </c>
      <c r="G94" s="25">
        <v>43344</v>
      </c>
      <c r="H94" s="25">
        <v>43345</v>
      </c>
    </row>
    <row r="95" spans="1:8" ht="9" thickTop="1" thickBot="1" x14ac:dyDescent="0.2">
      <c r="A95" s="24" t="s">
        <v>588</v>
      </c>
      <c r="B95" s="24"/>
      <c r="C95" s="24"/>
      <c r="D95" s="24"/>
      <c r="E95" s="24"/>
      <c r="F95" s="24"/>
      <c r="G95" s="24"/>
      <c r="H95" s="24"/>
    </row>
    <row r="96" spans="1:8" ht="9" thickTop="1" thickBot="1" x14ac:dyDescent="0.2">
      <c r="A96" s="24" t="s">
        <v>528</v>
      </c>
      <c r="B96" s="24"/>
      <c r="C96" s="24"/>
      <c r="D96" s="24"/>
      <c r="E96" s="24"/>
      <c r="F96" s="24"/>
      <c r="G96" s="24"/>
      <c r="H96" s="24"/>
    </row>
    <row r="97" spans="1:8" ht="9" thickTop="1" thickBot="1" x14ac:dyDescent="0.2">
      <c r="A97" s="24" t="s">
        <v>531</v>
      </c>
      <c r="B97" s="24"/>
      <c r="C97" s="24"/>
      <c r="D97" s="24"/>
      <c r="E97" s="24"/>
      <c r="F97" s="24"/>
      <c r="G97" s="24"/>
      <c r="H97" s="24"/>
    </row>
    <row r="98" spans="1:8" ht="9" thickTop="1" thickBot="1" x14ac:dyDescent="0.2">
      <c r="A98" s="24" t="s">
        <v>590</v>
      </c>
      <c r="B98" s="24"/>
      <c r="C98" s="24"/>
      <c r="D98" s="24"/>
      <c r="E98" s="24"/>
      <c r="F98" s="24"/>
      <c r="G98" s="24"/>
      <c r="H98" s="24"/>
    </row>
    <row r="99" spans="1:8" ht="9" thickTop="1" thickBot="1" x14ac:dyDescent="0.2">
      <c r="A99" s="24" t="s">
        <v>533</v>
      </c>
      <c r="B99" s="24"/>
      <c r="C99" s="24"/>
      <c r="D99" s="24"/>
      <c r="E99" s="24"/>
      <c r="F99" s="24"/>
      <c r="G99" s="24"/>
      <c r="H99" s="24"/>
    </row>
    <row r="100" spans="1:8" ht="9" thickTop="1" thickBot="1" x14ac:dyDescent="0.2"/>
    <row r="101" spans="1:8" ht="9" thickTop="1" thickBot="1" x14ac:dyDescent="0.2">
      <c r="A101" s="71" t="s">
        <v>592</v>
      </c>
      <c r="B101" s="71"/>
      <c r="C101" s="71"/>
      <c r="D101" s="71"/>
      <c r="E101" s="71"/>
      <c r="F101" s="71"/>
      <c r="G101" s="71"/>
      <c r="H101" s="71"/>
    </row>
    <row r="102" spans="1:8" ht="9" thickTop="1" thickBot="1" x14ac:dyDescent="0.2">
      <c r="A102" s="24"/>
      <c r="B102" s="24"/>
      <c r="C102" s="24"/>
      <c r="D102" s="24"/>
      <c r="E102" s="24"/>
      <c r="F102" s="24"/>
      <c r="G102" s="24"/>
      <c r="H102" s="24"/>
    </row>
    <row r="103" spans="1:8" ht="9" thickTop="1" thickBot="1" x14ac:dyDescent="0.2">
      <c r="A103" s="24" t="s">
        <v>514</v>
      </c>
      <c r="B103" s="26">
        <f>B93+7</f>
        <v>71</v>
      </c>
      <c r="C103" s="26">
        <f t="shared" ref="C103:H103" si="9">C93+7</f>
        <v>72</v>
      </c>
      <c r="D103" s="26">
        <f t="shared" si="9"/>
        <v>73</v>
      </c>
      <c r="E103" s="26">
        <f t="shared" si="9"/>
        <v>74</v>
      </c>
      <c r="F103" s="26">
        <f t="shared" si="9"/>
        <v>75</v>
      </c>
      <c r="G103" s="26">
        <f t="shared" si="9"/>
        <v>76</v>
      </c>
      <c r="H103" s="26">
        <f t="shared" si="9"/>
        <v>77</v>
      </c>
    </row>
    <row r="104" spans="1:8" ht="9" thickTop="1" thickBot="1" x14ac:dyDescent="0.2">
      <c r="A104" s="24" t="s">
        <v>515</v>
      </c>
      <c r="B104" s="25">
        <v>43351</v>
      </c>
      <c r="C104" s="25">
        <v>43352</v>
      </c>
      <c r="D104" s="25">
        <v>43358</v>
      </c>
      <c r="E104" s="25">
        <v>43359</v>
      </c>
      <c r="F104" s="25">
        <v>43365</v>
      </c>
      <c r="G104" s="25">
        <v>43366</v>
      </c>
      <c r="H104" s="25">
        <v>43372</v>
      </c>
    </row>
    <row r="105" spans="1:8" ht="9" thickTop="1" thickBot="1" x14ac:dyDescent="0.2">
      <c r="A105" s="24" t="s">
        <v>588</v>
      </c>
      <c r="B105" s="24"/>
      <c r="C105" s="24"/>
      <c r="D105" s="24"/>
      <c r="E105" s="24"/>
      <c r="F105" s="24"/>
      <c r="G105" s="24"/>
      <c r="H105" s="24"/>
    </row>
    <row r="106" spans="1:8" ht="9" thickTop="1" thickBot="1" x14ac:dyDescent="0.2">
      <c r="A106" s="24" t="s">
        <v>528</v>
      </c>
      <c r="B106" s="24"/>
      <c r="C106" s="24"/>
      <c r="D106" s="24"/>
      <c r="E106" s="24"/>
      <c r="F106" s="24"/>
      <c r="G106" s="24"/>
      <c r="H106" s="24"/>
    </row>
    <row r="107" spans="1:8" ht="9" thickTop="1" thickBot="1" x14ac:dyDescent="0.2">
      <c r="A107" s="24" t="s">
        <v>531</v>
      </c>
      <c r="B107" s="24"/>
      <c r="C107" s="24"/>
      <c r="D107" s="24"/>
      <c r="E107" s="24"/>
      <c r="F107" s="24"/>
      <c r="G107" s="24"/>
      <c r="H107" s="24"/>
    </row>
    <row r="108" spans="1:8" ht="9" thickTop="1" thickBot="1" x14ac:dyDescent="0.2">
      <c r="A108" s="24" t="s">
        <v>590</v>
      </c>
      <c r="B108" s="24"/>
      <c r="C108" s="24"/>
      <c r="D108" s="24"/>
      <c r="E108" s="24"/>
      <c r="F108" s="24"/>
      <c r="G108" s="24"/>
      <c r="H108" s="24"/>
    </row>
    <row r="109" spans="1:8" ht="9" thickTop="1" thickBot="1" x14ac:dyDescent="0.2">
      <c r="A109" s="24" t="s">
        <v>533</v>
      </c>
      <c r="B109" s="24"/>
      <c r="C109" s="24"/>
      <c r="D109" s="24"/>
      <c r="E109" s="24"/>
      <c r="F109" s="24"/>
      <c r="G109" s="24"/>
      <c r="H109" s="24"/>
    </row>
    <row r="110" spans="1:8" ht="9" thickTop="1" thickBot="1" x14ac:dyDescent="0.2"/>
    <row r="111" spans="1:8" ht="9" thickTop="1" thickBot="1" x14ac:dyDescent="0.2">
      <c r="A111" s="71" t="s">
        <v>592</v>
      </c>
      <c r="B111" s="71"/>
      <c r="C111" s="71"/>
      <c r="D111" s="71"/>
      <c r="E111" s="71"/>
      <c r="F111" s="71"/>
      <c r="G111" s="71"/>
      <c r="H111" s="71"/>
    </row>
    <row r="112" spans="1:8" ht="9" thickTop="1" thickBot="1" x14ac:dyDescent="0.2">
      <c r="A112" s="24"/>
      <c r="B112" s="24"/>
      <c r="C112" s="24"/>
      <c r="D112" s="24"/>
      <c r="E112" s="24"/>
      <c r="F112" s="24"/>
      <c r="G112" s="24"/>
      <c r="H112" s="24"/>
    </row>
    <row r="113" spans="1:8" ht="9" thickTop="1" thickBot="1" x14ac:dyDescent="0.2">
      <c r="A113" s="24" t="s">
        <v>514</v>
      </c>
      <c r="B113" s="26">
        <f>B103+7</f>
        <v>78</v>
      </c>
      <c r="C113" s="26">
        <f t="shared" ref="C113:H113" si="10">C103+7</f>
        <v>79</v>
      </c>
      <c r="D113" s="26">
        <f t="shared" si="10"/>
        <v>80</v>
      </c>
      <c r="E113" s="26">
        <f t="shared" si="10"/>
        <v>81</v>
      </c>
      <c r="F113" s="26">
        <f t="shared" si="10"/>
        <v>82</v>
      </c>
      <c r="G113" s="26">
        <f t="shared" si="10"/>
        <v>83</v>
      </c>
      <c r="H113" s="26">
        <f t="shared" si="10"/>
        <v>84</v>
      </c>
    </row>
    <row r="114" spans="1:8" ht="9" thickTop="1" thickBot="1" x14ac:dyDescent="0.2">
      <c r="A114" s="24" t="s">
        <v>515</v>
      </c>
      <c r="B114" s="25">
        <v>43373</v>
      </c>
      <c r="C114" s="25">
        <v>43379</v>
      </c>
      <c r="D114" s="25">
        <v>43380</v>
      </c>
      <c r="E114" s="25">
        <v>43386</v>
      </c>
      <c r="F114" s="25">
        <v>43387</v>
      </c>
      <c r="G114" s="25">
        <v>43393</v>
      </c>
      <c r="H114" s="25">
        <v>43394</v>
      </c>
    </row>
    <row r="115" spans="1:8" ht="9" thickTop="1" thickBot="1" x14ac:dyDescent="0.2">
      <c r="A115" s="24" t="s">
        <v>588</v>
      </c>
      <c r="B115" s="24"/>
      <c r="C115" s="24"/>
      <c r="D115" s="24"/>
      <c r="E115" s="24"/>
      <c r="F115" s="24"/>
      <c r="G115" s="24"/>
      <c r="H115" s="24"/>
    </row>
    <row r="116" spans="1:8" ht="9" thickTop="1" thickBot="1" x14ac:dyDescent="0.2">
      <c r="A116" s="24" t="s">
        <v>528</v>
      </c>
      <c r="B116" s="24"/>
      <c r="C116" s="24"/>
      <c r="D116" s="24"/>
      <c r="E116" s="24"/>
      <c r="F116" s="24"/>
      <c r="G116" s="24"/>
      <c r="H116" s="24"/>
    </row>
    <row r="117" spans="1:8" ht="9" thickTop="1" thickBot="1" x14ac:dyDescent="0.2">
      <c r="A117" s="24" t="s">
        <v>531</v>
      </c>
      <c r="B117" s="24"/>
      <c r="C117" s="24"/>
      <c r="D117" s="24"/>
      <c r="E117" s="24"/>
      <c r="F117" s="24"/>
      <c r="G117" s="24"/>
      <c r="H117" s="24"/>
    </row>
    <row r="118" spans="1:8" ht="9" thickTop="1" thickBot="1" x14ac:dyDescent="0.2">
      <c r="A118" s="24" t="s">
        <v>590</v>
      </c>
      <c r="B118" s="24"/>
      <c r="C118" s="24"/>
      <c r="D118" s="24"/>
      <c r="E118" s="24"/>
      <c r="F118" s="24"/>
      <c r="G118" s="24"/>
      <c r="H118" s="24"/>
    </row>
    <row r="119" spans="1:8" ht="9" thickTop="1" thickBot="1" x14ac:dyDescent="0.2">
      <c r="A119" s="24" t="s">
        <v>533</v>
      </c>
      <c r="B119" s="24"/>
      <c r="C119" s="24"/>
      <c r="D119" s="24"/>
      <c r="E119" s="24"/>
      <c r="F119" s="24"/>
      <c r="G119" s="24"/>
      <c r="H119" s="24"/>
    </row>
    <row r="120" spans="1:8" ht="9" thickTop="1" thickBot="1" x14ac:dyDescent="0.2"/>
    <row r="121" spans="1:8" ht="9" thickTop="1" thickBot="1" x14ac:dyDescent="0.2">
      <c r="A121" s="71" t="s">
        <v>592</v>
      </c>
      <c r="B121" s="71"/>
      <c r="C121" s="71"/>
      <c r="D121" s="71"/>
      <c r="E121" s="71"/>
      <c r="F121" s="71"/>
      <c r="G121" s="71"/>
      <c r="H121" s="71"/>
    </row>
    <row r="122" spans="1:8" ht="9" thickTop="1" thickBot="1" x14ac:dyDescent="0.2">
      <c r="A122" s="24"/>
      <c r="B122" s="24"/>
      <c r="C122" s="24"/>
      <c r="D122" s="24"/>
      <c r="E122" s="24"/>
      <c r="F122" s="24"/>
      <c r="G122" s="24"/>
      <c r="H122" s="24"/>
    </row>
    <row r="123" spans="1:8" ht="9" thickTop="1" thickBot="1" x14ac:dyDescent="0.2">
      <c r="A123" s="24" t="s">
        <v>514</v>
      </c>
      <c r="B123" s="26">
        <f>B113+7</f>
        <v>85</v>
      </c>
      <c r="C123" s="26">
        <f t="shared" ref="C123:H123" si="11">C113+7</f>
        <v>86</v>
      </c>
      <c r="D123" s="26">
        <f t="shared" si="11"/>
        <v>87</v>
      </c>
      <c r="E123" s="26">
        <f t="shared" si="11"/>
        <v>88</v>
      </c>
      <c r="F123" s="26">
        <f t="shared" si="11"/>
        <v>89</v>
      </c>
      <c r="G123" s="26">
        <f t="shared" si="11"/>
        <v>90</v>
      </c>
      <c r="H123" s="26">
        <f t="shared" si="11"/>
        <v>91</v>
      </c>
    </row>
    <row r="124" spans="1:8" ht="9" thickTop="1" thickBot="1" x14ac:dyDescent="0.2">
      <c r="A124" s="24" t="s">
        <v>515</v>
      </c>
      <c r="B124" s="25">
        <v>43400</v>
      </c>
      <c r="C124" s="25">
        <v>43401</v>
      </c>
      <c r="D124" s="25">
        <v>43407</v>
      </c>
      <c r="E124" s="25">
        <v>43408</v>
      </c>
      <c r="F124" s="25">
        <v>43414</v>
      </c>
      <c r="G124" s="25">
        <v>43415</v>
      </c>
      <c r="H124" s="25">
        <v>43421</v>
      </c>
    </row>
    <row r="125" spans="1:8" ht="9" thickTop="1" thickBot="1" x14ac:dyDescent="0.2">
      <c r="A125" s="24" t="s">
        <v>588</v>
      </c>
      <c r="B125" s="24"/>
      <c r="C125" s="24"/>
      <c r="D125" s="24"/>
      <c r="E125" s="24"/>
      <c r="F125" s="24"/>
      <c r="G125" s="24"/>
      <c r="H125" s="24"/>
    </row>
    <row r="126" spans="1:8" ht="9" thickTop="1" thickBot="1" x14ac:dyDescent="0.2">
      <c r="A126" s="24" t="s">
        <v>528</v>
      </c>
      <c r="B126" s="24"/>
      <c r="C126" s="24"/>
      <c r="D126" s="24"/>
      <c r="E126" s="24"/>
      <c r="F126" s="24"/>
      <c r="G126" s="24"/>
      <c r="H126" s="24"/>
    </row>
    <row r="127" spans="1:8" ht="9" thickTop="1" thickBot="1" x14ac:dyDescent="0.2">
      <c r="A127" s="24" t="s">
        <v>531</v>
      </c>
      <c r="B127" s="24"/>
      <c r="C127" s="24"/>
      <c r="D127" s="24"/>
      <c r="E127" s="24"/>
      <c r="F127" s="24"/>
      <c r="G127" s="24"/>
      <c r="H127" s="24"/>
    </row>
    <row r="128" spans="1:8" ht="9" thickTop="1" thickBot="1" x14ac:dyDescent="0.2">
      <c r="A128" s="24" t="s">
        <v>590</v>
      </c>
      <c r="B128" s="24"/>
      <c r="C128" s="24"/>
      <c r="D128" s="24"/>
      <c r="E128" s="24"/>
      <c r="F128" s="24"/>
      <c r="G128" s="24"/>
      <c r="H128" s="24"/>
    </row>
    <row r="129" spans="1:8" ht="9" thickTop="1" thickBot="1" x14ac:dyDescent="0.2">
      <c r="A129" s="24" t="s">
        <v>533</v>
      </c>
      <c r="B129" s="24"/>
      <c r="C129" s="24"/>
      <c r="D129" s="24"/>
      <c r="E129" s="24"/>
      <c r="F129" s="24"/>
      <c r="G129" s="24"/>
      <c r="H129" s="24"/>
    </row>
    <row r="130" spans="1:8" ht="9" thickTop="1" thickBot="1" x14ac:dyDescent="0.2"/>
    <row r="131" spans="1:8" ht="9" thickTop="1" thickBot="1" x14ac:dyDescent="0.2">
      <c r="A131" s="71" t="s">
        <v>592</v>
      </c>
      <c r="B131" s="71"/>
      <c r="C131" s="71"/>
      <c r="D131" s="71"/>
      <c r="E131" s="71"/>
      <c r="F131" s="71"/>
      <c r="G131" s="71"/>
      <c r="H131" s="71"/>
    </row>
    <row r="132" spans="1:8" ht="9" thickTop="1" thickBot="1" x14ac:dyDescent="0.2">
      <c r="A132" s="24"/>
      <c r="B132" s="24"/>
      <c r="C132" s="24"/>
      <c r="D132" s="24"/>
      <c r="E132" s="24"/>
      <c r="F132" s="24"/>
      <c r="G132" s="24"/>
      <c r="H132" s="24"/>
    </row>
    <row r="133" spans="1:8" ht="9" thickTop="1" thickBot="1" x14ac:dyDescent="0.2">
      <c r="A133" s="24" t="s">
        <v>514</v>
      </c>
      <c r="B133" s="26">
        <f>B123+7</f>
        <v>92</v>
      </c>
      <c r="C133" s="26">
        <f t="shared" ref="C133:H133" si="12">C123+7</f>
        <v>93</v>
      </c>
      <c r="D133" s="26">
        <f t="shared" si="12"/>
        <v>94</v>
      </c>
      <c r="E133" s="26">
        <f t="shared" si="12"/>
        <v>95</v>
      </c>
      <c r="F133" s="26">
        <f t="shared" si="12"/>
        <v>96</v>
      </c>
      <c r="G133" s="26">
        <f t="shared" si="12"/>
        <v>97</v>
      </c>
      <c r="H133" s="26">
        <f t="shared" si="12"/>
        <v>98</v>
      </c>
    </row>
    <row r="134" spans="1:8" ht="9" thickTop="1" thickBot="1" x14ac:dyDescent="0.2">
      <c r="A134" s="24" t="s">
        <v>515</v>
      </c>
      <c r="B134" s="25">
        <v>43422</v>
      </c>
      <c r="C134" s="25">
        <v>43428</v>
      </c>
      <c r="D134" s="25">
        <v>43429</v>
      </c>
      <c r="E134" s="25">
        <v>43435</v>
      </c>
      <c r="F134" s="25">
        <v>43436</v>
      </c>
      <c r="G134" s="25">
        <v>43442</v>
      </c>
      <c r="H134" s="25">
        <v>43443</v>
      </c>
    </row>
    <row r="135" spans="1:8" ht="9" thickTop="1" thickBot="1" x14ac:dyDescent="0.2">
      <c r="A135" s="24" t="s">
        <v>588</v>
      </c>
      <c r="B135" s="24"/>
      <c r="C135" s="24"/>
      <c r="D135" s="24"/>
      <c r="E135" s="24"/>
      <c r="F135" s="24"/>
      <c r="G135" s="24"/>
      <c r="H135" s="24"/>
    </row>
    <row r="136" spans="1:8" ht="9" thickTop="1" thickBot="1" x14ac:dyDescent="0.2">
      <c r="A136" s="24" t="s">
        <v>528</v>
      </c>
      <c r="B136" s="24"/>
      <c r="C136" s="24"/>
      <c r="D136" s="24"/>
      <c r="E136" s="24"/>
      <c r="F136" s="24"/>
      <c r="G136" s="24"/>
      <c r="H136" s="24"/>
    </row>
    <row r="137" spans="1:8" ht="9" thickTop="1" thickBot="1" x14ac:dyDescent="0.2">
      <c r="A137" s="24" t="s">
        <v>531</v>
      </c>
      <c r="B137" s="24"/>
      <c r="C137" s="24"/>
      <c r="D137" s="24"/>
      <c r="E137" s="24"/>
      <c r="F137" s="24"/>
      <c r="G137" s="24"/>
      <c r="H137" s="24"/>
    </row>
    <row r="138" spans="1:8" ht="9" thickTop="1" thickBot="1" x14ac:dyDescent="0.2">
      <c r="A138" s="24" t="s">
        <v>590</v>
      </c>
      <c r="B138" s="24"/>
      <c r="C138" s="24"/>
      <c r="D138" s="24"/>
      <c r="E138" s="24"/>
      <c r="F138" s="24"/>
      <c r="G138" s="24"/>
      <c r="H138" s="24"/>
    </row>
    <row r="139" spans="1:8" ht="9" thickTop="1" thickBot="1" x14ac:dyDescent="0.2">
      <c r="A139" s="24" t="s">
        <v>533</v>
      </c>
      <c r="B139" s="24"/>
      <c r="C139" s="24"/>
      <c r="D139" s="24"/>
      <c r="E139" s="24"/>
      <c r="F139" s="24"/>
      <c r="G139" s="24"/>
      <c r="H139" s="24"/>
    </row>
    <row r="140" spans="1:8" ht="9" thickTop="1" thickBot="1" x14ac:dyDescent="0.2"/>
    <row r="141" spans="1:8" ht="9" thickTop="1" thickBot="1" x14ac:dyDescent="0.2">
      <c r="A141" s="71" t="s">
        <v>592</v>
      </c>
      <c r="B141" s="71"/>
      <c r="C141" s="71"/>
      <c r="D141" s="71"/>
      <c r="E141" s="71"/>
      <c r="F141" s="71"/>
      <c r="G141" s="71"/>
      <c r="H141" s="71"/>
    </row>
    <row r="142" spans="1:8" ht="9" thickTop="1" thickBot="1" x14ac:dyDescent="0.2">
      <c r="A142" s="24"/>
      <c r="B142" s="24"/>
      <c r="C142" s="24"/>
      <c r="D142" s="24"/>
      <c r="E142" s="24"/>
      <c r="F142" s="24"/>
      <c r="G142" s="24"/>
      <c r="H142" s="24"/>
    </row>
    <row r="143" spans="1:8" ht="9" thickTop="1" thickBot="1" x14ac:dyDescent="0.2">
      <c r="A143" s="24" t="s">
        <v>514</v>
      </c>
      <c r="B143" s="26">
        <f>B133+7</f>
        <v>99</v>
      </c>
      <c r="C143" s="26">
        <f t="shared" ref="C143:H143" si="13">C133+7</f>
        <v>100</v>
      </c>
      <c r="D143" s="26">
        <f t="shared" si="13"/>
        <v>101</v>
      </c>
      <c r="E143" s="26">
        <f t="shared" si="13"/>
        <v>102</v>
      </c>
      <c r="F143" s="26">
        <f t="shared" si="13"/>
        <v>103</v>
      </c>
      <c r="G143" s="26">
        <f t="shared" si="13"/>
        <v>104</v>
      </c>
      <c r="H143" s="26">
        <f t="shared" si="13"/>
        <v>105</v>
      </c>
    </row>
    <row r="144" spans="1:8" ht="9" thickTop="1" thickBot="1" x14ac:dyDescent="0.2">
      <c r="A144" s="24" t="s">
        <v>515</v>
      </c>
      <c r="B144" s="25">
        <v>43449</v>
      </c>
      <c r="C144" s="25">
        <v>43450</v>
      </c>
      <c r="D144" s="25">
        <v>43456</v>
      </c>
      <c r="E144" s="25">
        <v>43457</v>
      </c>
      <c r="F144" s="25">
        <v>43463</v>
      </c>
      <c r="G144" s="25">
        <v>43464</v>
      </c>
      <c r="H144" s="25"/>
    </row>
    <row r="145" spans="1:8" ht="9" thickTop="1" thickBot="1" x14ac:dyDescent="0.2">
      <c r="A145" s="24" t="s">
        <v>588</v>
      </c>
      <c r="B145" s="24"/>
      <c r="C145" s="24"/>
      <c r="D145" s="24"/>
      <c r="E145" s="24"/>
      <c r="F145" s="24"/>
      <c r="G145" s="24"/>
      <c r="H145" s="24"/>
    </row>
    <row r="146" spans="1:8" ht="9" thickTop="1" thickBot="1" x14ac:dyDescent="0.2">
      <c r="A146" s="24" t="s">
        <v>528</v>
      </c>
      <c r="B146" s="24"/>
      <c r="C146" s="24"/>
      <c r="D146" s="24"/>
      <c r="E146" s="24"/>
      <c r="F146" s="24"/>
      <c r="G146" s="24"/>
      <c r="H146" s="24"/>
    </row>
    <row r="147" spans="1:8" ht="9" thickTop="1" thickBot="1" x14ac:dyDescent="0.2">
      <c r="A147" s="24" t="s">
        <v>531</v>
      </c>
      <c r="B147" s="24"/>
      <c r="C147" s="24"/>
      <c r="D147" s="24"/>
      <c r="E147" s="24"/>
      <c r="F147" s="24"/>
      <c r="G147" s="24"/>
      <c r="H147" s="24"/>
    </row>
    <row r="148" spans="1:8" ht="9" thickTop="1" thickBot="1" x14ac:dyDescent="0.2">
      <c r="A148" s="24" t="s">
        <v>590</v>
      </c>
      <c r="B148" s="24"/>
      <c r="C148" s="24"/>
      <c r="D148" s="24"/>
      <c r="E148" s="24"/>
      <c r="F148" s="24"/>
      <c r="G148" s="24"/>
      <c r="H148" s="24"/>
    </row>
    <row r="149" spans="1:8" ht="9" thickTop="1" thickBot="1" x14ac:dyDescent="0.2">
      <c r="A149" s="24" t="s">
        <v>533</v>
      </c>
      <c r="B149" s="24"/>
      <c r="C149" s="24"/>
      <c r="D149" s="24"/>
      <c r="E149" s="24"/>
      <c r="F149" s="24"/>
      <c r="G149" s="24"/>
      <c r="H149" s="24"/>
    </row>
    <row r="150" spans="1:8" ht="8.4" thickTop="1" x14ac:dyDescent="0.15"/>
    <row r="151" spans="1:8" x14ac:dyDescent="0.15">
      <c r="A151" s="75"/>
      <c r="B151" s="75"/>
      <c r="C151" s="75"/>
      <c r="D151" s="75"/>
      <c r="E151" s="75"/>
      <c r="F151" s="75"/>
      <c r="G151" s="75"/>
      <c r="H151" s="75"/>
    </row>
    <row r="152" spans="1:8" x14ac:dyDescent="0.15">
      <c r="A152" s="29"/>
      <c r="B152" s="29"/>
      <c r="C152" s="29"/>
      <c r="D152" s="29"/>
      <c r="E152" s="29"/>
      <c r="F152" s="29"/>
      <c r="G152" s="29"/>
      <c r="H152" s="29"/>
    </row>
    <row r="153" spans="1:8" x14ac:dyDescent="0.15">
      <c r="A153" s="29"/>
      <c r="B153" s="27"/>
      <c r="C153" s="27"/>
      <c r="D153" s="27"/>
      <c r="E153" s="27"/>
      <c r="F153" s="27"/>
      <c r="G153" s="27"/>
      <c r="H153" s="27"/>
    </row>
    <row r="154" spans="1:8" x14ac:dyDescent="0.15">
      <c r="A154" s="29"/>
      <c r="B154" s="28"/>
      <c r="C154" s="28"/>
      <c r="D154" s="29"/>
      <c r="E154" s="29"/>
      <c r="F154" s="29"/>
      <c r="G154" s="29"/>
      <c r="H154" s="29"/>
    </row>
    <row r="155" spans="1:8" x14ac:dyDescent="0.15">
      <c r="A155" s="29"/>
      <c r="B155" s="29"/>
      <c r="C155" s="29"/>
      <c r="D155" s="29"/>
      <c r="E155" s="29"/>
      <c r="F155" s="29"/>
      <c r="G155" s="29"/>
      <c r="H155" s="29"/>
    </row>
    <row r="156" spans="1:8" x14ac:dyDescent="0.15">
      <c r="A156" s="29"/>
      <c r="B156" s="29"/>
      <c r="C156" s="29"/>
      <c r="D156" s="29"/>
      <c r="E156" s="29"/>
      <c r="F156" s="29"/>
      <c r="G156" s="29"/>
      <c r="H156" s="29"/>
    </row>
    <row r="157" spans="1:8" x14ac:dyDescent="0.15">
      <c r="A157" s="29"/>
      <c r="B157" s="29"/>
      <c r="C157" s="29"/>
      <c r="D157" s="29"/>
      <c r="E157" s="29"/>
      <c r="F157" s="29"/>
      <c r="G157" s="29"/>
      <c r="H157" s="29"/>
    </row>
    <row r="158" spans="1:8" x14ac:dyDescent="0.15">
      <c r="A158" s="29"/>
      <c r="B158" s="29"/>
      <c r="C158" s="29"/>
      <c r="D158" s="29"/>
      <c r="E158" s="29"/>
      <c r="F158" s="29"/>
      <c r="G158" s="29"/>
      <c r="H158" s="29"/>
    </row>
    <row r="159" spans="1:8" x14ac:dyDescent="0.15">
      <c r="A159" s="29"/>
      <c r="B159" s="29"/>
      <c r="C159" s="29"/>
      <c r="D159" s="29"/>
      <c r="E159" s="29"/>
      <c r="F159" s="29"/>
      <c r="G159" s="29"/>
      <c r="H159" s="29"/>
    </row>
  </sheetData>
  <mergeCells count="16">
    <mergeCell ref="A121:H121"/>
    <mergeCell ref="A131:H131"/>
    <mergeCell ref="A141:H141"/>
    <mergeCell ref="A151:H151"/>
    <mergeCell ref="A61:H61"/>
    <mergeCell ref="A71:H71"/>
    <mergeCell ref="A81:H81"/>
    <mergeCell ref="A91:H91"/>
    <mergeCell ref="A101:H101"/>
    <mergeCell ref="A111:H111"/>
    <mergeCell ref="A51:H51"/>
    <mergeCell ref="A1:H1"/>
    <mergeCell ref="A11:H11"/>
    <mergeCell ref="A21:H21"/>
    <mergeCell ref="A31:H31"/>
    <mergeCell ref="A41:H41"/>
  </mergeCells>
  <printOptions verticalCentered="1" gridLines="1"/>
  <pageMargins left="0" right="0" top="0" bottom="0" header="0" footer="0"/>
  <pageSetup paperSize="9" orientation="landscape" r:id="rId1"/>
  <headerFooter>
    <oddFooter>&amp;C&amp;P/&amp;N</oddFooter>
  </headerFooter>
  <rowBreaks count="2" manualBreakCount="2">
    <brk id="60" max="7" man="1"/>
    <brk id="1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13</vt:i4>
      </vt:variant>
    </vt:vector>
  </HeadingPairs>
  <TitlesOfParts>
    <vt:vector size="39" baseType="lpstr">
      <vt:lpstr>Liste choix menus</vt:lpstr>
      <vt:lpstr>Accueil</vt:lpstr>
      <vt:lpstr>Saisie des référentiels</vt:lpstr>
      <vt:lpstr>Liste référentiels</vt:lpstr>
      <vt:lpstr>Saisie des menus</vt:lpstr>
      <vt:lpstr>Menus midi retraite</vt:lpstr>
      <vt:lpstr>Menus journaliers</vt:lpstr>
      <vt:lpstr>Menus viandes weekend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Quantité desserts</vt:lpstr>
      <vt:lpstr>Quantité légumes</vt:lpstr>
      <vt:lpstr>Quantité viandes</vt:lpstr>
      <vt:lpstr>Propostion MMR</vt:lpstr>
      <vt:lpstr>Proposition MJ</vt:lpstr>
      <vt:lpstr>Proposition MVWE</vt:lpstr>
      <vt:lpstr>'Liste choix menus'!Impression_des_titres</vt:lpstr>
      <vt:lpstr>'Liste choix menus'!Zone_d_impression</vt:lpstr>
      <vt:lpstr>'Menus journaliers'!Zone_d_impression</vt:lpstr>
      <vt:lpstr>'Menus midi retraite'!Zone_d_impression</vt:lpstr>
      <vt:lpstr>'Menus viandes weekend'!Zone_d_impression</vt:lpstr>
      <vt:lpstr>'Proposition MJ'!Zone_d_impression</vt:lpstr>
      <vt:lpstr>'Proposition MVWE'!Zone_d_impression</vt:lpstr>
      <vt:lpstr>'Propostion MMR'!Zone_d_impression</vt:lpstr>
      <vt:lpstr>'Quantité desserts'!Zone_d_impression</vt:lpstr>
      <vt:lpstr>'Quantité légumes'!Zone_d_impression</vt:lpstr>
      <vt:lpstr>'Quantité viandes'!Zone_d_impression</vt:lpstr>
      <vt:lpstr>'Saisie des menus'!Zone_d_impression</vt:lpstr>
      <vt:lpstr>'Saisie des référentiels'!Zone_d_impression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2017-11-25T16:04:31Z</cp:lastPrinted>
  <dcterms:created xsi:type="dcterms:W3CDTF">2017-10-25T12:33:44Z</dcterms:created>
  <dcterms:modified xsi:type="dcterms:W3CDTF">2018-03-08T17:25:30Z</dcterms:modified>
</cp:coreProperties>
</file>