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19410" windowHeight="11010" firstSheet="1" activeTab="5"/>
  </bookViews>
  <sheets>
    <sheet name="Base de données sociale" sheetId="3" r:id="rId1"/>
    <sheet name="suivi bulletins" sheetId="1" r:id="rId2"/>
    <sheet name="SMIC" sheetId="5" r:id="rId3"/>
    <sheet name="DUBREUIL JEAN" sheetId="6" r:id="rId4"/>
    <sheet name="ROBERT DUVERGNE" sheetId="7" r:id="rId5"/>
    <sheet name="Controle des charges" sheetId="4" r:id="rId6"/>
  </sheets>
  <definedNames>
    <definedName name="_xlnm._FilterDatabase" localSheetId="0" hidden="1">'Base de données sociale'!$B$26:$Q$26</definedName>
    <definedName name="Assiette_Fillon" localSheetId="3">'DUBREUIL JEAN'!#REF!</definedName>
    <definedName name="Assiette_Fillon" localSheetId="4">'ROBERT DUVERGNE'!#REF!</definedName>
    <definedName name="Assiette_Fillon">#REF!</definedName>
    <definedName name="Coeff.effectif" localSheetId="3">'DUBREUIL JEAN'!$C$15</definedName>
    <definedName name="Coeff.effectif" localSheetId="4">'ROBERT DUVERGNE'!$C$15</definedName>
    <definedName name="Coeff.effectif">#REF!</definedName>
    <definedName name="Horaire_collectif_mensuel" localSheetId="3">'DUBREUIL JEAN'!$C$13</definedName>
    <definedName name="Horaire_collectif_mensuel" localSheetId="4">'ROBERT DUVERGNE'!$C$13</definedName>
    <definedName name="Horaire_collectif_mensuel">#REF!</definedName>
    <definedName name="Mode_calcul" localSheetId="4">'ROBERT DUVERGNE'!$C$11</definedName>
    <definedName name="Mode_calcul">'DUBREUIL JEAN'!$C$11</definedName>
    <definedName name="Montant_absences_non_rémunérées" localSheetId="3">'DUBREUIL JEAN'!#REF!</definedName>
    <definedName name="Montant_absences_non_rémunérées" localSheetId="4">'ROBERT DUVERGNE'!#REF!</definedName>
    <definedName name="Montant_absences_non_rémunérées">#REF!</definedName>
    <definedName name="Montant_annuel_absences_non_rémunérées" localSheetId="3">'DUBREUIL JEAN'!#REF!</definedName>
    <definedName name="Montant_annuel_absences_non_rémunérées" localSheetId="4">'ROBERT DUVERGNE'!#REF!</definedName>
    <definedName name="Montant_annuel_absences_non_rémunérées">#REF!</definedName>
    <definedName name="Montant_annuel_gain_des_heures_compl._et_suppl." localSheetId="3">'DUBREUIL JEAN'!#REF!</definedName>
    <definedName name="Montant_annuel_gain_des_heures_compl._et_suppl." localSheetId="4">'ROBERT DUVERGNE'!#REF!</definedName>
    <definedName name="Montant_annuel_gain_des_heures_compl._et_suppl.">#REF!</definedName>
    <definedName name="Montant_annuel_retenu_ijss_brutes" localSheetId="3">'DUBREUIL JEAN'!#REF!</definedName>
    <definedName name="Montant_annuel_retenu_ijss_brutes" localSheetId="4">'ROBERT DUVERGNE'!#REF!</definedName>
    <definedName name="Montant_annuel_retenu_ijss_brutes">#REF!</definedName>
    <definedName name="Montant_retenu_ijss_brutes" localSheetId="3">'DUBREUIL JEAN'!#REF!</definedName>
    <definedName name="Montant_retenu_ijss_brutes" localSheetId="4">'ROBERT DUVERGNE'!#REF!</definedName>
    <definedName name="Montant_retenu_ijss_brutes">#REF!</definedName>
    <definedName name="Nb_heures_supp" localSheetId="3">'DUBREUIL JEAN'!#REF!</definedName>
    <definedName name="Nb_heures_supp" localSheetId="4">'ROBERT DUVERGNE'!#REF!</definedName>
    <definedName name="Nb_heures_supp">#REF!</definedName>
    <definedName name="Prorata_horaire_annuel" localSheetId="3">'DUBREUIL JEAN'!#REF!</definedName>
    <definedName name="Prorata_horaire_annuel" localSheetId="4">'ROBERT DUVERGNE'!#REF!</definedName>
    <definedName name="Prorata_horaire_annuel">#REF!</definedName>
    <definedName name="Prorata_horaire_mensuel" localSheetId="3">'DUBREUIL JEAN'!#REF!</definedName>
    <definedName name="Prorata_horaire_mensuel" localSheetId="4">'ROBERT DUVERGNE'!#REF!</definedName>
    <definedName name="Prorata_horaire_mensuel">#REF!</definedName>
    <definedName name="Salaire_brut_annuel_total" localSheetId="3">'DUBREUIL JEAN'!#REF!</definedName>
    <definedName name="Salaire_brut_annuel_total" localSheetId="4">'ROBERT DUVERGNE'!#REF!</definedName>
    <definedName name="Salaire_brut_annuel_total">#REF!</definedName>
    <definedName name="Salaire_brut_annuel_total__sauf_HS_et_IJSS" localSheetId="3">'DUBREUIL JEAN'!#REF!</definedName>
    <definedName name="Salaire_brut_annuel_total__sauf_HS_et_IJSS" localSheetId="4">'ROBERT DUVERGNE'!#REF!</definedName>
    <definedName name="Salaire_brut_annuel_total__sauf_HS_et_IJSS">#REF!</definedName>
    <definedName name="Salaire_brut_août" localSheetId="4">'ROBERT DUVERGNE'!$D$30</definedName>
    <definedName name="Salaire_brut_août">'DUBREUIL JEAN'!$D$30</definedName>
    <definedName name="Salaire_brut_avril" localSheetId="4">'ROBERT DUVERGNE'!$D$26</definedName>
    <definedName name="Salaire_brut_avril">'DUBREUIL JEAN'!$D$26</definedName>
    <definedName name="Salaire_brut_décembre" localSheetId="4">'ROBERT DUVERGNE'!$D$34</definedName>
    <definedName name="Salaire_brut_décembre">'DUBREUIL JEAN'!$D$34</definedName>
    <definedName name="Salaire_brut_février" localSheetId="4">'ROBERT DUVERGNE'!$D$24</definedName>
    <definedName name="Salaire_brut_février">'DUBREUIL JEAN'!$D$24</definedName>
    <definedName name="Salaire_brut_janvier" localSheetId="4">'ROBERT DUVERGNE'!$D$23</definedName>
    <definedName name="Salaire_brut_janvier">'DUBREUIL JEAN'!$D$23</definedName>
    <definedName name="Salaire_brut_juillet" localSheetId="4">'ROBERT DUVERGNE'!$D$29</definedName>
    <definedName name="Salaire_brut_juillet">'DUBREUIL JEAN'!$D$29</definedName>
    <definedName name="Salaire_brut_juin" localSheetId="4">'ROBERT DUVERGNE'!$D$28</definedName>
    <definedName name="Salaire_brut_juin">'DUBREUIL JEAN'!$D$28</definedName>
    <definedName name="Salaire_brut_mai" localSheetId="4">'ROBERT DUVERGNE'!$D$27</definedName>
    <definedName name="Salaire_brut_mai">'DUBREUIL JEAN'!$D$27</definedName>
    <definedName name="Salaire_brut_mars" localSheetId="4">'ROBERT DUVERGNE'!$D$25</definedName>
    <definedName name="Salaire_brut_mars">'DUBREUIL JEAN'!$D$25</definedName>
    <definedName name="Salaire_brut_novembre" localSheetId="4">'ROBERT DUVERGNE'!$D$33</definedName>
    <definedName name="Salaire_brut_novembre">'DUBREUIL JEAN'!$D$33</definedName>
    <definedName name="Salaire_brut_octobre" localSheetId="4">'ROBERT DUVERGNE'!$D$32</definedName>
    <definedName name="Salaire_brut_octobre">'DUBREUIL JEAN'!$D$32</definedName>
    <definedName name="Salaire_brut_septembre" localSheetId="4">'ROBERT DUVERGNE'!$D$31</definedName>
    <definedName name="Salaire_brut_septembre">'DUBREUIL JEAN'!$D$31</definedName>
    <definedName name="Salaire_brut_total__sauf_HS_et_IJSS" localSheetId="3">'DUBREUIL JEAN'!#REF!</definedName>
    <definedName name="Salaire_brut_total__sauf_HS_et_IJSS" localSheetId="4">'ROBERT DUVERGNE'!#REF!</definedName>
    <definedName name="Salaire_brut_total__sauf_HS_et_IJSS">#REF!</definedName>
    <definedName name="Salaire_mensuel" localSheetId="3">'DUBREUIL JEAN'!#REF!</definedName>
    <definedName name="Salaire_mensuel" localSheetId="4">'ROBERT DUVERGNE'!#REF!</definedName>
    <definedName name="Salaire_mensuel">#REF!</definedName>
    <definedName name="Smic_août" localSheetId="4">'ROBERT DUVERGNE'!#REF!</definedName>
    <definedName name="Smic_août">'DUBREUIL JEAN'!#REF!</definedName>
    <definedName name="Smic_avril" localSheetId="4">'ROBERT DUVERGNE'!#REF!</definedName>
    <definedName name="Smic_avril">'DUBREUIL JEAN'!#REF!</definedName>
    <definedName name="Smic_décembre" localSheetId="4">'ROBERT DUVERGNE'!#REF!</definedName>
    <definedName name="Smic_décembre">'DUBREUIL JEAN'!#REF!</definedName>
    <definedName name="Smic_février" localSheetId="4">'ROBERT DUVERGNE'!#REF!</definedName>
    <definedName name="Smic_février">'DUBREUIL JEAN'!#REF!</definedName>
    <definedName name="Smic_janvier" localSheetId="4">'ROBERT DUVERGNE'!#REF!</definedName>
    <definedName name="Smic_janvier">'DUBREUIL JEAN'!#REF!</definedName>
    <definedName name="Smic_juillet" localSheetId="4">'ROBERT DUVERGNE'!#REF!</definedName>
    <definedName name="Smic_juillet">'DUBREUIL JEAN'!#REF!</definedName>
    <definedName name="Smic_juin" localSheetId="4">'ROBERT DUVERGNE'!#REF!</definedName>
    <definedName name="Smic_juin">'DUBREUIL JEAN'!#REF!</definedName>
    <definedName name="Smic_mai" localSheetId="4">'ROBERT DUVERGNE'!#REF!</definedName>
    <definedName name="Smic_mai">'DUBREUIL JEAN'!#REF!</definedName>
    <definedName name="Smic_mars" localSheetId="4">'ROBERT DUVERGNE'!#REF!</definedName>
    <definedName name="Smic_mars">'DUBREUIL JEAN'!#REF!</definedName>
    <definedName name="Smic_mensuel" localSheetId="3">'DUBREUIL JEAN'!#REF!</definedName>
    <definedName name="Smic_mensuel" localSheetId="4">'ROBERT DUVERGNE'!#REF!</definedName>
    <definedName name="Smic_mensuel">#REF!</definedName>
    <definedName name="Smic_novembre" localSheetId="4">'ROBERT DUVERGNE'!#REF!</definedName>
    <definedName name="Smic_novembre">'DUBREUIL JEAN'!#REF!</definedName>
    <definedName name="Smic_octobre" localSheetId="4">'ROBERT DUVERGNE'!#REF!</definedName>
    <definedName name="Smic_octobre">'DUBREUIL JEAN'!#REF!</definedName>
    <definedName name="Smic_septembre" localSheetId="4">'ROBERT DUVERGNE'!#REF!</definedName>
    <definedName name="Smic_septembre">'DUBREUIL JEAN'!#REF!</definedName>
    <definedName name="Taux_horaire_smic" localSheetId="3">'DUBREUIL JEAN'!#REF!</definedName>
    <definedName name="Taux_horaire_smic" localSheetId="4">'ROBERT DUVERGNE'!#REF!</definedName>
    <definedName name="Taux_horaire_smic">#REF!</definedName>
    <definedName name="_xlnm.Print_Area" localSheetId="3">'DUBREUIL JEAN'!$B$1:$W$51</definedName>
    <definedName name="_xlnm.Print_Area" localSheetId="4">'ROBERT DUVERGNE'!$B$1:$W$51</definedName>
  </definedNames>
  <calcPr calcId="124519"/>
</workbook>
</file>

<file path=xl/calcChain.xml><?xml version="1.0" encoding="utf-8"?>
<calcChain xmlns="http://schemas.openxmlformats.org/spreadsheetml/2006/main">
  <c r="C16" i="4"/>
  <c r="B3"/>
  <c r="B2"/>
  <c r="Q15"/>
  <c r="P15"/>
  <c r="C15"/>
  <c r="N15" s="1"/>
  <c r="C12"/>
  <c r="G23" i="6"/>
  <c r="B16" i="4" s="1"/>
  <c r="B12"/>
  <c r="D35" i="7"/>
  <c r="T34"/>
  <c r="Q34"/>
  <c r="N34"/>
  <c r="K34"/>
  <c r="J34"/>
  <c r="H34"/>
  <c r="G34"/>
  <c r="C34"/>
  <c r="N33"/>
  <c r="K33"/>
  <c r="J33"/>
  <c r="H33"/>
  <c r="G33"/>
  <c r="C33"/>
  <c r="N32"/>
  <c r="K32"/>
  <c r="J32"/>
  <c r="H32"/>
  <c r="G32"/>
  <c r="C32"/>
  <c r="N31"/>
  <c r="K31"/>
  <c r="J31"/>
  <c r="H31"/>
  <c r="G31"/>
  <c r="C31"/>
  <c r="N30"/>
  <c r="K30"/>
  <c r="J30"/>
  <c r="H30"/>
  <c r="G30"/>
  <c r="C30"/>
  <c r="N29"/>
  <c r="K29"/>
  <c r="J29"/>
  <c r="H29"/>
  <c r="G29"/>
  <c r="C29"/>
  <c r="N28"/>
  <c r="K28"/>
  <c r="J28"/>
  <c r="H28"/>
  <c r="G28"/>
  <c r="C28"/>
  <c r="N27"/>
  <c r="K27"/>
  <c r="J27"/>
  <c r="H27"/>
  <c r="G27"/>
  <c r="C27"/>
  <c r="N26"/>
  <c r="K26"/>
  <c r="J26"/>
  <c r="H26"/>
  <c r="G26"/>
  <c r="C26"/>
  <c r="N25"/>
  <c r="K25"/>
  <c r="J25"/>
  <c r="H25"/>
  <c r="G25"/>
  <c r="C25"/>
  <c r="N24"/>
  <c r="K24"/>
  <c r="J24"/>
  <c r="H24"/>
  <c r="G24"/>
  <c r="C24"/>
  <c r="N23"/>
  <c r="K23"/>
  <c r="H23"/>
  <c r="G23"/>
  <c r="C23"/>
  <c r="J23" s="1"/>
  <c r="L23" s="1"/>
  <c r="E19"/>
  <c r="E18"/>
  <c r="C15"/>
  <c r="D35" i="6"/>
  <c r="T34"/>
  <c r="Q34"/>
  <c r="N34"/>
  <c r="K34"/>
  <c r="J34"/>
  <c r="H34"/>
  <c r="G34"/>
  <c r="N33"/>
  <c r="K33"/>
  <c r="J33"/>
  <c r="H33"/>
  <c r="G33"/>
  <c r="N32"/>
  <c r="K32"/>
  <c r="J32"/>
  <c r="H32"/>
  <c r="G32"/>
  <c r="N31"/>
  <c r="K31"/>
  <c r="J31"/>
  <c r="H31"/>
  <c r="G31"/>
  <c r="N30"/>
  <c r="K30"/>
  <c r="J30"/>
  <c r="H30"/>
  <c r="G30"/>
  <c r="N29"/>
  <c r="K29"/>
  <c r="H29"/>
  <c r="G29"/>
  <c r="C29"/>
  <c r="J29" s="1"/>
  <c r="N28"/>
  <c r="K28"/>
  <c r="J28"/>
  <c r="H28"/>
  <c r="G28"/>
  <c r="N27"/>
  <c r="K27"/>
  <c r="J27"/>
  <c r="H27"/>
  <c r="G27"/>
  <c r="N26"/>
  <c r="K26"/>
  <c r="J26"/>
  <c r="H26"/>
  <c r="G26"/>
  <c r="N25"/>
  <c r="K25"/>
  <c r="J25"/>
  <c r="H25"/>
  <c r="G25"/>
  <c r="N24"/>
  <c r="K24"/>
  <c r="J24"/>
  <c r="H24"/>
  <c r="G24"/>
  <c r="N23"/>
  <c r="K23"/>
  <c r="H23"/>
  <c r="C23"/>
  <c r="M23" s="1"/>
  <c r="E19"/>
  <c r="E18"/>
  <c r="C15"/>
  <c r="B12" i="5"/>
  <c r="B13" s="1"/>
  <c r="B11"/>
  <c r="C30" i="6" s="1"/>
  <c r="B6" i="5"/>
  <c r="C25" i="6" s="1"/>
  <c r="B5" i="5"/>
  <c r="C24" i="6" s="1"/>
  <c r="B15" i="4"/>
  <c r="O15" l="1"/>
  <c r="P34" i="7"/>
  <c r="S34" s="1"/>
  <c r="J23" i="6"/>
  <c r="L23" s="1"/>
  <c r="L24" s="1"/>
  <c r="L25" s="1"/>
  <c r="L26" s="1"/>
  <c r="L27" s="1"/>
  <c r="L28" s="1"/>
  <c r="L29" s="1"/>
  <c r="L30" s="1"/>
  <c r="L31" s="1"/>
  <c r="L32" s="1"/>
  <c r="L33" s="1"/>
  <c r="L34" s="1"/>
  <c r="L24" i="7"/>
  <c r="M23"/>
  <c r="M24" s="1"/>
  <c r="M25" s="1"/>
  <c r="M26" s="1"/>
  <c r="M27" s="1"/>
  <c r="M28" s="1"/>
  <c r="M29" s="1"/>
  <c r="M30" s="1"/>
  <c r="M31" s="1"/>
  <c r="M32" s="1"/>
  <c r="M33" s="1"/>
  <c r="M34" s="1"/>
  <c r="P23"/>
  <c r="S23" s="1"/>
  <c r="P24"/>
  <c r="S24" s="1"/>
  <c r="U24" s="1"/>
  <c r="P25"/>
  <c r="S25" s="1"/>
  <c r="U25" s="1"/>
  <c r="P26"/>
  <c r="S26" s="1"/>
  <c r="U26" s="1"/>
  <c r="P27"/>
  <c r="S27" s="1"/>
  <c r="U27" s="1"/>
  <c r="P28"/>
  <c r="S28" s="1"/>
  <c r="U28" s="1"/>
  <c r="P29"/>
  <c r="S29" s="1"/>
  <c r="U29" s="1"/>
  <c r="P30"/>
  <c r="S30" s="1"/>
  <c r="U30" s="1"/>
  <c r="P31"/>
  <c r="S31" s="1"/>
  <c r="U31" s="1"/>
  <c r="P32"/>
  <c r="S32" s="1"/>
  <c r="U32" s="1"/>
  <c r="P33"/>
  <c r="S33" s="1"/>
  <c r="U33" s="1"/>
  <c r="M24" i="6"/>
  <c r="B7" i="5"/>
  <c r="B8" s="1"/>
  <c r="B14"/>
  <c r="C32" i="6"/>
  <c r="P32" s="1"/>
  <c r="S32" s="1"/>
  <c r="U32" s="1"/>
  <c r="M25"/>
  <c r="B9" i="5"/>
  <c r="C28" i="6" s="1"/>
  <c r="P28" s="1"/>
  <c r="S28" s="1"/>
  <c r="U28" s="1"/>
  <c r="C27"/>
  <c r="P27" s="1"/>
  <c r="S27" s="1"/>
  <c r="U27" s="1"/>
  <c r="P24"/>
  <c r="S24" s="1"/>
  <c r="U24" s="1"/>
  <c r="P25"/>
  <c r="S25" s="1"/>
  <c r="U25" s="1"/>
  <c r="P29"/>
  <c r="S29" s="1"/>
  <c r="U29" s="1"/>
  <c r="P30"/>
  <c r="S30" s="1"/>
  <c r="U30" s="1"/>
  <c r="C26"/>
  <c r="P26" s="1"/>
  <c r="S26" s="1"/>
  <c r="U26" s="1"/>
  <c r="C31"/>
  <c r="P31" s="1"/>
  <c r="S31" s="1"/>
  <c r="U31" s="1"/>
  <c r="P23" l="1"/>
  <c r="S23" s="1"/>
  <c r="U23" s="1"/>
  <c r="W23" s="1"/>
  <c r="B19" i="4" s="1"/>
  <c r="M19" s="1"/>
  <c r="O25" i="6"/>
  <c r="Q25" s="1"/>
  <c r="O24"/>
  <c r="Q24" s="1"/>
  <c r="O23"/>
  <c r="R23" s="1"/>
  <c r="W29" i="7"/>
  <c r="X41"/>
  <c r="D48" s="1"/>
  <c r="V29"/>
  <c r="Y41"/>
  <c r="E48" s="1"/>
  <c r="U23"/>
  <c r="S35"/>
  <c r="O23"/>
  <c r="W33"/>
  <c r="V33"/>
  <c r="V25"/>
  <c r="W25"/>
  <c r="L25"/>
  <c r="O24"/>
  <c r="Q24" s="1"/>
  <c r="V30"/>
  <c r="W30"/>
  <c r="Y40"/>
  <c r="E47" s="1"/>
  <c r="W26"/>
  <c r="X40"/>
  <c r="D47" s="1"/>
  <c r="V26"/>
  <c r="W31"/>
  <c r="V31"/>
  <c r="V27"/>
  <c r="W27"/>
  <c r="V32"/>
  <c r="W32"/>
  <c r="V28"/>
  <c r="W28"/>
  <c r="W24"/>
  <c r="V24"/>
  <c r="X40" i="6"/>
  <c r="Y40"/>
  <c r="V24"/>
  <c r="W24"/>
  <c r="M26"/>
  <c r="X41"/>
  <c r="Y41"/>
  <c r="C33"/>
  <c r="P33" s="1"/>
  <c r="S33" s="1"/>
  <c r="U33" s="1"/>
  <c r="B15" i="5"/>
  <c r="C34" i="6" s="1"/>
  <c r="P34" s="1"/>
  <c r="S34" s="1"/>
  <c r="Q23" l="1"/>
  <c r="R24"/>
  <c r="R25" s="1"/>
  <c r="V39" s="1"/>
  <c r="R23" i="7"/>
  <c r="Q23"/>
  <c r="X39"/>
  <c r="D46" s="1"/>
  <c r="V23"/>
  <c r="C18" i="4" s="1"/>
  <c r="Y39" i="7"/>
  <c r="E46" s="1"/>
  <c r="W23"/>
  <c r="L26"/>
  <c r="O25"/>
  <c r="Q25" s="1"/>
  <c r="S35" i="6"/>
  <c r="V23"/>
  <c r="B18" i="4" s="1"/>
  <c r="X39" i="6"/>
  <c r="D46" s="1"/>
  <c r="Y39"/>
  <c r="M27"/>
  <c r="O26"/>
  <c r="Q26" s="1"/>
  <c r="V25"/>
  <c r="W25"/>
  <c r="R26" l="1"/>
  <c r="W39"/>
  <c r="R25" i="7"/>
  <c r="R24"/>
  <c r="L27"/>
  <c r="O26"/>
  <c r="Q26" s="1"/>
  <c r="E46" i="6"/>
  <c r="V26"/>
  <c r="W26"/>
  <c r="M28"/>
  <c r="O27"/>
  <c r="Q27" s="1"/>
  <c r="R27" s="1"/>
  <c r="R26" i="7" l="1"/>
  <c r="V39"/>
  <c r="L28"/>
  <c r="O27"/>
  <c r="Q27" s="1"/>
  <c r="R27" s="1"/>
  <c r="W39"/>
  <c r="M29" i="6"/>
  <c r="O28"/>
  <c r="Q28" s="1"/>
  <c r="R28" s="1"/>
  <c r="V27"/>
  <c r="W27"/>
  <c r="L29" i="7" l="1"/>
  <c r="O28"/>
  <c r="Q28" s="1"/>
  <c r="R28" s="1"/>
  <c r="W40" s="1"/>
  <c r="V28" i="6"/>
  <c r="W28"/>
  <c r="M30"/>
  <c r="O29"/>
  <c r="Q29" s="1"/>
  <c r="R29" s="1"/>
  <c r="V40"/>
  <c r="D47" s="1"/>
  <c r="W40"/>
  <c r="E47" s="1"/>
  <c r="V40" i="7" l="1"/>
  <c r="L30"/>
  <c r="O29"/>
  <c r="Q29" s="1"/>
  <c r="R29" s="1"/>
  <c r="V29" i="6"/>
  <c r="W29"/>
  <c r="M31"/>
  <c r="O30"/>
  <c r="Q30" s="1"/>
  <c r="R30" s="1"/>
  <c r="L31" i="7" l="1"/>
  <c r="O30"/>
  <c r="Q30" s="1"/>
  <c r="R30" s="1"/>
  <c r="M32" i="6"/>
  <c r="O31"/>
  <c r="Q31" s="1"/>
  <c r="R31" s="1"/>
  <c r="V30"/>
  <c r="W30"/>
  <c r="L32" i="7" l="1"/>
  <c r="O31"/>
  <c r="Q31" s="1"/>
  <c r="R31" s="1"/>
  <c r="W41" s="1"/>
  <c r="V31" i="6"/>
  <c r="W31"/>
  <c r="W41"/>
  <c r="E48" s="1"/>
  <c r="M33"/>
  <c r="O32"/>
  <c r="Q32" s="1"/>
  <c r="R32" s="1"/>
  <c r="V41"/>
  <c r="D48" s="1"/>
  <c r="V41" i="7" l="1"/>
  <c r="L33"/>
  <c r="O32"/>
  <c r="Q32" s="1"/>
  <c r="R32" s="1"/>
  <c r="V32" i="6"/>
  <c r="W32"/>
  <c r="M34"/>
  <c r="O34" s="1"/>
  <c r="O33"/>
  <c r="Q33" s="1"/>
  <c r="R33" s="1"/>
  <c r="L34" i="7" l="1"/>
  <c r="O34" s="1"/>
  <c r="O33"/>
  <c r="Q33" s="1"/>
  <c r="R33" s="1"/>
  <c r="V33" i="6"/>
  <c r="W33"/>
  <c r="R34"/>
  <c r="R34" i="7" l="1"/>
  <c r="V42" s="1"/>
  <c r="U34" i="6"/>
  <c r="W34" s="1"/>
  <c r="W42"/>
  <c r="V42"/>
  <c r="W42" i="7" l="1"/>
  <c r="U34"/>
  <c r="W34" s="1"/>
  <c r="V34" i="6"/>
  <c r="V35" s="1"/>
  <c r="X42"/>
  <c r="D49" s="1"/>
  <c r="Y42"/>
  <c r="E49" s="1"/>
  <c r="D50" l="1"/>
  <c r="Y42" i="7"/>
  <c r="E49" s="1"/>
  <c r="X42"/>
  <c r="D49" s="1"/>
  <c r="V34"/>
  <c r="V35" s="1"/>
  <c r="D50" l="1"/>
  <c r="B26" i="4" l="1"/>
  <c r="F18"/>
  <c r="F26" s="1"/>
  <c r="G18"/>
  <c r="H18"/>
  <c r="I18"/>
  <c r="J18"/>
  <c r="J26" s="1"/>
  <c r="J35" s="1"/>
  <c r="K18"/>
  <c r="B17"/>
  <c r="B13" s="1"/>
  <c r="L139"/>
  <c r="L138"/>
  <c r="K137"/>
  <c r="J137"/>
  <c r="I137"/>
  <c r="H137"/>
  <c r="G137"/>
  <c r="F137"/>
  <c r="E137"/>
  <c r="D137"/>
  <c r="C137"/>
  <c r="B137"/>
  <c r="K136"/>
  <c r="J136"/>
  <c r="I136"/>
  <c r="H136"/>
  <c r="G136"/>
  <c r="F136"/>
  <c r="E136"/>
  <c r="D136"/>
  <c r="C136"/>
  <c r="B136"/>
  <c r="L135"/>
  <c r="L131"/>
  <c r="K130"/>
  <c r="J130"/>
  <c r="I130"/>
  <c r="H130"/>
  <c r="G130"/>
  <c r="F130"/>
  <c r="E130"/>
  <c r="D130"/>
  <c r="C130"/>
  <c r="B130"/>
  <c r="L121"/>
  <c r="K120"/>
  <c r="J120"/>
  <c r="I120"/>
  <c r="H120"/>
  <c r="G120"/>
  <c r="F120"/>
  <c r="E120"/>
  <c r="D120"/>
  <c r="C120"/>
  <c r="B120"/>
  <c r="L111"/>
  <c r="K110"/>
  <c r="J110"/>
  <c r="I110"/>
  <c r="H110"/>
  <c r="G110"/>
  <c r="F110"/>
  <c r="E110"/>
  <c r="D110"/>
  <c r="C110"/>
  <c r="B110"/>
  <c r="L108"/>
  <c r="L105"/>
  <c r="K103"/>
  <c r="J103"/>
  <c r="I103"/>
  <c r="H103"/>
  <c r="G103"/>
  <c r="F103"/>
  <c r="E103"/>
  <c r="D103"/>
  <c r="C103"/>
  <c r="B103"/>
  <c r="K102"/>
  <c r="J102"/>
  <c r="I102"/>
  <c r="H102"/>
  <c r="G102"/>
  <c r="F102"/>
  <c r="E102"/>
  <c r="D102"/>
  <c r="C102"/>
  <c r="B102"/>
  <c r="L101"/>
  <c r="L97"/>
  <c r="K96"/>
  <c r="J96"/>
  <c r="I96"/>
  <c r="H96"/>
  <c r="G96"/>
  <c r="F96"/>
  <c r="E96"/>
  <c r="D96"/>
  <c r="C96"/>
  <c r="B96"/>
  <c r="L87"/>
  <c r="K86"/>
  <c r="J86"/>
  <c r="I86"/>
  <c r="H86"/>
  <c r="G86"/>
  <c r="F86"/>
  <c r="E86"/>
  <c r="D86"/>
  <c r="C86"/>
  <c r="B86"/>
  <c r="L77"/>
  <c r="K76"/>
  <c r="J76"/>
  <c r="I76"/>
  <c r="H76"/>
  <c r="G76"/>
  <c r="F76"/>
  <c r="E76"/>
  <c r="D76"/>
  <c r="C76"/>
  <c r="B76"/>
  <c r="L70"/>
  <c r="K68"/>
  <c r="J68"/>
  <c r="I68"/>
  <c r="H68"/>
  <c r="G68"/>
  <c r="F68"/>
  <c r="E68"/>
  <c r="D68"/>
  <c r="C68"/>
  <c r="B68"/>
  <c r="K67"/>
  <c r="J67"/>
  <c r="I67"/>
  <c r="H67"/>
  <c r="G67"/>
  <c r="F67"/>
  <c r="E67"/>
  <c r="D67"/>
  <c r="C67"/>
  <c r="B67"/>
  <c r="L66"/>
  <c r="L62"/>
  <c r="K61"/>
  <c r="J61"/>
  <c r="I61"/>
  <c r="H61"/>
  <c r="G61"/>
  <c r="F61"/>
  <c r="E61"/>
  <c r="D61"/>
  <c r="C61"/>
  <c r="B61"/>
  <c r="L53"/>
  <c r="K52"/>
  <c r="J52"/>
  <c r="I52"/>
  <c r="H52"/>
  <c r="G52"/>
  <c r="F52"/>
  <c r="E52"/>
  <c r="D52"/>
  <c r="C52"/>
  <c r="B52"/>
  <c r="L44"/>
  <c r="K43"/>
  <c r="J43"/>
  <c r="I43"/>
  <c r="H43"/>
  <c r="G43"/>
  <c r="F43"/>
  <c r="E43"/>
  <c r="D43"/>
  <c r="C43"/>
  <c r="B43"/>
  <c r="L41"/>
  <c r="L40"/>
  <c r="K38"/>
  <c r="J38"/>
  <c r="J49" s="1"/>
  <c r="I38"/>
  <c r="H38"/>
  <c r="H49" s="1"/>
  <c r="H58" s="1"/>
  <c r="G38"/>
  <c r="F38"/>
  <c r="F49" s="1"/>
  <c r="E38"/>
  <c r="D38"/>
  <c r="D49" s="1"/>
  <c r="D58" s="1"/>
  <c r="C38"/>
  <c r="B38"/>
  <c r="B49" s="1"/>
  <c r="K37"/>
  <c r="K48" s="1"/>
  <c r="K57" s="1"/>
  <c r="J37"/>
  <c r="I37"/>
  <c r="I48" s="1"/>
  <c r="H37"/>
  <c r="H48" s="1"/>
  <c r="G37"/>
  <c r="G48" s="1"/>
  <c r="G57" s="1"/>
  <c r="F37"/>
  <c r="E37"/>
  <c r="E48" s="1"/>
  <c r="D37"/>
  <c r="D48" s="1"/>
  <c r="C37"/>
  <c r="C48" s="1"/>
  <c r="C57" s="1"/>
  <c r="B37"/>
  <c r="L36"/>
  <c r="C35"/>
  <c r="L32"/>
  <c r="K31"/>
  <c r="J31"/>
  <c r="I31"/>
  <c r="H31"/>
  <c r="G31"/>
  <c r="F31"/>
  <c r="E31"/>
  <c r="D31"/>
  <c r="C31"/>
  <c r="B31"/>
  <c r="K27"/>
  <c r="J27"/>
  <c r="I27"/>
  <c r="H27"/>
  <c r="G27"/>
  <c r="F27"/>
  <c r="E27"/>
  <c r="D27"/>
  <c r="C27"/>
  <c r="B27"/>
  <c r="L23"/>
  <c r="K22"/>
  <c r="J22"/>
  <c r="I22"/>
  <c r="H22"/>
  <c r="G22"/>
  <c r="F22"/>
  <c r="E22"/>
  <c r="D22"/>
  <c r="C22"/>
  <c r="B22"/>
  <c r="K17"/>
  <c r="K25" s="1"/>
  <c r="J17"/>
  <c r="J25" s="1"/>
  <c r="I17"/>
  <c r="I25" s="1"/>
  <c r="H17"/>
  <c r="H25" s="1"/>
  <c r="H21" s="1"/>
  <c r="G17"/>
  <c r="G25" s="1"/>
  <c r="G34" s="1"/>
  <c r="G30" s="1"/>
  <c r="F17"/>
  <c r="F25" s="1"/>
  <c r="E25"/>
  <c r="D17"/>
  <c r="D25" s="1"/>
  <c r="D21" s="1"/>
  <c r="C17"/>
  <c r="C25" s="1"/>
  <c r="L15"/>
  <c r="K14"/>
  <c r="J14"/>
  <c r="I14"/>
  <c r="H14"/>
  <c r="G14"/>
  <c r="F14"/>
  <c r="E14"/>
  <c r="D14"/>
  <c r="C14"/>
  <c r="B14"/>
  <c r="C47" l="1"/>
  <c r="E72"/>
  <c r="E83" s="1"/>
  <c r="I72"/>
  <c r="I83" s="1"/>
  <c r="I93" s="1"/>
  <c r="L61"/>
  <c r="L68"/>
  <c r="H72"/>
  <c r="H83" s="1"/>
  <c r="L86"/>
  <c r="B35"/>
  <c r="B47" s="1"/>
  <c r="J47"/>
  <c r="K72"/>
  <c r="K83" s="1"/>
  <c r="K93" s="1"/>
  <c r="K107" s="1"/>
  <c r="K117" s="1"/>
  <c r="K127" s="1"/>
  <c r="K141" s="1"/>
  <c r="L43"/>
  <c r="L96"/>
  <c r="L120"/>
  <c r="H34"/>
  <c r="H46" s="1"/>
  <c r="L110"/>
  <c r="L31"/>
  <c r="L76"/>
  <c r="L102"/>
  <c r="L103"/>
  <c r="L130"/>
  <c r="L136"/>
  <c r="L137"/>
  <c r="C72"/>
  <c r="C83" s="1"/>
  <c r="C13"/>
  <c r="B25"/>
  <c r="B34" s="1"/>
  <c r="J13"/>
  <c r="K13"/>
  <c r="G13"/>
  <c r="K71"/>
  <c r="K82" s="1"/>
  <c r="I71"/>
  <c r="I82" s="1"/>
  <c r="I13"/>
  <c r="I49"/>
  <c r="I58" s="1"/>
  <c r="J72"/>
  <c r="J83" s="1"/>
  <c r="J93" s="1"/>
  <c r="J107" s="1"/>
  <c r="J117" s="1"/>
  <c r="J127" s="1"/>
  <c r="J141" s="1"/>
  <c r="H71"/>
  <c r="H82" s="1"/>
  <c r="H92" s="1"/>
  <c r="H13"/>
  <c r="G72"/>
  <c r="G83" s="1"/>
  <c r="G71"/>
  <c r="G82" s="1"/>
  <c r="F72"/>
  <c r="F83" s="1"/>
  <c r="F93" s="1"/>
  <c r="F13"/>
  <c r="E71"/>
  <c r="E82" s="1"/>
  <c r="E49"/>
  <c r="E58" s="1"/>
  <c r="E13"/>
  <c r="D13"/>
  <c r="D71"/>
  <c r="D82" s="1"/>
  <c r="D92" s="1"/>
  <c r="C71"/>
  <c r="C82" s="1"/>
  <c r="B72"/>
  <c r="B83" s="1"/>
  <c r="B93" s="1"/>
  <c r="C34"/>
  <c r="C21"/>
  <c r="K34"/>
  <c r="K21"/>
  <c r="D57"/>
  <c r="H57"/>
  <c r="B58"/>
  <c r="F58"/>
  <c r="J58"/>
  <c r="L14"/>
  <c r="D34"/>
  <c r="F35"/>
  <c r="F47" s="1"/>
  <c r="B71"/>
  <c r="F71"/>
  <c r="J71"/>
  <c r="E34"/>
  <c r="E21"/>
  <c r="I34"/>
  <c r="I21"/>
  <c r="B48"/>
  <c r="L37"/>
  <c r="F48"/>
  <c r="J48"/>
  <c r="F34"/>
  <c r="F21"/>
  <c r="J21"/>
  <c r="J34"/>
  <c r="E57"/>
  <c r="I57"/>
  <c r="C49"/>
  <c r="G49"/>
  <c r="K49"/>
  <c r="G21"/>
  <c r="L22"/>
  <c r="G46"/>
  <c r="L52"/>
  <c r="E26"/>
  <c r="M18"/>
  <c r="D26"/>
  <c r="H26"/>
  <c r="H35" s="1"/>
  <c r="H47" s="1"/>
  <c r="H56" s="1"/>
  <c r="D72"/>
  <c r="I26"/>
  <c r="I35" s="1"/>
  <c r="I47" s="1"/>
  <c r="G26"/>
  <c r="G35" s="1"/>
  <c r="G47" s="1"/>
  <c r="K26"/>
  <c r="K35" s="1"/>
  <c r="K47" s="1"/>
  <c r="L38"/>
  <c r="L67"/>
  <c r="H30" l="1"/>
  <c r="H55"/>
  <c r="H64" s="1"/>
  <c r="H79" s="1"/>
  <c r="H75" s="1"/>
  <c r="H42"/>
  <c r="B21"/>
  <c r="M22" s="1"/>
  <c r="I56"/>
  <c r="H51"/>
  <c r="M14"/>
  <c r="F56"/>
  <c r="M15"/>
  <c r="M26"/>
  <c r="D35"/>
  <c r="D47" s="1"/>
  <c r="D56" s="1"/>
  <c r="D65" s="1"/>
  <c r="H65"/>
  <c r="H80" s="1"/>
  <c r="H90" s="1"/>
  <c r="I65"/>
  <c r="I80" s="1"/>
  <c r="I90" s="1"/>
  <c r="C30"/>
  <c r="C46"/>
  <c r="E93"/>
  <c r="E92"/>
  <c r="G58"/>
  <c r="G56"/>
  <c r="J30"/>
  <c r="J46"/>
  <c r="J82"/>
  <c r="B107"/>
  <c r="C92"/>
  <c r="H89"/>
  <c r="I92"/>
  <c r="C58"/>
  <c r="C56"/>
  <c r="F30"/>
  <c r="F46"/>
  <c r="F107"/>
  <c r="F57"/>
  <c r="F65" s="1"/>
  <c r="F80" s="1"/>
  <c r="K30"/>
  <c r="K46"/>
  <c r="D83"/>
  <c r="G42"/>
  <c r="G55"/>
  <c r="H106"/>
  <c r="J57"/>
  <c r="F82"/>
  <c r="B30"/>
  <c r="B46"/>
  <c r="G93"/>
  <c r="I46"/>
  <c r="I30"/>
  <c r="D46"/>
  <c r="D30"/>
  <c r="H93"/>
  <c r="K92"/>
  <c r="K56"/>
  <c r="K58"/>
  <c r="C93"/>
  <c r="B57"/>
  <c r="E46"/>
  <c r="E30"/>
  <c r="B82"/>
  <c r="L71"/>
  <c r="I107"/>
  <c r="D106"/>
  <c r="G92"/>
  <c r="E35"/>
  <c r="E56" s="1"/>
  <c r="J56"/>
  <c r="B56"/>
  <c r="H60" l="1"/>
  <c r="M23"/>
  <c r="M47"/>
  <c r="G65"/>
  <c r="G80" s="1"/>
  <c r="G90" s="1"/>
  <c r="G100" s="1"/>
  <c r="K65"/>
  <c r="C65"/>
  <c r="C80" s="1"/>
  <c r="C90" s="1"/>
  <c r="C100" s="1"/>
  <c r="I100"/>
  <c r="M35"/>
  <c r="M39" s="1"/>
  <c r="D80"/>
  <c r="D90" s="1"/>
  <c r="B65"/>
  <c r="B80" s="1"/>
  <c r="B90" s="1"/>
  <c r="C106"/>
  <c r="J92"/>
  <c r="E55"/>
  <c r="E42"/>
  <c r="K106"/>
  <c r="D55"/>
  <c r="D42"/>
  <c r="G107"/>
  <c r="F92"/>
  <c r="F90"/>
  <c r="H116"/>
  <c r="F55"/>
  <c r="F42"/>
  <c r="M56"/>
  <c r="G106"/>
  <c r="C107"/>
  <c r="G64"/>
  <c r="G51"/>
  <c r="F117"/>
  <c r="B117"/>
  <c r="E39"/>
  <c r="L39" s="1"/>
  <c r="D116"/>
  <c r="H100"/>
  <c r="H107"/>
  <c r="B55"/>
  <c r="B42"/>
  <c r="I106"/>
  <c r="E107"/>
  <c r="E65"/>
  <c r="E69" s="1"/>
  <c r="L69" s="1"/>
  <c r="I117"/>
  <c r="B92"/>
  <c r="I55"/>
  <c r="I42"/>
  <c r="M32"/>
  <c r="M31"/>
  <c r="L30"/>
  <c r="D93"/>
  <c r="K55"/>
  <c r="K42"/>
  <c r="H99"/>
  <c r="H85"/>
  <c r="J55"/>
  <c r="J42"/>
  <c r="E106"/>
  <c r="C42"/>
  <c r="C55"/>
  <c r="J65"/>
  <c r="E80" l="1"/>
  <c r="M80" s="1"/>
  <c r="M65"/>
  <c r="M69" s="1"/>
  <c r="D100"/>
  <c r="D107"/>
  <c r="C64"/>
  <c r="C51"/>
  <c r="I64"/>
  <c r="I51"/>
  <c r="I127"/>
  <c r="M44"/>
  <c r="M43"/>
  <c r="F127"/>
  <c r="H126"/>
  <c r="K116"/>
  <c r="J106"/>
  <c r="E116"/>
  <c r="H113"/>
  <c r="H95"/>
  <c r="I116"/>
  <c r="C114"/>
  <c r="C117"/>
  <c r="D64"/>
  <c r="D51"/>
  <c r="E64"/>
  <c r="E51"/>
  <c r="B106"/>
  <c r="B100"/>
  <c r="H117"/>
  <c r="H114"/>
  <c r="B127"/>
  <c r="G79"/>
  <c r="G60"/>
  <c r="F64"/>
  <c r="F51"/>
  <c r="F106"/>
  <c r="F100"/>
  <c r="C116"/>
  <c r="J64"/>
  <c r="J51"/>
  <c r="K64"/>
  <c r="K51"/>
  <c r="E117"/>
  <c r="B64"/>
  <c r="B51"/>
  <c r="D126"/>
  <c r="G116"/>
  <c r="G117"/>
  <c r="G114"/>
  <c r="I114"/>
  <c r="E104" l="1"/>
  <c r="L104" s="1"/>
  <c r="E90"/>
  <c r="M53"/>
  <c r="M52"/>
  <c r="C126"/>
  <c r="F116"/>
  <c r="F114"/>
  <c r="G89"/>
  <c r="G75"/>
  <c r="H127"/>
  <c r="H124"/>
  <c r="B116"/>
  <c r="B114"/>
  <c r="E79"/>
  <c r="E60"/>
  <c r="H123"/>
  <c r="H109"/>
  <c r="J116"/>
  <c r="J79"/>
  <c r="J60"/>
  <c r="C127"/>
  <c r="C124"/>
  <c r="H140"/>
  <c r="B79"/>
  <c r="B60"/>
  <c r="K79"/>
  <c r="K60"/>
  <c r="B141"/>
  <c r="I126"/>
  <c r="E126"/>
  <c r="K126"/>
  <c r="F141"/>
  <c r="I124"/>
  <c r="G126"/>
  <c r="I79"/>
  <c r="I60"/>
  <c r="G127"/>
  <c r="G124"/>
  <c r="D114"/>
  <c r="D117"/>
  <c r="D140"/>
  <c r="E127"/>
  <c r="F79"/>
  <c r="F60"/>
  <c r="D79"/>
  <c r="D60"/>
  <c r="I141"/>
  <c r="C79"/>
  <c r="C60"/>
  <c r="E100" l="1"/>
  <c r="M100" s="1"/>
  <c r="M90"/>
  <c r="E141"/>
  <c r="F89"/>
  <c r="F75"/>
  <c r="G134"/>
  <c r="G141"/>
  <c r="E140"/>
  <c r="B89"/>
  <c r="B75"/>
  <c r="C141"/>
  <c r="C134"/>
  <c r="J126"/>
  <c r="E89"/>
  <c r="E75"/>
  <c r="C140"/>
  <c r="C89"/>
  <c r="C75"/>
  <c r="D89"/>
  <c r="D75"/>
  <c r="I89"/>
  <c r="I75"/>
  <c r="K140"/>
  <c r="K134"/>
  <c r="I140"/>
  <c r="K89"/>
  <c r="K75"/>
  <c r="J89"/>
  <c r="J75"/>
  <c r="H133"/>
  <c r="H129" s="1"/>
  <c r="H119"/>
  <c r="F126"/>
  <c r="F124"/>
  <c r="D124"/>
  <c r="D127"/>
  <c r="H141"/>
  <c r="H134"/>
  <c r="G140"/>
  <c r="M61"/>
  <c r="L60"/>
  <c r="M62"/>
  <c r="B126"/>
  <c r="B124"/>
  <c r="G99"/>
  <c r="G85"/>
  <c r="I134"/>
  <c r="M104" l="1"/>
  <c r="E114"/>
  <c r="B140"/>
  <c r="B134"/>
  <c r="D134"/>
  <c r="D141"/>
  <c r="L141" s="1"/>
  <c r="J99"/>
  <c r="J85"/>
  <c r="F140"/>
  <c r="F134"/>
  <c r="D99"/>
  <c r="D85"/>
  <c r="J140"/>
  <c r="J134"/>
  <c r="B99"/>
  <c r="B85"/>
  <c r="K99"/>
  <c r="K85"/>
  <c r="M77"/>
  <c r="M76"/>
  <c r="G113"/>
  <c r="G95"/>
  <c r="I99"/>
  <c r="I85"/>
  <c r="C99"/>
  <c r="C85"/>
  <c r="E99"/>
  <c r="E85"/>
  <c r="F99"/>
  <c r="F85"/>
  <c r="E124" l="1"/>
  <c r="M114"/>
  <c r="J113"/>
  <c r="J95"/>
  <c r="L140"/>
  <c r="E113"/>
  <c r="E95"/>
  <c r="I113"/>
  <c r="I95"/>
  <c r="M86"/>
  <c r="M87"/>
  <c r="F113"/>
  <c r="F95"/>
  <c r="C113"/>
  <c r="C95"/>
  <c r="G123"/>
  <c r="G109"/>
  <c r="K113"/>
  <c r="K95"/>
  <c r="D113"/>
  <c r="D95"/>
  <c r="B113"/>
  <c r="B95"/>
  <c r="E134" l="1"/>
  <c r="M134" s="1"/>
  <c r="M124"/>
  <c r="D123"/>
  <c r="D109"/>
  <c r="G133"/>
  <c r="G129" s="1"/>
  <c r="G119"/>
  <c r="F123"/>
  <c r="F109"/>
  <c r="I123"/>
  <c r="I109"/>
  <c r="M96"/>
  <c r="L95"/>
  <c r="M97"/>
  <c r="J123"/>
  <c r="J109"/>
  <c r="B123"/>
  <c r="B109"/>
  <c r="K123"/>
  <c r="K109"/>
  <c r="C123"/>
  <c r="C109"/>
  <c r="E123"/>
  <c r="E109"/>
  <c r="M138" l="1"/>
  <c r="M140" s="1"/>
  <c r="F133"/>
  <c r="F129" s="1"/>
  <c r="F119"/>
  <c r="D133"/>
  <c r="D129" s="1"/>
  <c r="D119"/>
  <c r="C133"/>
  <c r="C129" s="1"/>
  <c r="C119"/>
  <c r="B133"/>
  <c r="B129" s="1"/>
  <c r="B119"/>
  <c r="M110"/>
  <c r="M111"/>
  <c r="I133"/>
  <c r="I129" s="1"/>
  <c r="I119"/>
  <c r="E133"/>
  <c r="E129" s="1"/>
  <c r="E119"/>
  <c r="K133"/>
  <c r="K129" s="1"/>
  <c r="K119"/>
  <c r="J133"/>
  <c r="J129" s="1"/>
  <c r="J119"/>
  <c r="L129" l="1"/>
  <c r="M131"/>
  <c r="M130"/>
  <c r="M121"/>
  <c r="M120"/>
  <c r="Q7" i="1" l="1"/>
  <c r="Q8"/>
  <c r="Q9"/>
  <c r="Q10"/>
  <c r="Q12"/>
  <c r="Q14"/>
  <c r="Q15"/>
  <c r="Q17"/>
  <c r="Q19"/>
  <c r="Q20"/>
  <c r="Q21"/>
  <c r="Q22"/>
  <c r="Q23"/>
  <c r="Q25"/>
  <c r="Q6" l="1"/>
</calcChain>
</file>

<file path=xl/comments1.xml><?xml version="1.0" encoding="utf-8"?>
<comments xmlns="http://schemas.openxmlformats.org/spreadsheetml/2006/main">
  <authors>
    <author>UTIL10</author>
  </authors>
  <commentList>
    <comment ref="E21" author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comments2.xml><?xml version="1.0" encoding="utf-8"?>
<comments xmlns="http://schemas.openxmlformats.org/spreadsheetml/2006/main">
  <authors>
    <author>UTIL10</author>
  </authors>
  <commentList>
    <comment ref="E21" authorId="0">
      <text>
        <r>
          <rPr>
            <b/>
            <sz val="8"/>
            <color indexed="81"/>
            <rFont val="Tahoma"/>
            <family val="2"/>
          </rPr>
          <t>En cas d'embauche, de départ, d'absences ...</t>
        </r>
        <r>
          <rPr>
            <sz val="8"/>
            <color indexed="81"/>
            <rFont val="Tahoma"/>
            <family val="2"/>
          </rPr>
          <t xml:space="preserve">
Renseigner La rémunération qui aurait été versée pour le mois entier à temps complet
</t>
        </r>
      </text>
    </comment>
  </commentList>
</comments>
</file>

<file path=xl/sharedStrings.xml><?xml version="1.0" encoding="utf-8"?>
<sst xmlns="http://schemas.openxmlformats.org/spreadsheetml/2006/main" count="409" uniqueCount="202">
  <si>
    <t>Liste des salariés de l'entreprise</t>
  </si>
  <si>
    <t>salarié 1</t>
  </si>
  <si>
    <t>salarié 2</t>
  </si>
  <si>
    <t>salarié 3</t>
  </si>
  <si>
    <t>salarié 4</t>
  </si>
  <si>
    <t>Nom</t>
  </si>
  <si>
    <t>date d entrée</t>
  </si>
  <si>
    <t>date de sortie</t>
  </si>
  <si>
    <t>type de contrat</t>
  </si>
  <si>
    <t>si cdd, Date de fin</t>
  </si>
  <si>
    <t>apprentissage</t>
  </si>
  <si>
    <t>professionnalisation</t>
  </si>
  <si>
    <t>handicap</t>
  </si>
  <si>
    <t>Contrat de génération</t>
  </si>
  <si>
    <t>CIE</t>
  </si>
  <si>
    <t>Dirigeant</t>
  </si>
  <si>
    <t>Cumul emploi retraite</t>
  </si>
  <si>
    <t>associé</t>
  </si>
  <si>
    <t>conjoint(e) associé ou dirigeant</t>
  </si>
  <si>
    <t>due établis</t>
  </si>
  <si>
    <t>contrat établis</t>
  </si>
  <si>
    <t>retour contrat signé</t>
  </si>
  <si>
    <t>Nom entreprise</t>
  </si>
  <si>
    <t>Nombre d'établissement</t>
  </si>
  <si>
    <t>effectifs au 31/12/N-1</t>
  </si>
  <si>
    <t>date de versement des salaires</t>
  </si>
  <si>
    <t>contact principal</t>
  </si>
  <si>
    <t>coordonées du contact principal</t>
  </si>
  <si>
    <t>périodicité des charges sociales</t>
  </si>
  <si>
    <t>Spécificité 1**</t>
  </si>
  <si>
    <t>caisse des congés payés</t>
  </si>
  <si>
    <t>prime d'ancienneté</t>
  </si>
  <si>
    <t>prime diverses</t>
  </si>
  <si>
    <t>si oui, préciser</t>
  </si>
  <si>
    <t>mensuelle</t>
  </si>
  <si>
    <t>trimestrielle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</si>
  <si>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</si>
  <si>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</si>
  <si>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</si>
  <si>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</si>
  <si>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</si>
  <si>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</si>
  <si>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</si>
  <si>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</si>
  <si>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</si>
  <si>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</si>
  <si>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</si>
  <si>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</si>
  <si>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</si>
  <si>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temps partiel</t>
  </si>
  <si>
    <t>multiemployeurs</t>
  </si>
  <si>
    <t>statut</t>
  </si>
  <si>
    <t>ETAM</t>
  </si>
  <si>
    <t>Cadre</t>
  </si>
  <si>
    <t>Mandataire social</t>
  </si>
  <si>
    <t>Ouvrier</t>
  </si>
  <si>
    <t>Non cadre</t>
  </si>
  <si>
    <t>date dernière visite médicale</t>
  </si>
  <si>
    <t>mutuelle</t>
  </si>
  <si>
    <t>avantage en nature</t>
  </si>
  <si>
    <t>oui</t>
  </si>
  <si>
    <t>non</t>
  </si>
  <si>
    <t>véhicule</t>
  </si>
  <si>
    <t>repas pris</t>
  </si>
  <si>
    <t>repas non pris</t>
  </si>
  <si>
    <t>logement</t>
  </si>
  <si>
    <t>autres( à préciser)</t>
  </si>
  <si>
    <t>matricule</t>
  </si>
  <si>
    <t>A</t>
  </si>
  <si>
    <t>machin@machine,com</t>
  </si>
  <si>
    <t>albert robert</t>
  </si>
  <si>
    <t>NA</t>
  </si>
  <si>
    <t>DUCHMOLE</t>
  </si>
  <si>
    <t>bulletins initiaux</t>
  </si>
  <si>
    <t>Total bulletins</t>
  </si>
  <si>
    <t>procédure de licenciement*</t>
  </si>
  <si>
    <t>rupture conventionnelle*</t>
  </si>
  <si>
    <t>* précisez le nom du salarié concerné en commentaires</t>
  </si>
  <si>
    <t>dont solde de tout compte*</t>
  </si>
  <si>
    <t>dont bulletins spécifiques*</t>
  </si>
  <si>
    <t>bulletins refaits erreurs client*</t>
  </si>
  <si>
    <t>bulletins refaits erreurs cabinet*</t>
  </si>
  <si>
    <t>total procédures</t>
  </si>
  <si>
    <t>Bordereau de charges URSSAF</t>
  </si>
  <si>
    <t>bordereau de charges retraite</t>
  </si>
  <si>
    <t>Bordereau de charges prévoyance</t>
  </si>
  <si>
    <t>Bordereau de charges Mutuelle</t>
  </si>
  <si>
    <t>bordereau de caisse des congés payés</t>
  </si>
  <si>
    <t>Total Bordereaux</t>
  </si>
  <si>
    <t>SMIC</t>
  </si>
  <si>
    <t>TOTAL CUMULE</t>
  </si>
  <si>
    <t>ELIGIBLE CICE ET REDUC FILLON</t>
  </si>
  <si>
    <t>Effectif</t>
  </si>
  <si>
    <t>Salaire brut</t>
  </si>
  <si>
    <t>Nombre d'heures travaillées</t>
  </si>
  <si>
    <t>Majoration 2,5 fois SMIC</t>
  </si>
  <si>
    <t>REDUCTION FILLON</t>
  </si>
  <si>
    <t>FEVRIER</t>
  </si>
  <si>
    <t>SALAIRE CUMULE</t>
  </si>
  <si>
    <t>MARS</t>
  </si>
  <si>
    <t>SB 1T13</t>
  </si>
  <si>
    <t>NBH 1T13</t>
  </si>
  <si>
    <t>REDUCTION FILLON 1T13</t>
  </si>
  <si>
    <t>AVRIL</t>
  </si>
  <si>
    <t>HEURES CUMULE</t>
  </si>
  <si>
    <t>MAI</t>
  </si>
  <si>
    <t>HEURES CUMULES</t>
  </si>
  <si>
    <t>JUIN</t>
  </si>
  <si>
    <t>SB2T13</t>
  </si>
  <si>
    <t>NBH 2T13</t>
  </si>
  <si>
    <t>REDUC FILLON 2T13</t>
  </si>
  <si>
    <t>JUILLET</t>
  </si>
  <si>
    <t>AOUT</t>
  </si>
  <si>
    <t>SEPTEMBRE</t>
  </si>
  <si>
    <t>SB 3T13</t>
  </si>
  <si>
    <t>NBH 3T13</t>
  </si>
  <si>
    <t>REDUC FILLON 3T13</t>
  </si>
  <si>
    <t>SALAIRES CUMULE</t>
  </si>
  <si>
    <t>OCTOBRE</t>
  </si>
  <si>
    <t>NOVEMBRE</t>
  </si>
  <si>
    <t>DECEMBRE</t>
  </si>
  <si>
    <t>SB 4T13</t>
  </si>
  <si>
    <t>NBH 4T13</t>
  </si>
  <si>
    <t>REDUC FILLON 4T13</t>
  </si>
  <si>
    <t>TOTAL ANNUEL BRUT</t>
  </si>
  <si>
    <t>TOTAL ANNUEL HEURES</t>
  </si>
  <si>
    <t>COEFFICIENT</t>
  </si>
  <si>
    <t>Table SMIC horaire</t>
  </si>
  <si>
    <t>Smic hor 2012</t>
  </si>
  <si>
    <r>
      <rPr>
        <u/>
        <sz val="8"/>
        <color theme="1"/>
        <rFont val="Century Gothic"/>
        <family val="2"/>
      </rPr>
      <t>Coefficient</t>
    </r>
    <r>
      <rPr>
        <sz val="11"/>
        <color theme="1"/>
        <rFont val="Calibri"/>
        <family val="2"/>
        <scheme val="minor"/>
      </rPr>
      <t xml:space="preserve"> = 0,26/0,6 x [1,6 x Smic mensuel base 151,67 heures/Rémunération mensuelle brute - 1] </t>
    </r>
  </si>
  <si>
    <t>Remarques sur le calcul Fillon:</t>
  </si>
  <si>
    <t>le résultat du coefficient obtenu est arrondi à quatre décimales au dix millième le plus proche. Il est pris en compte pour une valeur égale à 0,281 s'il est supérieur à 0,281</t>
  </si>
  <si>
    <t>Pour le calcul de ce coefficient, la rémunération des heures supplémentaires ou complémentaires défiscalisées (c’est-à-dire dans la limite, en ce qui concerne la majoration salariale, des taux de 25 % ou de 50 % selon le cas) sont à exclure</t>
  </si>
  <si>
    <t>les entreprises qui atteignent ou franchissent le seuil de 19 salariés pour la première fois, maintiennent ce coefficient maximal à 0,2810 pendant 3 ans (article 48 de la loi n° 2008-776 de modernisation de l'économie du 4 août 2008).</t>
  </si>
  <si>
    <t>CALCUL DE LA REDUCTION FILLON</t>
  </si>
  <si>
    <t xml:space="preserve">Année : </t>
  </si>
  <si>
    <t>Nom / Prénom :</t>
  </si>
  <si>
    <t>Matricule :</t>
  </si>
  <si>
    <t>0004</t>
  </si>
  <si>
    <t>Effectif de l'entreprise :</t>
  </si>
  <si>
    <t>Choix du mode de calcul de la régularisation :</t>
  </si>
  <si>
    <t>Horaire collectif mensuel :</t>
  </si>
  <si>
    <t>Coefficient effectif :</t>
  </si>
  <si>
    <t>Temps partiel :</t>
  </si>
  <si>
    <t>Horaire hebdo contractuel :</t>
  </si>
  <si>
    <t>ex. : 17h</t>
  </si>
  <si>
    <t>Horaire hebdo conventionnel :</t>
  </si>
  <si>
    <t>ex. : 35h</t>
  </si>
  <si>
    <t>Mois incomplet</t>
  </si>
  <si>
    <t>Tps partiel</t>
  </si>
  <si>
    <t>Réduction calculée</t>
  </si>
  <si>
    <t>Smic mensuel</t>
  </si>
  <si>
    <t>Salaire brut total versé</t>
  </si>
  <si>
    <t xml:space="preserve">Base rémunération mensuelle </t>
  </si>
  <si>
    <t>Nb d'h.suppl.</t>
  </si>
  <si>
    <t>horaire hebdo contractuel</t>
  </si>
  <si>
    <t>horaire hebdo conventionnel</t>
  </si>
  <si>
    <t>Smic brut mensuel</t>
  </si>
  <si>
    <t>Assiette Fillon</t>
  </si>
  <si>
    <t>Cumul smic mensuel</t>
  </si>
  <si>
    <t>Cumul HS SMIC</t>
  </si>
  <si>
    <t>Cumul SB mensuel</t>
  </si>
  <si>
    <t>Coeff.progr</t>
  </si>
  <si>
    <t>Coeff.annuel</t>
  </si>
  <si>
    <t xml:space="preserve">Réduction Fillon réelle cumulée </t>
  </si>
  <si>
    <t>Mtt réduction Fillon progr.</t>
  </si>
  <si>
    <t>Calcul par régularisation annuelle</t>
  </si>
  <si>
    <t>Mtt réduction Fillon annuel</t>
  </si>
  <si>
    <t>Réduction 
(code 671)</t>
  </si>
  <si>
    <t>Régularisation
 (code 801)</t>
  </si>
  <si>
    <t>Total</t>
  </si>
  <si>
    <t>Progressif</t>
  </si>
  <si>
    <t>Annuel</t>
  </si>
  <si>
    <t>Code 671</t>
  </si>
  <si>
    <t>Code 801</t>
  </si>
  <si>
    <t>1er trimestre</t>
  </si>
  <si>
    <t>2ème trimestre</t>
  </si>
  <si>
    <t>3ème trimestre</t>
  </si>
  <si>
    <t>4ème trimestre</t>
  </si>
  <si>
    <t>RECAPITULATIF TRIMESTRIEL</t>
  </si>
  <si>
    <t>Réduction (code 671)</t>
  </si>
  <si>
    <t>Régularisation
(code 801)</t>
  </si>
  <si>
    <t>ROBERT DUVERGNE</t>
  </si>
  <si>
    <t>STATUT</t>
  </si>
  <si>
    <t>TOTAL CADRE</t>
  </si>
  <si>
    <t>TOTAL NON CADRE</t>
  </si>
  <si>
    <t>NC</t>
  </si>
  <si>
    <t>C</t>
  </si>
  <si>
    <t>TOTAL APPRENTIS</t>
  </si>
  <si>
    <t>D</t>
  </si>
  <si>
    <t>TOTAL DIRIGEANT</t>
  </si>
  <si>
    <t>Régularisation réduction fillon</t>
  </si>
  <si>
    <t>Réduction fillon</t>
  </si>
  <si>
    <t>CONTRÔLE DES CHARGES SOCIALES</t>
  </si>
  <si>
    <t>N : Non cadre</t>
  </si>
  <si>
    <t>C : Cadre</t>
  </si>
  <si>
    <t>A : Apprentis</t>
  </si>
  <si>
    <t>D : Dirigeant</t>
  </si>
  <si>
    <t>NOM</t>
  </si>
  <si>
    <t>Statut</t>
  </si>
  <si>
    <t>cadre</t>
  </si>
  <si>
    <t>DUBREUIL JEAN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</si>
</sst>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.000\ _€_-;\-* #,##0.000\ _€_-;_-* &quot;-&quot;??\ _€_-;_-@_-"/>
    <numFmt numFmtId="166" formatCode="0.00?&quot;h&quot;"/>
    <numFmt numFmtId="167" formatCode="0.0000"/>
    <numFmt numFmtId="168" formatCode="0.000"/>
  </numFmts>
  <fonts count="1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entury Gothic"/>
      <family val="2"/>
    </font>
    <font>
      <sz val="8"/>
      <name val="Century Gothic"/>
      <family val="2"/>
    </font>
    <font>
      <u/>
      <sz val="8"/>
      <color theme="1"/>
      <name val="Century Gothic"/>
      <family val="2"/>
    </font>
    <font>
      <sz val="8"/>
      <name val="Tahoma"/>
      <family val="2"/>
    </font>
    <font>
      <b/>
      <sz val="8"/>
      <color theme="1"/>
      <name val="Century Gothic"/>
      <family val="2"/>
    </font>
    <font>
      <sz val="8"/>
      <color rgb="FFFF0000"/>
      <name val="Century Gothic"/>
      <family val="2"/>
    </font>
    <font>
      <sz val="11"/>
      <color theme="1"/>
      <name val="Franklin Gothic Heavy"/>
      <family val="2"/>
    </font>
    <font>
      <i/>
      <sz val="8"/>
      <color theme="1"/>
      <name val="Century Gothic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3" fillId="0" borderId="0" applyFont="0" applyFill="0" applyBorder="0" applyAlignment="0" applyProtection="0"/>
    <xf numFmtId="0" fontId="8" fillId="0" borderId="0"/>
    <xf numFmtId="44" fontId="8" fillId="0" borderId="0" applyFont="0" applyFill="0" applyBorder="0" applyAlignment="0" applyProtection="0"/>
  </cellStyleXfs>
  <cellXfs count="132">
    <xf numFmtId="0" fontId="0" fillId="0" borderId="0" xfId="0"/>
    <xf numFmtId="2" fontId="0" fillId="0" borderId="0" xfId="0" applyNumberFormat="1" applyAlignment="1">
      <alignment horizontal="center" vertical="distributed"/>
    </xf>
    <xf numFmtId="0" fontId="0" fillId="0" borderId="1" xfId="0" applyBorder="1"/>
    <xf numFmtId="0" fontId="1" fillId="0" borderId="0" xfId="0" applyFont="1"/>
    <xf numFmtId="2" fontId="0" fillId="0" borderId="0" xfId="0" applyNumberFormat="1"/>
    <xf numFmtId="2" fontId="0" fillId="0" borderId="0" xfId="0" applyNumberFormat="1" applyAlignment="1"/>
    <xf numFmtId="2" fontId="0" fillId="0" borderId="0" xfId="0" applyNumberFormat="1" applyAlignment="1">
      <alignment horizontal="left"/>
    </xf>
    <xf numFmtId="0" fontId="2" fillId="0" borderId="1" xfId="1" applyBorder="1" applyAlignment="1" applyProtection="1"/>
    <xf numFmtId="14" fontId="0" fillId="0" borderId="0" xfId="0" applyNumberFormat="1"/>
    <xf numFmtId="43" fontId="0" fillId="0" borderId="0" xfId="2" applyFont="1"/>
    <xf numFmtId="43" fontId="0" fillId="0" borderId="0" xfId="2" applyFont="1" applyBorder="1"/>
    <xf numFmtId="164" fontId="0" fillId="0" borderId="0" xfId="2" applyNumberFormat="1" applyFont="1"/>
    <xf numFmtId="0" fontId="8" fillId="0" borderId="0" xfId="3"/>
    <xf numFmtId="0" fontId="8" fillId="0" borderId="0" xfId="3" applyAlignment="1">
      <alignment horizontal="center"/>
    </xf>
    <xf numFmtId="0" fontId="9" fillId="0" borderId="0" xfId="3" applyFont="1" applyAlignment="1">
      <alignment horizontal="right" vertical="center"/>
    </xf>
    <xf numFmtId="44" fontId="0" fillId="3" borderId="0" xfId="4" applyFont="1" applyFill="1" applyAlignment="1" applyProtection="1">
      <alignment vertical="center"/>
      <protection locked="0"/>
    </xf>
    <xf numFmtId="0" fontId="8" fillId="0" borderId="0" xfId="3" applyAlignment="1">
      <alignment vertical="top"/>
    </xf>
    <xf numFmtId="0" fontId="10" fillId="0" borderId="0" xfId="3" applyFont="1" applyAlignment="1">
      <alignment vertical="center"/>
    </xf>
    <xf numFmtId="0" fontId="8" fillId="0" borderId="0" xfId="3" applyFont="1" applyAlignment="1">
      <alignment vertical="center"/>
    </xf>
    <xf numFmtId="0" fontId="13" fillId="0" borderId="0" xfId="3" applyFont="1" applyAlignment="1">
      <alignment vertical="center"/>
    </xf>
    <xf numFmtId="0" fontId="12" fillId="0" borderId="0" xfId="3" applyFont="1" applyAlignment="1">
      <alignment vertical="top"/>
    </xf>
    <xf numFmtId="0" fontId="14" fillId="0" borderId="1" xfId="3" applyFont="1" applyBorder="1" applyAlignment="1">
      <alignment horizontal="center" vertical="center"/>
    </xf>
    <xf numFmtId="0" fontId="8" fillId="0" borderId="0" xfId="3" applyAlignment="1">
      <alignment vertical="center"/>
    </xf>
    <xf numFmtId="0" fontId="8" fillId="3" borderId="0" xfId="3" applyFill="1" applyAlignment="1" applyProtection="1">
      <alignment vertical="center"/>
      <protection locked="0"/>
    </xf>
    <xf numFmtId="0" fontId="8" fillId="0" borderId="0" xfId="3" applyFont="1"/>
    <xf numFmtId="49" fontId="8" fillId="3" borderId="0" xfId="3" applyNumberFormat="1" applyFill="1" applyAlignment="1" applyProtection="1">
      <alignment vertical="center"/>
      <protection locked="0"/>
    </xf>
    <xf numFmtId="0" fontId="12" fillId="0" borderId="0" xfId="3" applyFont="1" applyAlignment="1">
      <alignment horizontal="left" vertical="center" wrapText="1"/>
    </xf>
    <xf numFmtId="0" fontId="8" fillId="0" borderId="0" xfId="3" applyFont="1" applyAlignment="1">
      <alignment horizontal="left" vertical="center" wrapText="1"/>
    </xf>
    <xf numFmtId="0" fontId="13" fillId="0" borderId="0" xfId="3" applyFont="1" applyAlignment="1" applyProtection="1">
      <alignment vertical="center"/>
      <protection locked="0"/>
    </xf>
    <xf numFmtId="166" fontId="0" fillId="3" borderId="1" xfId="4" applyNumberFormat="1" applyFont="1" applyFill="1" applyBorder="1" applyAlignment="1" applyProtection="1">
      <alignment horizontal="center" vertical="center"/>
      <protection locked="0"/>
    </xf>
    <xf numFmtId="44" fontId="8" fillId="0" borderId="0" xfId="3" applyNumberFormat="1" applyFont="1" applyAlignment="1">
      <alignment vertical="center"/>
    </xf>
    <xf numFmtId="0" fontId="8" fillId="0" borderId="1" xfId="3" applyFont="1" applyBorder="1" applyAlignment="1">
      <alignment horizontal="center" vertical="center"/>
    </xf>
    <xf numFmtId="0" fontId="8" fillId="0" borderId="0" xfId="3" applyFont="1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13" fillId="0" borderId="0" xfId="3" applyFont="1" applyAlignment="1">
      <alignment vertical="center" wrapText="1"/>
    </xf>
    <xf numFmtId="0" fontId="8" fillId="0" borderId="0" xfId="3" applyAlignment="1">
      <alignment horizontal="left" vertical="center" wrapText="1"/>
    </xf>
    <xf numFmtId="0" fontId="15" fillId="0" borderId="0" xfId="3" applyFont="1" applyAlignment="1">
      <alignment horizontal="left" vertical="center" wrapText="1"/>
    </xf>
    <xf numFmtId="0" fontId="8" fillId="0" borderId="0" xfId="3" applyFont="1" applyAlignment="1">
      <alignment vertical="center" wrapText="1"/>
    </xf>
    <xf numFmtId="0" fontId="8" fillId="4" borderId="2" xfId="3" applyFill="1" applyBorder="1" applyAlignment="1">
      <alignment vertical="center" wrapText="1"/>
    </xf>
    <xf numFmtId="0" fontId="8" fillId="0" borderId="0" xfId="3" applyAlignment="1">
      <alignment horizontal="center" vertical="center" wrapText="1"/>
    </xf>
    <xf numFmtId="0" fontId="8" fillId="4" borderId="7" xfId="3" applyFont="1" applyFill="1" applyBorder="1" applyAlignment="1">
      <alignment horizontal="center" vertical="center" wrapText="1"/>
    </xf>
    <xf numFmtId="0" fontId="8" fillId="4" borderId="8" xfId="3" applyFill="1" applyBorder="1" applyAlignment="1">
      <alignment horizontal="center" vertical="center" wrapText="1"/>
    </xf>
    <xf numFmtId="0" fontId="8" fillId="4" borderId="9" xfId="3" applyFill="1" applyBorder="1" applyAlignment="1">
      <alignment horizontal="center" vertical="center" wrapText="1"/>
    </xf>
    <xf numFmtId="0" fontId="8" fillId="4" borderId="9" xfId="3" applyFont="1" applyFill="1" applyBorder="1" applyAlignment="1">
      <alignment horizontal="center" vertical="center" wrapText="1"/>
    </xf>
    <xf numFmtId="0" fontId="8" fillId="4" borderId="7" xfId="3" applyFill="1" applyBorder="1" applyAlignment="1">
      <alignment horizontal="center" vertical="center" wrapText="1"/>
    </xf>
    <xf numFmtId="0" fontId="13" fillId="0" borderId="0" xfId="3" applyFont="1" applyBorder="1" applyAlignment="1">
      <alignment horizontal="center" vertical="center" wrapText="1"/>
    </xf>
    <xf numFmtId="0" fontId="8" fillId="4" borderId="10" xfId="3" applyFont="1" applyFill="1" applyBorder="1" applyAlignment="1">
      <alignment horizontal="center" vertical="center" wrapText="1"/>
    </xf>
    <xf numFmtId="0" fontId="8" fillId="4" borderId="11" xfId="3" applyFont="1" applyFill="1" applyBorder="1" applyAlignment="1">
      <alignment horizontal="center" vertical="center" wrapText="1"/>
    </xf>
    <xf numFmtId="0" fontId="8" fillId="0" borderId="0" xfId="3" applyFont="1" applyFill="1" applyAlignment="1">
      <alignment horizontal="right" vertical="center"/>
    </xf>
    <xf numFmtId="44" fontId="0" fillId="0" borderId="12" xfId="4" applyFont="1" applyFill="1" applyBorder="1" applyAlignment="1">
      <alignment vertical="center"/>
    </xf>
    <xf numFmtId="44" fontId="0" fillId="3" borderId="13" xfId="4" applyFont="1" applyFill="1" applyBorder="1" applyAlignment="1" applyProtection="1">
      <alignment vertical="center"/>
      <protection locked="0"/>
    </xf>
    <xf numFmtId="166" fontId="0" fillId="3" borderId="13" xfId="4" applyNumberFormat="1" applyFont="1" applyFill="1" applyBorder="1" applyAlignment="1" applyProtection="1">
      <alignment horizontal="center" vertical="center"/>
      <protection locked="0"/>
    </xf>
    <xf numFmtId="166" fontId="0" fillId="0" borderId="14" xfId="4" applyNumberFormat="1" applyFont="1" applyFill="1" applyBorder="1" applyAlignment="1">
      <alignment horizontal="center" vertical="center"/>
    </xf>
    <xf numFmtId="44" fontId="13" fillId="0" borderId="0" xfId="3" applyNumberFormat="1" applyFont="1" applyAlignment="1">
      <alignment vertical="center"/>
    </xf>
    <xf numFmtId="167" fontId="13" fillId="0" borderId="0" xfId="3" applyNumberFormat="1" applyFont="1" applyAlignment="1">
      <alignment vertical="center"/>
    </xf>
    <xf numFmtId="44" fontId="13" fillId="0" borderId="0" xfId="3" applyNumberFormat="1" applyFont="1" applyBorder="1" applyAlignment="1">
      <alignment vertical="center" wrapText="1"/>
    </xf>
    <xf numFmtId="44" fontId="8" fillId="0" borderId="15" xfId="3" applyNumberFormat="1" applyFont="1" applyBorder="1" applyAlignment="1">
      <alignment vertical="center"/>
    </xf>
    <xf numFmtId="44" fontId="8" fillId="0" borderId="16" xfId="3" applyNumberFormat="1" applyFont="1" applyBorder="1" applyAlignment="1">
      <alignment vertical="center"/>
    </xf>
    <xf numFmtId="166" fontId="0" fillId="0" borderId="13" xfId="4" applyNumberFormat="1" applyFont="1" applyFill="1" applyBorder="1" applyAlignment="1">
      <alignment horizontal="center" vertical="center"/>
    </xf>
    <xf numFmtId="44" fontId="8" fillId="0" borderId="17" xfId="3" applyNumberFormat="1" applyFont="1" applyBorder="1" applyAlignment="1">
      <alignment vertical="center"/>
    </xf>
    <xf numFmtId="44" fontId="0" fillId="0" borderId="18" xfId="4" applyFont="1" applyFill="1" applyBorder="1" applyAlignment="1">
      <alignment vertical="center"/>
    </xf>
    <xf numFmtId="44" fontId="0" fillId="3" borderId="19" xfId="4" applyFont="1" applyFill="1" applyBorder="1" applyAlignment="1" applyProtection="1">
      <alignment vertical="center"/>
      <protection locked="0"/>
    </xf>
    <xf numFmtId="166" fontId="0" fillId="3" borderId="19" xfId="4" applyNumberFormat="1" applyFont="1" applyFill="1" applyBorder="1" applyAlignment="1" applyProtection="1">
      <alignment horizontal="center" vertical="center"/>
      <protection locked="0"/>
    </xf>
    <xf numFmtId="166" fontId="0" fillId="0" borderId="19" xfId="4" applyNumberFormat="1" applyFont="1" applyFill="1" applyBorder="1" applyAlignment="1">
      <alignment horizontal="center" vertical="center"/>
    </xf>
    <xf numFmtId="44" fontId="8" fillId="0" borderId="20" xfId="3" applyNumberFormat="1" applyFont="1" applyBorder="1" applyAlignment="1">
      <alignment vertical="center"/>
    </xf>
    <xf numFmtId="0" fontId="12" fillId="0" borderId="0" xfId="3" applyFont="1" applyAlignment="1">
      <alignment horizontal="right" vertical="center"/>
    </xf>
    <xf numFmtId="0" fontId="8" fillId="0" borderId="8" xfId="3" applyFont="1" applyBorder="1" applyAlignment="1">
      <alignment vertical="center"/>
    </xf>
    <xf numFmtId="44" fontId="12" fillId="0" borderId="8" xfId="3" applyNumberFormat="1" applyFont="1" applyBorder="1" applyAlignment="1">
      <alignment vertical="center"/>
    </xf>
    <xf numFmtId="44" fontId="12" fillId="0" borderId="21" xfId="3" applyNumberFormat="1" applyFont="1" applyBorder="1" applyAlignment="1">
      <alignment vertical="center"/>
    </xf>
    <xf numFmtId="0" fontId="8" fillId="0" borderId="21" xfId="3" applyFont="1" applyBorder="1" applyAlignment="1">
      <alignment vertical="center"/>
    </xf>
    <xf numFmtId="44" fontId="9" fillId="0" borderId="0" xfId="3" applyNumberFormat="1" applyFont="1" applyAlignment="1">
      <alignment vertical="center"/>
    </xf>
    <xf numFmtId="0" fontId="8" fillId="0" borderId="0" xfId="3" applyAlignment="1">
      <alignment horizontal="right" vertical="center"/>
    </xf>
    <xf numFmtId="0" fontId="8" fillId="0" borderId="0" xfId="3" applyAlignment="1">
      <alignment horizontal="center" vertical="center"/>
    </xf>
    <xf numFmtId="0" fontId="13" fillId="0" borderId="0" xfId="3" applyFont="1" applyAlignment="1">
      <alignment horizontal="center" vertical="center"/>
    </xf>
    <xf numFmtId="0" fontId="13" fillId="0" borderId="0" xfId="3" applyFont="1" applyAlignment="1">
      <alignment horizontal="right" vertical="center"/>
    </xf>
    <xf numFmtId="44" fontId="13" fillId="0" borderId="0" xfId="3" applyNumberFormat="1" applyFont="1" applyBorder="1" applyAlignment="1">
      <alignment vertical="center"/>
    </xf>
    <xf numFmtId="0" fontId="8" fillId="0" borderId="0" xfId="3" applyFont="1" applyBorder="1" applyAlignment="1">
      <alignment vertical="center"/>
    </xf>
    <xf numFmtId="0" fontId="13" fillId="0" borderId="0" xfId="3" applyFont="1" applyBorder="1" applyAlignment="1">
      <alignment vertical="center"/>
    </xf>
    <xf numFmtId="0" fontId="8" fillId="4" borderId="23" xfId="3" applyFont="1" applyFill="1" applyBorder="1" applyAlignment="1">
      <alignment horizontal="center" vertical="center" wrapText="1"/>
    </xf>
    <xf numFmtId="0" fontId="8" fillId="4" borderId="16" xfId="3" applyFont="1" applyFill="1" applyBorder="1" applyAlignment="1">
      <alignment horizontal="center" vertical="center" wrapText="1"/>
    </xf>
    <xf numFmtId="0" fontId="9" fillId="0" borderId="24" xfId="3" applyFont="1" applyBorder="1" applyAlignment="1">
      <alignment horizontal="right" vertical="center"/>
    </xf>
    <xf numFmtId="44" fontId="8" fillId="0" borderId="25" xfId="3" applyNumberFormat="1" applyFont="1" applyFill="1" applyBorder="1" applyAlignment="1">
      <alignment vertical="center"/>
    </xf>
    <xf numFmtId="44" fontId="8" fillId="0" borderId="26" xfId="3" applyNumberFormat="1" applyFont="1" applyFill="1" applyBorder="1" applyAlignment="1">
      <alignment vertical="center"/>
    </xf>
    <xf numFmtId="2" fontId="8" fillId="0" borderId="0" xfId="3" applyNumberFormat="1" applyFont="1" applyAlignment="1">
      <alignment vertical="center"/>
    </xf>
    <xf numFmtId="0" fontId="12" fillId="0" borderId="0" xfId="3" applyFont="1" applyAlignment="1">
      <alignment vertical="center"/>
    </xf>
    <xf numFmtId="44" fontId="12" fillId="0" borderId="0" xfId="3" applyNumberFormat="1" applyFont="1" applyAlignment="1">
      <alignment vertical="center"/>
    </xf>
    <xf numFmtId="168" fontId="8" fillId="0" borderId="0" xfId="3" applyNumberFormat="1" applyFont="1" applyAlignment="1">
      <alignment vertical="center"/>
    </xf>
    <xf numFmtId="0" fontId="8" fillId="0" borderId="0" xfId="3" applyFont="1" applyBorder="1" applyAlignment="1">
      <alignment horizontal="center" vertical="center" wrapText="1"/>
    </xf>
    <xf numFmtId="0" fontId="0" fillId="0" borderId="0" xfId="0" applyBorder="1"/>
    <xf numFmtId="164" fontId="0" fillId="0" borderId="0" xfId="2" applyNumberFormat="1" applyFont="1" applyBorder="1"/>
    <xf numFmtId="0" fontId="18" fillId="0" borderId="0" xfId="0" applyFont="1" applyBorder="1"/>
    <xf numFmtId="43" fontId="6" fillId="0" borderId="0" xfId="2" applyFont="1" applyBorder="1" applyAlignment="1">
      <alignment horizontal="center"/>
    </xf>
    <xf numFmtId="43" fontId="7" fillId="0" borderId="0" xfId="2" applyFont="1" applyBorder="1"/>
    <xf numFmtId="0" fontId="0" fillId="0" borderId="0" xfId="0" applyBorder="1" applyProtection="1">
      <protection locked="0"/>
    </xf>
    <xf numFmtId="43" fontId="5" fillId="4" borderId="0" xfId="2" applyFont="1" applyFill="1" applyBorder="1"/>
    <xf numFmtId="43" fontId="5" fillId="4" borderId="0" xfId="2" applyFont="1" applyFill="1" applyBorder="1" applyAlignment="1">
      <alignment horizontal="center" vertical="distributed"/>
    </xf>
    <xf numFmtId="0" fontId="5" fillId="4" borderId="0" xfId="0" applyFont="1" applyFill="1" applyBorder="1"/>
    <xf numFmtId="0" fontId="5" fillId="0" borderId="0" xfId="0" applyFont="1" applyBorder="1" applyAlignment="1">
      <alignment horizontal="center"/>
    </xf>
    <xf numFmtId="43" fontId="0" fillId="0" borderId="0" xfId="2" applyFont="1" applyBorder="1" applyAlignment="1">
      <alignment horizontal="center"/>
    </xf>
    <xf numFmtId="164" fontId="0" fillId="0" borderId="0" xfId="2" applyNumberFormat="1" applyFont="1" applyBorder="1" applyAlignment="1">
      <alignment horizontal="center"/>
    </xf>
    <xf numFmtId="43" fontId="0" fillId="0" borderId="0" xfId="2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43" fontId="0" fillId="0" borderId="0" xfId="2" applyFont="1" applyBorder="1" applyAlignment="1" applyProtection="1">
      <alignment horizontal="center"/>
      <protection locked="0"/>
    </xf>
    <xf numFmtId="43" fontId="7" fillId="0" borderId="0" xfId="2" applyFont="1" applyBorder="1" applyAlignment="1">
      <alignment horizontal="center"/>
    </xf>
    <xf numFmtId="2" fontId="0" fillId="0" borderId="0" xfId="2" applyNumberFormat="1" applyFont="1" applyBorder="1" applyAlignment="1">
      <alignment horizontal="center"/>
    </xf>
    <xf numFmtId="43" fontId="4" fillId="0" borderId="0" xfId="2" applyFont="1" applyBorder="1" applyAlignment="1">
      <alignment horizontal="center"/>
    </xf>
    <xf numFmtId="43" fontId="0" fillId="2" borderId="0" xfId="2" applyFont="1" applyFill="1" applyBorder="1" applyAlignment="1">
      <alignment horizontal="center"/>
    </xf>
    <xf numFmtId="43" fontId="0" fillId="0" borderId="0" xfId="2" applyFont="1" applyFill="1" applyBorder="1" applyAlignment="1">
      <alignment horizontal="center"/>
    </xf>
    <xf numFmtId="0" fontId="5" fillId="0" borderId="0" xfId="0" applyFont="1" applyBorder="1"/>
    <xf numFmtId="43" fontId="5" fillId="0" borderId="0" xfId="2" applyFont="1" applyBorder="1"/>
    <xf numFmtId="165" fontId="5" fillId="0" borderId="0" xfId="2" applyNumberFormat="1" applyFont="1" applyBorder="1"/>
    <xf numFmtId="0" fontId="5" fillId="4" borderId="0" xfId="0" applyFont="1" applyFill="1" applyBorder="1" applyAlignment="1">
      <alignment horizontal="center"/>
    </xf>
    <xf numFmtId="43" fontId="5" fillId="4" borderId="0" xfId="2" applyFont="1" applyFill="1" applyBorder="1" applyAlignment="1">
      <alignment horizontal="center"/>
    </xf>
    <xf numFmtId="0" fontId="5" fillId="0" borderId="0" xfId="0" applyFont="1"/>
    <xf numFmtId="165" fontId="5" fillId="0" borderId="0" xfId="2" applyNumberFormat="1" applyFont="1" applyBorder="1" applyProtection="1">
      <protection locked="0"/>
    </xf>
    <xf numFmtId="43" fontId="5" fillId="0" borderId="0" xfId="2" applyFont="1" applyBorder="1" applyProtection="1">
      <protection locked="0"/>
    </xf>
    <xf numFmtId="0" fontId="5" fillId="0" borderId="0" xfId="0" applyFont="1" applyBorder="1" applyProtection="1">
      <protection locked="0"/>
    </xf>
    <xf numFmtId="2" fontId="0" fillId="0" borderId="0" xfId="0" applyNumberFormat="1" applyAlignment="1">
      <alignment horizontal="center" vertical="distributed"/>
    </xf>
    <xf numFmtId="0" fontId="8" fillId="0" borderId="0" xfId="3" applyFont="1" applyBorder="1" applyAlignment="1">
      <alignment horizontal="left" vertical="center" wrapText="1"/>
    </xf>
    <xf numFmtId="0" fontId="13" fillId="0" borderId="0" xfId="3" applyFont="1" applyAlignment="1">
      <alignment horizontal="center" vertical="center"/>
    </xf>
    <xf numFmtId="0" fontId="8" fillId="4" borderId="8" xfId="3" applyFill="1" applyBorder="1" applyAlignment="1">
      <alignment horizontal="center" vertical="center" wrapText="1"/>
    </xf>
    <xf numFmtId="0" fontId="8" fillId="0" borderId="0" xfId="3" applyAlignment="1">
      <alignment horizontal="center" wrapText="1"/>
    </xf>
    <xf numFmtId="0" fontId="8" fillId="0" borderId="0" xfId="3" applyFont="1" applyAlignment="1">
      <alignment horizontal="center" wrapText="1"/>
    </xf>
    <xf numFmtId="44" fontId="12" fillId="0" borderId="8" xfId="3" applyNumberFormat="1" applyFont="1" applyBorder="1" applyAlignment="1">
      <alignment horizontal="center" vertical="center"/>
    </xf>
    <xf numFmtId="0" fontId="12" fillId="4" borderId="0" xfId="3" applyFont="1" applyFill="1" applyAlignment="1">
      <alignment horizontal="center" vertical="center"/>
    </xf>
    <xf numFmtId="0" fontId="8" fillId="4" borderId="3" xfId="3" applyFill="1" applyBorder="1" applyAlignment="1">
      <alignment horizontal="center" vertical="center" wrapText="1"/>
    </xf>
    <xf numFmtId="0" fontId="8" fillId="4" borderId="4" xfId="3" applyFill="1" applyBorder="1" applyAlignment="1">
      <alignment horizontal="center" vertical="center" wrapText="1"/>
    </xf>
    <xf numFmtId="0" fontId="8" fillId="4" borderId="5" xfId="3" applyFill="1" applyBorder="1" applyAlignment="1">
      <alignment horizontal="center" vertical="center" wrapText="1"/>
    </xf>
    <xf numFmtId="0" fontId="8" fillId="4" borderId="6" xfId="3" applyFont="1" applyFill="1" applyBorder="1" applyAlignment="1">
      <alignment horizontal="center" vertical="center" wrapText="1"/>
    </xf>
    <xf numFmtId="44" fontId="12" fillId="0" borderId="10" xfId="3" applyNumberFormat="1" applyFont="1" applyBorder="1" applyAlignment="1">
      <alignment horizontal="center" vertical="center"/>
    </xf>
    <xf numFmtId="44" fontId="12" fillId="0" borderId="22" xfId="3" applyNumberFormat="1" applyFont="1" applyBorder="1" applyAlignment="1">
      <alignment horizontal="center" vertical="center"/>
    </xf>
    <xf numFmtId="43" fontId="5" fillId="4" borderId="0" xfId="2" applyFont="1" applyFill="1" applyBorder="1" applyAlignment="1">
      <alignment horizontal="center"/>
    </xf>
  </cellXfs>
  <cellStyles count="5">
    <cellStyle name="Lien hypertexte" xfId="1" builtinId="8"/>
    <cellStyle name="Milliers" xfId="2" builtinId="3"/>
    <cellStyle name="Monétaire 2" xfId="4"/>
    <cellStyle name="Normal" xfId="0" builtinId="0"/>
    <cellStyle name="Normal 2" xfId="3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chin@machine,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V69"/>
  <sheetViews>
    <sheetView workbookViewId="0">
      <selection activeCell="L27" sqref="L27"/>
    </sheetView>
  </sheetViews>
  <sheetFormatPr baseColWidth="10" defaultRowHeight="15"/>
  <cols>
    <col min="4" max="4" width="13" bestFit="1" customWidth="1"/>
    <col min="5" max="5" width="13.28515625" bestFit="1" customWidth="1"/>
    <col min="6" max="6" width="21.42578125" bestFit="1" customWidth="1"/>
    <col min="10" max="10" width="16.7109375" bestFit="1" customWidth="1"/>
    <col min="11" max="11" width="29.28515625" bestFit="1" customWidth="1"/>
    <col min="15" max="15" width="13.7109375" bestFit="1" customWidth="1"/>
    <col min="22" max="22" width="11.42578125" customWidth="1"/>
  </cols>
  <sheetData>
    <row r="1" spans="2:22" ht="15.75" thickBot="1"/>
    <row r="2" spans="2:22" ht="15.75" thickBot="1">
      <c r="B2" t="s">
        <v>22</v>
      </c>
      <c r="F2" s="2" t="s">
        <v>68</v>
      </c>
    </row>
    <row r="3" spans="2:22" ht="15.75" thickBot="1">
      <c r="V3" t="s">
        <v>60</v>
      </c>
    </row>
    <row r="4" spans="2:22" ht="15.75" thickBot="1">
      <c r="B4" t="s">
        <v>23</v>
      </c>
      <c r="F4" s="2">
        <v>1</v>
      </c>
      <c r="V4" t="s">
        <v>61</v>
      </c>
    </row>
    <row r="5" spans="2:22" ht="15.75" thickBot="1"/>
    <row r="6" spans="2:22" ht="15.75" thickBot="1">
      <c r="B6" t="s">
        <v>24</v>
      </c>
      <c r="F6" s="2">
        <v>5</v>
      </c>
    </row>
    <row r="7" spans="2:22" ht="15.75" thickBot="1"/>
    <row r="8" spans="2:22" ht="15.75" thickBot="1">
      <c r="B8" t="s">
        <v>25</v>
      </c>
      <c r="F8" s="2">
        <v>30</v>
      </c>
    </row>
    <row r="9" spans="2:22" ht="15.75" thickBot="1"/>
    <row r="10" spans="2:22" ht="15.75" thickBot="1">
      <c r="B10" t="s">
        <v>28</v>
      </c>
      <c r="F10" s="2" t="s">
        <v>35</v>
      </c>
      <c r="V10" t="s">
        <v>34</v>
      </c>
    </row>
    <row r="11" spans="2:22" ht="15.75" thickBot="1">
      <c r="V11" t="s">
        <v>35</v>
      </c>
    </row>
    <row r="12" spans="2:22" ht="15.75" thickBot="1">
      <c r="B12" t="s">
        <v>26</v>
      </c>
      <c r="F12" s="7" t="s">
        <v>69</v>
      </c>
    </row>
    <row r="13" spans="2:22" ht="15.75" thickBot="1"/>
    <row r="14" spans="2:22" ht="15.75" thickBot="1">
      <c r="B14" t="s">
        <v>27</v>
      </c>
      <c r="F14" s="2" t="s">
        <v>70</v>
      </c>
      <c r="V14">
        <v>1</v>
      </c>
    </row>
    <row r="15" spans="2:22" ht="15.75" thickBot="1">
      <c r="V15">
        <v>2</v>
      </c>
    </row>
    <row r="16" spans="2:22" ht="15.75" thickBot="1">
      <c r="B16" t="s">
        <v>30</v>
      </c>
      <c r="F16" s="2" t="s">
        <v>61</v>
      </c>
      <c r="V16">
        <v>3</v>
      </c>
    </row>
    <row r="17" spans="2:22" ht="15.75" thickBot="1">
      <c r="V17">
        <v>4</v>
      </c>
    </row>
    <row r="18" spans="2:22" ht="15.75" thickBot="1">
      <c r="B18" t="s">
        <v>31</v>
      </c>
      <c r="F18" s="2" t="s">
        <v>60</v>
      </c>
      <c r="V18">
        <v>5</v>
      </c>
    </row>
    <row r="19" spans="2:22" ht="15.75" thickBot="1">
      <c r="V19">
        <v>6</v>
      </c>
    </row>
    <row r="20" spans="2:22" ht="15.75" thickBot="1">
      <c r="B20" t="s">
        <v>32</v>
      </c>
      <c r="F20" s="2" t="s">
        <v>61</v>
      </c>
      <c r="V20">
        <v>7</v>
      </c>
    </row>
    <row r="21" spans="2:22" ht="15.75" thickBot="1">
      <c r="B21" t="s">
        <v>33</v>
      </c>
      <c r="F21" s="2" t="s">
        <v>71</v>
      </c>
      <c r="V21">
        <v>8</v>
      </c>
    </row>
    <row r="22" spans="2:22">
      <c r="V22">
        <v>9</v>
      </c>
    </row>
    <row r="23" spans="2:22" ht="18.75">
      <c r="B23" s="3" t="s">
        <v>0</v>
      </c>
      <c r="C23" s="3"/>
      <c r="D23" s="3"/>
      <c r="V23">
        <v>10</v>
      </c>
    </row>
    <row r="24" spans="2:22">
      <c r="V24">
        <v>11</v>
      </c>
    </row>
    <row r="25" spans="2:22">
      <c r="V25">
        <v>12</v>
      </c>
    </row>
    <row r="26" spans="2:22" s="1" customFormat="1" ht="45">
      <c r="B26" s="1" t="s">
        <v>5</v>
      </c>
      <c r="C26" s="1" t="s">
        <v>67</v>
      </c>
      <c r="D26" s="1" t="s">
        <v>6</v>
      </c>
      <c r="E26" s="1" t="s">
        <v>7</v>
      </c>
      <c r="F26" s="1" t="s">
        <v>8</v>
      </c>
      <c r="G26" s="1" t="s">
        <v>9</v>
      </c>
      <c r="H26" s="1" t="s">
        <v>49</v>
      </c>
      <c r="I26" s="1" t="s">
        <v>50</v>
      </c>
      <c r="J26" s="1" t="s">
        <v>51</v>
      </c>
      <c r="K26" s="1" t="s">
        <v>29</v>
      </c>
      <c r="L26" s="1" t="s">
        <v>19</v>
      </c>
      <c r="M26" s="1" t="s">
        <v>20</v>
      </c>
      <c r="N26" s="1" t="s">
        <v>21</v>
      </c>
      <c r="O26" s="1" t="s">
        <v>57</v>
      </c>
      <c r="P26" s="1" t="s">
        <v>58</v>
      </c>
      <c r="Q26" s="1" t="s">
        <v>59</v>
      </c>
      <c r="V26">
        <v>13</v>
      </c>
    </row>
    <row r="27" spans="2:22">
      <c r="B27" t="s">
        <v>1</v>
      </c>
      <c r="C27" t="s">
        <v>72</v>
      </c>
      <c r="D27" s="8">
        <v>38838</v>
      </c>
      <c r="G27" t="s">
        <v>71</v>
      </c>
      <c r="J27" t="s">
        <v>55</v>
      </c>
      <c r="Q27" t="s">
        <v>65</v>
      </c>
      <c r="V27">
        <v>14</v>
      </c>
    </row>
    <row r="28" spans="2:22">
      <c r="B28" t="s">
        <v>2</v>
      </c>
      <c r="J28" t="s">
        <v>56</v>
      </c>
      <c r="K28" t="s">
        <v>12</v>
      </c>
      <c r="V28">
        <v>15</v>
      </c>
    </row>
    <row r="29" spans="2:22">
      <c r="B29" t="s">
        <v>3</v>
      </c>
      <c r="J29" t="s">
        <v>53</v>
      </c>
      <c r="K29" t="s">
        <v>18</v>
      </c>
      <c r="V29">
        <v>16</v>
      </c>
    </row>
    <row r="30" spans="2:22">
      <c r="B30" t="s">
        <v>4</v>
      </c>
      <c r="J30" t="s">
        <v>54</v>
      </c>
      <c r="V30">
        <v>17</v>
      </c>
    </row>
    <row r="31" spans="2:22">
      <c r="V31">
        <v>18</v>
      </c>
    </row>
    <row r="32" spans="2:22">
      <c r="V32">
        <v>19</v>
      </c>
    </row>
    <row r="33" spans="22:22">
      <c r="V33">
        <v>20</v>
      </c>
    </row>
    <row r="34" spans="22:22">
      <c r="V34">
        <v>21</v>
      </c>
    </row>
    <row r="35" spans="22:22">
      <c r="V35">
        <v>22</v>
      </c>
    </row>
    <row r="36" spans="22:22">
      <c r="V36">
        <v>23</v>
      </c>
    </row>
    <row r="37" spans="22:22">
      <c r="V37">
        <v>24</v>
      </c>
    </row>
    <row r="38" spans="22:22">
      <c r="V38">
        <v>25</v>
      </c>
    </row>
    <row r="39" spans="22:22">
      <c r="V39">
        <v>26</v>
      </c>
    </row>
    <row r="40" spans="22:22">
      <c r="V40">
        <v>27</v>
      </c>
    </row>
    <row r="41" spans="22:22">
      <c r="V41">
        <v>28</v>
      </c>
    </row>
    <row r="42" spans="22:22">
      <c r="V42">
        <v>29</v>
      </c>
    </row>
    <row r="43" spans="22:22">
      <c r="V43">
        <v>30</v>
      </c>
    </row>
    <row r="44" spans="22:22">
      <c r="V44">
        <v>31</v>
      </c>
    </row>
    <row r="46" spans="22:22">
      <c r="V46" t="s">
        <v>55</v>
      </c>
    </row>
    <row r="47" spans="22:22">
      <c r="V47" t="s">
        <v>56</v>
      </c>
    </row>
    <row r="48" spans="22:22">
      <c r="V48" t="s">
        <v>52</v>
      </c>
    </row>
    <row r="49" spans="22:22">
      <c r="V49" t="s">
        <v>53</v>
      </c>
    </row>
    <row r="50" spans="22:22">
      <c r="V50" t="s">
        <v>54</v>
      </c>
    </row>
    <row r="54" spans="22:22">
      <c r="V54" t="s">
        <v>10</v>
      </c>
    </row>
    <row r="55" spans="22:22">
      <c r="V55" t="s">
        <v>11</v>
      </c>
    </row>
    <row r="56" spans="22:22">
      <c r="V56" t="s">
        <v>12</v>
      </c>
    </row>
    <row r="57" spans="22:22">
      <c r="V57" t="s">
        <v>13</v>
      </c>
    </row>
    <row r="58" spans="22:22">
      <c r="V58" t="s">
        <v>14</v>
      </c>
    </row>
    <row r="59" spans="22:22">
      <c r="V59" t="s">
        <v>15</v>
      </c>
    </row>
    <row r="60" spans="22:22">
      <c r="V60" t="s">
        <v>16</v>
      </c>
    </row>
    <row r="61" spans="22:22">
      <c r="V61" t="s">
        <v>17</v>
      </c>
    </row>
    <row r="62" spans="22:22">
      <c r="V62" t="s">
        <v>18</v>
      </c>
    </row>
    <row r="65" spans="22:22">
      <c r="V65" t="s">
        <v>62</v>
      </c>
    </row>
    <row r="66" spans="22:22">
      <c r="V66" t="s">
        <v>63</v>
      </c>
    </row>
    <row r="67" spans="22:22">
      <c r="V67" t="s">
        <v>64</v>
      </c>
    </row>
    <row r="68" spans="22:22">
      <c r="V68" t="s">
        <v>65</v>
      </c>
    </row>
    <row r="69" spans="22:22">
      <c r="V69" t="s">
        <v>66</v>
      </c>
    </row>
  </sheetData>
  <autoFilter ref="B26:Q26">
    <filterColumn colId="1"/>
  </autoFilter>
  <dataValidations count="6">
    <dataValidation type="list" allowBlank="1" showInputMessage="1" showErrorMessage="1" sqref="J27:J30">
      <formula1>$V$46:$V$50</formula1>
    </dataValidation>
    <dataValidation type="list" allowBlank="1" showInputMessage="1" showErrorMessage="1" sqref="F8">
      <formula1>$V$13:$V$44</formula1>
    </dataValidation>
    <dataValidation type="list" allowBlank="1" showInputMessage="1" showErrorMessage="1" sqref="F10">
      <formula1>$V$9:$V$11</formula1>
    </dataValidation>
    <dataValidation type="list" allowBlank="1" showInputMessage="1" showErrorMessage="1" sqref="F20 P27:P30 L27:N30 F18 F16">
      <formula1>$V$2:$V$4</formula1>
    </dataValidation>
    <dataValidation type="list" allowBlank="1" showInputMessage="1" showErrorMessage="1" sqref="K27:K30">
      <formula1>$V$53:$V$62</formula1>
    </dataValidation>
    <dataValidation type="list" allowBlank="1" showInputMessage="1" showErrorMessage="1" sqref="Q27:Q30">
      <formula1>$V$64:$V$69</formula1>
    </dataValidation>
  </dataValidations>
  <hyperlinks>
    <hyperlink ref="F12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Q45"/>
  <sheetViews>
    <sheetView showGridLines="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C3" sqref="C3"/>
    </sheetView>
  </sheetViews>
  <sheetFormatPr baseColWidth="10" defaultRowHeight="15"/>
  <cols>
    <col min="4" max="4" width="35" bestFit="1" customWidth="1"/>
  </cols>
  <sheetData>
    <row r="3" spans="1:17">
      <c r="A3" t="s">
        <v>77</v>
      </c>
    </row>
    <row r="4" spans="1:17">
      <c r="C4" s="4"/>
      <c r="D4" s="4"/>
      <c r="E4" t="s">
        <v>36</v>
      </c>
      <c r="F4" t="s">
        <v>37</v>
      </c>
      <c r="G4" t="s">
        <v>38</v>
      </c>
      <c r="H4" t="s">
        <v>39</v>
      </c>
      <c r="I4" t="s">
        <v>40</v>
      </c>
      <c r="J4" t="s">
        <v>41</v>
      </c>
      <c r="K4" t="s">
        <v>42</v>
      </c>
      <c r="L4" t="s">
        <v>43</v>
      </c>
      <c r="M4" t="s">
        <v>44</v>
      </c>
      <c r="N4" t="s">
        <v>45</v>
      </c>
      <c r="O4" t="s">
        <v>46</v>
      </c>
      <c r="P4" t="s">
        <v>47</v>
      </c>
      <c r="Q4" t="s">
        <v>48</v>
      </c>
    </row>
    <row r="5" spans="1:17">
      <c r="C5" s="117"/>
      <c r="D5" s="4"/>
    </row>
    <row r="6" spans="1:17">
      <c r="C6" s="117"/>
      <c r="D6" s="6" t="s">
        <v>73</v>
      </c>
      <c r="E6">
        <v>1</v>
      </c>
      <c r="F6">
        <v>1</v>
      </c>
      <c r="G6">
        <v>1</v>
      </c>
      <c r="H6">
        <v>1</v>
      </c>
      <c r="I6">
        <v>1</v>
      </c>
      <c r="J6">
        <v>1</v>
      </c>
      <c r="K6">
        <v>1</v>
      </c>
      <c r="L6">
        <v>1</v>
      </c>
      <c r="M6">
        <v>1</v>
      </c>
      <c r="N6">
        <v>1</v>
      </c>
      <c r="O6">
        <v>1</v>
      </c>
      <c r="P6">
        <v>1</v>
      </c>
      <c r="Q6">
        <f>+SUM(E6:P6)</f>
        <v>12</v>
      </c>
    </row>
    <row r="7" spans="1:17">
      <c r="C7" s="117"/>
      <c r="D7" s="6" t="s">
        <v>79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f t="shared" ref="Q7:Q25" si="0">+SUM(E7:P7)</f>
        <v>0</v>
      </c>
    </row>
    <row r="8" spans="1:17">
      <c r="C8" s="117"/>
      <c r="D8" s="6" t="s">
        <v>78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f t="shared" si="0"/>
        <v>0</v>
      </c>
    </row>
    <row r="9" spans="1:17">
      <c r="C9" s="117"/>
      <c r="D9" s="6" t="s">
        <v>80</v>
      </c>
      <c r="E9">
        <v>1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f t="shared" si="0"/>
        <v>1</v>
      </c>
    </row>
    <row r="10" spans="1:17">
      <c r="C10" s="117"/>
      <c r="D10" s="6" t="s">
        <v>81</v>
      </c>
      <c r="E10">
        <v>0</v>
      </c>
      <c r="F10">
        <v>0</v>
      </c>
      <c r="G10">
        <v>0</v>
      </c>
      <c r="H10">
        <v>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f t="shared" si="0"/>
        <v>1</v>
      </c>
    </row>
    <row r="11" spans="1:17">
      <c r="C11" s="5"/>
      <c r="D11" s="6"/>
    </row>
    <row r="12" spans="1:17">
      <c r="C12" s="117"/>
      <c r="D12" s="4" t="s">
        <v>74</v>
      </c>
      <c r="Q12">
        <f t="shared" si="0"/>
        <v>0</v>
      </c>
    </row>
    <row r="13" spans="1:17">
      <c r="C13" s="117"/>
      <c r="D13" s="6"/>
    </row>
    <row r="14" spans="1:17">
      <c r="C14" s="117"/>
      <c r="D14" s="6" t="s">
        <v>75</v>
      </c>
      <c r="Q14">
        <f t="shared" si="0"/>
        <v>0</v>
      </c>
    </row>
    <row r="15" spans="1:17">
      <c r="C15" s="117"/>
      <c r="D15" s="6" t="s">
        <v>76</v>
      </c>
      <c r="Q15">
        <f t="shared" si="0"/>
        <v>0</v>
      </c>
    </row>
    <row r="16" spans="1:17">
      <c r="C16" s="117"/>
      <c r="D16" s="6"/>
    </row>
    <row r="17" spans="3:17">
      <c r="C17" s="117"/>
      <c r="D17" s="6" t="s">
        <v>82</v>
      </c>
      <c r="Q17">
        <f t="shared" si="0"/>
        <v>0</v>
      </c>
    </row>
    <row r="18" spans="3:17">
      <c r="C18" s="5"/>
      <c r="D18" s="6"/>
    </row>
    <row r="19" spans="3:17">
      <c r="C19" s="117"/>
      <c r="D19" s="4" t="s">
        <v>83</v>
      </c>
      <c r="Q19">
        <f t="shared" si="0"/>
        <v>0</v>
      </c>
    </row>
    <row r="20" spans="3:17">
      <c r="C20" s="117"/>
      <c r="D20" s="6" t="s">
        <v>84</v>
      </c>
      <c r="Q20">
        <f t="shared" si="0"/>
        <v>0</v>
      </c>
    </row>
    <row r="21" spans="3:17">
      <c r="C21" s="117"/>
      <c r="D21" s="6" t="s">
        <v>85</v>
      </c>
      <c r="Q21">
        <f t="shared" si="0"/>
        <v>0</v>
      </c>
    </row>
    <row r="22" spans="3:17">
      <c r="C22" s="117"/>
      <c r="D22" s="6" t="s">
        <v>86</v>
      </c>
      <c r="Q22">
        <f t="shared" si="0"/>
        <v>0</v>
      </c>
    </row>
    <row r="23" spans="3:17">
      <c r="C23" s="117"/>
      <c r="D23" s="6" t="s">
        <v>87</v>
      </c>
      <c r="Q23">
        <f t="shared" si="0"/>
        <v>0</v>
      </c>
    </row>
    <row r="24" spans="3:17">
      <c r="C24" s="117"/>
      <c r="D24" s="6"/>
    </row>
    <row r="25" spans="3:17">
      <c r="C25" s="5"/>
      <c r="D25" s="5" t="s">
        <v>88</v>
      </c>
      <c r="Q25">
        <f t="shared" si="0"/>
        <v>0</v>
      </c>
    </row>
    <row r="26" spans="3:17">
      <c r="C26" s="117"/>
      <c r="D26" s="4"/>
    </row>
    <row r="27" spans="3:17">
      <c r="C27" s="117"/>
      <c r="D27" s="6"/>
    </row>
    <row r="28" spans="3:17">
      <c r="C28" s="117"/>
      <c r="D28" s="6"/>
    </row>
    <row r="29" spans="3:17">
      <c r="C29" s="117"/>
      <c r="D29" s="6"/>
    </row>
    <row r="30" spans="3:17">
      <c r="C30" s="117"/>
      <c r="D30" s="6"/>
    </row>
    <row r="31" spans="3:17">
      <c r="C31" s="117"/>
      <c r="D31" s="6"/>
    </row>
    <row r="32" spans="3:17">
      <c r="C32" s="5"/>
      <c r="D32" s="5"/>
    </row>
    <row r="33" spans="3:4">
      <c r="C33" s="5"/>
      <c r="D33" s="5"/>
    </row>
    <row r="34" spans="3:4">
      <c r="C34" s="5"/>
      <c r="D34" s="5"/>
    </row>
    <row r="35" spans="3:4">
      <c r="C35" s="5"/>
      <c r="D35" s="5"/>
    </row>
    <row r="36" spans="3:4">
      <c r="C36" s="5"/>
      <c r="D36" s="5"/>
    </row>
    <row r="37" spans="3:4">
      <c r="C37" s="5"/>
      <c r="D37" s="5"/>
    </row>
    <row r="38" spans="3:4">
      <c r="C38" s="5"/>
      <c r="D38" s="5"/>
    </row>
    <row r="39" spans="3:4">
      <c r="C39" s="5"/>
      <c r="D39" s="5"/>
    </row>
    <row r="40" spans="3:4">
      <c r="C40" s="5"/>
      <c r="D40" s="5"/>
    </row>
    <row r="41" spans="3:4">
      <c r="C41" s="5"/>
      <c r="D41" s="5"/>
    </row>
    <row r="42" spans="3:4">
      <c r="C42" s="5"/>
      <c r="D42" s="5"/>
    </row>
    <row r="43" spans="3:4">
      <c r="D43" s="5"/>
    </row>
    <row r="44" spans="3:4">
      <c r="D44" s="5"/>
    </row>
    <row r="45" spans="3:4">
      <c r="D45" s="5"/>
    </row>
  </sheetData>
  <mergeCells count="4">
    <mergeCell ref="C5:C10"/>
    <mergeCell ref="C12:C17"/>
    <mergeCell ref="C19:C24"/>
    <mergeCell ref="C26:C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23"/>
  <sheetViews>
    <sheetView showGridLines="0" showRowColHeaders="0" workbookViewId="0">
      <selection activeCell="D6" sqref="D6"/>
    </sheetView>
  </sheetViews>
  <sheetFormatPr baseColWidth="10" defaultColWidth="11.42578125" defaultRowHeight="13.5"/>
  <cols>
    <col min="1" max="16384" width="11.42578125" style="12"/>
  </cols>
  <sheetData>
    <row r="1" spans="1:2">
      <c r="A1" s="12" t="s">
        <v>127</v>
      </c>
    </row>
    <row r="3" spans="1:2">
      <c r="B3" s="13" t="s">
        <v>128</v>
      </c>
    </row>
    <row r="4" spans="1:2" ht="15">
      <c r="A4" s="14" t="s">
        <v>36</v>
      </c>
      <c r="B4" s="15">
        <v>9.5299999999999994</v>
      </c>
    </row>
    <row r="5" spans="1:2" ht="15">
      <c r="A5" s="14" t="s">
        <v>37</v>
      </c>
      <c r="B5" s="15">
        <f>B4</f>
        <v>9.5299999999999994</v>
      </c>
    </row>
    <row r="6" spans="1:2" ht="15">
      <c r="A6" s="14" t="s">
        <v>38</v>
      </c>
      <c r="B6" s="15">
        <f>B5</f>
        <v>9.5299999999999994</v>
      </c>
    </row>
    <row r="7" spans="1:2" ht="15">
      <c r="A7" s="14" t="s">
        <v>39</v>
      </c>
      <c r="B7" s="15">
        <f>B6</f>
        <v>9.5299999999999994</v>
      </c>
    </row>
    <row r="8" spans="1:2" ht="15">
      <c r="A8" s="14" t="s">
        <v>40</v>
      </c>
      <c r="B8" s="15">
        <f t="shared" ref="B8:B15" si="0">B7</f>
        <v>9.5299999999999994</v>
      </c>
    </row>
    <row r="9" spans="1:2" ht="15">
      <c r="A9" s="14" t="s">
        <v>41</v>
      </c>
      <c r="B9" s="15">
        <f t="shared" si="0"/>
        <v>9.5299999999999994</v>
      </c>
    </row>
    <row r="10" spans="1:2" ht="15">
      <c r="A10" s="14" t="s">
        <v>42</v>
      </c>
      <c r="B10" s="15">
        <v>9.5299999999999994</v>
      </c>
    </row>
    <row r="11" spans="1:2" ht="15">
      <c r="A11" s="14" t="s">
        <v>43</v>
      </c>
      <c r="B11" s="15">
        <f t="shared" si="0"/>
        <v>9.5299999999999994</v>
      </c>
    </row>
    <row r="12" spans="1:2" ht="15">
      <c r="A12" s="14" t="s">
        <v>44</v>
      </c>
      <c r="B12" s="15">
        <f t="shared" si="0"/>
        <v>9.5299999999999994</v>
      </c>
    </row>
    <row r="13" spans="1:2" ht="15">
      <c r="A13" s="14" t="s">
        <v>45</v>
      </c>
      <c r="B13" s="15">
        <f t="shared" si="0"/>
        <v>9.5299999999999994</v>
      </c>
    </row>
    <row r="14" spans="1:2" ht="15">
      <c r="A14" s="14" t="s">
        <v>46</v>
      </c>
      <c r="B14" s="15">
        <f t="shared" si="0"/>
        <v>9.5299999999999994</v>
      </c>
    </row>
    <row r="15" spans="1:2" ht="15">
      <c r="A15" s="14" t="s">
        <v>47</v>
      </c>
      <c r="B15" s="15">
        <f t="shared" si="0"/>
        <v>9.5299999999999994</v>
      </c>
    </row>
    <row r="17" spans="2:11" ht="15">
      <c r="B17" s="16" t="s">
        <v>129</v>
      </c>
    </row>
    <row r="19" spans="2:11">
      <c r="B19" s="17" t="s">
        <v>130</v>
      </c>
      <c r="C19" s="18"/>
      <c r="D19" s="18"/>
      <c r="E19" s="18"/>
      <c r="F19" s="18"/>
      <c r="G19" s="18"/>
      <c r="H19" s="18"/>
      <c r="I19" s="18"/>
      <c r="J19" s="18"/>
      <c r="K19" s="18"/>
    </row>
    <row r="20" spans="2:11">
      <c r="B20" s="118" t="s">
        <v>131</v>
      </c>
      <c r="C20" s="118"/>
      <c r="D20" s="118"/>
      <c r="E20" s="118"/>
      <c r="F20" s="118"/>
      <c r="G20" s="118"/>
      <c r="H20" s="118"/>
      <c r="I20" s="118"/>
      <c r="J20" s="118"/>
      <c r="K20" s="118"/>
    </row>
    <row r="21" spans="2:11" ht="25.5" customHeight="1">
      <c r="B21" s="118" t="s">
        <v>132</v>
      </c>
      <c r="C21" s="118"/>
      <c r="D21" s="118"/>
      <c r="E21" s="118"/>
      <c r="F21" s="118"/>
      <c r="G21" s="118"/>
      <c r="H21" s="118"/>
      <c r="I21" s="118"/>
      <c r="J21" s="118"/>
      <c r="K21" s="118"/>
    </row>
    <row r="22" spans="2:11" ht="23.25" customHeight="1">
      <c r="B22" s="118" t="s">
        <v>133</v>
      </c>
      <c r="C22" s="118"/>
      <c r="D22" s="118"/>
      <c r="E22" s="118"/>
      <c r="F22" s="118"/>
      <c r="G22" s="118"/>
      <c r="H22" s="118"/>
      <c r="I22" s="118"/>
      <c r="J22" s="118"/>
      <c r="K22" s="118"/>
    </row>
    <row r="23" spans="2:11">
      <c r="B23" s="18"/>
      <c r="C23" s="18"/>
      <c r="D23" s="18"/>
      <c r="E23" s="18"/>
      <c r="F23" s="18"/>
      <c r="G23" s="18"/>
      <c r="H23" s="18"/>
      <c r="I23" s="18"/>
      <c r="J23" s="18"/>
      <c r="K23" s="18"/>
    </row>
  </sheetData>
  <sheetProtection password="C75A" sheet="1" objects="1" scenarios="1"/>
  <mergeCells count="3">
    <mergeCell ref="B20:K20"/>
    <mergeCell ref="B21:K21"/>
    <mergeCell ref="B22:K2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E69"/>
  <sheetViews>
    <sheetView showGridLines="0" showRowColHeaders="0" workbookViewId="0">
      <selection activeCell="B23" sqref="B23"/>
    </sheetView>
  </sheetViews>
  <sheetFormatPr baseColWidth="10" defaultColWidth="0" defaultRowHeight="13.5"/>
  <cols>
    <col min="1" max="1" width="2.7109375" style="18" customWidth="1"/>
    <col min="2" max="2" width="25.28515625" style="18" customWidth="1"/>
    <col min="3" max="9" width="13.5703125" style="18" customWidth="1"/>
    <col min="10" max="14" width="12.7109375" style="18" hidden="1" customWidth="1"/>
    <col min="15" max="16" width="10.85546875" style="19" hidden="1" customWidth="1"/>
    <col min="17" max="17" width="12.7109375" style="19" hidden="1" customWidth="1"/>
    <col min="18" max="18" width="11.28515625" style="19" hidden="1" customWidth="1"/>
    <col min="19" max="19" width="14.7109375" style="19" hidden="1" customWidth="1"/>
    <col min="20" max="20" width="14.7109375" style="18" hidden="1" customWidth="1"/>
    <col min="21" max="21" width="14.28515625" style="18" hidden="1" customWidth="1"/>
    <col min="22" max="23" width="15.7109375" style="18" customWidth="1"/>
    <col min="24" max="24" width="2.5703125" style="18" customWidth="1"/>
    <col min="25" max="33" width="10.28515625" style="18" hidden="1" customWidth="1"/>
    <col min="34" max="16384" width="10.28515625" style="18" hidden="1"/>
  </cols>
  <sheetData>
    <row r="1" spans="2:23" ht="25.5" customHeight="1">
      <c r="B1" s="124" t="s">
        <v>134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</row>
    <row r="2" spans="2:23" ht="14.25" thickBot="1"/>
    <row r="3" spans="2:23" ht="21.75" customHeight="1" thickBot="1">
      <c r="B3" s="20" t="s">
        <v>135</v>
      </c>
      <c r="C3" s="21">
        <v>2013</v>
      </c>
      <c r="H3" s="22" t="s">
        <v>136</v>
      </c>
      <c r="I3" s="23" t="s">
        <v>201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2:23" ht="20.25" customHeight="1">
      <c r="B4" s="24"/>
      <c r="H4" s="22" t="s">
        <v>137</v>
      </c>
      <c r="I4" s="25" t="s">
        <v>138</v>
      </c>
    </row>
    <row r="5" spans="2:23" ht="27" customHeight="1">
      <c r="B5" s="26" t="s">
        <v>139</v>
      </c>
      <c r="H5" s="18" t="s">
        <v>199</v>
      </c>
      <c r="I5" s="18" t="s">
        <v>200</v>
      </c>
    </row>
    <row r="6" spans="2:23" ht="9.75" customHeight="1">
      <c r="B6" s="27"/>
    </row>
    <row r="7" spans="2:23" hidden="1">
      <c r="B7" s="27"/>
      <c r="C7" s="28">
        <v>1</v>
      </c>
    </row>
    <row r="8" spans="2:23" ht="5.25" customHeight="1">
      <c r="B8" s="27"/>
    </row>
    <row r="9" spans="2:23" ht="15" customHeight="1">
      <c r="B9" s="27"/>
    </row>
    <row r="10" spans="2:23" ht="29.25" customHeight="1">
      <c r="B10" s="26" t="s">
        <v>140</v>
      </c>
    </row>
    <row r="11" spans="2:23" ht="15" hidden="1" customHeight="1">
      <c r="B11" s="27"/>
      <c r="C11" s="28">
        <v>2</v>
      </c>
    </row>
    <row r="12" spans="2:23" ht="15" customHeight="1" thickBot="1">
      <c r="B12" s="27"/>
    </row>
    <row r="13" spans="2:23" ht="15.75" thickBot="1">
      <c r="B13" s="26" t="s">
        <v>141</v>
      </c>
      <c r="C13" s="29">
        <v>151.66999999999999</v>
      </c>
      <c r="G13" s="30"/>
    </row>
    <row r="14" spans="2:23" ht="14.25" thickBot="1">
      <c r="B14" s="27"/>
    </row>
    <row r="15" spans="2:23" ht="14.25" thickBot="1">
      <c r="B15" s="26" t="s">
        <v>142</v>
      </c>
      <c r="C15" s="31">
        <f>IF(C7=1,0.281,0.26)</f>
        <v>0.28100000000000003</v>
      </c>
      <c r="G15" s="30"/>
    </row>
    <row r="16" spans="2:23" s="32" customFormat="1" ht="15" customHeight="1">
      <c r="B16" s="27"/>
      <c r="S16" s="33"/>
    </row>
    <row r="17" spans="2:23" s="32" customFormat="1" ht="15" customHeight="1" thickBot="1">
      <c r="B17" s="26" t="s">
        <v>143</v>
      </c>
      <c r="S17" s="33"/>
      <c r="U17" s="34"/>
    </row>
    <row r="18" spans="2:23" s="32" customFormat="1" ht="15" customHeight="1" thickBot="1">
      <c r="B18" s="35" t="s">
        <v>144</v>
      </c>
      <c r="C18" s="29">
        <v>35</v>
      </c>
      <c r="D18" s="36" t="s">
        <v>145</v>
      </c>
      <c r="E18" s="19" t="str">
        <f>IF(AND(C19&lt;&gt;"",OR(C18="",C18=0)),"&lt;&lt;&lt;&lt;&lt; info à compléter","")</f>
        <v/>
      </c>
      <c r="S18" s="33"/>
      <c r="U18" s="34"/>
    </row>
    <row r="19" spans="2:23" s="32" customFormat="1" ht="15" customHeight="1" thickBot="1">
      <c r="B19" s="35" t="s">
        <v>146</v>
      </c>
      <c r="C19" s="29">
        <v>35</v>
      </c>
      <c r="D19" s="36" t="s">
        <v>147</v>
      </c>
      <c r="E19" s="19" t="str">
        <f>IF(AND(C18&lt;&gt;"",OR(C19="",C19=0)),"&lt;&lt;&lt;&lt;&lt; info à compléter","")</f>
        <v/>
      </c>
      <c r="S19" s="33"/>
      <c r="U19" s="34"/>
    </row>
    <row r="20" spans="2:23" s="32" customFormat="1" ht="15" customHeight="1">
      <c r="B20" s="37"/>
      <c r="S20" s="33"/>
      <c r="U20" s="34"/>
    </row>
    <row r="21" spans="2:23" s="32" customFormat="1" ht="14.25" customHeight="1" thickBot="1">
      <c r="B21" s="37"/>
      <c r="C21" s="37"/>
      <c r="D21" s="37"/>
      <c r="E21" s="38" t="s">
        <v>148</v>
      </c>
      <c r="F21" s="37"/>
      <c r="G21" s="125" t="s">
        <v>149</v>
      </c>
      <c r="H21" s="126"/>
      <c r="I21" s="39"/>
      <c r="U21" s="34"/>
      <c r="V21" s="127" t="s">
        <v>150</v>
      </c>
      <c r="W21" s="128"/>
    </row>
    <row r="22" spans="2:23" s="32" customFormat="1" ht="27" customHeight="1" thickBot="1">
      <c r="C22" s="40" t="s">
        <v>151</v>
      </c>
      <c r="D22" s="41" t="s">
        <v>152</v>
      </c>
      <c r="E22" s="42" t="s">
        <v>153</v>
      </c>
      <c r="F22" s="43" t="s">
        <v>154</v>
      </c>
      <c r="G22" s="44" t="s">
        <v>155</v>
      </c>
      <c r="H22" s="42" t="s">
        <v>156</v>
      </c>
      <c r="I22" s="39"/>
      <c r="J22" s="33" t="s">
        <v>157</v>
      </c>
      <c r="K22" s="33" t="s">
        <v>158</v>
      </c>
      <c r="L22" s="33" t="s">
        <v>159</v>
      </c>
      <c r="M22" s="33" t="s">
        <v>160</v>
      </c>
      <c r="N22" s="33" t="s">
        <v>161</v>
      </c>
      <c r="O22" s="33" t="s">
        <v>162</v>
      </c>
      <c r="P22" s="33" t="s">
        <v>163</v>
      </c>
      <c r="Q22" s="33" t="s">
        <v>164</v>
      </c>
      <c r="R22" s="33" t="s">
        <v>165</v>
      </c>
      <c r="S22" s="119" t="s">
        <v>166</v>
      </c>
      <c r="T22" s="119"/>
      <c r="U22" s="45" t="s">
        <v>167</v>
      </c>
      <c r="V22" s="46" t="s">
        <v>168</v>
      </c>
      <c r="W22" s="47" t="s">
        <v>169</v>
      </c>
    </row>
    <row r="23" spans="2:23" ht="15">
      <c r="B23" s="48" t="s">
        <v>36</v>
      </c>
      <c r="C23" s="49">
        <f>SMIC!B4</f>
        <v>9.5299999999999994</v>
      </c>
      <c r="D23" s="15">
        <v>1833.69</v>
      </c>
      <c r="E23" s="50"/>
      <c r="F23" s="51"/>
      <c r="G23" s="52">
        <f>IF(AND($C$18&lt;&gt;0,$C$18&lt;&gt;""),$C$18,"")</f>
        <v>35</v>
      </c>
      <c r="H23" s="52">
        <f>IF(AND($C$19&lt;&gt;0,$C$19&lt;&gt;""),$C$19,"")</f>
        <v>35</v>
      </c>
      <c r="I23" s="48" t="s">
        <v>36</v>
      </c>
      <c r="J23" s="53">
        <f>IF(Salaire_brut_janvier="",0,(Horaire_collectif_mensuel*C23*IF(G23&lt;&gt;"",G23,Salaire_brut_janvier)/IF(H23&lt;&gt;"",H23,IF(E23&lt;&gt;"",E23,Salaire_brut_janvier))))</f>
        <v>1445.4150999999997</v>
      </c>
      <c r="K23" s="53">
        <f t="shared" ref="K23:K34" si="0">D23</f>
        <v>1833.69</v>
      </c>
      <c r="L23" s="53">
        <f>J23</f>
        <v>1445.4150999999997</v>
      </c>
      <c r="M23" s="53">
        <f>C23*F23</f>
        <v>0</v>
      </c>
      <c r="N23" s="53">
        <f>D23</f>
        <v>1833.69</v>
      </c>
      <c r="O23" s="54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0.12230000000000001</v>
      </c>
      <c r="P23" s="54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0.12230000000000001</v>
      </c>
      <c r="Q23" s="53">
        <f>IF(ISERR(N23*O23),0,N23*O23)</f>
        <v>224.26028700000001</v>
      </c>
      <c r="R23" s="53">
        <f>IF(ISERR(Salaire_brut_janvier*O23),0,Salaire_brut_janvier*O23)</f>
        <v>224.26028700000001</v>
      </c>
      <c r="S23" s="53">
        <f>IF(ISERR(P23),0,Salaire_brut_janvier*P23)</f>
        <v>224.26028700000001</v>
      </c>
      <c r="T23" s="53"/>
      <c r="U23" s="55">
        <f>S23</f>
        <v>224.26028700000001</v>
      </c>
      <c r="V23" s="56">
        <f t="shared" ref="V23:V34" si="2">IF(Mode_calcul=1,IF(R23&gt;0,R23,""),IF(U23&gt;0,U23,""))</f>
        <v>224.26028700000001</v>
      </c>
      <c r="W23" s="57" t="str">
        <f t="shared" ref="W23:W33" si="3">IF(Mode_calcul=1,IF(R23&lt;0,-R23,""),IF(U23&lt;0,-U23,""))</f>
        <v/>
      </c>
    </row>
    <row r="24" spans="2:23" ht="15">
      <c r="B24" s="48" t="s">
        <v>37</v>
      </c>
      <c r="C24" s="49">
        <f>SMIC!B5</f>
        <v>9.5299999999999994</v>
      </c>
      <c r="D24" s="15"/>
      <c r="E24" s="50"/>
      <c r="F24" s="51"/>
      <c r="G24" s="58">
        <f t="shared" ref="G24:G34" si="4">IF(AND($C$18&lt;&gt;0,$C$18&lt;&gt;""),$C$18,"")</f>
        <v>35</v>
      </c>
      <c r="H24" s="58">
        <f t="shared" ref="H24:H34" si="5">IF(AND($C$19&lt;&gt;0,$C$19&lt;&gt;""),$C$19,"")</f>
        <v>35</v>
      </c>
      <c r="I24" s="48" t="s">
        <v>37</v>
      </c>
      <c r="J24" s="53">
        <f>IF(Salaire_brut_février="",0,Horaire_collectif_mensuel*C24*IF(G24&lt;&gt;"",G24,Salaire_brut_février)/IF(H24&lt;&gt;"",H24,IF(E24&lt;&gt;"",E24,Salaire_brut_février)))</f>
        <v>0</v>
      </c>
      <c r="K24" s="53">
        <f t="shared" si="0"/>
        <v>0</v>
      </c>
      <c r="L24" s="53">
        <f>L23+J24</f>
        <v>1445.4150999999997</v>
      </c>
      <c r="M24" s="53">
        <f t="shared" ref="M24:M34" si="6">M23+C24*F24</f>
        <v>0</v>
      </c>
      <c r="N24" s="53">
        <f>Salaire_brut_janvier+Salaire_brut_février</f>
        <v>1833.69</v>
      </c>
      <c r="O24" s="54">
        <f t="shared" si="1"/>
        <v>0.12230000000000001</v>
      </c>
      <c r="P24" s="54" t="e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#DIV/0!</v>
      </c>
      <c r="Q24" s="53">
        <f t="shared" ref="Q24:Q33" si="7">IF(ISERR(N24*O24),0,N24*O24)</f>
        <v>224.26028700000001</v>
      </c>
      <c r="R24" s="53">
        <f>Q24-SUM(R23)</f>
        <v>0</v>
      </c>
      <c r="S24" s="53">
        <f>IF(ISERR(P24),0,Salaire_brut_février*P24)</f>
        <v>0</v>
      </c>
      <c r="T24" s="53"/>
      <c r="U24" s="53">
        <f t="shared" ref="U24:U33" si="8">S24</f>
        <v>0</v>
      </c>
      <c r="V24" s="56" t="str">
        <f t="shared" si="2"/>
        <v/>
      </c>
      <c r="W24" s="59" t="str">
        <f t="shared" si="3"/>
        <v/>
      </c>
    </row>
    <row r="25" spans="2:23" ht="15">
      <c r="B25" s="48" t="s">
        <v>38</v>
      </c>
      <c r="C25" s="49">
        <f>SMIC!B6</f>
        <v>9.5299999999999994</v>
      </c>
      <c r="D25" s="15"/>
      <c r="E25" s="50"/>
      <c r="F25" s="51"/>
      <c r="G25" s="58">
        <f t="shared" si="4"/>
        <v>35</v>
      </c>
      <c r="H25" s="58">
        <f t="shared" si="5"/>
        <v>35</v>
      </c>
      <c r="I25" s="48" t="s">
        <v>38</v>
      </c>
      <c r="J25" s="53">
        <f>IF(Salaire_brut_mars="",0,Horaire_collectif_mensuel*C25*IF(G25&lt;&gt;"",G25,Salaire_brut_mars)/IF(H25&lt;&gt;"",H25,IF(E25&lt;&gt;"",E25,Salaire_brut_mars)))</f>
        <v>0</v>
      </c>
      <c r="K25" s="53">
        <f t="shared" si="0"/>
        <v>0</v>
      </c>
      <c r="L25" s="53">
        <f t="shared" ref="L25:L34" si="9">L24+J25</f>
        <v>1445.4150999999997</v>
      </c>
      <c r="M25" s="53">
        <f t="shared" si="6"/>
        <v>0</v>
      </c>
      <c r="N25" s="53">
        <f>Salaire_brut_janvier+Salaire_brut_février+Salaire_brut_mars</f>
        <v>1833.69</v>
      </c>
      <c r="O25" s="54">
        <f t="shared" si="1"/>
        <v>0.12230000000000001</v>
      </c>
      <c r="P25" s="54" t="e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#DIV/0!</v>
      </c>
      <c r="Q25" s="53">
        <f t="shared" si="7"/>
        <v>224.26028700000001</v>
      </c>
      <c r="R25" s="53">
        <f>Q25-SUM(R23:R24)</f>
        <v>0</v>
      </c>
      <c r="S25" s="53">
        <f>IF(ISERR(P25),0,Salaire_brut_mars*P25)</f>
        <v>0</v>
      </c>
      <c r="T25" s="53"/>
      <c r="U25" s="53">
        <f t="shared" si="8"/>
        <v>0</v>
      </c>
      <c r="V25" s="56" t="str">
        <f t="shared" si="2"/>
        <v/>
      </c>
      <c r="W25" s="59" t="str">
        <f t="shared" si="3"/>
        <v/>
      </c>
    </row>
    <row r="26" spans="2:23" ht="15">
      <c r="B26" s="48" t="s">
        <v>39</v>
      </c>
      <c r="C26" s="49">
        <f>SMIC!B7</f>
        <v>9.5299999999999994</v>
      </c>
      <c r="D26" s="15"/>
      <c r="E26" s="50"/>
      <c r="F26" s="51"/>
      <c r="G26" s="58">
        <f t="shared" si="4"/>
        <v>35</v>
      </c>
      <c r="H26" s="58">
        <f t="shared" si="5"/>
        <v>35</v>
      </c>
      <c r="I26" s="48" t="s">
        <v>39</v>
      </c>
      <c r="J26" s="53">
        <f>IF(Salaire_brut_avril="",0,Horaire_collectif_mensuel*C26*IF(G26&lt;&gt;"",G26,Salaire_brut_avril)/IF(H26&lt;&gt;"",H26,IF(E26&lt;&gt;"",E26,Salaire_brut_avril)))</f>
        <v>0</v>
      </c>
      <c r="K26" s="53">
        <f t="shared" si="0"/>
        <v>0</v>
      </c>
      <c r="L26" s="53">
        <f t="shared" si="9"/>
        <v>1445.4150999999997</v>
      </c>
      <c r="M26" s="53">
        <f t="shared" si="6"/>
        <v>0</v>
      </c>
      <c r="N26" s="53">
        <f>Salaire_brut_janvier+Salaire_brut_février+Salaire_brut_mars+Salaire_brut_avril</f>
        <v>1833.69</v>
      </c>
      <c r="O26" s="54">
        <f t="shared" si="1"/>
        <v>0.12230000000000001</v>
      </c>
      <c r="P26" s="54" t="e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#DIV/0!</v>
      </c>
      <c r="Q26" s="53">
        <f t="shared" si="7"/>
        <v>224.26028700000001</v>
      </c>
      <c r="R26" s="53">
        <f>Q26-SUM(R23:R25)</f>
        <v>0</v>
      </c>
      <c r="S26" s="53">
        <f>IF(ISERR(P26),0,Salaire_brut_avril*P26)</f>
        <v>0</v>
      </c>
      <c r="T26" s="53"/>
      <c r="U26" s="53">
        <f t="shared" si="8"/>
        <v>0</v>
      </c>
      <c r="V26" s="56" t="str">
        <f t="shared" si="2"/>
        <v/>
      </c>
      <c r="W26" s="59" t="str">
        <f t="shared" si="3"/>
        <v/>
      </c>
    </row>
    <row r="27" spans="2:23" ht="15">
      <c r="B27" s="48" t="s">
        <v>40</v>
      </c>
      <c r="C27" s="49">
        <f>SMIC!B8</f>
        <v>9.5299999999999994</v>
      </c>
      <c r="D27" s="15"/>
      <c r="E27" s="50"/>
      <c r="F27" s="51"/>
      <c r="G27" s="58">
        <f t="shared" si="4"/>
        <v>35</v>
      </c>
      <c r="H27" s="58">
        <f t="shared" si="5"/>
        <v>35</v>
      </c>
      <c r="I27" s="48" t="s">
        <v>40</v>
      </c>
      <c r="J27" s="53">
        <f>IF(Salaire_brut_mai="",0,Horaire_collectif_mensuel*C27*IF(G27&lt;&gt;"",G27,Salaire_brut_mai)/IF(H27&lt;&gt;"",H27,IF(E27&lt;&gt;"",E27,Salaire_brut_mai)))</f>
        <v>0</v>
      </c>
      <c r="K27" s="53">
        <f t="shared" si="0"/>
        <v>0</v>
      </c>
      <c r="L27" s="53">
        <f t="shared" si="9"/>
        <v>1445.4150999999997</v>
      </c>
      <c r="M27" s="53">
        <f t="shared" si="6"/>
        <v>0</v>
      </c>
      <c r="N27" s="53">
        <f>Salaire_brut_janvier+Salaire_brut_février+Salaire_brut_mars+Salaire_brut_avril+Salaire_brut_mai</f>
        <v>1833.69</v>
      </c>
      <c r="O27" s="54">
        <f t="shared" si="1"/>
        <v>0.12230000000000001</v>
      </c>
      <c r="P27" s="54" t="e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#DIV/0!</v>
      </c>
      <c r="Q27" s="53">
        <f t="shared" si="7"/>
        <v>224.26028700000001</v>
      </c>
      <c r="R27" s="53">
        <f>Q27-SUM(R23:R26)</f>
        <v>0</v>
      </c>
      <c r="S27" s="53">
        <f>IF(ISERR(P27),0,Salaire_brut_mai*P27)</f>
        <v>0</v>
      </c>
      <c r="T27" s="53"/>
      <c r="U27" s="53">
        <f t="shared" si="8"/>
        <v>0</v>
      </c>
      <c r="V27" s="56" t="str">
        <f t="shared" si="2"/>
        <v/>
      </c>
      <c r="W27" s="59" t="str">
        <f t="shared" si="3"/>
        <v/>
      </c>
    </row>
    <row r="28" spans="2:23" ht="15">
      <c r="B28" s="48" t="s">
        <v>41</v>
      </c>
      <c r="C28" s="49">
        <f>SMIC!B9</f>
        <v>9.5299999999999994</v>
      </c>
      <c r="D28" s="15"/>
      <c r="E28" s="50"/>
      <c r="F28" s="51"/>
      <c r="G28" s="58">
        <f t="shared" si="4"/>
        <v>35</v>
      </c>
      <c r="H28" s="58">
        <f t="shared" si="5"/>
        <v>35</v>
      </c>
      <c r="I28" s="48" t="s">
        <v>41</v>
      </c>
      <c r="J28" s="53">
        <f>IF(Salaire_brut_juin="",0,Horaire_collectif_mensuel*C28*IF(G28&lt;&gt;"",G28,Salaire_brut_juin)/IF(H28&lt;&gt;"",H28,IF(E28&lt;&gt;"",E28,Salaire_brut_juin)))</f>
        <v>0</v>
      </c>
      <c r="K28" s="53">
        <f t="shared" si="0"/>
        <v>0</v>
      </c>
      <c r="L28" s="53">
        <f t="shared" si="9"/>
        <v>1445.4150999999997</v>
      </c>
      <c r="M28" s="53">
        <f t="shared" si="6"/>
        <v>0</v>
      </c>
      <c r="N28" s="53">
        <f>Salaire_brut_janvier+Salaire_brut_février+Salaire_brut_mars+Salaire_brut_avril+Salaire_brut_mai+Salaire_brut_juin</f>
        <v>1833.69</v>
      </c>
      <c r="O28" s="54">
        <f t="shared" si="1"/>
        <v>0.12230000000000001</v>
      </c>
      <c r="P28" s="54" t="e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#DIV/0!</v>
      </c>
      <c r="Q28" s="53">
        <f t="shared" si="7"/>
        <v>224.26028700000001</v>
      </c>
      <c r="R28" s="53">
        <f>Q28-SUM(R23:R27)</f>
        <v>0</v>
      </c>
      <c r="S28" s="53">
        <f>IF(ISERR(P28),0,Salaire_brut_juin*P28)</f>
        <v>0</v>
      </c>
      <c r="T28" s="53"/>
      <c r="U28" s="53">
        <f t="shared" si="8"/>
        <v>0</v>
      </c>
      <c r="V28" s="56" t="str">
        <f t="shared" si="2"/>
        <v/>
      </c>
      <c r="W28" s="59" t="str">
        <f t="shared" si="3"/>
        <v/>
      </c>
    </row>
    <row r="29" spans="2:23" ht="15">
      <c r="B29" s="48" t="s">
        <v>42</v>
      </c>
      <c r="C29" s="49">
        <f>SMIC!B10</f>
        <v>9.5299999999999994</v>
      </c>
      <c r="D29" s="15"/>
      <c r="E29" s="50"/>
      <c r="F29" s="51"/>
      <c r="G29" s="58">
        <f t="shared" si="4"/>
        <v>35</v>
      </c>
      <c r="H29" s="58">
        <f t="shared" si="5"/>
        <v>35</v>
      </c>
      <c r="I29" s="48" t="s">
        <v>42</v>
      </c>
      <c r="J29" s="53">
        <f>IF(Salaire_brut_juillet="",0,Horaire_collectif_mensuel*C29*IF(G29&lt;&gt;"",G29,Salaire_brut_juillet)/IF(H29&lt;&gt;"",H29,IF(E29&lt;&gt;"",E29,Salaire_brut_juillet)))</f>
        <v>0</v>
      </c>
      <c r="K29" s="53">
        <f t="shared" si="0"/>
        <v>0</v>
      </c>
      <c r="L29" s="53">
        <f t="shared" si="9"/>
        <v>1445.4150999999997</v>
      </c>
      <c r="M29" s="53">
        <f t="shared" si="6"/>
        <v>0</v>
      </c>
      <c r="N29" s="53">
        <f>Salaire_brut_janvier+Salaire_brut_février+Salaire_brut_mars+Salaire_brut_avril+Salaire_brut_mai+Salaire_brut_juin+Salaire_brut_juillet</f>
        <v>1833.69</v>
      </c>
      <c r="O29" s="54">
        <f t="shared" si="1"/>
        <v>0.12230000000000001</v>
      </c>
      <c r="P29" s="54" t="e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#DIV/0!</v>
      </c>
      <c r="Q29" s="53">
        <f t="shared" si="7"/>
        <v>224.26028700000001</v>
      </c>
      <c r="R29" s="53">
        <f>Q29-SUM(R23:R28)</f>
        <v>0</v>
      </c>
      <c r="S29" s="53">
        <f>IF(ISERR(P29),0,Salaire_brut_juillet*P29)</f>
        <v>0</v>
      </c>
      <c r="T29" s="53"/>
      <c r="U29" s="53">
        <f t="shared" si="8"/>
        <v>0</v>
      </c>
      <c r="V29" s="56" t="str">
        <f t="shared" si="2"/>
        <v/>
      </c>
      <c r="W29" s="59" t="str">
        <f t="shared" si="3"/>
        <v/>
      </c>
    </row>
    <row r="30" spans="2:23" ht="15">
      <c r="B30" s="48" t="s">
        <v>43</v>
      </c>
      <c r="C30" s="49">
        <f>SMIC!B11</f>
        <v>9.5299999999999994</v>
      </c>
      <c r="D30" s="15"/>
      <c r="E30" s="50"/>
      <c r="F30" s="51"/>
      <c r="G30" s="58">
        <f t="shared" si="4"/>
        <v>35</v>
      </c>
      <c r="H30" s="58">
        <f t="shared" si="5"/>
        <v>35</v>
      </c>
      <c r="I30" s="48" t="s">
        <v>43</v>
      </c>
      <c r="J30" s="53">
        <f>IF(Salaire_brut_août="",0,Horaire_collectif_mensuel*C30*IF(G30&lt;&gt;"",G30,Salaire_brut_août)/IF(H30&lt;&gt;"",H30,IF(E30&lt;&gt;"",E30,Salaire_brut_août)))</f>
        <v>0</v>
      </c>
      <c r="K30" s="53">
        <f t="shared" si="0"/>
        <v>0</v>
      </c>
      <c r="L30" s="53">
        <f t="shared" si="9"/>
        <v>1445.4150999999997</v>
      </c>
      <c r="M30" s="53">
        <f t="shared" si="6"/>
        <v>0</v>
      </c>
      <c r="N30" s="53">
        <f>Salaire_brut_janvier+Salaire_brut_février+Salaire_brut_mars+Salaire_brut_avril+Salaire_brut_mai+Salaire_brut_juin+Salaire_brut_juillet+Salaire_brut_août</f>
        <v>1833.69</v>
      </c>
      <c r="O30" s="54">
        <f t="shared" si="1"/>
        <v>0.12230000000000001</v>
      </c>
      <c r="P30" s="54" t="e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#DIV/0!</v>
      </c>
      <c r="Q30" s="53">
        <f t="shared" si="7"/>
        <v>224.26028700000001</v>
      </c>
      <c r="R30" s="53">
        <f>Q30-SUM(R23:R29)</f>
        <v>0</v>
      </c>
      <c r="S30" s="53">
        <f>IF(ISERR(P30),0,Salaire_brut_août*P30)</f>
        <v>0</v>
      </c>
      <c r="T30" s="53"/>
      <c r="U30" s="53">
        <f t="shared" si="8"/>
        <v>0</v>
      </c>
      <c r="V30" s="56" t="str">
        <f t="shared" si="2"/>
        <v/>
      </c>
      <c r="W30" s="59" t="str">
        <f t="shared" si="3"/>
        <v/>
      </c>
    </row>
    <row r="31" spans="2:23" ht="15">
      <c r="B31" s="48" t="s">
        <v>44</v>
      </c>
      <c r="C31" s="49">
        <f>SMIC!B12</f>
        <v>9.5299999999999994</v>
      </c>
      <c r="D31" s="15"/>
      <c r="E31" s="50"/>
      <c r="F31" s="51"/>
      <c r="G31" s="58">
        <f t="shared" si="4"/>
        <v>35</v>
      </c>
      <c r="H31" s="58">
        <f t="shared" si="5"/>
        <v>35</v>
      </c>
      <c r="I31" s="48" t="s">
        <v>44</v>
      </c>
      <c r="J31" s="53">
        <f>IF(Salaire_brut_septembre="",0,Horaire_collectif_mensuel*C31*IF(G31&lt;&gt;"",G31,Salaire_brut_septembre)/IF(H31&lt;&gt;"",H31,IF(E31&lt;&gt;"",E31,Salaire_brut_septembre)))</f>
        <v>0</v>
      </c>
      <c r="K31" s="53">
        <f t="shared" si="0"/>
        <v>0</v>
      </c>
      <c r="L31" s="53">
        <f t="shared" si="9"/>
        <v>1445.4150999999997</v>
      </c>
      <c r="M31" s="53">
        <f t="shared" si="6"/>
        <v>0</v>
      </c>
      <c r="N31" s="53">
        <f>Salaire_brut_janvier+Salaire_brut_février+Salaire_brut_mars+Salaire_brut_avril+Salaire_brut_mai+Salaire_brut_juin+Salaire_brut_juillet+Salaire_brut_août+Salaire_brut_septembre</f>
        <v>1833.69</v>
      </c>
      <c r="O31" s="54">
        <f t="shared" si="1"/>
        <v>0.12230000000000001</v>
      </c>
      <c r="P31" s="54" t="e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#DIV/0!</v>
      </c>
      <c r="Q31" s="53">
        <f t="shared" si="7"/>
        <v>224.26028700000001</v>
      </c>
      <c r="R31" s="53">
        <f>Q31-SUM(R23:R30)</f>
        <v>0</v>
      </c>
      <c r="S31" s="53">
        <f>IF(ISERR(P31),0,Salaire_brut_septembre*P31)</f>
        <v>0</v>
      </c>
      <c r="T31" s="53"/>
      <c r="U31" s="53">
        <f t="shared" si="8"/>
        <v>0</v>
      </c>
      <c r="V31" s="56" t="str">
        <f t="shared" si="2"/>
        <v/>
      </c>
      <c r="W31" s="59" t="str">
        <f t="shared" si="3"/>
        <v/>
      </c>
    </row>
    <row r="32" spans="2:23" ht="15">
      <c r="B32" s="48" t="s">
        <v>45</v>
      </c>
      <c r="C32" s="49">
        <f>SMIC!B13</f>
        <v>9.5299999999999994</v>
      </c>
      <c r="D32" s="15"/>
      <c r="E32" s="50"/>
      <c r="F32" s="51"/>
      <c r="G32" s="58">
        <f t="shared" si="4"/>
        <v>35</v>
      </c>
      <c r="H32" s="58">
        <f t="shared" si="5"/>
        <v>35</v>
      </c>
      <c r="I32" s="48" t="s">
        <v>45</v>
      </c>
      <c r="J32" s="53">
        <f>IF(Salaire_brut_octobre="",0,Horaire_collectif_mensuel*C32*IF(G32&lt;&gt;"",G32,Salaire_brut_octobre)/IF(H32&lt;&gt;"",H32,IF(E32&lt;&gt;"",E32,Salaire_brut_octobre)))</f>
        <v>0</v>
      </c>
      <c r="K32" s="53">
        <f t="shared" si="0"/>
        <v>0</v>
      </c>
      <c r="L32" s="53">
        <f t="shared" si="9"/>
        <v>1445.4150999999997</v>
      </c>
      <c r="M32" s="53">
        <f t="shared" si="6"/>
        <v>0</v>
      </c>
      <c r="N32" s="53">
        <f>Salaire_brut_janvier+Salaire_brut_février+Salaire_brut_mars+Salaire_brut_avril+Salaire_brut_mai+Salaire_brut_juin+Salaire_brut_juillet+Salaire_brut_août+Salaire_brut_septembre+Salaire_brut_octobre</f>
        <v>1833.69</v>
      </c>
      <c r="O32" s="54">
        <f t="shared" si="1"/>
        <v>0.12230000000000001</v>
      </c>
      <c r="P32" s="54" t="e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#DIV/0!</v>
      </c>
      <c r="Q32" s="53">
        <f t="shared" si="7"/>
        <v>224.26028700000001</v>
      </c>
      <c r="R32" s="53">
        <f>Q32-SUM(R23:R31)</f>
        <v>0</v>
      </c>
      <c r="S32" s="53">
        <f>IF(ISERR(P32),0,Salaire_brut_octobre*P32)</f>
        <v>0</v>
      </c>
      <c r="T32" s="53"/>
      <c r="U32" s="53">
        <f t="shared" si="8"/>
        <v>0</v>
      </c>
      <c r="V32" s="56" t="str">
        <f t="shared" si="2"/>
        <v/>
      </c>
      <c r="W32" s="59" t="str">
        <f t="shared" si="3"/>
        <v/>
      </c>
    </row>
    <row r="33" spans="2:31" ht="15">
      <c r="B33" s="48" t="s">
        <v>46</v>
      </c>
      <c r="C33" s="49">
        <f>SMIC!B14</f>
        <v>9.5299999999999994</v>
      </c>
      <c r="D33" s="15"/>
      <c r="E33" s="50"/>
      <c r="F33" s="51"/>
      <c r="G33" s="58">
        <f t="shared" si="4"/>
        <v>35</v>
      </c>
      <c r="H33" s="58">
        <f t="shared" si="5"/>
        <v>35</v>
      </c>
      <c r="I33" s="48" t="s">
        <v>46</v>
      </c>
      <c r="J33" s="53">
        <f>IF(Salaire_brut_novembre="",0,Horaire_collectif_mensuel*C33*IF(G33&lt;&gt;"",G33,Salaire_brut_novembre)/IF(H33&lt;&gt;"",H33,IF(E33&lt;&gt;"",E33,Salaire_brut_novembre)))</f>
        <v>0</v>
      </c>
      <c r="K33" s="53">
        <f t="shared" si="0"/>
        <v>0</v>
      </c>
      <c r="L33" s="53">
        <f t="shared" si="9"/>
        <v>1445.4150999999997</v>
      </c>
      <c r="M33" s="53">
        <f t="shared" si="6"/>
        <v>0</v>
      </c>
      <c r="N33" s="53">
        <f>Salaire_brut_janvier+Salaire_brut_février+Salaire_brut_mars+Salaire_brut_avril+Salaire_brut_mai+Salaire_brut_juin+Salaire_brut_juillet+Salaire_brut_août+Salaire_brut_septembre+Salaire_brut_octobre+Salaire_brut_novembre</f>
        <v>1833.69</v>
      </c>
      <c r="O33" s="54">
        <f t="shared" si="1"/>
        <v>0.12230000000000001</v>
      </c>
      <c r="P33" s="54" t="e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#DIV/0!</v>
      </c>
      <c r="Q33" s="53">
        <f t="shared" si="7"/>
        <v>224.26028700000001</v>
      </c>
      <c r="R33" s="53">
        <f>Q33-SUM(R23:R32)</f>
        <v>0</v>
      </c>
      <c r="S33" s="53">
        <f>IF(ISERR(P33),0,Salaire_brut_novembre*P33)</f>
        <v>0</v>
      </c>
      <c r="U33" s="53">
        <f t="shared" si="8"/>
        <v>0</v>
      </c>
      <c r="V33" s="56" t="str">
        <f t="shared" si="2"/>
        <v/>
      </c>
      <c r="W33" s="59" t="str">
        <f t="shared" si="3"/>
        <v/>
      </c>
    </row>
    <row r="34" spans="2:31" ht="15.75" thickBot="1">
      <c r="B34" s="48" t="s">
        <v>47</v>
      </c>
      <c r="C34" s="60">
        <f>SMIC!B15</f>
        <v>9.5299999999999994</v>
      </c>
      <c r="D34" s="15"/>
      <c r="E34" s="61"/>
      <c r="F34" s="62"/>
      <c r="G34" s="63">
        <f t="shared" si="4"/>
        <v>35</v>
      </c>
      <c r="H34" s="63">
        <f t="shared" si="5"/>
        <v>35</v>
      </c>
      <c r="I34" s="48" t="s">
        <v>47</v>
      </c>
      <c r="J34" s="53">
        <f>IF(Salaire_brut_décembre="",0,Horaire_collectif_mensuel*C34*IF(G34&lt;&gt;"",G34,Salaire_brut_décembre)/IF(H34&lt;&gt;"",H34,IF(E34&lt;&gt;"",E34,Salaire_brut_décembre)))</f>
        <v>0</v>
      </c>
      <c r="K34" s="53">
        <f t="shared" si="0"/>
        <v>0</v>
      </c>
      <c r="L34" s="53">
        <f t="shared" si="9"/>
        <v>1445.4150999999997</v>
      </c>
      <c r="M34" s="53">
        <f t="shared" si="6"/>
        <v>0</v>
      </c>
      <c r="N34" s="53">
        <f>Salaire_brut_janvier+Salaire_brut_février+Salaire_brut_mars+Salaire_brut_avril+Salaire_brut_mai+Salaire_brut_juin+Salaire_brut_juillet+Salaire_brut_août+Salaire_brut_septembre+Salaire_brut_octobre+Salaire_brut_novembre+Salaire_brut_décembre</f>
        <v>1833.69</v>
      </c>
      <c r="O34" s="54">
        <f t="shared" si="1"/>
        <v>0.12230000000000001</v>
      </c>
      <c r="P34" s="54" t="e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#DIV/0!</v>
      </c>
      <c r="Q34" s="53">
        <f>IF(Salaire_brut_décembre=0,0,N34*O34)</f>
        <v>0</v>
      </c>
      <c r="R34" s="53" t="str">
        <f>IF(Q34-SUM(R23:R33)&lt;0,"",Q34-SUM(R23:R33))</f>
        <v/>
      </c>
      <c r="S34" s="53">
        <f>IF(ISERR(P34),0,Salaire_brut_décembre*P34)</f>
        <v>0</v>
      </c>
      <c r="T34" s="53">
        <f>IF(Salaire_brut_décembre="",0,IF(Q34-SUM(R23:R33)&gt;0,"",Q34-SUM(R23:R33)))</f>
        <v>0</v>
      </c>
      <c r="U34" s="53">
        <f>(SUM(R23:R33)+IF(R34&lt;&gt;"",R34,0)+IF(T34&lt;&gt;"",T34,0))-SUM(U23:U33)</f>
        <v>0</v>
      </c>
      <c r="V34" s="56" t="str">
        <f t="shared" si="2"/>
        <v/>
      </c>
      <c r="W34" s="64" t="str">
        <f>IF(Mode_calcul=1,IF(T34&lt;0,-T34,""),IF(U34&lt;0,-U34,""))</f>
        <v/>
      </c>
    </row>
    <row r="35" spans="2:31" ht="21" customHeight="1" thickBot="1">
      <c r="B35" s="65" t="s">
        <v>170</v>
      </c>
      <c r="C35" s="66"/>
      <c r="D35" s="67">
        <f>SUM(D23:D34)</f>
        <v>1833.69</v>
      </c>
      <c r="E35" s="68"/>
      <c r="F35" s="69"/>
      <c r="G35" s="66"/>
      <c r="H35" s="66"/>
      <c r="I35" s="65" t="s">
        <v>170</v>
      </c>
      <c r="Q35" s="53"/>
      <c r="R35" s="70"/>
      <c r="S35" s="53">
        <f>SUM(S23:S34)</f>
        <v>224.26028700000001</v>
      </c>
      <c r="V35" s="129">
        <f>SUM(V23:V33)+IF(V34="",0,V34)-SUM(W23:W33)-IF(W34="",0,W34)</f>
        <v>224.26028700000001</v>
      </c>
      <c r="W35" s="130"/>
    </row>
    <row r="36" spans="2:31" ht="21" customHeight="1" thickBot="1">
      <c r="C36" s="71"/>
      <c r="F36" s="30"/>
      <c r="Q36" s="53"/>
      <c r="R36" s="70"/>
      <c r="S36" s="53"/>
    </row>
    <row r="37" spans="2:31" ht="21" hidden="1" customHeight="1">
      <c r="C37" s="71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53"/>
      <c r="V37" s="119" t="s">
        <v>171</v>
      </c>
      <c r="W37" s="119"/>
      <c r="X37" s="119" t="s">
        <v>172</v>
      </c>
      <c r="Y37" s="119"/>
    </row>
    <row r="38" spans="2:31" ht="21" hidden="1" customHeight="1">
      <c r="C38" s="71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53"/>
      <c r="V38" s="19" t="s">
        <v>173</v>
      </c>
      <c r="W38" s="19" t="s">
        <v>174</v>
      </c>
      <c r="X38" s="19" t="s">
        <v>173</v>
      </c>
      <c r="Y38" s="19" t="s">
        <v>174</v>
      </c>
      <c r="AB38" s="19"/>
      <c r="AC38" s="19"/>
      <c r="AD38" s="53"/>
      <c r="AE38" s="22"/>
    </row>
    <row r="39" spans="2:31" ht="21" hidden="1" customHeight="1">
      <c r="C39" s="71"/>
      <c r="D39" s="72"/>
      <c r="E39" s="72"/>
      <c r="F39" s="72"/>
      <c r="H39" s="73"/>
      <c r="I39" s="73"/>
      <c r="J39" s="72"/>
      <c r="K39" s="72"/>
      <c r="L39" s="72"/>
      <c r="M39" s="72"/>
      <c r="N39" s="72"/>
      <c r="O39" s="72"/>
      <c r="P39" s="72"/>
      <c r="Q39" s="72"/>
      <c r="R39" s="72"/>
      <c r="S39" s="53"/>
      <c r="U39" s="74" t="s">
        <v>175</v>
      </c>
      <c r="V39" s="75">
        <f>IF(R23+R24+R25&lt;0,"",R23+R24+R25)</f>
        <v>224.26028700000001</v>
      </c>
      <c r="W39" s="75" t="str">
        <f>IF(R23+R24+R25&gt;0,"",-(R23+R24+R25))</f>
        <v/>
      </c>
      <c r="X39" s="75">
        <f>IF(U23+U24+U25&lt;0,"",U23+U24+U25)</f>
        <v>224.26028700000001</v>
      </c>
      <c r="Y39" s="75" t="str">
        <f>IF(U23+U24+U25&gt;0,"",-(U23+U24+U25))</f>
        <v/>
      </c>
      <c r="Z39" s="76"/>
      <c r="AA39" s="76"/>
      <c r="AB39" s="77"/>
      <c r="AC39" s="77"/>
      <c r="AD39" s="77"/>
    </row>
    <row r="40" spans="2:31" ht="21" hidden="1" customHeight="1">
      <c r="C40" s="71"/>
      <c r="D40" s="72"/>
      <c r="E40" s="72"/>
      <c r="F40" s="72"/>
      <c r="H40" s="73"/>
      <c r="I40" s="73"/>
      <c r="J40" s="72"/>
      <c r="K40" s="72"/>
      <c r="L40" s="72"/>
      <c r="M40" s="72"/>
      <c r="N40" s="72"/>
      <c r="O40" s="72"/>
      <c r="P40" s="72"/>
      <c r="Q40" s="72"/>
      <c r="R40" s="72"/>
      <c r="S40" s="53"/>
      <c r="U40" s="74" t="s">
        <v>176</v>
      </c>
      <c r="V40" s="75">
        <f>IF(R26+R27+R28&lt;0,"",R26+R27+R28)</f>
        <v>0</v>
      </c>
      <c r="W40" s="75">
        <f>IF(R26+R27+R28&gt;0,"",-(R26+R27+R28))</f>
        <v>0</v>
      </c>
      <c r="X40" s="75">
        <f>IF(U26+U27+U28&lt;0,"",U26+U27+U28)</f>
        <v>0</v>
      </c>
      <c r="Y40" s="75">
        <f>IF(U26+U27+U28&gt;0,"",-(U26+U27+U28))</f>
        <v>0</v>
      </c>
      <c r="Z40" s="76"/>
      <c r="AA40" s="76"/>
      <c r="AB40" s="77"/>
      <c r="AC40" s="77"/>
      <c r="AD40" s="77"/>
    </row>
    <row r="41" spans="2:31" ht="21" hidden="1" customHeight="1">
      <c r="C41" s="71"/>
      <c r="D41" s="72"/>
      <c r="E41" s="72"/>
      <c r="F41" s="72"/>
      <c r="H41" s="73"/>
      <c r="I41" s="73"/>
      <c r="J41" s="72"/>
      <c r="K41" s="72"/>
      <c r="L41" s="72"/>
      <c r="M41" s="72"/>
      <c r="N41" s="72"/>
      <c r="O41" s="72"/>
      <c r="P41" s="72"/>
      <c r="Q41" s="72"/>
      <c r="R41" s="72"/>
      <c r="S41" s="53"/>
      <c r="U41" s="74" t="s">
        <v>177</v>
      </c>
      <c r="V41" s="75">
        <f>IF(R29+R30+R31&lt;0,"",R29+R30+R31)</f>
        <v>0</v>
      </c>
      <c r="W41" s="75">
        <f>IF(R29+R30+R31&gt;0,"",-(R29+R30+R31))</f>
        <v>0</v>
      </c>
      <c r="X41" s="75">
        <f>IF(U29+U30+U31&lt;0,"",U29+U30+U31)</f>
        <v>0</v>
      </c>
      <c r="Y41" s="75">
        <f>IF(U29+U30+U31&gt;0,"",-(U29+U30+U31))</f>
        <v>0</v>
      </c>
      <c r="Z41" s="76"/>
      <c r="AA41" s="76"/>
      <c r="AB41" s="77"/>
      <c r="AC41" s="77"/>
      <c r="AD41" s="77"/>
    </row>
    <row r="42" spans="2:31" ht="21" hidden="1" customHeight="1" thickBot="1">
      <c r="C42" s="71"/>
      <c r="D42" s="72"/>
      <c r="E42" s="72"/>
      <c r="F42" s="72"/>
      <c r="H42" s="73"/>
      <c r="I42" s="73"/>
      <c r="J42" s="72"/>
      <c r="K42" s="72"/>
      <c r="L42" s="72"/>
      <c r="M42" s="72"/>
      <c r="N42" s="72"/>
      <c r="O42" s="72"/>
      <c r="P42" s="72"/>
      <c r="Q42" s="72"/>
      <c r="R42" s="72"/>
      <c r="S42" s="53"/>
      <c r="U42" s="74" t="s">
        <v>178</v>
      </c>
      <c r="V42" s="75">
        <f>IF(R32+R33+IF(R34&lt;&gt;"",R34,0)+IF(T34&lt;&gt;"",T34,0)&lt;0,"",R32+R33+IF(R34&lt;&gt;"",R34,0)+IF(T34&lt;&gt;"",T34,0))</f>
        <v>0</v>
      </c>
      <c r="W42" s="75">
        <f>IF(R32+R33+IF(R34&lt;&gt;"",R34,0)+IF(T34&lt;&gt;"",T34,0)&gt;0,"",-(R32+R33+IF(R34&lt;&gt;"",R34,0)+IF(T34&lt;&gt;"",T34,0)))</f>
        <v>0</v>
      </c>
      <c r="X42" s="75">
        <f>IF(U32+U33+U34&lt;0,"",U32+U33+U34)</f>
        <v>0</v>
      </c>
      <c r="Y42" s="75">
        <f>IF(U32+U33+U34&gt;0,"",-(U32+U33+U34))</f>
        <v>0</v>
      </c>
      <c r="Z42" s="76"/>
      <c r="AA42" s="76"/>
      <c r="AB42" s="77"/>
      <c r="AC42" s="77"/>
      <c r="AD42" s="77"/>
    </row>
    <row r="43" spans="2:31" ht="21" customHeight="1" thickBot="1">
      <c r="C43" s="120" t="s">
        <v>179</v>
      </c>
      <c r="D43" s="120"/>
      <c r="E43" s="120"/>
      <c r="F43" s="120"/>
      <c r="G43" s="120"/>
      <c r="H43" s="120"/>
      <c r="I43" s="73"/>
      <c r="J43" s="72"/>
      <c r="K43" s="72"/>
      <c r="L43" s="72"/>
      <c r="M43" s="72"/>
      <c r="N43" s="72"/>
      <c r="O43" s="72"/>
      <c r="P43" s="72"/>
      <c r="Q43" s="72"/>
      <c r="R43" s="72"/>
      <c r="S43" s="53"/>
      <c r="U43" s="74"/>
      <c r="V43" s="75"/>
      <c r="W43" s="75"/>
      <c r="X43" s="75"/>
      <c r="Y43" s="75"/>
      <c r="Z43" s="76"/>
      <c r="AA43" s="76"/>
      <c r="AB43" s="77"/>
      <c r="AC43" s="77"/>
      <c r="AD43" s="77"/>
    </row>
    <row r="44" spans="2:31" ht="21" customHeight="1" thickBot="1">
      <c r="C44" s="71"/>
      <c r="D44" s="121" t="s">
        <v>150</v>
      </c>
      <c r="E44" s="121"/>
      <c r="F44" s="12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53"/>
    </row>
    <row r="45" spans="2:31" ht="32.25" customHeight="1">
      <c r="C45" s="71"/>
      <c r="D45" s="78" t="s">
        <v>180</v>
      </c>
      <c r="E45" s="79" t="s">
        <v>181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53"/>
    </row>
    <row r="46" spans="2:31">
      <c r="C46" s="80" t="s">
        <v>175</v>
      </c>
      <c r="D46" s="81">
        <f t="shared" ref="D46:E49" si="10">IF(Mode_calcul=1,V39,X39)</f>
        <v>224.26028700000001</v>
      </c>
      <c r="E46" s="81" t="str">
        <f t="shared" si="10"/>
        <v/>
      </c>
      <c r="O46" s="18"/>
      <c r="P46" s="18"/>
      <c r="Q46" s="18"/>
      <c r="R46" s="18"/>
    </row>
    <row r="47" spans="2:31">
      <c r="C47" s="80" t="s">
        <v>176</v>
      </c>
      <c r="D47" s="81">
        <f t="shared" si="10"/>
        <v>0</v>
      </c>
      <c r="E47" s="81">
        <f t="shared" si="10"/>
        <v>0</v>
      </c>
      <c r="O47" s="18"/>
      <c r="P47" s="18"/>
      <c r="Q47" s="18"/>
      <c r="R47" s="18"/>
    </row>
    <row r="48" spans="2:31">
      <c r="C48" s="80" t="s">
        <v>177</v>
      </c>
      <c r="D48" s="81">
        <f t="shared" si="10"/>
        <v>0</v>
      </c>
      <c r="E48" s="81">
        <f t="shared" si="10"/>
        <v>0</v>
      </c>
      <c r="O48" s="18"/>
      <c r="P48" s="18"/>
      <c r="Q48" s="18"/>
      <c r="R48" s="18"/>
    </row>
    <row r="49" spans="3:19" ht="14.25" thickBot="1">
      <c r="C49" s="80" t="s">
        <v>178</v>
      </c>
      <c r="D49" s="82">
        <f t="shared" si="10"/>
        <v>0</v>
      </c>
      <c r="E49" s="82">
        <f t="shared" si="10"/>
        <v>0</v>
      </c>
      <c r="O49" s="18"/>
      <c r="P49" s="18"/>
      <c r="Q49" s="18"/>
      <c r="R49" s="18"/>
    </row>
    <row r="50" spans="3:19" ht="14.25" thickBot="1">
      <c r="C50" s="65" t="s">
        <v>170</v>
      </c>
      <c r="D50" s="123">
        <f>+SUM(D46:D49)-SUM(E46:E49)</f>
        <v>224.26028700000001</v>
      </c>
      <c r="E50" s="123"/>
      <c r="K50" s="83"/>
      <c r="L50" s="83"/>
      <c r="M50" s="83"/>
      <c r="N50" s="83"/>
      <c r="S50" s="54"/>
    </row>
    <row r="51" spans="3:19">
      <c r="K51" s="83"/>
      <c r="L51" s="83"/>
      <c r="M51" s="83"/>
      <c r="N51" s="83"/>
      <c r="S51" s="54"/>
    </row>
    <row r="52" spans="3:19">
      <c r="C52" s="84"/>
      <c r="D52" s="85"/>
      <c r="E52" s="85"/>
      <c r="F52" s="85"/>
      <c r="G52" s="85"/>
      <c r="H52" s="85"/>
      <c r="I52" s="85"/>
      <c r="K52" s="83"/>
      <c r="L52" s="83"/>
      <c r="M52" s="83"/>
      <c r="N52" s="83"/>
      <c r="S52" s="54"/>
    </row>
    <row r="53" spans="3:19">
      <c r="K53" s="83"/>
      <c r="L53" s="83"/>
      <c r="M53" s="83"/>
      <c r="N53" s="83"/>
      <c r="S53" s="54"/>
    </row>
    <row r="54" spans="3:19">
      <c r="K54" s="83"/>
      <c r="L54" s="83"/>
      <c r="M54" s="83"/>
      <c r="N54" s="83"/>
      <c r="S54" s="54"/>
    </row>
    <row r="55" spans="3:19">
      <c r="K55" s="83"/>
      <c r="L55" s="83"/>
      <c r="M55" s="83"/>
      <c r="N55" s="83"/>
      <c r="S55" s="54"/>
    </row>
    <row r="56" spans="3:19">
      <c r="K56" s="83"/>
      <c r="L56" s="83"/>
      <c r="M56" s="83"/>
      <c r="N56" s="83"/>
      <c r="S56" s="54"/>
    </row>
    <row r="57" spans="3:19">
      <c r="K57" s="83"/>
      <c r="L57" s="83"/>
      <c r="M57" s="83"/>
      <c r="N57" s="83"/>
      <c r="S57" s="54"/>
    </row>
    <row r="58" spans="3:19">
      <c r="K58" s="83"/>
      <c r="L58" s="83"/>
      <c r="M58" s="83"/>
      <c r="N58" s="83"/>
      <c r="S58" s="54"/>
    </row>
    <row r="59" spans="3:19">
      <c r="K59" s="83"/>
      <c r="L59" s="83"/>
      <c r="M59" s="83"/>
      <c r="N59" s="83"/>
      <c r="S59" s="54"/>
    </row>
    <row r="60" spans="3:19">
      <c r="K60" s="83"/>
      <c r="L60" s="83"/>
      <c r="M60" s="83"/>
      <c r="N60" s="83"/>
      <c r="S60" s="54"/>
    </row>
    <row r="61" spans="3:19">
      <c r="K61" s="83"/>
      <c r="L61" s="83"/>
      <c r="M61" s="83"/>
      <c r="N61" s="83"/>
      <c r="S61" s="54"/>
    </row>
    <row r="63" spans="3:19">
      <c r="G63" s="86"/>
      <c r="H63" s="86"/>
      <c r="I63" s="86"/>
    </row>
    <row r="65" spans="2:14"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87"/>
      <c r="M65" s="87"/>
      <c r="N65" s="87"/>
    </row>
    <row r="67" spans="2:14"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87"/>
      <c r="M67" s="87"/>
      <c r="N67" s="87"/>
    </row>
    <row r="69" spans="2:14"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87"/>
      <c r="M69" s="87"/>
      <c r="N69" s="87"/>
    </row>
  </sheetData>
  <mergeCells count="13">
    <mergeCell ref="B1:W1"/>
    <mergeCell ref="G21:H21"/>
    <mergeCell ref="V21:W21"/>
    <mergeCell ref="S22:T22"/>
    <mergeCell ref="V35:W35"/>
    <mergeCell ref="B69:K69"/>
    <mergeCell ref="X37:Y37"/>
    <mergeCell ref="C43:H43"/>
    <mergeCell ref="D44:F44"/>
    <mergeCell ref="D50:E50"/>
    <mergeCell ref="B65:K65"/>
    <mergeCell ref="B67:K67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E69"/>
  <sheetViews>
    <sheetView showGridLines="0" showRowColHeaders="0" workbookViewId="0">
      <selection activeCell="I3" sqref="I3"/>
    </sheetView>
  </sheetViews>
  <sheetFormatPr baseColWidth="10" defaultColWidth="0" defaultRowHeight="13.5"/>
  <cols>
    <col min="1" max="1" width="2.7109375" style="18" customWidth="1"/>
    <col min="2" max="2" width="25.28515625" style="18" customWidth="1"/>
    <col min="3" max="9" width="13.5703125" style="18" customWidth="1"/>
    <col min="10" max="14" width="12.7109375" style="18" hidden="1" customWidth="1"/>
    <col min="15" max="16" width="10.85546875" style="19" hidden="1" customWidth="1"/>
    <col min="17" max="17" width="12.7109375" style="19" hidden="1" customWidth="1"/>
    <col min="18" max="18" width="11.28515625" style="19" hidden="1" customWidth="1"/>
    <col min="19" max="19" width="14.7109375" style="19" hidden="1" customWidth="1"/>
    <col min="20" max="20" width="14.7109375" style="18" hidden="1" customWidth="1"/>
    <col min="21" max="21" width="14.28515625" style="18" hidden="1" customWidth="1"/>
    <col min="22" max="23" width="15.7109375" style="18" customWidth="1"/>
    <col min="24" max="24" width="2.5703125" style="18" customWidth="1"/>
    <col min="25" max="33" width="10.28515625" style="18" hidden="1" customWidth="1"/>
    <col min="34" max="16384" width="10.28515625" style="18" hidden="1"/>
  </cols>
  <sheetData>
    <row r="1" spans="2:23" ht="25.5" customHeight="1">
      <c r="B1" s="124" t="s">
        <v>134</v>
      </c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</row>
    <row r="2" spans="2:23" ht="14.25" thickBot="1"/>
    <row r="3" spans="2:23" ht="21.75" customHeight="1" thickBot="1">
      <c r="B3" s="20" t="s">
        <v>135</v>
      </c>
      <c r="C3" s="21">
        <v>2013</v>
      </c>
      <c r="H3" s="22" t="s">
        <v>136</v>
      </c>
      <c r="I3" s="23" t="s">
        <v>182</v>
      </c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</row>
    <row r="4" spans="2:23" ht="20.25" customHeight="1">
      <c r="B4" s="24"/>
      <c r="H4" s="22" t="s">
        <v>137</v>
      </c>
      <c r="I4" s="25" t="s">
        <v>138</v>
      </c>
    </row>
    <row r="5" spans="2:23" ht="27" customHeight="1">
      <c r="B5" s="26" t="s">
        <v>139</v>
      </c>
    </row>
    <row r="6" spans="2:23" ht="9.75" customHeight="1">
      <c r="B6" s="27"/>
    </row>
    <row r="7" spans="2:23" hidden="1">
      <c r="B7" s="27"/>
      <c r="C7" s="28">
        <v>1</v>
      </c>
    </row>
    <row r="8" spans="2:23" ht="5.25" customHeight="1">
      <c r="B8" s="27"/>
    </row>
    <row r="9" spans="2:23" ht="15" customHeight="1">
      <c r="B9" s="27"/>
    </row>
    <row r="10" spans="2:23" ht="29.25" customHeight="1">
      <c r="B10" s="26" t="s">
        <v>140</v>
      </c>
    </row>
    <row r="11" spans="2:23" ht="15" hidden="1" customHeight="1">
      <c r="B11" s="27"/>
      <c r="C11" s="28">
        <v>2</v>
      </c>
    </row>
    <row r="12" spans="2:23" ht="15" customHeight="1" thickBot="1">
      <c r="B12" s="27"/>
    </row>
    <row r="13" spans="2:23" ht="15.75" thickBot="1">
      <c r="B13" s="26" t="s">
        <v>141</v>
      </c>
      <c r="C13" s="29">
        <v>151.66999999999999</v>
      </c>
      <c r="G13" s="30"/>
    </row>
    <row r="14" spans="2:23" ht="14.25" thickBot="1">
      <c r="B14" s="27"/>
    </row>
    <row r="15" spans="2:23" ht="14.25" thickBot="1">
      <c r="B15" s="26" t="s">
        <v>142</v>
      </c>
      <c r="C15" s="31">
        <f>IF(C7=1,0.281,0.26)</f>
        <v>0.28100000000000003</v>
      </c>
      <c r="G15" s="30"/>
    </row>
    <row r="16" spans="2:23" s="32" customFormat="1" ht="15" customHeight="1">
      <c r="B16" s="27"/>
      <c r="S16" s="33"/>
    </row>
    <row r="17" spans="2:23" s="32" customFormat="1" ht="15" customHeight="1" thickBot="1">
      <c r="B17" s="26" t="s">
        <v>143</v>
      </c>
      <c r="S17" s="33"/>
      <c r="U17" s="34"/>
    </row>
    <row r="18" spans="2:23" s="32" customFormat="1" ht="15" customHeight="1" thickBot="1">
      <c r="B18" s="35" t="s">
        <v>144</v>
      </c>
      <c r="C18" s="29">
        <v>35</v>
      </c>
      <c r="D18" s="36" t="s">
        <v>145</v>
      </c>
      <c r="E18" s="19" t="str">
        <f>IF(AND(C19&lt;&gt;"",OR(C18="",C18=0)),"&lt;&lt;&lt;&lt;&lt; info à compléter","")</f>
        <v/>
      </c>
      <c r="S18" s="33"/>
      <c r="U18" s="34"/>
    </row>
    <row r="19" spans="2:23" s="32" customFormat="1" ht="15" customHeight="1" thickBot="1">
      <c r="B19" s="35" t="s">
        <v>146</v>
      </c>
      <c r="C19" s="29">
        <v>35</v>
      </c>
      <c r="D19" s="36" t="s">
        <v>147</v>
      </c>
      <c r="E19" s="19" t="str">
        <f>IF(AND(C18&lt;&gt;"",OR(C19="",C19=0)),"&lt;&lt;&lt;&lt;&lt; info à compléter","")</f>
        <v/>
      </c>
      <c r="S19" s="33"/>
      <c r="U19" s="34"/>
    </row>
    <row r="20" spans="2:23" s="32" customFormat="1" ht="15" customHeight="1">
      <c r="B20" s="37"/>
      <c r="S20" s="33"/>
      <c r="U20" s="34"/>
    </row>
    <row r="21" spans="2:23" s="32" customFormat="1" ht="14.25" customHeight="1" thickBot="1">
      <c r="B21" s="37"/>
      <c r="C21" s="37"/>
      <c r="D21" s="37"/>
      <c r="E21" s="38" t="s">
        <v>148</v>
      </c>
      <c r="F21" s="37"/>
      <c r="G21" s="125" t="s">
        <v>149</v>
      </c>
      <c r="H21" s="126"/>
      <c r="I21" s="39"/>
      <c r="U21" s="34"/>
      <c r="V21" s="127" t="s">
        <v>150</v>
      </c>
      <c r="W21" s="128"/>
    </row>
    <row r="22" spans="2:23" s="32" customFormat="1" ht="27" customHeight="1" thickBot="1">
      <c r="C22" s="40" t="s">
        <v>151</v>
      </c>
      <c r="D22" s="41" t="s">
        <v>152</v>
      </c>
      <c r="E22" s="42" t="s">
        <v>153</v>
      </c>
      <c r="F22" s="43" t="s">
        <v>154</v>
      </c>
      <c r="G22" s="44" t="s">
        <v>155</v>
      </c>
      <c r="H22" s="42" t="s">
        <v>156</v>
      </c>
      <c r="I22" s="39"/>
      <c r="J22" s="33" t="s">
        <v>157</v>
      </c>
      <c r="K22" s="33" t="s">
        <v>158</v>
      </c>
      <c r="L22" s="33" t="s">
        <v>159</v>
      </c>
      <c r="M22" s="33" t="s">
        <v>160</v>
      </c>
      <c r="N22" s="33" t="s">
        <v>161</v>
      </c>
      <c r="O22" s="33" t="s">
        <v>162</v>
      </c>
      <c r="P22" s="33" t="s">
        <v>163</v>
      </c>
      <c r="Q22" s="33" t="s">
        <v>164</v>
      </c>
      <c r="R22" s="33" t="s">
        <v>165</v>
      </c>
      <c r="S22" s="119" t="s">
        <v>166</v>
      </c>
      <c r="T22" s="119"/>
      <c r="U22" s="45" t="s">
        <v>167</v>
      </c>
      <c r="V22" s="46" t="s">
        <v>168</v>
      </c>
      <c r="W22" s="47" t="s">
        <v>169</v>
      </c>
    </row>
    <row r="23" spans="2:23" ht="15">
      <c r="B23" s="48" t="s">
        <v>36</v>
      </c>
      <c r="C23" s="49">
        <f>SMIC!B4</f>
        <v>9.5299999999999994</v>
      </c>
      <c r="D23" s="15">
        <v>5000</v>
      </c>
      <c r="E23" s="50"/>
      <c r="F23" s="51"/>
      <c r="G23" s="52">
        <f>IF(AND($C$18&lt;&gt;0,$C$18&lt;&gt;""),$C$18,"")</f>
        <v>35</v>
      </c>
      <c r="H23" s="52">
        <f>IF(AND($C$19&lt;&gt;0,$C$19&lt;&gt;""),$C$19,"")</f>
        <v>35</v>
      </c>
      <c r="I23" s="48" t="s">
        <v>36</v>
      </c>
      <c r="J23" s="53">
        <f>IF(Salaire_brut_janvier="",0,(Horaire_collectif_mensuel*C23*IF(G23&lt;&gt;"",G23,Salaire_brut_janvier)/IF(H23&lt;&gt;"",H23,IF(E23&lt;&gt;"",E23,Salaire_brut_janvier))))</f>
        <v>1445.4150999999997</v>
      </c>
      <c r="K23" s="53">
        <f t="shared" ref="K23:K34" si="0">D23</f>
        <v>5000</v>
      </c>
      <c r="L23" s="53">
        <f>J23</f>
        <v>1445.4150999999997</v>
      </c>
      <c r="M23" s="53">
        <f>C23*F23</f>
        <v>0</v>
      </c>
      <c r="N23" s="53">
        <f>D23</f>
        <v>5000</v>
      </c>
      <c r="O23" s="54">
        <f t="shared" ref="O23:O34" si="1">IF(IF(ROUND(((Coeff.effectif/0.6)*((1.6*(L23+M23)/N23)-1)),4)&gt;0,ROUND(((Coeff.effectif/0.6)*((1.6*(L23+M23)/N23)-1)),4),0)&gt;Coeff.effectif,Coeff.effectif,IF(ROUND(((Coeff.effectif/0.6)*((1.6*(L23+M23)/N23)-1)),4)&gt;0,ROUND(((Coeff.effectif/0.6)*((1.6*(L23+M23)/N23)-1)),4),0))</f>
        <v>0</v>
      </c>
      <c r="P23" s="54">
        <f>IF(IF(ROUND(((Coeff.effectif/0.6)*((1.6*(J23+(C23*F23))/Salaire_brut_janvier)-1)),4)&gt;0,ROUND(((Coeff.effectif/0.6)*((1.6*(J23+(C23*F23))/Salaire_brut_janvier)-1)),4),0)&gt;Coeff.effectif,Coeff.effectif,IF(ROUND(((Coeff.effectif/0.6)*((1.6*(J23+(C23*F23))/Salaire_brut_janvier)-1)),4)&gt;0,ROUND(((Coeff.effectif/0.6)*((1.6*(J23+(C23*F23))/Salaire_brut_janvier)-1)),4),0))</f>
        <v>0</v>
      </c>
      <c r="Q23" s="53">
        <f>IF(ISERR(N23*O23),0,N23*O23)</f>
        <v>0</v>
      </c>
      <c r="R23" s="53">
        <f>IF(ISERR(Salaire_brut_janvier*O23),0,Salaire_brut_janvier*O23)</f>
        <v>0</v>
      </c>
      <c r="S23" s="53">
        <f>IF(ISERR(P23),0,Salaire_brut_janvier*P23)</f>
        <v>0</v>
      </c>
      <c r="T23" s="53"/>
      <c r="U23" s="55">
        <f>S23</f>
        <v>0</v>
      </c>
      <c r="V23" s="56" t="str">
        <f t="shared" ref="V23:V34" si="2">IF(Mode_calcul=1,IF(R23&gt;0,R23,""),IF(U23&gt;0,U23,""))</f>
        <v/>
      </c>
      <c r="W23" s="57" t="str">
        <f t="shared" ref="W23:W33" si="3">IF(Mode_calcul=1,IF(R23&lt;0,-R23,""),IF(U23&lt;0,-U23,""))</f>
        <v/>
      </c>
    </row>
    <row r="24" spans="2:23" ht="15">
      <c r="B24" s="48" t="s">
        <v>37</v>
      </c>
      <c r="C24" s="49">
        <f>SMIC!B5</f>
        <v>9.5299999999999994</v>
      </c>
      <c r="D24" s="15"/>
      <c r="E24" s="50"/>
      <c r="F24" s="51"/>
      <c r="G24" s="58">
        <f t="shared" ref="G24:G34" si="4">IF(AND($C$18&lt;&gt;0,$C$18&lt;&gt;""),$C$18,"")</f>
        <v>35</v>
      </c>
      <c r="H24" s="58">
        <f t="shared" ref="H24:H34" si="5">IF(AND($C$19&lt;&gt;0,$C$19&lt;&gt;""),$C$19,"")</f>
        <v>35</v>
      </c>
      <c r="I24" s="48" t="s">
        <v>37</v>
      </c>
      <c r="J24" s="53">
        <f>IF(Salaire_brut_février="",0,Horaire_collectif_mensuel*C24*IF(G24&lt;&gt;"",G24,Salaire_brut_février)/IF(H24&lt;&gt;"",H24,IF(E24&lt;&gt;"",E24,Salaire_brut_février)))</f>
        <v>0</v>
      </c>
      <c r="K24" s="53">
        <f t="shared" si="0"/>
        <v>0</v>
      </c>
      <c r="L24" s="53">
        <f>L23+J24</f>
        <v>1445.4150999999997</v>
      </c>
      <c r="M24" s="53">
        <f t="shared" ref="M24:M34" si="6">M23+C24*F24</f>
        <v>0</v>
      </c>
      <c r="N24" s="53">
        <f>Salaire_brut_janvier+Salaire_brut_février</f>
        <v>5000</v>
      </c>
      <c r="O24" s="54">
        <f t="shared" si="1"/>
        <v>0</v>
      </c>
      <c r="P24" s="54" t="e">
        <f>IF(IF(ROUND(((Coeff.effectif/0.6)*((1.6*(J24+(C24*F24))/Salaire_brut_février)-1)),4)&gt;0,ROUND(((Coeff.effectif/0.6)*((1.6*(J24+(C24*F24))/Salaire_brut_février)-1)),4),0)&gt;Coeff.effectif,Coeff.effectif,IF(ROUND(((Coeff.effectif/0.6)*((1.6*(J24+(C24*F24))/Salaire_brut_février)-1)),4)&gt;0,ROUND(((Coeff.effectif/0.6)*((1.6*(J24+(C24*F24))/Salaire_brut_février)-1)),4),0))</f>
        <v>#DIV/0!</v>
      </c>
      <c r="Q24" s="53">
        <f t="shared" ref="Q24:Q33" si="7">IF(ISERR(N24*O24),0,N24*O24)</f>
        <v>0</v>
      </c>
      <c r="R24" s="53">
        <f>Q24-SUM(R23)</f>
        <v>0</v>
      </c>
      <c r="S24" s="53">
        <f>IF(ISERR(P24),0,Salaire_brut_février*P24)</f>
        <v>0</v>
      </c>
      <c r="T24" s="53"/>
      <c r="U24" s="53">
        <f t="shared" ref="U24:U33" si="8">S24</f>
        <v>0</v>
      </c>
      <c r="V24" s="56" t="str">
        <f t="shared" si="2"/>
        <v/>
      </c>
      <c r="W24" s="59" t="str">
        <f t="shared" si="3"/>
        <v/>
      </c>
    </row>
    <row r="25" spans="2:23" ht="15">
      <c r="B25" s="48" t="s">
        <v>38</v>
      </c>
      <c r="C25" s="49">
        <f>SMIC!B6</f>
        <v>9.5299999999999994</v>
      </c>
      <c r="D25" s="15"/>
      <c r="E25" s="50"/>
      <c r="F25" s="51"/>
      <c r="G25" s="58">
        <f t="shared" si="4"/>
        <v>35</v>
      </c>
      <c r="H25" s="58">
        <f t="shared" si="5"/>
        <v>35</v>
      </c>
      <c r="I25" s="48" t="s">
        <v>38</v>
      </c>
      <c r="J25" s="53">
        <f>IF(Salaire_brut_mars="",0,Horaire_collectif_mensuel*C25*IF(G25&lt;&gt;"",G25,Salaire_brut_mars)/IF(H25&lt;&gt;"",H25,IF(E25&lt;&gt;"",E25,Salaire_brut_mars)))</f>
        <v>0</v>
      </c>
      <c r="K25" s="53">
        <f t="shared" si="0"/>
        <v>0</v>
      </c>
      <c r="L25" s="53">
        <f t="shared" ref="L25:L34" si="9">L24+J25</f>
        <v>1445.4150999999997</v>
      </c>
      <c r="M25" s="53">
        <f t="shared" si="6"/>
        <v>0</v>
      </c>
      <c r="N25" s="53">
        <f>Salaire_brut_janvier+Salaire_brut_février+Salaire_brut_mars</f>
        <v>5000</v>
      </c>
      <c r="O25" s="54">
        <f t="shared" si="1"/>
        <v>0</v>
      </c>
      <c r="P25" s="54" t="e">
        <f>IF(IF(ROUND(((Coeff.effectif/0.6)*((1.6*(J25+(C25*F25))/Salaire_brut_mars)-1)),4)&gt;0,ROUND(((Coeff.effectif/0.6)*((1.6*(J25+(C25*F25))/Salaire_brut_mars)-1)),4),0)&gt;Coeff.effectif,Coeff.effectif,IF(ROUND(((Coeff.effectif/0.6)*((1.6*(J25+(C25*F25))/Salaire_brut_mars)-1)),4)&gt;0,ROUND(((Coeff.effectif/0.6)*((1.6*(J25+(C25*F25))/Salaire_brut_mars)-1)),4),0))</f>
        <v>#DIV/0!</v>
      </c>
      <c r="Q25" s="53">
        <f t="shared" si="7"/>
        <v>0</v>
      </c>
      <c r="R25" s="53">
        <f>Q25-SUM(R23:R24)</f>
        <v>0</v>
      </c>
      <c r="S25" s="53">
        <f>IF(ISERR(P25),0,Salaire_brut_mars*P25)</f>
        <v>0</v>
      </c>
      <c r="T25" s="53"/>
      <c r="U25" s="53">
        <f t="shared" si="8"/>
        <v>0</v>
      </c>
      <c r="V25" s="56" t="str">
        <f t="shared" si="2"/>
        <v/>
      </c>
      <c r="W25" s="59" t="str">
        <f t="shared" si="3"/>
        <v/>
      </c>
    </row>
    <row r="26" spans="2:23" ht="15">
      <c r="B26" s="48" t="s">
        <v>39</v>
      </c>
      <c r="C26" s="49">
        <f>SMIC!B7</f>
        <v>9.5299999999999994</v>
      </c>
      <c r="D26" s="15"/>
      <c r="E26" s="50"/>
      <c r="F26" s="51"/>
      <c r="G26" s="58">
        <f t="shared" si="4"/>
        <v>35</v>
      </c>
      <c r="H26" s="58">
        <f t="shared" si="5"/>
        <v>35</v>
      </c>
      <c r="I26" s="48" t="s">
        <v>39</v>
      </c>
      <c r="J26" s="53">
        <f>IF(Salaire_brut_avril="",0,Horaire_collectif_mensuel*C26*IF(G26&lt;&gt;"",G26,Salaire_brut_avril)/IF(H26&lt;&gt;"",H26,IF(E26&lt;&gt;"",E26,Salaire_brut_avril)))</f>
        <v>0</v>
      </c>
      <c r="K26" s="53">
        <f t="shared" si="0"/>
        <v>0</v>
      </c>
      <c r="L26" s="53">
        <f t="shared" si="9"/>
        <v>1445.4150999999997</v>
      </c>
      <c r="M26" s="53">
        <f t="shared" si="6"/>
        <v>0</v>
      </c>
      <c r="N26" s="53">
        <f>Salaire_brut_janvier+Salaire_brut_février+Salaire_brut_mars+Salaire_brut_avril</f>
        <v>5000</v>
      </c>
      <c r="O26" s="54">
        <f t="shared" si="1"/>
        <v>0</v>
      </c>
      <c r="P26" s="54" t="e">
        <f>IF(IF(ROUND(((Coeff.effectif/0.6)*((1.6*(J26+(C26*F26))/Salaire_brut_avril)-1)),4)&gt;0,ROUND(((Coeff.effectif/0.6)*((1.6*(J26+(C26*F26))/Salaire_brut_avril)-1)),4),0)&gt;Coeff.effectif,Coeff.effectif,IF(ROUND(((Coeff.effectif/0.6)*((1.6*(J26+(C26*F26))/Salaire_brut_avril)-1)),4)&gt;0,ROUND(((Coeff.effectif/0.6)*((1.6*(J26+(C26*F26))/Salaire_brut_avril)-1)),4),0))</f>
        <v>#DIV/0!</v>
      </c>
      <c r="Q26" s="53">
        <f t="shared" si="7"/>
        <v>0</v>
      </c>
      <c r="R26" s="53">
        <f>Q26-SUM(R23:R25)</f>
        <v>0</v>
      </c>
      <c r="S26" s="53">
        <f>IF(ISERR(P26),0,Salaire_brut_avril*P26)</f>
        <v>0</v>
      </c>
      <c r="T26" s="53"/>
      <c r="U26" s="53">
        <f t="shared" si="8"/>
        <v>0</v>
      </c>
      <c r="V26" s="56" t="str">
        <f t="shared" si="2"/>
        <v/>
      </c>
      <c r="W26" s="59" t="str">
        <f t="shared" si="3"/>
        <v/>
      </c>
    </row>
    <row r="27" spans="2:23" ht="15">
      <c r="B27" s="48" t="s">
        <v>40</v>
      </c>
      <c r="C27" s="49">
        <f>SMIC!B8</f>
        <v>9.5299999999999994</v>
      </c>
      <c r="D27" s="15"/>
      <c r="E27" s="50"/>
      <c r="F27" s="51"/>
      <c r="G27" s="58">
        <f t="shared" si="4"/>
        <v>35</v>
      </c>
      <c r="H27" s="58">
        <f t="shared" si="5"/>
        <v>35</v>
      </c>
      <c r="I27" s="48" t="s">
        <v>40</v>
      </c>
      <c r="J27" s="53">
        <f>IF(Salaire_brut_mai="",0,Horaire_collectif_mensuel*C27*IF(G27&lt;&gt;"",G27,Salaire_brut_mai)/IF(H27&lt;&gt;"",H27,IF(E27&lt;&gt;"",E27,Salaire_brut_mai)))</f>
        <v>0</v>
      </c>
      <c r="K27" s="53">
        <f t="shared" si="0"/>
        <v>0</v>
      </c>
      <c r="L27" s="53">
        <f t="shared" si="9"/>
        <v>1445.4150999999997</v>
      </c>
      <c r="M27" s="53">
        <f t="shared" si="6"/>
        <v>0</v>
      </c>
      <c r="N27" s="53">
        <f>Salaire_brut_janvier+Salaire_brut_février+Salaire_brut_mars+Salaire_brut_avril+Salaire_brut_mai</f>
        <v>5000</v>
      </c>
      <c r="O27" s="54">
        <f t="shared" si="1"/>
        <v>0</v>
      </c>
      <c r="P27" s="54" t="e">
        <f>IF(IF(ROUND(((Coeff.effectif/0.6)*((1.6*(J27+(C27*F27))/Salaire_brut_mai)-1)),4)&gt;0,ROUND(((Coeff.effectif/0.6)*((1.6*(J27+(C27*F27))/Salaire_brut_mai)-1)),4),0)&gt;Coeff.effectif,Coeff.effectif,IF(ROUND(((Coeff.effectif/0.6)*((1.6*(J27+(C27*F27))/Salaire_brut_mai)-1)),4)&gt;0,ROUND(((Coeff.effectif/0.6)*((1.6*(J27+(C27*F27))/Salaire_brut_mai)-1)),4),0))</f>
        <v>#DIV/0!</v>
      </c>
      <c r="Q27" s="53">
        <f t="shared" si="7"/>
        <v>0</v>
      </c>
      <c r="R27" s="53">
        <f>Q27-SUM(R23:R26)</f>
        <v>0</v>
      </c>
      <c r="S27" s="53">
        <f>IF(ISERR(P27),0,Salaire_brut_mai*P27)</f>
        <v>0</v>
      </c>
      <c r="T27" s="53"/>
      <c r="U27" s="53">
        <f t="shared" si="8"/>
        <v>0</v>
      </c>
      <c r="V27" s="56" t="str">
        <f t="shared" si="2"/>
        <v/>
      </c>
      <c r="W27" s="59" t="str">
        <f t="shared" si="3"/>
        <v/>
      </c>
    </row>
    <row r="28" spans="2:23" ht="15">
      <c r="B28" s="48" t="s">
        <v>41</v>
      </c>
      <c r="C28" s="49">
        <f>SMIC!B9</f>
        <v>9.5299999999999994</v>
      </c>
      <c r="D28" s="15"/>
      <c r="E28" s="50"/>
      <c r="F28" s="51"/>
      <c r="G28" s="58">
        <f t="shared" si="4"/>
        <v>35</v>
      </c>
      <c r="H28" s="58">
        <f t="shared" si="5"/>
        <v>35</v>
      </c>
      <c r="I28" s="48" t="s">
        <v>41</v>
      </c>
      <c r="J28" s="53">
        <f>IF(Salaire_brut_juin="",0,Horaire_collectif_mensuel*C28*IF(G28&lt;&gt;"",G28,Salaire_brut_juin)/IF(H28&lt;&gt;"",H28,IF(E28&lt;&gt;"",E28,Salaire_brut_juin)))</f>
        <v>0</v>
      </c>
      <c r="K28" s="53">
        <f t="shared" si="0"/>
        <v>0</v>
      </c>
      <c r="L28" s="53">
        <f t="shared" si="9"/>
        <v>1445.4150999999997</v>
      </c>
      <c r="M28" s="53">
        <f t="shared" si="6"/>
        <v>0</v>
      </c>
      <c r="N28" s="53">
        <f>Salaire_brut_janvier+Salaire_brut_février+Salaire_brut_mars+Salaire_brut_avril+Salaire_brut_mai+Salaire_brut_juin</f>
        <v>5000</v>
      </c>
      <c r="O28" s="54">
        <f t="shared" si="1"/>
        <v>0</v>
      </c>
      <c r="P28" s="54" t="e">
        <f>IF(IF(ROUND(((Coeff.effectif/0.6)*((1.6*(J28+(C28*F28))/Salaire_brut_juin)-1)),4)&gt;0,ROUND(((Coeff.effectif/0.6)*((1.6*(J28+(C28*F28))/Salaire_brut_juin)-1)),4),0)&gt;Coeff.effectif,Coeff.effectif,IF(ROUND(((Coeff.effectif/0.6)*((1.6*(J28+(C28*F28))/Salaire_brut_juin)-1)),4)&gt;0,ROUND(((Coeff.effectif/0.6)*((1.6*(J28+(C28*F28))/Salaire_brut_juin)-1)),4),0))</f>
        <v>#DIV/0!</v>
      </c>
      <c r="Q28" s="53">
        <f t="shared" si="7"/>
        <v>0</v>
      </c>
      <c r="R28" s="53">
        <f>Q28-SUM(R23:R27)</f>
        <v>0</v>
      </c>
      <c r="S28" s="53">
        <f>IF(ISERR(P28),0,Salaire_brut_juin*P28)</f>
        <v>0</v>
      </c>
      <c r="T28" s="53"/>
      <c r="U28" s="53">
        <f t="shared" si="8"/>
        <v>0</v>
      </c>
      <c r="V28" s="56" t="str">
        <f t="shared" si="2"/>
        <v/>
      </c>
      <c r="W28" s="59" t="str">
        <f t="shared" si="3"/>
        <v/>
      </c>
    </row>
    <row r="29" spans="2:23" ht="15">
      <c r="B29" s="48" t="s">
        <v>42</v>
      </c>
      <c r="C29" s="49">
        <f>SMIC!B10</f>
        <v>9.5299999999999994</v>
      </c>
      <c r="D29" s="15"/>
      <c r="E29" s="50"/>
      <c r="F29" s="51"/>
      <c r="G29" s="58">
        <f t="shared" si="4"/>
        <v>35</v>
      </c>
      <c r="H29" s="58">
        <f t="shared" si="5"/>
        <v>35</v>
      </c>
      <c r="I29" s="48" t="s">
        <v>42</v>
      </c>
      <c r="J29" s="53">
        <f>IF(Salaire_brut_juillet="",0,Horaire_collectif_mensuel*C29*IF(G29&lt;&gt;"",G29,Salaire_brut_juillet)/IF(H29&lt;&gt;"",H29,IF(E29&lt;&gt;"",E29,Salaire_brut_juillet)))</f>
        <v>0</v>
      </c>
      <c r="K29" s="53">
        <f t="shared" si="0"/>
        <v>0</v>
      </c>
      <c r="L29" s="53">
        <f t="shared" si="9"/>
        <v>1445.4150999999997</v>
      </c>
      <c r="M29" s="53">
        <f t="shared" si="6"/>
        <v>0</v>
      </c>
      <c r="N29" s="53">
        <f>Salaire_brut_janvier+Salaire_brut_février+Salaire_brut_mars+Salaire_brut_avril+Salaire_brut_mai+Salaire_brut_juin+Salaire_brut_juillet</f>
        <v>5000</v>
      </c>
      <c r="O29" s="54">
        <f t="shared" si="1"/>
        <v>0</v>
      </c>
      <c r="P29" s="54" t="e">
        <f>IF(IF(ROUND(((Coeff.effectif/0.6)*((1.6*(J29+(C29*F29))/Salaire_brut_juillet)-1)),4)&gt;0,ROUND(((Coeff.effectif/0.6)*((1.6*(J29+(C29*F29))/Salaire_brut_juillet)-1)),4),0)&gt;Coeff.effectif,Coeff.effectif,IF(ROUND(((Coeff.effectif/0.6)*((1.6*(J29+(C29*F29))/Salaire_brut_juillet)-1)),4)&gt;0,ROUND(((Coeff.effectif/0.6)*((1.6*(J29+(C29*F29))/Salaire_brut_juillet)-1)),4),0))</f>
        <v>#DIV/0!</v>
      </c>
      <c r="Q29" s="53">
        <f t="shared" si="7"/>
        <v>0</v>
      </c>
      <c r="R29" s="53">
        <f>Q29-SUM(R23:R28)</f>
        <v>0</v>
      </c>
      <c r="S29" s="53">
        <f>IF(ISERR(P29),0,Salaire_brut_juillet*P29)</f>
        <v>0</v>
      </c>
      <c r="T29" s="53"/>
      <c r="U29" s="53">
        <f t="shared" si="8"/>
        <v>0</v>
      </c>
      <c r="V29" s="56" t="str">
        <f t="shared" si="2"/>
        <v/>
      </c>
      <c r="W29" s="59" t="str">
        <f t="shared" si="3"/>
        <v/>
      </c>
    </row>
    <row r="30" spans="2:23" ht="15">
      <c r="B30" s="48" t="s">
        <v>43</v>
      </c>
      <c r="C30" s="49">
        <f>SMIC!B11</f>
        <v>9.5299999999999994</v>
      </c>
      <c r="D30" s="15"/>
      <c r="E30" s="50"/>
      <c r="F30" s="51"/>
      <c r="G30" s="58">
        <f t="shared" si="4"/>
        <v>35</v>
      </c>
      <c r="H30" s="58">
        <f t="shared" si="5"/>
        <v>35</v>
      </c>
      <c r="I30" s="48" t="s">
        <v>43</v>
      </c>
      <c r="J30" s="53">
        <f>IF(Salaire_brut_août="",0,Horaire_collectif_mensuel*C30*IF(G30&lt;&gt;"",G30,Salaire_brut_août)/IF(H30&lt;&gt;"",H30,IF(E30&lt;&gt;"",E30,Salaire_brut_août)))</f>
        <v>0</v>
      </c>
      <c r="K30" s="53">
        <f t="shared" si="0"/>
        <v>0</v>
      </c>
      <c r="L30" s="53">
        <f t="shared" si="9"/>
        <v>1445.4150999999997</v>
      </c>
      <c r="M30" s="53">
        <f t="shared" si="6"/>
        <v>0</v>
      </c>
      <c r="N30" s="53">
        <f>Salaire_brut_janvier+Salaire_brut_février+Salaire_brut_mars+Salaire_brut_avril+Salaire_brut_mai+Salaire_brut_juin+Salaire_brut_juillet+Salaire_brut_août</f>
        <v>5000</v>
      </c>
      <c r="O30" s="54">
        <f t="shared" si="1"/>
        <v>0</v>
      </c>
      <c r="P30" s="54" t="e">
        <f>IF(IF(ROUND(((Coeff.effectif/0.6)*((1.6*(J30+(C30*F30))/Salaire_brut_août)-1)),4)&gt;0,ROUND(((Coeff.effectif/0.6)*((1.6*(J30+(C30*F30))/Salaire_brut_août)-1)),4),0)&gt;Coeff.effectif,Coeff.effectif,IF(ROUND(((Coeff.effectif/0.6)*((1.6*(J30+(C30*F30))/Salaire_brut_août)-1)),4)&gt;0,ROUND(((Coeff.effectif/0.6)*((1.6*(J30+(C30*F30))/Salaire_brut_août)-1)),4),0))</f>
        <v>#DIV/0!</v>
      </c>
      <c r="Q30" s="53">
        <f t="shared" si="7"/>
        <v>0</v>
      </c>
      <c r="R30" s="53">
        <f>Q30-SUM(R23:R29)</f>
        <v>0</v>
      </c>
      <c r="S30" s="53">
        <f>IF(ISERR(P30),0,Salaire_brut_août*P30)</f>
        <v>0</v>
      </c>
      <c r="T30" s="53"/>
      <c r="U30" s="53">
        <f t="shared" si="8"/>
        <v>0</v>
      </c>
      <c r="V30" s="56" t="str">
        <f t="shared" si="2"/>
        <v/>
      </c>
      <c r="W30" s="59" t="str">
        <f t="shared" si="3"/>
        <v/>
      </c>
    </row>
    <row r="31" spans="2:23" ht="15">
      <c r="B31" s="48" t="s">
        <v>44</v>
      </c>
      <c r="C31" s="49">
        <f>SMIC!B12</f>
        <v>9.5299999999999994</v>
      </c>
      <c r="D31" s="15"/>
      <c r="E31" s="50"/>
      <c r="F31" s="51"/>
      <c r="G31" s="58">
        <f t="shared" si="4"/>
        <v>35</v>
      </c>
      <c r="H31" s="58">
        <f t="shared" si="5"/>
        <v>35</v>
      </c>
      <c r="I31" s="48" t="s">
        <v>44</v>
      </c>
      <c r="J31" s="53">
        <f>IF(Salaire_brut_septembre="",0,Horaire_collectif_mensuel*C31*IF(G31&lt;&gt;"",G31,Salaire_brut_septembre)/IF(H31&lt;&gt;"",H31,IF(E31&lt;&gt;"",E31,Salaire_brut_septembre)))</f>
        <v>0</v>
      </c>
      <c r="K31" s="53">
        <f t="shared" si="0"/>
        <v>0</v>
      </c>
      <c r="L31" s="53">
        <f t="shared" si="9"/>
        <v>1445.4150999999997</v>
      </c>
      <c r="M31" s="53">
        <f t="shared" si="6"/>
        <v>0</v>
      </c>
      <c r="N31" s="53">
        <f>Salaire_brut_janvier+Salaire_brut_février+Salaire_brut_mars+Salaire_brut_avril+Salaire_brut_mai+Salaire_brut_juin+Salaire_brut_juillet+Salaire_brut_août+Salaire_brut_septembre</f>
        <v>5000</v>
      </c>
      <c r="O31" s="54">
        <f t="shared" si="1"/>
        <v>0</v>
      </c>
      <c r="P31" s="54" t="e">
        <f>IF(IF(ROUND(((Coeff.effectif/0.6)*((1.6*(J31+(C31*F31))/Salaire_brut_septembre)-1)),4)&gt;0,ROUND(((Coeff.effectif/0.6)*((1.6*(J31+(C31*F31))/Salaire_brut_septembre)-1)),4),0)&gt;Coeff.effectif,Coeff.effectif,IF(ROUND(((Coeff.effectif/0.6)*((1.6*(J31+(C31*F31))/Salaire_brut_septembre)-1)),4)&gt;0,ROUND(((Coeff.effectif/0.6)*((1.6*(J31+(C31*F31))/Salaire_brut_septembre)-1)),4),0))</f>
        <v>#DIV/0!</v>
      </c>
      <c r="Q31" s="53">
        <f t="shared" si="7"/>
        <v>0</v>
      </c>
      <c r="R31" s="53">
        <f>Q31-SUM(R23:R30)</f>
        <v>0</v>
      </c>
      <c r="S31" s="53">
        <f>IF(ISERR(P31),0,Salaire_brut_septembre*P31)</f>
        <v>0</v>
      </c>
      <c r="T31" s="53"/>
      <c r="U31" s="53">
        <f t="shared" si="8"/>
        <v>0</v>
      </c>
      <c r="V31" s="56" t="str">
        <f t="shared" si="2"/>
        <v/>
      </c>
      <c r="W31" s="59" t="str">
        <f t="shared" si="3"/>
        <v/>
      </c>
    </row>
    <row r="32" spans="2:23" ht="15">
      <c r="B32" s="48" t="s">
        <v>45</v>
      </c>
      <c r="C32" s="49">
        <f>SMIC!B13</f>
        <v>9.5299999999999994</v>
      </c>
      <c r="D32" s="15"/>
      <c r="E32" s="50"/>
      <c r="F32" s="51"/>
      <c r="G32" s="58">
        <f t="shared" si="4"/>
        <v>35</v>
      </c>
      <c r="H32" s="58">
        <f t="shared" si="5"/>
        <v>35</v>
      </c>
      <c r="I32" s="48" t="s">
        <v>45</v>
      </c>
      <c r="J32" s="53">
        <f>IF(Salaire_brut_octobre="",0,Horaire_collectif_mensuel*C32*IF(G32&lt;&gt;"",G32,Salaire_brut_octobre)/IF(H32&lt;&gt;"",H32,IF(E32&lt;&gt;"",E32,Salaire_brut_octobre)))</f>
        <v>0</v>
      </c>
      <c r="K32" s="53">
        <f t="shared" si="0"/>
        <v>0</v>
      </c>
      <c r="L32" s="53">
        <f t="shared" si="9"/>
        <v>1445.4150999999997</v>
      </c>
      <c r="M32" s="53">
        <f t="shared" si="6"/>
        <v>0</v>
      </c>
      <c r="N32" s="53">
        <f>Salaire_brut_janvier+Salaire_brut_février+Salaire_brut_mars+Salaire_brut_avril+Salaire_brut_mai+Salaire_brut_juin+Salaire_brut_juillet+Salaire_brut_août+Salaire_brut_septembre+Salaire_brut_octobre</f>
        <v>5000</v>
      </c>
      <c r="O32" s="54">
        <f t="shared" si="1"/>
        <v>0</v>
      </c>
      <c r="P32" s="54" t="e">
        <f>IF(IF(ROUND(((Coeff.effectif/0.6)*((1.6*(J32+(C32*F32))/Salaire_brut_octobre)-1)),4)&gt;0,ROUND(((Coeff.effectif/0.6)*((1.6*(J32+(C32*F32))/Salaire_brut_octobre)-1)),4),0)&gt;Coeff.effectif,Coeff.effectif,IF(ROUND(((Coeff.effectif/0.6)*((1.6*(J32+(C32*F32))/Salaire_brut_octobre)-1)),4)&gt;0,ROUND(((Coeff.effectif/0.6)*((1.6*(J32+(C32*F32))/Salaire_brut_octobre)-1)),4),0))</f>
        <v>#DIV/0!</v>
      </c>
      <c r="Q32" s="53">
        <f t="shared" si="7"/>
        <v>0</v>
      </c>
      <c r="R32" s="53">
        <f>Q32-SUM(R23:R31)</f>
        <v>0</v>
      </c>
      <c r="S32" s="53">
        <f>IF(ISERR(P32),0,Salaire_brut_octobre*P32)</f>
        <v>0</v>
      </c>
      <c r="T32" s="53"/>
      <c r="U32" s="53">
        <f t="shared" si="8"/>
        <v>0</v>
      </c>
      <c r="V32" s="56" t="str">
        <f t="shared" si="2"/>
        <v/>
      </c>
      <c r="W32" s="59" t="str">
        <f t="shared" si="3"/>
        <v/>
      </c>
    </row>
    <row r="33" spans="2:31" ht="15">
      <c r="B33" s="48" t="s">
        <v>46</v>
      </c>
      <c r="C33" s="49">
        <f>SMIC!B14</f>
        <v>9.5299999999999994</v>
      </c>
      <c r="D33" s="15"/>
      <c r="E33" s="50"/>
      <c r="F33" s="51"/>
      <c r="G33" s="58">
        <f t="shared" si="4"/>
        <v>35</v>
      </c>
      <c r="H33" s="58">
        <f t="shared" si="5"/>
        <v>35</v>
      </c>
      <c r="I33" s="48" t="s">
        <v>46</v>
      </c>
      <c r="J33" s="53">
        <f>IF(Salaire_brut_novembre="",0,Horaire_collectif_mensuel*C33*IF(G33&lt;&gt;"",G33,Salaire_brut_novembre)/IF(H33&lt;&gt;"",H33,IF(E33&lt;&gt;"",E33,Salaire_brut_novembre)))</f>
        <v>0</v>
      </c>
      <c r="K33" s="53">
        <f t="shared" si="0"/>
        <v>0</v>
      </c>
      <c r="L33" s="53">
        <f t="shared" si="9"/>
        <v>1445.4150999999997</v>
      </c>
      <c r="M33" s="53">
        <f t="shared" si="6"/>
        <v>0</v>
      </c>
      <c r="N33" s="53">
        <f>Salaire_brut_janvier+Salaire_brut_février+Salaire_brut_mars+Salaire_brut_avril+Salaire_brut_mai+Salaire_brut_juin+Salaire_brut_juillet+Salaire_brut_août+Salaire_brut_septembre+Salaire_brut_octobre+Salaire_brut_novembre</f>
        <v>5000</v>
      </c>
      <c r="O33" s="54">
        <f t="shared" si="1"/>
        <v>0</v>
      </c>
      <c r="P33" s="54" t="e">
        <f>IF(IF(ROUND(((Coeff.effectif/0.6)*((1.6*(J33+(C33*F33))/Salaire_brut_novembre)-1)),4)&gt;0,ROUND(((Coeff.effectif/0.6)*((1.6*(J33+(C33*F33))/Salaire_brut_novembre)-1)),4),0)&gt;Coeff.effectif,Coeff.effectif,IF(ROUND(((Coeff.effectif/0.6)*((1.6*(J33+(C33*F33))/Salaire_brut_novembre)-1)),4)&gt;0,ROUND(((Coeff.effectif/0.6)*((1.6*(J33+(C33*F33))/Salaire_brut_novembre)-1)),4),0))</f>
        <v>#DIV/0!</v>
      </c>
      <c r="Q33" s="53">
        <f t="shared" si="7"/>
        <v>0</v>
      </c>
      <c r="R33" s="53">
        <f>Q33-SUM(R23:R32)</f>
        <v>0</v>
      </c>
      <c r="S33" s="53">
        <f>IF(ISERR(P33),0,Salaire_brut_novembre*P33)</f>
        <v>0</v>
      </c>
      <c r="U33" s="53">
        <f t="shared" si="8"/>
        <v>0</v>
      </c>
      <c r="V33" s="56" t="str">
        <f t="shared" si="2"/>
        <v/>
      </c>
      <c r="W33" s="59" t="str">
        <f t="shared" si="3"/>
        <v/>
      </c>
    </row>
    <row r="34" spans="2:31" ht="15.75" thickBot="1">
      <c r="B34" s="48" t="s">
        <v>47</v>
      </c>
      <c r="C34" s="60">
        <f>SMIC!B15</f>
        <v>9.5299999999999994</v>
      </c>
      <c r="D34" s="15"/>
      <c r="E34" s="61"/>
      <c r="F34" s="62"/>
      <c r="G34" s="63">
        <f t="shared" si="4"/>
        <v>35</v>
      </c>
      <c r="H34" s="63">
        <f t="shared" si="5"/>
        <v>35</v>
      </c>
      <c r="I34" s="48" t="s">
        <v>47</v>
      </c>
      <c r="J34" s="53">
        <f>IF(Salaire_brut_décembre="",0,Horaire_collectif_mensuel*C34*IF(G34&lt;&gt;"",G34,Salaire_brut_décembre)/IF(H34&lt;&gt;"",H34,IF(E34&lt;&gt;"",E34,Salaire_brut_décembre)))</f>
        <v>0</v>
      </c>
      <c r="K34" s="53">
        <f t="shared" si="0"/>
        <v>0</v>
      </c>
      <c r="L34" s="53">
        <f t="shared" si="9"/>
        <v>1445.4150999999997</v>
      </c>
      <c r="M34" s="53">
        <f t="shared" si="6"/>
        <v>0</v>
      </c>
      <c r="N34" s="53">
        <f>Salaire_brut_janvier+Salaire_brut_février+Salaire_brut_mars+Salaire_brut_avril+Salaire_brut_mai+Salaire_brut_juin+Salaire_brut_juillet+Salaire_brut_août+Salaire_brut_septembre+Salaire_brut_octobre+Salaire_brut_novembre+Salaire_brut_décembre</f>
        <v>5000</v>
      </c>
      <c r="O34" s="54">
        <f t="shared" si="1"/>
        <v>0</v>
      </c>
      <c r="P34" s="54" t="e">
        <f>IF(IF(ROUND(((Coeff.effectif/0.6)*((1.6*(J34+(C34*F34))/Salaire_brut_décembre)-1)),4)&gt;0,ROUND(((Coeff.effectif/0.6)*((1.6*(J34+(C34*F34))/Salaire_brut_décembre)-1)),4),0)&gt;Coeff.effectif,Coeff.effectif,IF(ROUND(((Coeff.effectif/0.6)*((1.6*(J34+(C34*F34))/Salaire_brut_décembre)-1)),4)&gt;0,ROUND(((Coeff.effectif/0.6)*((1.6*(J34+(C34*F34))/Salaire_brut_décembre)-1)),4),0))</f>
        <v>#DIV/0!</v>
      </c>
      <c r="Q34" s="53">
        <f>IF(Salaire_brut_décembre=0,0,N34*O34)</f>
        <v>0</v>
      </c>
      <c r="R34" s="53">
        <f>IF(Q34-SUM(R23:R33)&lt;0,"",Q34-SUM(R23:R33))</f>
        <v>0</v>
      </c>
      <c r="S34" s="53">
        <f>IF(ISERR(P34),0,Salaire_brut_décembre*P34)</f>
        <v>0</v>
      </c>
      <c r="T34" s="53">
        <f>IF(Salaire_brut_décembre="",0,IF(Q34-SUM(R23:R33)&gt;0,"",Q34-SUM(R23:R33)))</f>
        <v>0</v>
      </c>
      <c r="U34" s="53">
        <f>(SUM(R23:R33)+IF(R34&lt;&gt;"",R34,0)+IF(T34&lt;&gt;"",T34,0))-SUM(U23:U33)</f>
        <v>0</v>
      </c>
      <c r="V34" s="56" t="str">
        <f t="shared" si="2"/>
        <v/>
      </c>
      <c r="W34" s="64" t="str">
        <f>IF(Mode_calcul=1,IF(T34&lt;0,-T34,""),IF(U34&lt;0,-U34,""))</f>
        <v/>
      </c>
    </row>
    <row r="35" spans="2:31" ht="21" customHeight="1" thickBot="1">
      <c r="B35" s="65" t="s">
        <v>170</v>
      </c>
      <c r="C35" s="66"/>
      <c r="D35" s="67">
        <f>SUM(D23:D34)</f>
        <v>5000</v>
      </c>
      <c r="E35" s="68"/>
      <c r="F35" s="69"/>
      <c r="G35" s="66"/>
      <c r="H35" s="66"/>
      <c r="I35" s="65" t="s">
        <v>170</v>
      </c>
      <c r="Q35" s="53"/>
      <c r="R35" s="70"/>
      <c r="S35" s="53">
        <f>SUM(S23:S34)</f>
        <v>0</v>
      </c>
      <c r="V35" s="129">
        <f>SUM(V23:V33)+IF(V34="",0,V34)-SUM(W23:W33)-IF(W34="",0,W34)</f>
        <v>0</v>
      </c>
      <c r="W35" s="130"/>
    </row>
    <row r="36" spans="2:31" ht="21" customHeight="1" thickBot="1">
      <c r="C36" s="71"/>
      <c r="F36" s="30"/>
      <c r="Q36" s="53"/>
      <c r="R36" s="70"/>
      <c r="S36" s="53"/>
    </row>
    <row r="37" spans="2:31" ht="21" hidden="1" customHeight="1">
      <c r="C37" s="71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53"/>
      <c r="V37" s="119" t="s">
        <v>171</v>
      </c>
      <c r="W37" s="119"/>
      <c r="X37" s="119" t="s">
        <v>172</v>
      </c>
      <c r="Y37" s="119"/>
    </row>
    <row r="38" spans="2:31" ht="21" hidden="1" customHeight="1">
      <c r="C38" s="71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53"/>
      <c r="V38" s="19" t="s">
        <v>173</v>
      </c>
      <c r="W38" s="19" t="s">
        <v>174</v>
      </c>
      <c r="X38" s="19" t="s">
        <v>173</v>
      </c>
      <c r="Y38" s="19" t="s">
        <v>174</v>
      </c>
      <c r="AB38" s="19"/>
      <c r="AC38" s="19"/>
      <c r="AD38" s="53"/>
      <c r="AE38" s="22"/>
    </row>
    <row r="39" spans="2:31" ht="21" hidden="1" customHeight="1">
      <c r="C39" s="71"/>
      <c r="D39" s="72"/>
      <c r="E39" s="72"/>
      <c r="F39" s="72"/>
      <c r="H39" s="73"/>
      <c r="I39" s="73"/>
      <c r="J39" s="72"/>
      <c r="K39" s="72"/>
      <c r="L39" s="72"/>
      <c r="M39" s="72"/>
      <c r="N39" s="72"/>
      <c r="O39" s="72"/>
      <c r="P39" s="72"/>
      <c r="Q39" s="72"/>
      <c r="R39" s="72"/>
      <c r="S39" s="53"/>
      <c r="U39" s="74" t="s">
        <v>175</v>
      </c>
      <c r="V39" s="75">
        <f>IF(R23+R24+R25&lt;0,"",R23+R24+R25)</f>
        <v>0</v>
      </c>
      <c r="W39" s="75">
        <f>IF(R23+R24+R25&gt;0,"",-(R23+R24+R25))</f>
        <v>0</v>
      </c>
      <c r="X39" s="75">
        <f>IF(U23+U24+U25&lt;0,"",U23+U24+U25)</f>
        <v>0</v>
      </c>
      <c r="Y39" s="75">
        <f>IF(U23+U24+U25&gt;0,"",-(U23+U24+U25))</f>
        <v>0</v>
      </c>
      <c r="Z39" s="76"/>
      <c r="AA39" s="76"/>
      <c r="AB39" s="77"/>
      <c r="AC39" s="77"/>
      <c r="AD39" s="77"/>
    </row>
    <row r="40" spans="2:31" ht="21" hidden="1" customHeight="1">
      <c r="C40" s="71"/>
      <c r="D40" s="72"/>
      <c r="E40" s="72"/>
      <c r="F40" s="72"/>
      <c r="H40" s="73"/>
      <c r="I40" s="73"/>
      <c r="J40" s="72"/>
      <c r="K40" s="72"/>
      <c r="L40" s="72"/>
      <c r="M40" s="72"/>
      <c r="N40" s="72"/>
      <c r="O40" s="72"/>
      <c r="P40" s="72"/>
      <c r="Q40" s="72"/>
      <c r="R40" s="72"/>
      <c r="S40" s="53"/>
      <c r="U40" s="74" t="s">
        <v>176</v>
      </c>
      <c r="V40" s="75">
        <f>IF(R26+R27+R28&lt;0,"",R26+R27+R28)</f>
        <v>0</v>
      </c>
      <c r="W40" s="75">
        <f>IF(R26+R27+R28&gt;0,"",-(R26+R27+R28))</f>
        <v>0</v>
      </c>
      <c r="X40" s="75">
        <f>IF(U26+U27+U28&lt;0,"",U26+U27+U28)</f>
        <v>0</v>
      </c>
      <c r="Y40" s="75">
        <f>IF(U26+U27+U28&gt;0,"",-(U26+U27+U28))</f>
        <v>0</v>
      </c>
      <c r="Z40" s="76"/>
      <c r="AA40" s="76"/>
      <c r="AB40" s="77"/>
      <c r="AC40" s="77"/>
      <c r="AD40" s="77"/>
    </row>
    <row r="41" spans="2:31" ht="21" hidden="1" customHeight="1">
      <c r="C41" s="71"/>
      <c r="D41" s="72"/>
      <c r="E41" s="72"/>
      <c r="F41" s="72"/>
      <c r="H41" s="73"/>
      <c r="I41" s="73"/>
      <c r="J41" s="72"/>
      <c r="K41" s="72"/>
      <c r="L41" s="72"/>
      <c r="M41" s="72"/>
      <c r="N41" s="72"/>
      <c r="O41" s="72"/>
      <c r="P41" s="72"/>
      <c r="Q41" s="72"/>
      <c r="R41" s="72"/>
      <c r="S41" s="53"/>
      <c r="U41" s="74" t="s">
        <v>177</v>
      </c>
      <c r="V41" s="75">
        <f>IF(R29+R30+R31&lt;0,"",R29+R30+R31)</f>
        <v>0</v>
      </c>
      <c r="W41" s="75">
        <f>IF(R29+R30+R31&gt;0,"",-(R29+R30+R31))</f>
        <v>0</v>
      </c>
      <c r="X41" s="75">
        <f>IF(U29+U30+U31&lt;0,"",U29+U30+U31)</f>
        <v>0</v>
      </c>
      <c r="Y41" s="75">
        <f>IF(U29+U30+U31&gt;0,"",-(U29+U30+U31))</f>
        <v>0</v>
      </c>
      <c r="Z41" s="76"/>
      <c r="AA41" s="76"/>
      <c r="AB41" s="77"/>
      <c r="AC41" s="77"/>
      <c r="AD41" s="77"/>
    </row>
    <row r="42" spans="2:31" ht="21" hidden="1" customHeight="1" thickBot="1">
      <c r="C42" s="71"/>
      <c r="D42" s="72"/>
      <c r="E42" s="72"/>
      <c r="F42" s="72"/>
      <c r="H42" s="73"/>
      <c r="I42" s="73"/>
      <c r="J42" s="72"/>
      <c r="K42" s="72"/>
      <c r="L42" s="72"/>
      <c r="M42" s="72"/>
      <c r="N42" s="72"/>
      <c r="O42" s="72"/>
      <c r="P42" s="72"/>
      <c r="Q42" s="72"/>
      <c r="R42" s="72"/>
      <c r="S42" s="53"/>
      <c r="U42" s="74" t="s">
        <v>178</v>
      </c>
      <c r="V42" s="75">
        <f>IF(R32+R33+IF(R34&lt;&gt;"",R34,0)+IF(T34&lt;&gt;"",T34,0)&lt;0,"",R32+R33+IF(R34&lt;&gt;"",R34,0)+IF(T34&lt;&gt;"",T34,0))</f>
        <v>0</v>
      </c>
      <c r="W42" s="75">
        <f>IF(R32+R33+IF(R34&lt;&gt;"",R34,0)+IF(T34&lt;&gt;"",T34,0)&gt;0,"",-(R32+R33+IF(R34&lt;&gt;"",R34,0)+IF(T34&lt;&gt;"",T34,0)))</f>
        <v>0</v>
      </c>
      <c r="X42" s="75">
        <f>IF(U32+U33+U34&lt;0,"",U32+U33+U34)</f>
        <v>0</v>
      </c>
      <c r="Y42" s="75">
        <f>IF(U32+U33+U34&gt;0,"",-(U32+U33+U34))</f>
        <v>0</v>
      </c>
      <c r="Z42" s="76"/>
      <c r="AA42" s="76"/>
      <c r="AB42" s="77"/>
      <c r="AC42" s="77"/>
      <c r="AD42" s="77"/>
    </row>
    <row r="43" spans="2:31" ht="21" customHeight="1" thickBot="1">
      <c r="C43" s="120" t="s">
        <v>179</v>
      </c>
      <c r="D43" s="120"/>
      <c r="E43" s="120"/>
      <c r="F43" s="120"/>
      <c r="G43" s="120"/>
      <c r="H43" s="120"/>
      <c r="I43" s="73"/>
      <c r="J43" s="72"/>
      <c r="K43" s="72"/>
      <c r="L43" s="72"/>
      <c r="M43" s="72"/>
      <c r="N43" s="72"/>
      <c r="O43" s="72"/>
      <c r="P43" s="72"/>
      <c r="Q43" s="72"/>
      <c r="R43" s="72"/>
      <c r="S43" s="53"/>
      <c r="U43" s="74"/>
      <c r="V43" s="75"/>
      <c r="W43" s="75"/>
      <c r="X43" s="75"/>
      <c r="Y43" s="75"/>
      <c r="Z43" s="76"/>
      <c r="AA43" s="76"/>
      <c r="AB43" s="77"/>
      <c r="AC43" s="77"/>
      <c r="AD43" s="77"/>
    </row>
    <row r="44" spans="2:31" ht="21" customHeight="1" thickBot="1">
      <c r="C44" s="71"/>
      <c r="D44" s="121" t="s">
        <v>150</v>
      </c>
      <c r="E44" s="121"/>
      <c r="F44" s="12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53"/>
    </row>
    <row r="45" spans="2:31" ht="32.25" customHeight="1">
      <c r="C45" s="71"/>
      <c r="D45" s="78" t="s">
        <v>180</v>
      </c>
      <c r="E45" s="79" t="s">
        <v>181</v>
      </c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53"/>
    </row>
    <row r="46" spans="2:31">
      <c r="C46" s="80" t="s">
        <v>175</v>
      </c>
      <c r="D46" s="81">
        <f t="shared" ref="D46:E49" si="10">IF(Mode_calcul=1,V39,X39)</f>
        <v>0</v>
      </c>
      <c r="E46" s="81">
        <f t="shared" si="10"/>
        <v>0</v>
      </c>
      <c r="O46" s="18"/>
      <c r="P46" s="18"/>
      <c r="Q46" s="18"/>
      <c r="R46" s="18"/>
    </row>
    <row r="47" spans="2:31">
      <c r="C47" s="80" t="s">
        <v>176</v>
      </c>
      <c r="D47" s="81">
        <f t="shared" si="10"/>
        <v>0</v>
      </c>
      <c r="E47" s="81">
        <f t="shared" si="10"/>
        <v>0</v>
      </c>
      <c r="O47" s="18"/>
      <c r="P47" s="18"/>
      <c r="Q47" s="18"/>
      <c r="R47" s="18"/>
    </row>
    <row r="48" spans="2:31">
      <c r="C48" s="80" t="s">
        <v>177</v>
      </c>
      <c r="D48" s="81">
        <f t="shared" si="10"/>
        <v>0</v>
      </c>
      <c r="E48" s="81">
        <f t="shared" si="10"/>
        <v>0</v>
      </c>
      <c r="O48" s="18"/>
      <c r="P48" s="18"/>
      <c r="Q48" s="18"/>
      <c r="R48" s="18"/>
    </row>
    <row r="49" spans="3:19" ht="14.25" thickBot="1">
      <c r="C49" s="80" t="s">
        <v>178</v>
      </c>
      <c r="D49" s="82">
        <f t="shared" si="10"/>
        <v>0</v>
      </c>
      <c r="E49" s="82">
        <f t="shared" si="10"/>
        <v>0</v>
      </c>
      <c r="O49" s="18"/>
      <c r="P49" s="18"/>
      <c r="Q49" s="18"/>
      <c r="R49" s="18"/>
    </row>
    <row r="50" spans="3:19" ht="14.25" thickBot="1">
      <c r="C50" s="65" t="s">
        <v>170</v>
      </c>
      <c r="D50" s="123">
        <f>+SUM(D46:D49)-SUM(E46:E49)</f>
        <v>0</v>
      </c>
      <c r="E50" s="123"/>
      <c r="K50" s="83"/>
      <c r="L50" s="83"/>
      <c r="M50" s="83"/>
      <c r="N50" s="83"/>
      <c r="S50" s="54"/>
    </row>
    <row r="51" spans="3:19">
      <c r="K51" s="83"/>
      <c r="L51" s="83"/>
      <c r="M51" s="83"/>
      <c r="N51" s="83"/>
      <c r="S51" s="54"/>
    </row>
    <row r="52" spans="3:19">
      <c r="C52" s="84"/>
      <c r="D52" s="85"/>
      <c r="E52" s="85"/>
      <c r="F52" s="85"/>
      <c r="G52" s="85"/>
      <c r="H52" s="85"/>
      <c r="I52" s="85"/>
      <c r="K52" s="83"/>
      <c r="L52" s="83"/>
      <c r="M52" s="83"/>
      <c r="N52" s="83"/>
      <c r="S52" s="54"/>
    </row>
    <row r="53" spans="3:19">
      <c r="K53" s="83"/>
      <c r="L53" s="83"/>
      <c r="M53" s="83"/>
      <c r="N53" s="83"/>
      <c r="S53" s="54"/>
    </row>
    <row r="54" spans="3:19">
      <c r="K54" s="83"/>
      <c r="L54" s="83"/>
      <c r="M54" s="83"/>
      <c r="N54" s="83"/>
      <c r="S54" s="54"/>
    </row>
    <row r="55" spans="3:19">
      <c r="K55" s="83"/>
      <c r="L55" s="83"/>
      <c r="M55" s="83"/>
      <c r="N55" s="83"/>
      <c r="S55" s="54"/>
    </row>
    <row r="56" spans="3:19">
      <c r="K56" s="83"/>
      <c r="L56" s="83"/>
      <c r="M56" s="83"/>
      <c r="N56" s="83"/>
      <c r="S56" s="54"/>
    </row>
    <row r="57" spans="3:19">
      <c r="K57" s="83"/>
      <c r="L57" s="83"/>
      <c r="M57" s="83"/>
      <c r="N57" s="83"/>
      <c r="S57" s="54"/>
    </row>
    <row r="58" spans="3:19">
      <c r="K58" s="83"/>
      <c r="L58" s="83"/>
      <c r="M58" s="83"/>
      <c r="N58" s="83"/>
      <c r="S58" s="54"/>
    </row>
    <row r="59" spans="3:19">
      <c r="K59" s="83"/>
      <c r="L59" s="83"/>
      <c r="M59" s="83"/>
      <c r="N59" s="83"/>
      <c r="S59" s="54"/>
    </row>
    <row r="60" spans="3:19">
      <c r="K60" s="83"/>
      <c r="L60" s="83"/>
      <c r="M60" s="83"/>
      <c r="N60" s="83"/>
      <c r="S60" s="54"/>
    </row>
    <row r="61" spans="3:19">
      <c r="K61" s="83"/>
      <c r="L61" s="83"/>
      <c r="M61" s="83"/>
      <c r="N61" s="83"/>
      <c r="S61" s="54"/>
    </row>
    <row r="63" spans="3:19">
      <c r="G63" s="86"/>
      <c r="H63" s="86"/>
      <c r="I63" s="86"/>
    </row>
    <row r="65" spans="2:14">
      <c r="B65" s="118"/>
      <c r="C65" s="118"/>
      <c r="D65" s="118"/>
      <c r="E65" s="118"/>
      <c r="F65" s="118"/>
      <c r="G65" s="118"/>
      <c r="H65" s="118"/>
      <c r="I65" s="118"/>
      <c r="J65" s="118"/>
      <c r="K65" s="118"/>
      <c r="L65" s="87"/>
      <c r="M65" s="87"/>
      <c r="N65" s="87"/>
    </row>
    <row r="67" spans="2:14">
      <c r="B67" s="118"/>
      <c r="C67" s="118"/>
      <c r="D67" s="118"/>
      <c r="E67" s="118"/>
      <c r="F67" s="118"/>
      <c r="G67" s="118"/>
      <c r="H67" s="118"/>
      <c r="I67" s="118"/>
      <c r="J67" s="118"/>
      <c r="K67" s="118"/>
      <c r="L67" s="87"/>
      <c r="M67" s="87"/>
      <c r="N67" s="87"/>
    </row>
    <row r="69" spans="2:14">
      <c r="B69" s="118"/>
      <c r="C69" s="118"/>
      <c r="D69" s="118"/>
      <c r="E69" s="118"/>
      <c r="F69" s="118"/>
      <c r="G69" s="118"/>
      <c r="H69" s="118"/>
      <c r="I69" s="118"/>
      <c r="J69" s="118"/>
      <c r="K69" s="118"/>
      <c r="L69" s="87"/>
      <c r="M69" s="87"/>
      <c r="N69" s="87"/>
    </row>
  </sheetData>
  <mergeCells count="13">
    <mergeCell ref="B1:W1"/>
    <mergeCell ref="G21:H21"/>
    <mergeCell ref="V21:W21"/>
    <mergeCell ref="S22:T22"/>
    <mergeCell ref="V35:W35"/>
    <mergeCell ref="B69:K69"/>
    <mergeCell ref="X37:Y37"/>
    <mergeCell ref="C43:H43"/>
    <mergeCell ref="D44:F44"/>
    <mergeCell ref="D50:E50"/>
    <mergeCell ref="B65:K65"/>
    <mergeCell ref="B67:K67"/>
    <mergeCell ref="V37:W37"/>
  </mergeCells>
  <dataValidations count="1">
    <dataValidation allowBlank="1" showInputMessage="1" showErrorMessage="1" sqref="I25:I34 B25:B34"/>
  </dataValidations>
  <pageMargins left="0.24" right="0.24" top="0.4" bottom="0.74803149606299213" header="0.17" footer="0.31496062992125984"/>
  <pageSetup paperSize="9" scale="71" orientation="portrait" verticalDpi="144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Q141"/>
  <sheetViews>
    <sheetView showGridLines="0" tabSelected="1" workbookViewId="0">
      <pane xSplit="1" ySplit="12" topLeftCell="B13" activePane="bottomRight" state="frozen"/>
      <selection pane="topRight" activeCell="B1" sqref="B1"/>
      <selection pane="bottomLeft" activeCell="A11" sqref="A11"/>
      <selection pane="bottomRight" activeCell="A13" sqref="A13"/>
    </sheetView>
  </sheetViews>
  <sheetFormatPr baseColWidth="10" defaultRowHeight="15"/>
  <cols>
    <col min="1" max="1" width="35.5703125" bestFit="1" customWidth="1"/>
    <col min="2" max="3" width="21.42578125" style="9" customWidth="1"/>
    <col min="4" max="4" width="23.85546875" style="9" bestFit="1" customWidth="1"/>
    <col min="5" max="5" width="21.42578125" customWidth="1"/>
    <col min="6" max="6" width="16.5703125" bestFit="1" customWidth="1"/>
    <col min="7" max="7" width="19.28515625" bestFit="1" customWidth="1"/>
    <col min="8" max="8" width="19" customWidth="1"/>
    <col min="9" max="11" width="21.42578125" customWidth="1"/>
    <col min="12" max="12" width="16.28515625" bestFit="1" customWidth="1"/>
    <col min="13" max="13" width="16.28515625" customWidth="1"/>
    <col min="14" max="14" width="12.28515625" bestFit="1" customWidth="1"/>
    <col min="15" max="15" width="16.85546875" bestFit="1" customWidth="1"/>
    <col min="16" max="16" width="16.85546875" customWidth="1"/>
    <col min="17" max="17" width="15.7109375" bestFit="1" customWidth="1"/>
  </cols>
  <sheetData>
    <row r="1" spans="1:17" ht="24" customHeight="1">
      <c r="A1" s="88"/>
      <c r="B1" s="10"/>
      <c r="C1" s="91"/>
      <c r="D1" s="131" t="s">
        <v>193</v>
      </c>
      <c r="E1" s="131"/>
      <c r="F1" s="131"/>
      <c r="G1" s="131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7">
      <c r="A2" s="108" t="s">
        <v>89</v>
      </c>
      <c r="B2" s="109">
        <f>+SMIC!B4</f>
        <v>9.5299999999999994</v>
      </c>
      <c r="C2" s="109"/>
      <c r="D2" s="109"/>
      <c r="E2" s="108"/>
      <c r="F2" s="93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7">
      <c r="A3" s="108" t="s">
        <v>126</v>
      </c>
      <c r="B3" s="110">
        <f>+'DUBREUIL JEAN'!Coeff.effectif</f>
        <v>0.28100000000000003</v>
      </c>
      <c r="C3" s="109"/>
      <c r="D3" s="109"/>
      <c r="E3" s="108"/>
      <c r="F3" s="93"/>
      <c r="G3" s="88"/>
      <c r="H3" s="88"/>
      <c r="I3" s="88"/>
      <c r="J3" s="88"/>
      <c r="K3" s="88"/>
      <c r="L3" s="88"/>
      <c r="M3" s="88"/>
      <c r="N3" s="88"/>
      <c r="O3" s="88"/>
      <c r="P3" s="88"/>
      <c r="Q3" s="88"/>
    </row>
    <row r="4" spans="1:17">
      <c r="A4" s="108"/>
      <c r="B4" s="110"/>
      <c r="C4" s="109"/>
      <c r="D4" s="109"/>
      <c r="E4" s="108"/>
      <c r="F4" s="93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</row>
    <row r="5" spans="1:17">
      <c r="A5" s="108"/>
      <c r="B5" s="110"/>
      <c r="C5" s="109"/>
      <c r="D5" s="109"/>
      <c r="E5" s="108"/>
      <c r="F5" s="93"/>
      <c r="G5" s="88"/>
      <c r="H5" s="88"/>
      <c r="I5" s="88"/>
      <c r="J5" s="88"/>
      <c r="K5" s="88"/>
      <c r="L5" s="88"/>
      <c r="M5" s="88"/>
      <c r="N5" s="88"/>
      <c r="O5" s="88"/>
      <c r="P5" s="88"/>
      <c r="Q5" s="88"/>
    </row>
    <row r="6" spans="1:17">
      <c r="A6" s="108" t="s">
        <v>194</v>
      </c>
      <c r="B6" s="110"/>
      <c r="C6" s="109"/>
      <c r="D6" s="109"/>
      <c r="E6" s="108"/>
      <c r="F6" s="93"/>
      <c r="G6" s="88"/>
      <c r="H6" s="88"/>
      <c r="I6" s="88"/>
      <c r="J6" s="88"/>
      <c r="K6" s="88"/>
      <c r="L6" s="88"/>
      <c r="M6" s="88"/>
      <c r="N6" s="88"/>
      <c r="O6" s="88"/>
      <c r="P6" s="88"/>
      <c r="Q6" s="88"/>
    </row>
    <row r="7" spans="1:17">
      <c r="A7" s="108" t="s">
        <v>195</v>
      </c>
      <c r="B7" s="110"/>
      <c r="C7" s="109"/>
      <c r="D7" s="109"/>
      <c r="E7" s="108"/>
      <c r="F7" s="93"/>
      <c r="G7" s="88"/>
      <c r="H7" s="88"/>
      <c r="I7" s="88"/>
      <c r="J7" s="88"/>
      <c r="K7" s="88"/>
      <c r="L7" s="88"/>
      <c r="M7" s="88"/>
      <c r="N7" s="88"/>
      <c r="O7" s="88"/>
      <c r="P7" s="88"/>
      <c r="Q7" s="88"/>
    </row>
    <row r="8" spans="1:17">
      <c r="A8" s="108" t="s">
        <v>196</v>
      </c>
      <c r="B8" s="110"/>
      <c r="C8" s="109"/>
      <c r="D8" s="109"/>
      <c r="E8" s="108"/>
      <c r="F8" s="93"/>
      <c r="G8" s="88"/>
      <c r="H8" s="88"/>
      <c r="I8" s="88"/>
      <c r="J8" s="88"/>
      <c r="K8" s="88"/>
      <c r="L8" s="88"/>
      <c r="M8" s="88"/>
      <c r="N8" s="88"/>
      <c r="O8" s="88"/>
      <c r="P8" s="88"/>
      <c r="Q8" s="88"/>
    </row>
    <row r="9" spans="1:17">
      <c r="A9" s="108" t="s">
        <v>197</v>
      </c>
      <c r="B9" s="110"/>
      <c r="C9" s="109"/>
      <c r="D9" s="109"/>
      <c r="E9" s="108"/>
      <c r="F9" s="93"/>
      <c r="G9" s="88"/>
      <c r="H9" s="88"/>
      <c r="I9" s="88"/>
      <c r="J9" s="88"/>
      <c r="K9" s="88"/>
      <c r="L9" s="88"/>
      <c r="M9" s="88"/>
      <c r="N9" s="88"/>
      <c r="O9" s="88"/>
      <c r="P9" s="88"/>
      <c r="Q9" s="88"/>
    </row>
    <row r="10" spans="1:17">
      <c r="A10" s="108"/>
      <c r="B10" s="110"/>
      <c r="C10" s="109"/>
      <c r="D10" s="109"/>
      <c r="E10" s="108"/>
      <c r="F10" s="93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</row>
    <row r="11" spans="1:17">
      <c r="A11" s="108" t="s">
        <v>183</v>
      </c>
      <c r="B11" s="114" t="s">
        <v>186</v>
      </c>
      <c r="C11" s="115" t="s">
        <v>187</v>
      </c>
      <c r="D11" s="115" t="s">
        <v>68</v>
      </c>
      <c r="E11" s="116" t="s">
        <v>189</v>
      </c>
      <c r="F11" s="93"/>
      <c r="G11" s="93"/>
      <c r="H11" s="93"/>
      <c r="I11" s="93"/>
      <c r="J11" s="93"/>
      <c r="K11" s="93"/>
      <c r="L11" s="88"/>
      <c r="M11" s="88"/>
      <c r="N11" s="88"/>
      <c r="O11" s="88"/>
      <c r="P11" s="88"/>
      <c r="Q11" s="88"/>
    </row>
    <row r="12" spans="1:17" s="113" customFormat="1" ht="38.25" customHeight="1">
      <c r="A12" s="111" t="s">
        <v>198</v>
      </c>
      <c r="B12" s="94" t="str">
        <f>+'DUBREUIL JEAN'!I3</f>
        <v>DUBREUIL JEAN</v>
      </c>
      <c r="C12" s="112" t="str">
        <f>+'ROBERT DUVERGNE'!I3</f>
        <v>ROBERT DUVERGNE</v>
      </c>
      <c r="D12" s="112"/>
      <c r="E12" s="94"/>
      <c r="F12" s="112"/>
      <c r="G12" s="112"/>
      <c r="H12" s="94"/>
      <c r="I12" s="112"/>
      <c r="J12" s="112"/>
      <c r="K12" s="94"/>
      <c r="L12" s="94" t="s">
        <v>90</v>
      </c>
      <c r="M12" s="95" t="s">
        <v>91</v>
      </c>
      <c r="N12" s="96" t="s">
        <v>184</v>
      </c>
      <c r="O12" s="96" t="s">
        <v>185</v>
      </c>
      <c r="P12" s="96" t="s">
        <v>190</v>
      </c>
      <c r="Q12" s="96" t="s">
        <v>188</v>
      </c>
    </row>
    <row r="13" spans="1:17">
      <c r="A13" s="97" t="s">
        <v>36</v>
      </c>
      <c r="B13" s="98" t="str">
        <f t="shared" ref="B13:K13" ca="1" si="0">IF(B15&lt;B17,"Oui","Non")</f>
        <v>Non</v>
      </c>
      <c r="C13" s="98" t="str">
        <f t="shared" si="0"/>
        <v>Non</v>
      </c>
      <c r="D13" s="98" t="str">
        <f t="shared" si="0"/>
        <v>Oui</v>
      </c>
      <c r="E13" s="98" t="str">
        <f t="shared" si="0"/>
        <v>Non</v>
      </c>
      <c r="F13" s="98" t="str">
        <f t="shared" si="0"/>
        <v>Non</v>
      </c>
      <c r="G13" s="98" t="str">
        <f t="shared" si="0"/>
        <v>Non</v>
      </c>
      <c r="H13" s="98" t="str">
        <f t="shared" si="0"/>
        <v>Non</v>
      </c>
      <c r="I13" s="98" t="str">
        <f t="shared" si="0"/>
        <v>Non</v>
      </c>
      <c r="J13" s="98" t="str">
        <f t="shared" si="0"/>
        <v>Non</v>
      </c>
      <c r="K13" s="98" t="str">
        <f t="shared" si="0"/>
        <v>Non</v>
      </c>
      <c r="L13" s="10"/>
      <c r="M13" s="10"/>
      <c r="N13" s="88"/>
      <c r="O13" s="88"/>
      <c r="P13" s="88"/>
      <c r="Q13" s="88"/>
    </row>
    <row r="14" spans="1:17" s="11" customFormat="1">
      <c r="A14" s="99" t="s">
        <v>92</v>
      </c>
      <c r="B14" s="100">
        <f>+IF(B16&gt;151.67,1,B16/151.67)</f>
        <v>0.99997802246104428</v>
      </c>
      <c r="C14" s="100">
        <f t="shared" ref="C14:K14" si="1">+IF(C16&gt;151.67,1,C16/151.67)</f>
        <v>0.99997802246104428</v>
      </c>
      <c r="D14" s="100">
        <f t="shared" si="1"/>
        <v>1</v>
      </c>
      <c r="E14" s="100">
        <f t="shared" si="1"/>
        <v>1</v>
      </c>
      <c r="F14" s="100">
        <f t="shared" si="1"/>
        <v>0</v>
      </c>
      <c r="G14" s="100">
        <f t="shared" si="1"/>
        <v>0</v>
      </c>
      <c r="H14" s="100">
        <f t="shared" si="1"/>
        <v>0</v>
      </c>
      <c r="I14" s="100">
        <f t="shared" si="1"/>
        <v>0</v>
      </c>
      <c r="J14" s="100">
        <f t="shared" si="1"/>
        <v>0</v>
      </c>
      <c r="K14" s="100">
        <f t="shared" si="1"/>
        <v>0</v>
      </c>
      <c r="L14" s="92">
        <f>+SUM(B14:K14)</f>
        <v>3.9999560449220883</v>
      </c>
      <c r="M14" s="92">
        <f ca="1">+SUMIF(B13:K13,"oui",B14:K14)</f>
        <v>1</v>
      </c>
      <c r="N14" s="89"/>
      <c r="O14" s="89"/>
      <c r="P14" s="89"/>
      <c r="Q14" s="89"/>
    </row>
    <row r="15" spans="1:17">
      <c r="A15" s="101" t="s">
        <v>93</v>
      </c>
      <c r="B15" t="str">
        <f ca="1">IFERROR(VLOOKUP(A$13,INDIRECT(B$12&amp;"!B23:F34"),3,0),"")</f>
        <v/>
      </c>
      <c r="C15" s="102">
        <f>+'ROBERT DUVERGNE'!Salaire_brut_janvier</f>
        <v>5000</v>
      </c>
      <c r="D15" s="102">
        <v>900</v>
      </c>
      <c r="E15" s="102">
        <v>4000</v>
      </c>
      <c r="F15" s="102"/>
      <c r="G15" s="102"/>
      <c r="H15" s="102"/>
      <c r="I15" s="102"/>
      <c r="J15" s="102"/>
      <c r="K15" s="102"/>
      <c r="L15" s="103">
        <f ca="1">SUM(B15:K15)</f>
        <v>9900</v>
      </c>
      <c r="M15" s="103">
        <f ca="1">+SUMIF(B13:K13,"OUI",B15:K15)</f>
        <v>900</v>
      </c>
      <c r="N15" s="90">
        <f>+SUMIF(B11:K11,"C",B15:K15)</f>
        <v>5000</v>
      </c>
      <c r="O15" s="90">
        <f ca="1">+SUMIF(B11:K11,"NC",B15:K15)</f>
        <v>0</v>
      </c>
      <c r="P15" s="90">
        <f>+SUMIF(B11:K11,"D",B15:K15)</f>
        <v>4000</v>
      </c>
      <c r="Q15" s="90">
        <f>+SUMIF(B11:K11,"A",B15:K15)</f>
        <v>900</v>
      </c>
    </row>
    <row r="16" spans="1:17">
      <c r="A16" s="101" t="s">
        <v>94</v>
      </c>
      <c r="B16" s="102">
        <f>+'DUBREUIL JEAN'!G23*4.33333333333333</f>
        <v>151.66666666666657</v>
      </c>
      <c r="C16" s="102">
        <f>+'ROBERT DUVERGNE'!G23*4.33333333333333</f>
        <v>151.66666666666657</v>
      </c>
      <c r="D16" s="102">
        <v>151.66999999999999</v>
      </c>
      <c r="E16" s="102">
        <v>151.66999999999999</v>
      </c>
      <c r="F16" s="102"/>
      <c r="G16" s="102"/>
      <c r="H16" s="102"/>
      <c r="I16" s="102"/>
      <c r="J16" s="102"/>
      <c r="K16" s="102"/>
      <c r="L16" s="103"/>
      <c r="M16" s="103"/>
      <c r="N16" s="88"/>
      <c r="O16" s="88"/>
      <c r="P16" s="88"/>
      <c r="Q16" s="88"/>
    </row>
    <row r="17" spans="1:17">
      <c r="A17" s="101" t="s">
        <v>95</v>
      </c>
      <c r="B17" s="98">
        <f>B16*$B$2*2.5</f>
        <v>3613.4583333333308</v>
      </c>
      <c r="C17" s="98">
        <f t="shared" ref="C17:K17" si="2">C16*$B$2*2.5</f>
        <v>3613.4583333333308</v>
      </c>
      <c r="D17" s="98">
        <f t="shared" si="2"/>
        <v>3613.5377499999995</v>
      </c>
      <c r="E17" s="98">
        <v>0</v>
      </c>
      <c r="F17" s="98">
        <f t="shared" si="2"/>
        <v>0</v>
      </c>
      <c r="G17" s="98">
        <f t="shared" si="2"/>
        <v>0</v>
      </c>
      <c r="H17" s="98">
        <f t="shared" si="2"/>
        <v>0</v>
      </c>
      <c r="I17" s="98">
        <f t="shared" si="2"/>
        <v>0</v>
      </c>
      <c r="J17" s="98">
        <f t="shared" si="2"/>
        <v>0</v>
      </c>
      <c r="K17" s="98">
        <f t="shared" si="2"/>
        <v>0</v>
      </c>
      <c r="L17" s="103"/>
      <c r="M17" s="103"/>
      <c r="N17" s="88"/>
      <c r="O17" s="88"/>
      <c r="P17" s="88"/>
      <c r="Q17" s="88"/>
    </row>
    <row r="18" spans="1:17" s="9" customFormat="1">
      <c r="A18" s="98" t="s">
        <v>192</v>
      </c>
      <c r="B18" s="104">
        <f>+'DUBREUIL JEAN'!V23</f>
        <v>224.26028700000001</v>
      </c>
      <c r="C18" s="104" t="str">
        <f>+'ROBERT DUVERGNE'!V23</f>
        <v/>
      </c>
      <c r="D18" s="104">
        <v>0</v>
      </c>
      <c r="E18" s="104">
        <v>0</v>
      </c>
      <c r="F18" s="104" t="e">
        <f>+IF(F15&lt;#REF!,((($B$3/0.6)*(1.6*(#REF!/F15)-1))*F15),((0.281/0.6)*(1.6*$B$2*(F16)/(F15)-1))*(F15))</f>
        <v>#REF!</v>
      </c>
      <c r="G18" s="104" t="e">
        <f>+IF(G15&lt;#REF!,((($B$3/0.6)*(1.6*(#REF!/G15)-1))*G15),((0.281/0.6)*(1.6*$B$2*(G16)/(G15)-1))*(G15))</f>
        <v>#REF!</v>
      </c>
      <c r="H18" s="104" t="e">
        <f>+IF(H15&lt;#REF!,((($B$3/0.6)*(1.6*(#REF!/H15)-1))*H15),((0.281/0.6)*(1.6*$B$2*(H16)/(H15)-1))*(H15))</f>
        <v>#REF!</v>
      </c>
      <c r="I18" s="104" t="e">
        <f>+IF(I15&lt;#REF!,((($B$3/0.6)*(1.6*(#REF!/I15)-1))*I15),((0.281/0.6)*(1.6*$B$2*(I16)/(I15)-1))*(I15))</f>
        <v>#REF!</v>
      </c>
      <c r="J18" s="104" t="e">
        <f>+IF(J15&lt;#REF!,((($B$3/0.6)*(1.6*(#REF!/J15)-1))*J15),((0.281/0.6)*(1.6*$B$2*(J16)/(J15)-1))*(J15))</f>
        <v>#REF!</v>
      </c>
      <c r="K18" s="104" t="e">
        <f>+IF(K15&lt;#REF!,((($B$3/0.6)*(1.6*(#REF!/K15)-1))*K15),((0.281/0.6)*(1.6*$B$2*(K16)/(K15)-1))*(K15))</f>
        <v>#REF!</v>
      </c>
      <c r="L18" s="103"/>
      <c r="M18" s="103">
        <f>+SUMIF(B18:K18,"&gt;0")</f>
        <v>224.26028700000001</v>
      </c>
      <c r="N18" s="10"/>
      <c r="O18" s="10"/>
      <c r="P18" s="10"/>
      <c r="Q18" s="10"/>
    </row>
    <row r="19" spans="1:17" s="9" customFormat="1">
      <c r="A19" s="98" t="s">
        <v>191</v>
      </c>
      <c r="B19" s="98" t="str">
        <f>+'DUBREUIL JEAN'!W23</f>
        <v/>
      </c>
      <c r="C19" s="98"/>
      <c r="D19" s="98"/>
      <c r="E19" s="98"/>
      <c r="F19" s="98"/>
      <c r="G19" s="98"/>
      <c r="H19" s="98"/>
      <c r="I19" s="98"/>
      <c r="J19" s="98"/>
      <c r="K19" s="98"/>
      <c r="L19" s="103"/>
      <c r="M19" s="103">
        <f>+SUMIF(B19:K19,"&gt;0")</f>
        <v>0</v>
      </c>
      <c r="N19" s="10"/>
      <c r="O19" s="10"/>
      <c r="P19" s="10"/>
      <c r="Q19" s="10"/>
    </row>
    <row r="20" spans="1:17" s="9" customFormat="1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103"/>
      <c r="M20" s="103"/>
      <c r="N20" s="10"/>
      <c r="O20" s="10"/>
      <c r="P20" s="10"/>
      <c r="Q20" s="10"/>
    </row>
    <row r="21" spans="1:17">
      <c r="A21" s="97" t="s">
        <v>97</v>
      </c>
      <c r="B21" s="98" t="e">
        <f t="shared" ref="B21:K21" ca="1" si="3">IF((B23+B15)&lt;(B25),"Oui","Non")</f>
        <v>#VALUE!</v>
      </c>
      <c r="C21" s="98" t="str">
        <f t="shared" si="3"/>
        <v>Non</v>
      </c>
      <c r="D21" s="98" t="str">
        <f t="shared" si="3"/>
        <v>Oui</v>
      </c>
      <c r="E21" s="98" t="str">
        <f t="shared" si="3"/>
        <v>Non</v>
      </c>
      <c r="F21" s="98" t="str">
        <f t="shared" si="3"/>
        <v>Oui</v>
      </c>
      <c r="G21" s="98" t="str">
        <f t="shared" si="3"/>
        <v>Oui</v>
      </c>
      <c r="H21" s="98" t="str">
        <f t="shared" si="3"/>
        <v>Oui</v>
      </c>
      <c r="I21" s="98" t="str">
        <f t="shared" si="3"/>
        <v>Oui</v>
      </c>
      <c r="J21" s="98" t="str">
        <f t="shared" si="3"/>
        <v>Non</v>
      </c>
      <c r="K21" s="98" t="str">
        <f t="shared" si="3"/>
        <v>Non</v>
      </c>
      <c r="L21" s="103"/>
      <c r="M21" s="103"/>
      <c r="N21" s="88"/>
      <c r="O21" s="88"/>
      <c r="P21" s="88"/>
      <c r="Q21" s="88"/>
    </row>
    <row r="22" spans="1:17" s="11" customFormat="1">
      <c r="A22" s="99" t="s">
        <v>92</v>
      </c>
      <c r="B22" s="100">
        <f>+IF(B24&gt;151.67,1,B24/151.67)</f>
        <v>0.11426122502802136</v>
      </c>
      <c r="C22" s="100">
        <f t="shared" ref="C22:K22" si="4">+IF(C24&gt;151.67,1,C24/151.67)</f>
        <v>0</v>
      </c>
      <c r="D22" s="100">
        <f t="shared" si="4"/>
        <v>1</v>
      </c>
      <c r="E22" s="100">
        <f t="shared" si="4"/>
        <v>-1.0150326366453484</v>
      </c>
      <c r="F22" s="100">
        <f t="shared" si="4"/>
        <v>0.39559570119338039</v>
      </c>
      <c r="G22" s="100">
        <f t="shared" si="4"/>
        <v>0.85712401925232418</v>
      </c>
      <c r="H22" s="100">
        <f t="shared" si="4"/>
        <v>1</v>
      </c>
      <c r="I22" s="100">
        <f t="shared" si="4"/>
        <v>0.78789477154348264</v>
      </c>
      <c r="J22" s="100">
        <f t="shared" si="4"/>
        <v>0</v>
      </c>
      <c r="K22" s="100">
        <f t="shared" si="4"/>
        <v>0</v>
      </c>
      <c r="L22" s="103">
        <f>SUM(B22:K22)</f>
        <v>3.1398430803718598</v>
      </c>
      <c r="M22" s="103">
        <f ca="1">+SUMIF(B21:K21,"oui",B22:K22)</f>
        <v>4.0406144919891878</v>
      </c>
      <c r="N22" s="89"/>
      <c r="O22" s="89"/>
      <c r="P22" s="89"/>
      <c r="Q22" s="89"/>
    </row>
    <row r="23" spans="1:17">
      <c r="A23" s="101" t="s">
        <v>93</v>
      </c>
      <c r="B23" s="98">
        <v>179.19</v>
      </c>
      <c r="C23" s="98"/>
      <c r="D23" s="98">
        <v>2026.44</v>
      </c>
      <c r="E23" s="98">
        <v>-1467.11</v>
      </c>
      <c r="F23" s="98">
        <v>924.57</v>
      </c>
      <c r="G23" s="98">
        <v>1318.72</v>
      </c>
      <c r="H23" s="98">
        <v>1998.36</v>
      </c>
      <c r="I23" s="98">
        <v>1241.57</v>
      </c>
      <c r="J23" s="98"/>
      <c r="K23" s="98"/>
      <c r="L23" s="103">
        <f>SUM(B23:K23)</f>
        <v>6221.74</v>
      </c>
      <c r="M23" s="103">
        <f ca="1">+SUMIF(B21:K21,"OUI",B27:K27)</f>
        <v>8409.66</v>
      </c>
      <c r="N23" s="88"/>
      <c r="O23" s="88"/>
      <c r="P23" s="88"/>
      <c r="Q23" s="88"/>
    </row>
    <row r="24" spans="1:17">
      <c r="A24" s="101" t="s">
        <v>94</v>
      </c>
      <c r="B24" s="98">
        <v>17.329999999999998</v>
      </c>
      <c r="C24" s="98"/>
      <c r="D24" s="98">
        <v>169</v>
      </c>
      <c r="E24" s="98">
        <v>-153.94999999999999</v>
      </c>
      <c r="F24" s="98">
        <v>60</v>
      </c>
      <c r="G24" s="98">
        <v>130</v>
      </c>
      <c r="H24" s="98">
        <v>169</v>
      </c>
      <c r="I24" s="98">
        <v>119.5</v>
      </c>
      <c r="J24" s="98"/>
      <c r="K24" s="98"/>
      <c r="L24" s="103"/>
      <c r="M24" s="103"/>
      <c r="N24" s="88"/>
      <c r="O24" s="88"/>
      <c r="P24" s="88"/>
      <c r="Q24" s="88"/>
    </row>
    <row r="25" spans="1:17">
      <c r="A25" s="101" t="s">
        <v>95</v>
      </c>
      <c r="B25" s="98">
        <f>B24*$B$2*2.5+B17</f>
        <v>4026.3455833333305</v>
      </c>
      <c r="C25" s="98">
        <f t="shared" ref="C25:K25" si="5">C24*$B$2*2.5+C17</f>
        <v>3613.4583333333308</v>
      </c>
      <c r="D25" s="98">
        <f t="shared" si="5"/>
        <v>7639.9627499999988</v>
      </c>
      <c r="E25" s="98">
        <f t="shared" si="5"/>
        <v>-3667.8587499999999</v>
      </c>
      <c r="F25" s="98">
        <f t="shared" si="5"/>
        <v>1429.5</v>
      </c>
      <c r="G25" s="98">
        <f t="shared" si="5"/>
        <v>3097.2499999999995</v>
      </c>
      <c r="H25" s="98">
        <f t="shared" si="5"/>
        <v>4026.4249999999997</v>
      </c>
      <c r="I25" s="98">
        <f t="shared" si="5"/>
        <v>2847.0875000000001</v>
      </c>
      <c r="J25" s="98">
        <f t="shared" si="5"/>
        <v>0</v>
      </c>
      <c r="K25" s="98">
        <f t="shared" si="5"/>
        <v>0</v>
      </c>
      <c r="L25" s="103"/>
      <c r="M25" s="103"/>
      <c r="N25" s="88"/>
      <c r="O25" s="88"/>
      <c r="P25" s="88"/>
      <c r="Q25" s="88"/>
    </row>
    <row r="26" spans="1:17" s="9" customFormat="1">
      <c r="A26" s="98" t="s">
        <v>96</v>
      </c>
      <c r="B26" s="98" t="e">
        <f ca="1">+IF(B15+B23&lt;#REF!,((($B$3/0.6)*(1.6*(#REF!/B15)-1))*B15),((0.281/0.6)*(1.6*$B$2*(B16)/(B15)-1))*(B15))</f>
        <v>#VALUE!</v>
      </c>
      <c r="C26" s="98">
        <v>0</v>
      </c>
      <c r="D26" s="98">
        <f t="shared" ref="D26:K26" si="6">((0.281/0.6)*(1.6*$B$2*(D16+D24)/(D15+D23)-1))*(D15+D23)-D18</f>
        <v>919.4021015999997</v>
      </c>
      <c r="E26" s="98">
        <f t="shared" si="6"/>
        <v>-1202.518631066667</v>
      </c>
      <c r="F26" s="98" t="e">
        <f t="shared" si="6"/>
        <v>#REF!</v>
      </c>
      <c r="G26" s="98" t="e">
        <f t="shared" si="6"/>
        <v>#REF!</v>
      </c>
      <c r="H26" s="98" t="e">
        <f t="shared" si="6"/>
        <v>#REF!</v>
      </c>
      <c r="I26" s="98" t="e">
        <f t="shared" si="6"/>
        <v>#REF!</v>
      </c>
      <c r="J26" s="98" t="e">
        <f t="shared" si="6"/>
        <v>#DIV/0!</v>
      </c>
      <c r="K26" s="98" t="e">
        <f t="shared" si="6"/>
        <v>#DIV/0!</v>
      </c>
      <c r="L26" s="103"/>
      <c r="M26" s="103">
        <f ca="1">+SUMIF(B26:K26,"&gt;0")</f>
        <v>919.4021015999997</v>
      </c>
      <c r="N26" s="10"/>
      <c r="O26" s="10"/>
      <c r="P26" s="10"/>
      <c r="Q26" s="10"/>
    </row>
    <row r="27" spans="1:17" s="9" customFormat="1">
      <c r="A27" s="98" t="s">
        <v>98</v>
      </c>
      <c r="B27" s="98" t="e">
        <f t="shared" ref="B27:K27" ca="1" si="7">+B23+B15</f>
        <v>#VALUE!</v>
      </c>
      <c r="C27" s="98">
        <f t="shared" si="7"/>
        <v>5000</v>
      </c>
      <c r="D27" s="98">
        <f t="shared" si="7"/>
        <v>2926.44</v>
      </c>
      <c r="E27" s="98">
        <f t="shared" si="7"/>
        <v>2532.8900000000003</v>
      </c>
      <c r="F27" s="98">
        <f t="shared" si="7"/>
        <v>924.57</v>
      </c>
      <c r="G27" s="98">
        <f t="shared" si="7"/>
        <v>1318.72</v>
      </c>
      <c r="H27" s="98">
        <f t="shared" si="7"/>
        <v>1998.36</v>
      </c>
      <c r="I27" s="98">
        <f t="shared" si="7"/>
        <v>1241.57</v>
      </c>
      <c r="J27" s="98">
        <f t="shared" si="7"/>
        <v>0</v>
      </c>
      <c r="K27" s="98">
        <f t="shared" si="7"/>
        <v>0</v>
      </c>
      <c r="L27" s="103"/>
      <c r="M27" s="103"/>
      <c r="N27" s="10"/>
      <c r="O27" s="10"/>
      <c r="P27" s="10"/>
      <c r="Q27" s="10"/>
    </row>
    <row r="28" spans="1:17" s="9" customFormat="1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103"/>
      <c r="M28" s="103"/>
      <c r="N28" s="10"/>
      <c r="O28" s="10"/>
      <c r="P28" s="10"/>
      <c r="Q28" s="10"/>
    </row>
    <row r="29" spans="1:17" s="9" customFormat="1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103"/>
      <c r="M29" s="103"/>
      <c r="N29" s="10"/>
      <c r="O29" s="10"/>
      <c r="P29" s="10"/>
      <c r="Q29" s="10"/>
    </row>
    <row r="30" spans="1:17">
      <c r="A30" s="97" t="s">
        <v>99</v>
      </c>
      <c r="B30" s="98" t="e">
        <f t="shared" ref="B30:K30" ca="1" si="8">IF((B23+B15+B32)&lt;B34,"Oui","Non")</f>
        <v>#VALUE!</v>
      </c>
      <c r="C30" s="98" t="str">
        <f t="shared" si="8"/>
        <v>Non</v>
      </c>
      <c r="D30" s="98" t="str">
        <f t="shared" si="8"/>
        <v>Oui</v>
      </c>
      <c r="E30" s="98" t="str">
        <f t="shared" si="8"/>
        <v>Non</v>
      </c>
      <c r="F30" s="98" t="str">
        <f t="shared" si="8"/>
        <v>Oui</v>
      </c>
      <c r="G30" s="98" t="str">
        <f t="shared" si="8"/>
        <v>Oui</v>
      </c>
      <c r="H30" s="98" t="str">
        <f t="shared" si="8"/>
        <v>Oui</v>
      </c>
      <c r="I30" s="98" t="str">
        <f t="shared" si="8"/>
        <v>Oui</v>
      </c>
      <c r="J30" s="98" t="str">
        <f t="shared" si="8"/>
        <v>Non</v>
      </c>
      <c r="K30" s="98" t="str">
        <f t="shared" si="8"/>
        <v>Non</v>
      </c>
      <c r="L30" s="103" t="e">
        <f ca="1">SUM(B30:K30)</f>
        <v>#VALUE!</v>
      </c>
      <c r="M30" s="103"/>
      <c r="N30" s="88"/>
      <c r="O30" s="88"/>
      <c r="P30" s="88"/>
      <c r="Q30" s="88"/>
    </row>
    <row r="31" spans="1:17">
      <c r="A31" s="99" t="s">
        <v>92</v>
      </c>
      <c r="B31" s="100">
        <f>+IF(B33&gt;151.67,1,B33/151.67)</f>
        <v>0.11426122502802136</v>
      </c>
      <c r="C31" s="100">
        <f t="shared" ref="C31:K31" si="9">+IF(C33&gt;151.67,1,C33/151.67)</f>
        <v>0</v>
      </c>
      <c r="D31" s="100">
        <f t="shared" si="9"/>
        <v>1</v>
      </c>
      <c r="E31" s="100">
        <f t="shared" si="9"/>
        <v>0</v>
      </c>
      <c r="F31" s="100">
        <f t="shared" si="9"/>
        <v>0.39559570119338039</v>
      </c>
      <c r="G31" s="100">
        <f t="shared" si="9"/>
        <v>0.85712401925232418</v>
      </c>
      <c r="H31" s="100">
        <f t="shared" si="9"/>
        <v>1</v>
      </c>
      <c r="I31" s="100">
        <f t="shared" si="9"/>
        <v>0.68899584624513754</v>
      </c>
      <c r="J31" s="100">
        <f t="shared" si="9"/>
        <v>0</v>
      </c>
      <c r="K31" s="100">
        <f t="shared" si="9"/>
        <v>0</v>
      </c>
      <c r="L31" s="103">
        <f>SUM(B31:K31)</f>
        <v>4.0559767917188632</v>
      </c>
      <c r="M31" s="103">
        <f ca="1">+SUMIF(B30:K30,"oui",B31:K31)</f>
        <v>3.9417155666908421</v>
      </c>
      <c r="N31" s="88"/>
      <c r="O31" s="88"/>
      <c r="P31" s="88"/>
      <c r="Q31" s="88"/>
    </row>
    <row r="32" spans="1:17">
      <c r="A32" s="101" t="s">
        <v>93</v>
      </c>
      <c r="B32" s="98">
        <v>179.19</v>
      </c>
      <c r="C32" s="98"/>
      <c r="D32" s="98">
        <v>2026.44</v>
      </c>
      <c r="E32" s="98">
        <v>0</v>
      </c>
      <c r="F32" s="98">
        <v>924.57</v>
      </c>
      <c r="G32" s="98">
        <v>1318.72</v>
      </c>
      <c r="H32" s="98">
        <v>2107.62</v>
      </c>
      <c r="I32" s="98">
        <v>1088.72</v>
      </c>
      <c r="J32" s="98"/>
      <c r="K32" s="98"/>
      <c r="L32" s="103">
        <f>SUM(B32:K32)</f>
        <v>7645.26</v>
      </c>
      <c r="M32" s="103">
        <f ca="1">+SUMIF(B30:K30,"OUI",B37:K37)</f>
        <v>15875.73</v>
      </c>
      <c r="N32" s="88"/>
      <c r="O32" s="88"/>
      <c r="P32" s="88"/>
      <c r="Q32" s="88"/>
    </row>
    <row r="33" spans="1:17">
      <c r="A33" s="101" t="s">
        <v>94</v>
      </c>
      <c r="B33" s="98">
        <v>17.329999999999998</v>
      </c>
      <c r="C33" s="98"/>
      <c r="D33" s="98">
        <v>169</v>
      </c>
      <c r="E33" s="98">
        <v>0</v>
      </c>
      <c r="F33" s="98">
        <v>60</v>
      </c>
      <c r="G33" s="98">
        <v>130</v>
      </c>
      <c r="H33" s="98">
        <v>169</v>
      </c>
      <c r="I33" s="98">
        <v>104.5</v>
      </c>
      <c r="J33" s="98"/>
      <c r="K33" s="98"/>
      <c r="L33" s="103"/>
      <c r="M33" s="103"/>
      <c r="N33" s="88"/>
      <c r="O33" s="88"/>
      <c r="P33" s="88"/>
      <c r="Q33" s="88"/>
    </row>
    <row r="34" spans="1:17">
      <c r="A34" s="101" t="s">
        <v>95</v>
      </c>
      <c r="B34" s="98">
        <f>B33*$B$2*2.5+B25</f>
        <v>4439.2328333333307</v>
      </c>
      <c r="C34" s="98">
        <f t="shared" ref="C34:K34" si="10">C33*$B$2*2.5+C25</f>
        <v>3613.4583333333308</v>
      </c>
      <c r="D34" s="98">
        <f t="shared" si="10"/>
        <v>11666.387749999998</v>
      </c>
      <c r="E34" s="98">
        <f t="shared" si="10"/>
        <v>-3667.8587499999999</v>
      </c>
      <c r="F34" s="98">
        <f t="shared" si="10"/>
        <v>2859</v>
      </c>
      <c r="G34" s="98">
        <f t="shared" si="10"/>
        <v>6194.4999999999991</v>
      </c>
      <c r="H34" s="98">
        <f t="shared" si="10"/>
        <v>8052.8499999999995</v>
      </c>
      <c r="I34" s="98">
        <f t="shared" si="10"/>
        <v>5336.7999999999993</v>
      </c>
      <c r="J34" s="98">
        <f t="shared" si="10"/>
        <v>0</v>
      </c>
      <c r="K34" s="98">
        <f t="shared" si="10"/>
        <v>0</v>
      </c>
      <c r="L34" s="103"/>
      <c r="M34" s="103"/>
      <c r="N34" s="88"/>
      <c r="O34" s="88"/>
      <c r="P34" s="88"/>
      <c r="Q34" s="88"/>
    </row>
    <row r="35" spans="1:17" s="9" customFormat="1">
      <c r="A35" s="98" t="s">
        <v>96</v>
      </c>
      <c r="B35" s="98" t="e">
        <f ca="1">((0.281/0.6)*(1.6*$B$2*(B16+B24+B33)/(B15+B23+B32)-1))*(B15+B23+B32)-B18-B26</f>
        <v>#VALUE!</v>
      </c>
      <c r="C35" s="98">
        <f>((0.281/0.6)*(1.6*$B$2*(C16+C24+C33)/(C15+C23+C32)-1))*(C15+C23+C32)</f>
        <v>-1258.5927555555563</v>
      </c>
      <c r="D35" s="98">
        <f t="shared" ref="D35:K35" si="11">((0.281/0.6)*(1.6*$B$2*(D16+D24+D33)/(D15+D23+D32)-1))*(D15+D23+D32)-D18-D26</f>
        <v>257.80438666666669</v>
      </c>
      <c r="E35" s="98">
        <f t="shared" si="11"/>
        <v>0</v>
      </c>
      <c r="F35" s="98" t="e">
        <f t="shared" si="11"/>
        <v>#REF!</v>
      </c>
      <c r="G35" s="98" t="e">
        <f t="shared" si="11"/>
        <v>#REF!</v>
      </c>
      <c r="H35" s="98" t="e">
        <f t="shared" si="11"/>
        <v>#REF!</v>
      </c>
      <c r="I35" s="98" t="e">
        <f t="shared" si="11"/>
        <v>#REF!</v>
      </c>
      <c r="J35" s="98" t="e">
        <f t="shared" si="11"/>
        <v>#DIV/0!</v>
      </c>
      <c r="K35" s="98" t="e">
        <f t="shared" si="11"/>
        <v>#DIV/0!</v>
      </c>
      <c r="L35" s="103"/>
      <c r="M35" s="103">
        <f ca="1">+SUMIF(B35:K35,"&gt;0")</f>
        <v>257.80438666666669</v>
      </c>
      <c r="N35" s="10"/>
      <c r="O35" s="10"/>
      <c r="P35" s="10"/>
      <c r="Q35" s="10"/>
    </row>
    <row r="36" spans="1:17" s="9" customFormat="1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103">
        <f t="shared" ref="L36:L41" si="12">SUM(B36:K36)</f>
        <v>0</v>
      </c>
      <c r="M36" s="103"/>
      <c r="N36" s="10"/>
      <c r="O36" s="10"/>
      <c r="P36" s="10"/>
      <c r="Q36" s="10"/>
    </row>
    <row r="37" spans="1:17" s="9" customFormat="1">
      <c r="A37" s="98" t="s">
        <v>100</v>
      </c>
      <c r="B37" s="98" t="e">
        <f t="shared" ref="B37:K37" ca="1" si="13">+B15+B23+B32</f>
        <v>#VALUE!</v>
      </c>
      <c r="C37" s="98">
        <f t="shared" si="13"/>
        <v>5000</v>
      </c>
      <c r="D37" s="98">
        <f t="shared" si="13"/>
        <v>4952.88</v>
      </c>
      <c r="E37" s="98">
        <f t="shared" si="13"/>
        <v>2532.8900000000003</v>
      </c>
      <c r="F37" s="98">
        <f t="shared" si="13"/>
        <v>1849.14</v>
      </c>
      <c r="G37" s="98">
        <f t="shared" si="13"/>
        <v>2637.44</v>
      </c>
      <c r="H37" s="98">
        <f t="shared" si="13"/>
        <v>4105.9799999999996</v>
      </c>
      <c r="I37" s="98">
        <f t="shared" si="13"/>
        <v>2330.29</v>
      </c>
      <c r="J37" s="98">
        <f t="shared" si="13"/>
        <v>0</v>
      </c>
      <c r="K37" s="98">
        <f t="shared" si="13"/>
        <v>0</v>
      </c>
      <c r="L37" s="103" t="e">
        <f t="shared" ca="1" si="12"/>
        <v>#VALUE!</v>
      </c>
      <c r="M37" s="103"/>
      <c r="N37" s="10"/>
      <c r="O37" s="10"/>
      <c r="P37" s="10"/>
      <c r="Q37" s="10"/>
    </row>
    <row r="38" spans="1:17" s="9" customFormat="1">
      <c r="A38" s="98" t="s">
        <v>101</v>
      </c>
      <c r="B38" s="98">
        <f t="shared" ref="B38:K38" si="14">+B16+B24+B33</f>
        <v>186.32666666666654</v>
      </c>
      <c r="C38" s="98">
        <f t="shared" si="14"/>
        <v>151.66666666666657</v>
      </c>
      <c r="D38" s="98">
        <f t="shared" si="14"/>
        <v>489.66999999999996</v>
      </c>
      <c r="E38" s="98">
        <f t="shared" si="14"/>
        <v>-2.2800000000000011</v>
      </c>
      <c r="F38" s="98">
        <f t="shared" si="14"/>
        <v>120</v>
      </c>
      <c r="G38" s="98">
        <f t="shared" si="14"/>
        <v>260</v>
      </c>
      <c r="H38" s="98">
        <f t="shared" si="14"/>
        <v>338</v>
      </c>
      <c r="I38" s="98">
        <f t="shared" si="14"/>
        <v>224</v>
      </c>
      <c r="J38" s="98">
        <f t="shared" si="14"/>
        <v>0</v>
      </c>
      <c r="K38" s="98">
        <f t="shared" si="14"/>
        <v>0</v>
      </c>
      <c r="L38" s="103">
        <f t="shared" si="12"/>
        <v>1767.3833333333332</v>
      </c>
      <c r="M38" s="103"/>
      <c r="N38" s="10"/>
      <c r="O38" s="10"/>
      <c r="P38" s="10"/>
      <c r="Q38" s="10"/>
    </row>
    <row r="39" spans="1:17" s="9" customFormat="1">
      <c r="A39" s="98" t="s">
        <v>102</v>
      </c>
      <c r="B39" s="98"/>
      <c r="C39" s="98"/>
      <c r="D39" s="98"/>
      <c r="E39" s="105">
        <f>+E18+E26+E35</f>
        <v>-1202.518631066667</v>
      </c>
      <c r="F39" s="98"/>
      <c r="G39" s="98"/>
      <c r="H39" s="98"/>
      <c r="I39" s="98"/>
      <c r="J39" s="98"/>
      <c r="K39" s="98"/>
      <c r="L39" s="103">
        <f t="shared" si="12"/>
        <v>-1202.518631066667</v>
      </c>
      <c r="M39" s="103">
        <f ca="1">+M18+M26+M35</f>
        <v>1401.4667752666664</v>
      </c>
      <c r="N39" s="10"/>
      <c r="O39" s="10"/>
      <c r="P39" s="10"/>
      <c r="Q39" s="10"/>
    </row>
    <row r="40" spans="1:17" s="9" customFormat="1">
      <c r="A40" s="98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103">
        <f t="shared" si="12"/>
        <v>0</v>
      </c>
      <c r="M40" s="103"/>
      <c r="N40" s="10"/>
      <c r="O40" s="10"/>
      <c r="P40" s="10"/>
      <c r="Q40" s="10"/>
    </row>
    <row r="41" spans="1:17" s="9" customFormat="1">
      <c r="A41" s="98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103">
        <f t="shared" si="12"/>
        <v>0</v>
      </c>
      <c r="M41" s="103"/>
      <c r="N41" s="10"/>
      <c r="O41" s="10"/>
      <c r="P41" s="10"/>
      <c r="Q41" s="10"/>
    </row>
    <row r="42" spans="1:17">
      <c r="A42" s="97" t="s">
        <v>103</v>
      </c>
      <c r="B42" s="98" t="e">
        <f ca="1">IF((B44+B37)&lt;B46,"Oui","Non")</f>
        <v>#VALUE!</v>
      </c>
      <c r="C42" s="98" t="str">
        <f t="shared" ref="C42:K42" si="15">IF((C44+C37)&lt;C46,"Oui","Non")</f>
        <v>Non</v>
      </c>
      <c r="D42" s="98" t="str">
        <f t="shared" si="15"/>
        <v>Oui</v>
      </c>
      <c r="E42" s="98" t="str">
        <f t="shared" si="15"/>
        <v>Non</v>
      </c>
      <c r="F42" s="98" t="str">
        <f t="shared" si="15"/>
        <v>Oui</v>
      </c>
      <c r="G42" s="98" t="str">
        <f t="shared" si="15"/>
        <v>Oui</v>
      </c>
      <c r="H42" s="98" t="str">
        <f t="shared" si="15"/>
        <v>Oui</v>
      </c>
      <c r="I42" s="98" t="str">
        <f t="shared" si="15"/>
        <v>Oui</v>
      </c>
      <c r="J42" s="98" t="str">
        <f t="shared" si="15"/>
        <v>Non</v>
      </c>
      <c r="K42" s="98" t="str">
        <f t="shared" si="15"/>
        <v>Non</v>
      </c>
      <c r="L42" s="10"/>
      <c r="M42" s="10"/>
      <c r="N42" s="88"/>
      <c r="O42" s="88"/>
      <c r="P42" s="88"/>
      <c r="Q42" s="88"/>
    </row>
    <row r="43" spans="1:17" s="11" customFormat="1">
      <c r="A43" s="99" t="s">
        <v>92</v>
      </c>
      <c r="B43" s="100">
        <f>+IF(B45&gt;151.67,1,B45/151.67)</f>
        <v>0.11426122502802136</v>
      </c>
      <c r="C43" s="100">
        <f t="shared" ref="C43:K43" si="16">+IF(C45&gt;151.67,1,C45/151.67)</f>
        <v>0</v>
      </c>
      <c r="D43" s="100">
        <f t="shared" si="16"/>
        <v>1</v>
      </c>
      <c r="E43" s="100">
        <f t="shared" si="16"/>
        <v>0</v>
      </c>
      <c r="F43" s="100">
        <f t="shared" si="16"/>
        <v>0.39559570119338039</v>
      </c>
      <c r="G43" s="100">
        <f t="shared" si="16"/>
        <v>0.95602294455066927</v>
      </c>
      <c r="H43" s="100">
        <f t="shared" si="16"/>
        <v>1</v>
      </c>
      <c r="I43" s="100">
        <f t="shared" si="16"/>
        <v>1</v>
      </c>
      <c r="J43" s="100">
        <f t="shared" si="16"/>
        <v>0</v>
      </c>
      <c r="K43" s="100">
        <f t="shared" si="16"/>
        <v>0</v>
      </c>
      <c r="L43" s="92">
        <f>+SUM(B43:K43)</f>
        <v>4.4658798707720706</v>
      </c>
      <c r="M43" s="92">
        <f ca="1">+SUMIF(B42:K42,"oui",B43:K43)</f>
        <v>4.3516186457440496</v>
      </c>
      <c r="N43" s="89"/>
      <c r="O43" s="89"/>
      <c r="P43" s="89"/>
      <c r="Q43" s="89"/>
    </row>
    <row r="44" spans="1:17">
      <c r="A44" s="101" t="s">
        <v>93</v>
      </c>
      <c r="B44" s="98">
        <v>179.19</v>
      </c>
      <c r="C44" s="98"/>
      <c r="D44" s="98">
        <v>2019.42</v>
      </c>
      <c r="E44" s="98">
        <v>1900.86</v>
      </c>
      <c r="F44" s="98">
        <v>924.57</v>
      </c>
      <c r="G44" s="98">
        <v>1479.17</v>
      </c>
      <c r="H44" s="98">
        <v>2093.58</v>
      </c>
      <c r="I44" s="98">
        <v>1764.4</v>
      </c>
      <c r="J44" s="98"/>
      <c r="K44" s="98"/>
      <c r="L44" s="103">
        <f>SUM(B44:K44)</f>
        <v>10361.19</v>
      </c>
      <c r="M44" s="103">
        <f ca="1">+SUMIF(B42:K42,"OUI",B48:K48)</f>
        <v>24156.87</v>
      </c>
      <c r="N44" s="88"/>
      <c r="O44" s="88"/>
      <c r="P44" s="88"/>
      <c r="Q44" s="88"/>
    </row>
    <row r="45" spans="1:17">
      <c r="A45" s="101" t="s">
        <v>94</v>
      </c>
      <c r="B45" s="98">
        <v>17.329999999999998</v>
      </c>
      <c r="C45" s="98"/>
      <c r="D45" s="98">
        <v>169</v>
      </c>
      <c r="E45" s="98">
        <v>0</v>
      </c>
      <c r="F45" s="98">
        <v>60</v>
      </c>
      <c r="G45" s="98">
        <v>145</v>
      </c>
      <c r="H45" s="98">
        <v>169</v>
      </c>
      <c r="I45" s="98">
        <v>151.66999999999999</v>
      </c>
      <c r="J45" s="98"/>
      <c r="K45" s="98"/>
      <c r="L45" s="103"/>
      <c r="M45" s="103"/>
      <c r="N45" s="88"/>
      <c r="O45" s="88"/>
      <c r="P45" s="88"/>
      <c r="Q45" s="88"/>
    </row>
    <row r="46" spans="1:17">
      <c r="A46" s="101" t="s">
        <v>95</v>
      </c>
      <c r="B46" s="98">
        <f>B45*$B$2*2.5+B34</f>
        <v>4852.1200833333305</v>
      </c>
      <c r="C46" s="98">
        <f t="shared" ref="C46:K46" si="17">C45*$B$2*2.5+C34</f>
        <v>3613.4583333333308</v>
      </c>
      <c r="D46" s="98">
        <f t="shared" si="17"/>
        <v>15692.812749999997</v>
      </c>
      <c r="E46" s="98">
        <f t="shared" si="17"/>
        <v>-3667.8587499999999</v>
      </c>
      <c r="F46" s="98">
        <f t="shared" si="17"/>
        <v>4288.5</v>
      </c>
      <c r="G46" s="98">
        <f t="shared" si="17"/>
        <v>9649.125</v>
      </c>
      <c r="H46" s="98">
        <f t="shared" si="17"/>
        <v>12079.275</v>
      </c>
      <c r="I46" s="98">
        <f t="shared" si="17"/>
        <v>8950.3377499999988</v>
      </c>
      <c r="J46" s="98">
        <f t="shared" si="17"/>
        <v>0</v>
      </c>
      <c r="K46" s="98">
        <f t="shared" si="17"/>
        <v>0</v>
      </c>
      <c r="L46" s="103"/>
      <c r="M46" s="103"/>
      <c r="N46" s="88"/>
      <c r="O46" s="88"/>
      <c r="P46" s="88"/>
      <c r="Q46" s="88"/>
    </row>
    <row r="47" spans="1:17" s="9" customFormat="1">
      <c r="A47" s="98" t="s">
        <v>96</v>
      </c>
      <c r="B47" s="98" t="e">
        <f t="shared" ref="B47:K47" ca="1" si="18">((0.281/0.6)*(1.6*$B$2*(B45+B38)/(B44+B37)-1))*(B44+B37)-B35-B26-B18</f>
        <v>#VALUE!</v>
      </c>
      <c r="C47" s="98" t="e">
        <f t="shared" si="18"/>
        <v>#VALUE!</v>
      </c>
      <c r="D47" s="98">
        <f t="shared" si="18"/>
        <v>261.092086666667</v>
      </c>
      <c r="E47" s="106">
        <v>-203.12</v>
      </c>
      <c r="F47" s="98" t="e">
        <f t="shared" si="18"/>
        <v>#REF!</v>
      </c>
      <c r="G47" s="98" t="e">
        <f t="shared" si="18"/>
        <v>#REF!</v>
      </c>
      <c r="H47" s="98" t="e">
        <f t="shared" si="18"/>
        <v>#REF!</v>
      </c>
      <c r="I47" s="98" t="e">
        <f t="shared" si="18"/>
        <v>#REF!</v>
      </c>
      <c r="J47" s="98" t="e">
        <f t="shared" si="18"/>
        <v>#DIV/0!</v>
      </c>
      <c r="K47" s="98" t="e">
        <f t="shared" si="18"/>
        <v>#DIV/0!</v>
      </c>
      <c r="L47" s="103"/>
      <c r="M47" s="103">
        <f ca="1">+SUMIF(B47:K47,"&gt;0")</f>
        <v>261.092086666667</v>
      </c>
      <c r="N47" s="10"/>
      <c r="O47" s="10"/>
      <c r="P47" s="10"/>
      <c r="Q47" s="10"/>
    </row>
    <row r="48" spans="1:17" s="9" customFormat="1">
      <c r="A48" s="98" t="s">
        <v>98</v>
      </c>
      <c r="B48" s="98" t="e">
        <f ca="1">+B37+B44</f>
        <v>#VALUE!</v>
      </c>
      <c r="C48" s="98">
        <f t="shared" ref="C48:K48" si="19">+C37+C44</f>
        <v>5000</v>
      </c>
      <c r="D48" s="98">
        <f t="shared" si="19"/>
        <v>6972.3</v>
      </c>
      <c r="E48" s="98">
        <f t="shared" si="19"/>
        <v>4433.75</v>
      </c>
      <c r="F48" s="98">
        <f t="shared" si="19"/>
        <v>2773.71</v>
      </c>
      <c r="G48" s="98">
        <f t="shared" si="19"/>
        <v>4116.6100000000006</v>
      </c>
      <c r="H48" s="98">
        <f t="shared" si="19"/>
        <v>6199.5599999999995</v>
      </c>
      <c r="I48" s="98">
        <f t="shared" si="19"/>
        <v>4094.69</v>
      </c>
      <c r="J48" s="98">
        <f t="shared" si="19"/>
        <v>0</v>
      </c>
      <c r="K48" s="98">
        <f t="shared" si="19"/>
        <v>0</v>
      </c>
      <c r="L48" s="103"/>
      <c r="M48" s="103"/>
      <c r="N48" s="10"/>
      <c r="O48" s="10"/>
      <c r="P48" s="10"/>
      <c r="Q48" s="10"/>
    </row>
    <row r="49" spans="1:17" s="9" customFormat="1">
      <c r="A49" s="98" t="s">
        <v>104</v>
      </c>
      <c r="B49" s="98">
        <f>+B45+B38</f>
        <v>203.65666666666652</v>
      </c>
      <c r="C49" s="98">
        <f t="shared" ref="C49:K49" si="20">+C45+C38</f>
        <v>151.66666666666657</v>
      </c>
      <c r="D49" s="98">
        <f t="shared" si="20"/>
        <v>658.67</v>
      </c>
      <c r="E49" s="98">
        <f t="shared" si="20"/>
        <v>-2.2800000000000011</v>
      </c>
      <c r="F49" s="98">
        <f t="shared" si="20"/>
        <v>180</v>
      </c>
      <c r="G49" s="98">
        <f t="shared" si="20"/>
        <v>405</v>
      </c>
      <c r="H49" s="98">
        <f t="shared" si="20"/>
        <v>507</v>
      </c>
      <c r="I49" s="98">
        <f t="shared" si="20"/>
        <v>375.66999999999996</v>
      </c>
      <c r="J49" s="98">
        <f t="shared" si="20"/>
        <v>0</v>
      </c>
      <c r="K49" s="98">
        <f t="shared" si="20"/>
        <v>0</v>
      </c>
      <c r="L49" s="103"/>
      <c r="M49" s="103"/>
      <c r="N49" s="10"/>
      <c r="O49" s="10"/>
      <c r="P49" s="10"/>
      <c r="Q49" s="10"/>
    </row>
    <row r="50" spans="1:17" s="9" customFormat="1">
      <c r="A50" s="98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103"/>
      <c r="M50" s="103"/>
      <c r="N50" s="10"/>
      <c r="O50" s="10"/>
      <c r="P50" s="10"/>
      <c r="Q50" s="10"/>
    </row>
    <row r="51" spans="1:17">
      <c r="A51" s="97" t="s">
        <v>105</v>
      </c>
      <c r="B51" s="98" t="e">
        <f ca="1">IF((B53+B48)&lt;(B55),"Oui","Non")</f>
        <v>#VALUE!</v>
      </c>
      <c r="C51" s="98" t="str">
        <f t="shared" ref="C51:K51" si="21">IF((C53+C48)&lt;(C55),"Oui","Non")</f>
        <v>Non</v>
      </c>
      <c r="D51" s="98" t="str">
        <f t="shared" si="21"/>
        <v>Oui</v>
      </c>
      <c r="E51" s="98" t="str">
        <f t="shared" si="21"/>
        <v>Non</v>
      </c>
      <c r="F51" s="98" t="str">
        <f t="shared" si="21"/>
        <v>Oui</v>
      </c>
      <c r="G51" s="98" t="str">
        <f t="shared" si="21"/>
        <v>Oui</v>
      </c>
      <c r="H51" s="98" t="str">
        <f t="shared" si="21"/>
        <v>Oui</v>
      </c>
      <c r="I51" s="98" t="str">
        <f t="shared" si="21"/>
        <v>Oui</v>
      </c>
      <c r="J51" s="98" t="str">
        <f t="shared" si="21"/>
        <v>Non</v>
      </c>
      <c r="K51" s="98" t="str">
        <f t="shared" si="21"/>
        <v>Non</v>
      </c>
      <c r="L51" s="103"/>
      <c r="M51" s="103"/>
      <c r="N51" s="88"/>
      <c r="O51" s="88"/>
      <c r="P51" s="88"/>
      <c r="Q51" s="88"/>
    </row>
    <row r="52" spans="1:17" s="11" customFormat="1">
      <c r="A52" s="99" t="s">
        <v>92</v>
      </c>
      <c r="B52" s="100">
        <f>+IF(B54&gt;151.67,1,B54/151.67)</f>
        <v>0.11426122502802136</v>
      </c>
      <c r="C52" s="100">
        <f t="shared" ref="C52:K52" si="22">+IF(C54&gt;151.67,1,C54/151.67)</f>
        <v>0</v>
      </c>
      <c r="D52" s="100">
        <f t="shared" si="22"/>
        <v>1</v>
      </c>
      <c r="E52" s="100">
        <f t="shared" si="22"/>
        <v>0</v>
      </c>
      <c r="F52" s="100">
        <f t="shared" si="22"/>
        <v>0.39559570119338039</v>
      </c>
      <c r="G52" s="100">
        <f t="shared" si="22"/>
        <v>0.92305663611788757</v>
      </c>
      <c r="H52" s="100">
        <f t="shared" si="22"/>
        <v>1</v>
      </c>
      <c r="I52" s="100">
        <f t="shared" si="22"/>
        <v>1</v>
      </c>
      <c r="J52" s="100">
        <f t="shared" si="22"/>
        <v>0</v>
      </c>
      <c r="K52" s="100">
        <f t="shared" si="22"/>
        <v>0</v>
      </c>
      <c r="L52" s="103">
        <f>SUM(B52:K52)</f>
        <v>4.432913562339289</v>
      </c>
      <c r="M52" s="103">
        <f ca="1">+SUMIF(B51:K51,"oui",B52:K52)</f>
        <v>4.318652337311268</v>
      </c>
      <c r="N52" s="89"/>
      <c r="O52" s="89"/>
      <c r="P52" s="89"/>
      <c r="Q52" s="89"/>
    </row>
    <row r="53" spans="1:17">
      <c r="A53" s="101" t="s">
        <v>93</v>
      </c>
      <c r="B53" s="98">
        <v>217.31</v>
      </c>
      <c r="C53" s="98"/>
      <c r="D53" s="98">
        <v>2112.84</v>
      </c>
      <c r="E53" s="98"/>
      <c r="F53" s="98">
        <v>1029.57</v>
      </c>
      <c r="G53" s="98">
        <v>1481.07</v>
      </c>
      <c r="H53" s="98">
        <v>2199.14</v>
      </c>
      <c r="I53" s="98">
        <v>1868.08</v>
      </c>
      <c r="J53" s="98"/>
      <c r="K53" s="98"/>
      <c r="L53" s="103">
        <f>SUM(B53:K53)</f>
        <v>8908.01</v>
      </c>
      <c r="M53" s="103">
        <f ca="1">+SUMIF(B51:K51,"OUI",B57:K57)</f>
        <v>32847.569999999992</v>
      </c>
      <c r="N53" s="88"/>
      <c r="O53" s="88"/>
      <c r="P53" s="88"/>
      <c r="Q53" s="88"/>
    </row>
    <row r="54" spans="1:17">
      <c r="A54" s="101" t="s">
        <v>94</v>
      </c>
      <c r="B54" s="98">
        <v>17.329999999999998</v>
      </c>
      <c r="C54" s="98"/>
      <c r="D54" s="98">
        <v>169</v>
      </c>
      <c r="E54" s="98"/>
      <c r="F54" s="98">
        <v>60</v>
      </c>
      <c r="G54" s="98">
        <v>140</v>
      </c>
      <c r="H54" s="98">
        <v>169</v>
      </c>
      <c r="I54" s="98">
        <v>151.66999999999999</v>
      </c>
      <c r="J54" s="98"/>
      <c r="K54" s="98"/>
      <c r="L54" s="103"/>
      <c r="M54" s="103"/>
      <c r="N54" s="88"/>
      <c r="O54" s="88"/>
      <c r="P54" s="88"/>
      <c r="Q54" s="88"/>
    </row>
    <row r="55" spans="1:17">
      <c r="A55" s="101" t="s">
        <v>95</v>
      </c>
      <c r="B55" s="98">
        <f>B54*$B$2*2.5+B46</f>
        <v>5265.0073333333303</v>
      </c>
      <c r="C55" s="98">
        <f t="shared" ref="C55:K55" si="23">C54*$B$2*2.5+C46</f>
        <v>3613.4583333333308</v>
      </c>
      <c r="D55" s="98">
        <f t="shared" si="23"/>
        <v>19719.237749999997</v>
      </c>
      <c r="E55" s="98">
        <f t="shared" si="23"/>
        <v>-3667.8587499999999</v>
      </c>
      <c r="F55" s="98">
        <f t="shared" si="23"/>
        <v>5718</v>
      </c>
      <c r="G55" s="98">
        <f t="shared" si="23"/>
        <v>12984.625</v>
      </c>
      <c r="H55" s="98">
        <f t="shared" si="23"/>
        <v>16105.699999999999</v>
      </c>
      <c r="I55" s="98">
        <f t="shared" si="23"/>
        <v>12563.875499999998</v>
      </c>
      <c r="J55" s="98">
        <f t="shared" si="23"/>
        <v>0</v>
      </c>
      <c r="K55" s="98">
        <f t="shared" si="23"/>
        <v>0</v>
      </c>
      <c r="L55" s="103"/>
      <c r="M55" s="103"/>
      <c r="N55" s="88"/>
      <c r="O55" s="88"/>
      <c r="P55" s="88"/>
      <c r="Q55" s="88"/>
    </row>
    <row r="56" spans="1:17" s="9" customFormat="1">
      <c r="A56" s="98" t="s">
        <v>96</v>
      </c>
      <c r="B56" s="98" t="e">
        <f ca="1">((0.281/0.6)*(1.6*$B$2*(B49+B54)/(B48+B53)-1))*(B48+B53)-B47-B35-B26-B18</f>
        <v>#VALUE!</v>
      </c>
      <c r="C56" s="98" t="e">
        <f>((0.281/0.6)*(1.6*$B$2*(C49+C54)/(C48+C53)-1))*(C48+C53)-C47-C35</f>
        <v>#VALUE!</v>
      </c>
      <c r="D56" s="98">
        <f t="shared" ref="D56:K56" si="24">((0.281/0.6)*(1.6*$B$2*(D49+D54)/(D48+D53)-1))*(D48+D53)-D47-D35-D26-D18</f>
        <v>217.34038666666675</v>
      </c>
      <c r="E56" s="98">
        <f t="shared" si="24"/>
        <v>-687.11609999999996</v>
      </c>
      <c r="F56" s="98" t="e">
        <f t="shared" si="24"/>
        <v>#REF!</v>
      </c>
      <c r="G56" s="98" t="e">
        <f t="shared" si="24"/>
        <v>#REF!</v>
      </c>
      <c r="H56" s="98" t="e">
        <f t="shared" si="24"/>
        <v>#REF!</v>
      </c>
      <c r="I56" s="98" t="e">
        <f t="shared" si="24"/>
        <v>#REF!</v>
      </c>
      <c r="J56" s="98" t="e">
        <f t="shared" si="24"/>
        <v>#DIV/0!</v>
      </c>
      <c r="K56" s="98" t="e">
        <f t="shared" si="24"/>
        <v>#DIV/0!</v>
      </c>
      <c r="L56" s="103"/>
      <c r="M56" s="103">
        <f ca="1">+SUMIF(B56:K56,"&gt;0")</f>
        <v>217.34038666666675</v>
      </c>
      <c r="N56" s="10"/>
      <c r="O56" s="10"/>
      <c r="P56" s="10"/>
      <c r="Q56" s="10"/>
    </row>
    <row r="57" spans="1:17" s="9" customFormat="1">
      <c r="A57" s="98" t="s">
        <v>98</v>
      </c>
      <c r="B57" s="98" t="e">
        <f ca="1">+B53+B48</f>
        <v>#VALUE!</v>
      </c>
      <c r="C57" s="98">
        <f t="shared" ref="C57:K57" si="25">+C53+C48</f>
        <v>5000</v>
      </c>
      <c r="D57" s="98">
        <f t="shared" si="25"/>
        <v>9085.14</v>
      </c>
      <c r="E57" s="98">
        <f t="shared" si="25"/>
        <v>4433.75</v>
      </c>
      <c r="F57" s="98">
        <f t="shared" si="25"/>
        <v>3803.2799999999997</v>
      </c>
      <c r="G57" s="98">
        <f t="shared" si="25"/>
        <v>5597.68</v>
      </c>
      <c r="H57" s="98">
        <f t="shared" si="25"/>
        <v>8398.6999999999989</v>
      </c>
      <c r="I57" s="98">
        <f t="shared" si="25"/>
        <v>5962.77</v>
      </c>
      <c r="J57" s="98">
        <f t="shared" si="25"/>
        <v>0</v>
      </c>
      <c r="K57" s="98">
        <f t="shared" si="25"/>
        <v>0</v>
      </c>
      <c r="L57" s="103"/>
      <c r="M57" s="103"/>
      <c r="N57" s="10"/>
      <c r="O57" s="10"/>
      <c r="P57" s="10"/>
      <c r="Q57" s="10"/>
    </row>
    <row r="58" spans="1:17" s="9" customFormat="1">
      <c r="A58" s="98" t="s">
        <v>106</v>
      </c>
      <c r="B58" s="98">
        <f>+B49+B54</f>
        <v>220.98666666666651</v>
      </c>
      <c r="C58" s="98">
        <f t="shared" ref="C58:K58" si="26">+C49+C54</f>
        <v>151.66666666666657</v>
      </c>
      <c r="D58" s="98">
        <f t="shared" si="26"/>
        <v>827.67</v>
      </c>
      <c r="E58" s="98">
        <f t="shared" si="26"/>
        <v>-2.2800000000000011</v>
      </c>
      <c r="F58" s="98">
        <f t="shared" si="26"/>
        <v>240</v>
      </c>
      <c r="G58" s="98">
        <f t="shared" si="26"/>
        <v>545</v>
      </c>
      <c r="H58" s="98">
        <f t="shared" si="26"/>
        <v>676</v>
      </c>
      <c r="I58" s="98">
        <f t="shared" si="26"/>
        <v>527.33999999999992</v>
      </c>
      <c r="J58" s="98">
        <f t="shared" si="26"/>
        <v>0</v>
      </c>
      <c r="K58" s="98">
        <f t="shared" si="26"/>
        <v>0</v>
      </c>
      <c r="L58" s="103"/>
      <c r="M58" s="103"/>
      <c r="N58" s="10"/>
      <c r="O58" s="10"/>
      <c r="P58" s="10"/>
      <c r="Q58" s="10"/>
    </row>
    <row r="59" spans="1:17" s="9" customFormat="1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103"/>
      <c r="M59" s="103"/>
      <c r="N59" s="10"/>
      <c r="O59" s="10"/>
      <c r="P59" s="10"/>
      <c r="Q59" s="10"/>
    </row>
    <row r="60" spans="1:17">
      <c r="A60" s="97" t="s">
        <v>107</v>
      </c>
      <c r="B60" s="98" t="e">
        <f ca="1">IF((B57+B62)&lt;B64,"Oui","Non")</f>
        <v>#VALUE!</v>
      </c>
      <c r="C60" s="98" t="str">
        <f t="shared" ref="C60:K60" si="27">IF((C57+C62)&lt;C64,"Oui","Non")</f>
        <v>Non</v>
      </c>
      <c r="D60" s="98" t="str">
        <f t="shared" si="27"/>
        <v>Oui</v>
      </c>
      <c r="E60" s="98" t="str">
        <f t="shared" si="27"/>
        <v>Non</v>
      </c>
      <c r="F60" s="98" t="str">
        <f t="shared" si="27"/>
        <v>Oui</v>
      </c>
      <c r="G60" s="98" t="str">
        <f t="shared" si="27"/>
        <v>Oui</v>
      </c>
      <c r="H60" s="98" t="str">
        <f t="shared" si="27"/>
        <v>Oui</v>
      </c>
      <c r="I60" s="98" t="str">
        <f t="shared" si="27"/>
        <v>Oui</v>
      </c>
      <c r="J60" s="98" t="str">
        <f t="shared" si="27"/>
        <v>Non</v>
      </c>
      <c r="K60" s="98" t="str">
        <f t="shared" si="27"/>
        <v>Non</v>
      </c>
      <c r="L60" s="103" t="e">
        <f ca="1">SUM(B60:K60)</f>
        <v>#VALUE!</v>
      </c>
      <c r="M60" s="103"/>
      <c r="N60" s="88"/>
      <c r="O60" s="88"/>
      <c r="P60" s="88"/>
      <c r="Q60" s="88"/>
    </row>
    <row r="61" spans="1:17">
      <c r="A61" s="99" t="s">
        <v>92</v>
      </c>
      <c r="B61" s="100">
        <f>+IF(B63&gt;151.67,1,B63/151.67)</f>
        <v>0.11426122502802136</v>
      </c>
      <c r="C61" s="100">
        <f t="shared" ref="C61:K61" si="28">+IF(C63&gt;151.67,1,C63/151.67)</f>
        <v>0</v>
      </c>
      <c r="D61" s="100">
        <f t="shared" si="28"/>
        <v>1</v>
      </c>
      <c r="E61" s="100">
        <f t="shared" si="28"/>
        <v>0</v>
      </c>
      <c r="F61" s="100">
        <f t="shared" si="28"/>
        <v>0.39559570119338039</v>
      </c>
      <c r="G61" s="100">
        <f t="shared" si="28"/>
        <v>0.85712401925232418</v>
      </c>
      <c r="H61" s="100">
        <f t="shared" si="28"/>
        <v>1</v>
      </c>
      <c r="I61" s="100">
        <f t="shared" si="28"/>
        <v>1</v>
      </c>
      <c r="J61" s="100">
        <f t="shared" si="28"/>
        <v>0</v>
      </c>
      <c r="K61" s="100">
        <f t="shared" si="28"/>
        <v>0</v>
      </c>
      <c r="L61" s="103">
        <f>SUM(B61:K61)</f>
        <v>4.3669809454737258</v>
      </c>
      <c r="M61" s="103">
        <f ca="1">+SUMIF(B60:K60,"oui",B61:K61)</f>
        <v>4.2527197204457048</v>
      </c>
      <c r="N61" s="88"/>
      <c r="O61" s="88"/>
      <c r="P61" s="88"/>
      <c r="Q61" s="88"/>
    </row>
    <row r="62" spans="1:17">
      <c r="A62" s="101" t="s">
        <v>93</v>
      </c>
      <c r="B62" s="98">
        <v>179.19</v>
      </c>
      <c r="C62" s="98"/>
      <c r="D62" s="98">
        <v>2022.93</v>
      </c>
      <c r="E62" s="98"/>
      <c r="F62" s="98">
        <v>924.57</v>
      </c>
      <c r="G62" s="98">
        <v>1318.72</v>
      </c>
      <c r="H62" s="98">
        <v>2104.11</v>
      </c>
      <c r="I62" s="98">
        <v>1785.46</v>
      </c>
      <c r="J62" s="98"/>
      <c r="K62" s="98"/>
      <c r="L62" s="103">
        <f>SUM(B62:K62)</f>
        <v>8334.98</v>
      </c>
      <c r="M62" s="103">
        <f ca="1">+SUMIF(B60:K60,"OUI",B71:K71)</f>
        <v>41003.360000000001</v>
      </c>
      <c r="N62" s="88"/>
      <c r="O62" s="88"/>
      <c r="P62" s="88"/>
      <c r="Q62" s="88"/>
    </row>
    <row r="63" spans="1:17">
      <c r="A63" s="101" t="s">
        <v>94</v>
      </c>
      <c r="B63" s="98">
        <v>17.329999999999998</v>
      </c>
      <c r="C63" s="98"/>
      <c r="D63" s="98">
        <v>169</v>
      </c>
      <c r="E63" s="98"/>
      <c r="F63" s="98">
        <v>60</v>
      </c>
      <c r="G63" s="98">
        <v>130</v>
      </c>
      <c r="H63" s="98">
        <v>169</v>
      </c>
      <c r="I63" s="98">
        <v>151.66999999999999</v>
      </c>
      <c r="J63" s="98"/>
      <c r="K63" s="98"/>
      <c r="L63" s="103"/>
      <c r="M63" s="103"/>
      <c r="N63" s="88"/>
      <c r="O63" s="88"/>
      <c r="P63" s="88"/>
      <c r="Q63" s="88"/>
    </row>
    <row r="64" spans="1:17">
      <c r="A64" s="101" t="s">
        <v>95</v>
      </c>
      <c r="B64" s="98">
        <f>B63*$B$2*2.5+B55</f>
        <v>5677.89458333333</v>
      </c>
      <c r="C64" s="98">
        <f t="shared" ref="C64:K64" si="29">C63*$B$2*2.5+C55</f>
        <v>3613.4583333333308</v>
      </c>
      <c r="D64" s="98">
        <f t="shared" si="29"/>
        <v>23745.662749999996</v>
      </c>
      <c r="E64" s="98">
        <f t="shared" si="29"/>
        <v>-3667.8587499999999</v>
      </c>
      <c r="F64" s="98">
        <f t="shared" si="29"/>
        <v>7147.5</v>
      </c>
      <c r="G64" s="98">
        <f t="shared" si="29"/>
        <v>16081.875</v>
      </c>
      <c r="H64" s="98">
        <f t="shared" si="29"/>
        <v>20132.125</v>
      </c>
      <c r="I64" s="98">
        <f t="shared" si="29"/>
        <v>16177.413249999998</v>
      </c>
      <c r="J64" s="98">
        <f t="shared" si="29"/>
        <v>0</v>
      </c>
      <c r="K64" s="98">
        <f t="shared" si="29"/>
        <v>0</v>
      </c>
      <c r="L64" s="103"/>
      <c r="M64" s="103"/>
      <c r="N64" s="88"/>
      <c r="O64" s="88"/>
      <c r="P64" s="88"/>
      <c r="Q64" s="88"/>
    </row>
    <row r="65" spans="1:17" s="9" customFormat="1">
      <c r="A65" s="98" t="s">
        <v>96</v>
      </c>
      <c r="B65" s="98" t="e">
        <f ca="1">((0.281/0.6)*(1.6*$B$2*(B58+B63)/(B57+B62)-1))*(B57+B62)-B56-B47-B35-B26-B18</f>
        <v>#VALUE!</v>
      </c>
      <c r="C65" s="98" t="e">
        <f>((0.281/0.6)*(1.6*$B$2*(C58+C63)/(C57+C62)-1))*(C57+C62)-C56-C47-C35</f>
        <v>#VALUE!</v>
      </c>
      <c r="D65" s="98">
        <f t="shared" ref="D65:F65" si="30">((0.281/0.6)*(1.6*$B$2*(D58+D63)/(D57+D62)-1))*(D57+D62)-D56-D47-D35-D26-D18</f>
        <v>259.44823666666593</v>
      </c>
      <c r="E65" s="98">
        <f t="shared" si="30"/>
        <v>2.2737367544323206E-13</v>
      </c>
      <c r="F65" s="98" t="e">
        <f t="shared" si="30"/>
        <v>#REF!</v>
      </c>
      <c r="G65" s="98" t="e">
        <f>((0.281/0.6)*(1.6*$B$2*(G58+G63)/(G57+G62)-1))*(G57+G62)-G56-G47-G35-G18-G26</f>
        <v>#REF!</v>
      </c>
      <c r="H65" s="98" t="e">
        <f t="shared" ref="H65:K65" si="31">((0.281/0.6)*(1.6*$B$2*(H58+H63)/(H57+H62)-1))*(H57+H62)-H56-H47-H35-H18-H26</f>
        <v>#REF!</v>
      </c>
      <c r="I65" s="98" t="e">
        <f t="shared" si="31"/>
        <v>#REF!</v>
      </c>
      <c r="J65" s="98" t="e">
        <f t="shared" si="31"/>
        <v>#DIV/0!</v>
      </c>
      <c r="K65" s="98" t="e">
        <f t="shared" si="31"/>
        <v>#DIV/0!</v>
      </c>
      <c r="L65" s="103"/>
      <c r="M65" s="103">
        <f ca="1">+SUMIF(B65:K65,"&gt;0")</f>
        <v>259.44823666666616</v>
      </c>
      <c r="N65" s="10"/>
      <c r="O65" s="10"/>
      <c r="P65" s="10"/>
      <c r="Q65" s="10"/>
    </row>
    <row r="66" spans="1:17" s="9" customFormat="1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103">
        <f t="shared" ref="L66:L71" si="32">SUM(B66:K66)</f>
        <v>0</v>
      </c>
      <c r="M66" s="103"/>
      <c r="N66" s="10"/>
      <c r="O66" s="10"/>
      <c r="P66" s="10"/>
      <c r="Q66" s="10"/>
    </row>
    <row r="67" spans="1:17" s="9" customFormat="1">
      <c r="A67" s="98" t="s">
        <v>108</v>
      </c>
      <c r="B67" s="98">
        <f>+B62+B53+B44</f>
        <v>575.69000000000005</v>
      </c>
      <c r="C67" s="98">
        <f t="shared" ref="C67:K67" si="33">+C62+C53+C44</f>
        <v>0</v>
      </c>
      <c r="D67" s="98">
        <f t="shared" si="33"/>
        <v>6155.1900000000005</v>
      </c>
      <c r="E67" s="98">
        <f t="shared" si="33"/>
        <v>1900.86</v>
      </c>
      <c r="F67" s="98">
        <f t="shared" si="33"/>
        <v>2878.71</v>
      </c>
      <c r="G67" s="98">
        <f t="shared" si="33"/>
        <v>4278.96</v>
      </c>
      <c r="H67" s="98">
        <f t="shared" si="33"/>
        <v>6396.83</v>
      </c>
      <c r="I67" s="98">
        <f t="shared" si="33"/>
        <v>5417.9400000000005</v>
      </c>
      <c r="J67" s="98">
        <f t="shared" si="33"/>
        <v>0</v>
      </c>
      <c r="K67" s="98">
        <f t="shared" si="33"/>
        <v>0</v>
      </c>
      <c r="L67" s="103">
        <f t="shared" si="32"/>
        <v>27604.18</v>
      </c>
      <c r="M67" s="103"/>
      <c r="N67" s="10"/>
      <c r="O67" s="10"/>
      <c r="P67" s="10"/>
      <c r="Q67" s="10"/>
    </row>
    <row r="68" spans="1:17" s="9" customFormat="1">
      <c r="A68" s="98" t="s">
        <v>109</v>
      </c>
      <c r="B68" s="98">
        <f t="shared" ref="B68:K68" si="34">+B45+B54+B63</f>
        <v>51.989999999999995</v>
      </c>
      <c r="C68" s="98">
        <f t="shared" si="34"/>
        <v>0</v>
      </c>
      <c r="D68" s="98">
        <f t="shared" si="34"/>
        <v>507</v>
      </c>
      <c r="E68" s="98">
        <f t="shared" si="34"/>
        <v>0</v>
      </c>
      <c r="F68" s="98">
        <f t="shared" si="34"/>
        <v>180</v>
      </c>
      <c r="G68" s="98">
        <f t="shared" si="34"/>
        <v>415</v>
      </c>
      <c r="H68" s="98">
        <f t="shared" si="34"/>
        <v>507</v>
      </c>
      <c r="I68" s="98">
        <f t="shared" si="34"/>
        <v>455.01</v>
      </c>
      <c r="J68" s="98">
        <f t="shared" si="34"/>
        <v>0</v>
      </c>
      <c r="K68" s="98">
        <f t="shared" si="34"/>
        <v>0</v>
      </c>
      <c r="L68" s="103">
        <f t="shared" si="32"/>
        <v>2116</v>
      </c>
      <c r="M68" s="103"/>
      <c r="N68" s="10"/>
      <c r="O68" s="10"/>
      <c r="P68" s="10"/>
      <c r="Q68" s="10"/>
    </row>
    <row r="69" spans="1:17" s="9" customFormat="1">
      <c r="A69" s="98" t="s">
        <v>110</v>
      </c>
      <c r="B69" s="98"/>
      <c r="C69" s="98"/>
      <c r="D69" s="98"/>
      <c r="E69" s="105">
        <f>+E65+E56+E47</f>
        <v>-890.23609999999974</v>
      </c>
      <c r="F69" s="98"/>
      <c r="G69" s="98"/>
      <c r="H69" s="98"/>
      <c r="I69" s="98"/>
      <c r="J69" s="98"/>
      <c r="K69" s="98"/>
      <c r="L69" s="103">
        <f t="shared" si="32"/>
        <v>-890.23609999999974</v>
      </c>
      <c r="M69" s="103">
        <f ca="1">+M47+M56+M65</f>
        <v>737.88070999999991</v>
      </c>
      <c r="N69" s="10"/>
      <c r="O69" s="10"/>
      <c r="P69" s="10"/>
      <c r="Q69" s="10"/>
    </row>
    <row r="70" spans="1:17" s="9" customFormat="1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103">
        <f t="shared" si="32"/>
        <v>0</v>
      </c>
      <c r="M70" s="103"/>
      <c r="N70" s="10"/>
      <c r="O70" s="10"/>
      <c r="P70" s="10"/>
      <c r="Q70" s="10"/>
    </row>
    <row r="71" spans="1:17" s="9" customFormat="1">
      <c r="A71" s="98" t="s">
        <v>98</v>
      </c>
      <c r="B71" s="98" t="e">
        <f ca="1">+B67+B37</f>
        <v>#VALUE!</v>
      </c>
      <c r="C71" s="98">
        <f t="shared" ref="C71:K72" si="35">+C67+C37</f>
        <v>5000</v>
      </c>
      <c r="D71" s="98">
        <f t="shared" si="35"/>
        <v>11108.07</v>
      </c>
      <c r="E71" s="98">
        <f t="shared" si="35"/>
        <v>4433.75</v>
      </c>
      <c r="F71" s="98">
        <f t="shared" si="35"/>
        <v>4727.8500000000004</v>
      </c>
      <c r="G71" s="98">
        <f t="shared" si="35"/>
        <v>6916.4</v>
      </c>
      <c r="H71" s="98">
        <f t="shared" si="35"/>
        <v>10502.81</v>
      </c>
      <c r="I71" s="98">
        <f t="shared" si="35"/>
        <v>7748.2300000000005</v>
      </c>
      <c r="J71" s="98">
        <f t="shared" si="35"/>
        <v>0</v>
      </c>
      <c r="K71" s="98">
        <f t="shared" si="35"/>
        <v>0</v>
      </c>
      <c r="L71" s="103" t="e">
        <f t="shared" ca="1" si="32"/>
        <v>#VALUE!</v>
      </c>
      <c r="M71" s="103"/>
      <c r="N71" s="10"/>
      <c r="O71" s="10"/>
      <c r="P71" s="10"/>
      <c r="Q71" s="10"/>
    </row>
    <row r="72" spans="1:17" s="9" customFormat="1">
      <c r="A72" s="98" t="s">
        <v>104</v>
      </c>
      <c r="B72" s="98">
        <f>+B68+B38</f>
        <v>238.31666666666655</v>
      </c>
      <c r="C72" s="98">
        <f t="shared" si="35"/>
        <v>151.66666666666657</v>
      </c>
      <c r="D72" s="98">
        <f t="shared" si="35"/>
        <v>996.67</v>
      </c>
      <c r="E72" s="98">
        <f t="shared" si="35"/>
        <v>-2.2800000000000011</v>
      </c>
      <c r="F72" s="98">
        <f t="shared" si="35"/>
        <v>300</v>
      </c>
      <c r="G72" s="98">
        <f t="shared" si="35"/>
        <v>675</v>
      </c>
      <c r="H72" s="98">
        <f t="shared" si="35"/>
        <v>845</v>
      </c>
      <c r="I72" s="98">
        <f t="shared" si="35"/>
        <v>679.01</v>
      </c>
      <c r="J72" s="98">
        <f t="shared" si="35"/>
        <v>0</v>
      </c>
      <c r="K72" s="98">
        <f t="shared" si="35"/>
        <v>0</v>
      </c>
      <c r="L72" s="103"/>
      <c r="M72" s="103"/>
      <c r="N72" s="10"/>
      <c r="O72" s="10"/>
      <c r="P72" s="10"/>
      <c r="Q72" s="10"/>
    </row>
    <row r="73" spans="1:17" s="9" customFormat="1">
      <c r="A73" s="98"/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103"/>
      <c r="M73" s="103"/>
      <c r="N73" s="10"/>
      <c r="O73" s="10"/>
      <c r="P73" s="10"/>
      <c r="Q73" s="10"/>
    </row>
    <row r="74" spans="1:17" s="9" customFormat="1">
      <c r="A74" s="98"/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103"/>
      <c r="M74" s="103"/>
      <c r="N74" s="10"/>
      <c r="O74" s="10"/>
      <c r="P74" s="10"/>
      <c r="Q74" s="10"/>
    </row>
    <row r="75" spans="1:17">
      <c r="A75" s="97" t="s">
        <v>111</v>
      </c>
      <c r="B75" s="98" t="e">
        <f ca="1">IF((B77+B71)&lt;B79,"Oui","Non")</f>
        <v>#VALUE!</v>
      </c>
      <c r="C75" s="98" t="str">
        <f t="shared" ref="C75:K75" si="36">IF((C77+C71)&lt;C79,"Oui","Non")</f>
        <v>Non</v>
      </c>
      <c r="D75" s="98" t="str">
        <f t="shared" si="36"/>
        <v>Oui</v>
      </c>
      <c r="E75" s="98" t="str">
        <f t="shared" si="36"/>
        <v>Non</v>
      </c>
      <c r="F75" s="98" t="str">
        <f t="shared" si="36"/>
        <v>Oui</v>
      </c>
      <c r="G75" s="98" t="str">
        <f t="shared" si="36"/>
        <v>Oui</v>
      </c>
      <c r="H75" s="98" t="str">
        <f t="shared" si="36"/>
        <v>Oui</v>
      </c>
      <c r="I75" s="98" t="str">
        <f t="shared" si="36"/>
        <v>Oui</v>
      </c>
      <c r="J75" s="98" t="str">
        <f t="shared" si="36"/>
        <v>Non</v>
      </c>
      <c r="K75" s="98" t="str">
        <f t="shared" si="36"/>
        <v>Non</v>
      </c>
      <c r="L75" s="10"/>
      <c r="M75" s="10"/>
      <c r="N75" s="88"/>
      <c r="O75" s="88"/>
      <c r="P75" s="88"/>
      <c r="Q75" s="88"/>
    </row>
    <row r="76" spans="1:17" s="11" customFormat="1">
      <c r="A76" s="99" t="s">
        <v>92</v>
      </c>
      <c r="B76" s="100">
        <f>+IF(B78&gt;151.67,1,B78/151.67)</f>
        <v>0</v>
      </c>
      <c r="C76" s="100">
        <f t="shared" ref="C76:K76" si="37">+IF(C78&gt;151.67,1,C78/151.67)</f>
        <v>0</v>
      </c>
      <c r="D76" s="100">
        <f t="shared" si="37"/>
        <v>0</v>
      </c>
      <c r="E76" s="100">
        <f t="shared" si="37"/>
        <v>0</v>
      </c>
      <c r="F76" s="100">
        <f t="shared" si="37"/>
        <v>0</v>
      </c>
      <c r="G76" s="100">
        <f t="shared" si="37"/>
        <v>0</v>
      </c>
      <c r="H76" s="100">
        <f t="shared" si="37"/>
        <v>0</v>
      </c>
      <c r="I76" s="100">
        <f t="shared" si="37"/>
        <v>0</v>
      </c>
      <c r="J76" s="100">
        <f t="shared" si="37"/>
        <v>0</v>
      </c>
      <c r="K76" s="100">
        <f t="shared" si="37"/>
        <v>0</v>
      </c>
      <c r="L76" s="92">
        <f>+SUM(B76:K76)</f>
        <v>0</v>
      </c>
      <c r="M76" s="92">
        <f ca="1">+SUMIF(B75:K75,"oui",B76:K76)</f>
        <v>0</v>
      </c>
      <c r="N76" s="89"/>
      <c r="O76" s="89"/>
      <c r="P76" s="89"/>
      <c r="Q76" s="89"/>
    </row>
    <row r="77" spans="1:17">
      <c r="A77" s="101" t="s">
        <v>93</v>
      </c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103">
        <f>SUM(B77:K77)</f>
        <v>0</v>
      </c>
      <c r="M77" s="103">
        <f ca="1">+SUMIF(B75:K75,"OUI",B82:K82)</f>
        <v>41003.360000000001</v>
      </c>
      <c r="N77" s="88"/>
      <c r="O77" s="88"/>
      <c r="P77" s="88"/>
      <c r="Q77" s="88"/>
    </row>
    <row r="78" spans="1:17">
      <c r="A78" s="101" t="s">
        <v>94</v>
      </c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103"/>
      <c r="M78" s="103"/>
      <c r="N78" s="88"/>
      <c r="O78" s="88"/>
      <c r="P78" s="88"/>
      <c r="Q78" s="88"/>
    </row>
    <row r="79" spans="1:17">
      <c r="A79" s="101" t="s">
        <v>95</v>
      </c>
      <c r="B79" s="98">
        <f>B78*$B$2*2.5+B64</f>
        <v>5677.89458333333</v>
      </c>
      <c r="C79" s="98">
        <f t="shared" ref="C79:K79" si="38">C78*$B$2*2.5+C64</f>
        <v>3613.4583333333308</v>
      </c>
      <c r="D79" s="98">
        <f t="shared" si="38"/>
        <v>23745.662749999996</v>
      </c>
      <c r="E79" s="98">
        <f t="shared" si="38"/>
        <v>-3667.8587499999999</v>
      </c>
      <c r="F79" s="98">
        <f t="shared" si="38"/>
        <v>7147.5</v>
      </c>
      <c r="G79" s="98">
        <f t="shared" si="38"/>
        <v>16081.875</v>
      </c>
      <c r="H79" s="98">
        <f t="shared" si="38"/>
        <v>20132.125</v>
      </c>
      <c r="I79" s="98">
        <f t="shared" si="38"/>
        <v>16177.413249999998</v>
      </c>
      <c r="J79" s="98">
        <f t="shared" si="38"/>
        <v>0</v>
      </c>
      <c r="K79" s="98">
        <f t="shared" si="38"/>
        <v>0</v>
      </c>
      <c r="L79" s="103"/>
      <c r="M79" s="103"/>
      <c r="N79" s="88"/>
      <c r="O79" s="88"/>
      <c r="P79" s="88"/>
      <c r="Q79" s="88"/>
    </row>
    <row r="80" spans="1:17" s="9" customFormat="1">
      <c r="A80" s="98" t="s">
        <v>96</v>
      </c>
      <c r="B80" s="98" t="e">
        <f ca="1">((0.281/0.6)*(1.6*$B$2*(B78+B72)/(B77+B71)-1))*(B77+B71)-B56-B47-B35-B26-B18-B65</f>
        <v>#VALUE!</v>
      </c>
      <c r="C80" s="98" t="e">
        <f t="shared" ref="C80:I80" si="39">((0.281/0.6)*(1.6*$B$2*(C78+C72)/(C77+C71)-1))*(C77+C71)-C56-C47-C35-C26-C18-C65</f>
        <v>#VALUE!</v>
      </c>
      <c r="D80" s="98">
        <f t="shared" si="39"/>
        <v>0</v>
      </c>
      <c r="E80" s="106">
        <f t="shared" si="39"/>
        <v>0</v>
      </c>
      <c r="F80" s="98" t="e">
        <f t="shared" si="39"/>
        <v>#REF!</v>
      </c>
      <c r="G80" s="98" t="e">
        <f t="shared" si="39"/>
        <v>#REF!</v>
      </c>
      <c r="H80" s="98" t="e">
        <f t="shared" si="39"/>
        <v>#REF!</v>
      </c>
      <c r="I80" s="98" t="e">
        <f t="shared" si="39"/>
        <v>#REF!</v>
      </c>
      <c r="J80" s="98"/>
      <c r="K80" s="98"/>
      <c r="L80" s="103"/>
      <c r="M80" s="103">
        <f ca="1">+SUMIF(B80:K80,"&gt;0")</f>
        <v>0</v>
      </c>
      <c r="N80" s="10"/>
      <c r="O80" s="10"/>
      <c r="P80" s="10"/>
      <c r="Q80" s="10"/>
    </row>
    <row r="81" spans="1:17" s="9" customFormat="1">
      <c r="A81" s="98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103"/>
      <c r="M81" s="103"/>
      <c r="N81" s="10"/>
      <c r="O81" s="10"/>
      <c r="P81" s="10"/>
      <c r="Q81" s="10"/>
    </row>
    <row r="82" spans="1:17" s="9" customFormat="1">
      <c r="A82" s="98" t="s">
        <v>98</v>
      </c>
      <c r="B82" s="98" t="e">
        <f ca="1">+B71+B77</f>
        <v>#VALUE!</v>
      </c>
      <c r="C82" s="98">
        <f t="shared" ref="C82:K83" si="40">+C71+C77</f>
        <v>5000</v>
      </c>
      <c r="D82" s="98">
        <f t="shared" si="40"/>
        <v>11108.07</v>
      </c>
      <c r="E82" s="98">
        <f t="shared" si="40"/>
        <v>4433.75</v>
      </c>
      <c r="F82" s="98">
        <f t="shared" si="40"/>
        <v>4727.8500000000004</v>
      </c>
      <c r="G82" s="98">
        <f t="shared" si="40"/>
        <v>6916.4</v>
      </c>
      <c r="H82" s="98">
        <f t="shared" si="40"/>
        <v>10502.81</v>
      </c>
      <c r="I82" s="98">
        <f t="shared" si="40"/>
        <v>7748.2300000000005</v>
      </c>
      <c r="J82" s="98">
        <f t="shared" si="40"/>
        <v>0</v>
      </c>
      <c r="K82" s="98">
        <f t="shared" si="40"/>
        <v>0</v>
      </c>
      <c r="L82" s="103"/>
      <c r="M82" s="103"/>
      <c r="N82" s="10"/>
      <c r="O82" s="10"/>
      <c r="P82" s="10"/>
      <c r="Q82" s="10"/>
    </row>
    <row r="83" spans="1:17" s="9" customFormat="1">
      <c r="A83" s="98" t="s">
        <v>104</v>
      </c>
      <c r="B83" s="98">
        <f>+B72+B78</f>
        <v>238.31666666666655</v>
      </c>
      <c r="C83" s="98">
        <f t="shared" si="40"/>
        <v>151.66666666666657</v>
      </c>
      <c r="D83" s="98">
        <f t="shared" si="40"/>
        <v>996.67</v>
      </c>
      <c r="E83" s="98">
        <f t="shared" si="40"/>
        <v>-2.2800000000000011</v>
      </c>
      <c r="F83" s="98">
        <f t="shared" si="40"/>
        <v>300</v>
      </c>
      <c r="G83" s="98">
        <f t="shared" si="40"/>
        <v>675</v>
      </c>
      <c r="H83" s="98">
        <f t="shared" si="40"/>
        <v>845</v>
      </c>
      <c r="I83" s="98">
        <f t="shared" si="40"/>
        <v>679.01</v>
      </c>
      <c r="J83" s="98">
        <f t="shared" si="40"/>
        <v>0</v>
      </c>
      <c r="K83" s="98">
        <f t="shared" si="40"/>
        <v>0</v>
      </c>
      <c r="L83" s="103"/>
      <c r="M83" s="103"/>
      <c r="N83" s="10"/>
      <c r="O83" s="10"/>
      <c r="P83" s="10"/>
      <c r="Q83" s="10"/>
    </row>
    <row r="84" spans="1:17" s="9" customFormat="1">
      <c r="A84" s="98"/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103"/>
      <c r="M84" s="103"/>
      <c r="N84" s="10"/>
      <c r="O84" s="10"/>
      <c r="P84" s="10"/>
      <c r="Q84" s="10"/>
    </row>
    <row r="85" spans="1:17">
      <c r="A85" s="97" t="s">
        <v>112</v>
      </c>
      <c r="B85" s="98" t="e">
        <f ca="1">IF((B87+B82)&lt;(B89),"Oui","Non")</f>
        <v>#VALUE!</v>
      </c>
      <c r="C85" s="98" t="str">
        <f t="shared" ref="C85:K85" si="41">IF((C87+C82)&lt;(C89),"Oui","Non")</f>
        <v>Non</v>
      </c>
      <c r="D85" s="98" t="str">
        <f t="shared" si="41"/>
        <v>Oui</v>
      </c>
      <c r="E85" s="98" t="str">
        <f t="shared" si="41"/>
        <v>Non</v>
      </c>
      <c r="F85" s="98" t="str">
        <f t="shared" si="41"/>
        <v>Oui</v>
      </c>
      <c r="G85" s="98" t="str">
        <f t="shared" si="41"/>
        <v>Oui</v>
      </c>
      <c r="H85" s="98" t="str">
        <f t="shared" si="41"/>
        <v>Oui</v>
      </c>
      <c r="I85" s="98" t="str">
        <f t="shared" si="41"/>
        <v>Oui</v>
      </c>
      <c r="J85" s="98" t="str">
        <f t="shared" si="41"/>
        <v>Non</v>
      </c>
      <c r="K85" s="98" t="str">
        <f t="shared" si="41"/>
        <v>Non</v>
      </c>
      <c r="L85" s="103"/>
      <c r="M85" s="103"/>
      <c r="N85" s="88"/>
      <c r="O85" s="88"/>
      <c r="P85" s="88"/>
      <c r="Q85" s="88"/>
    </row>
    <row r="86" spans="1:17" s="11" customFormat="1">
      <c r="A86" s="99" t="s">
        <v>92</v>
      </c>
      <c r="B86" s="100">
        <f>+IF(B88&gt;151.67,1,B88/151.67)</f>
        <v>0</v>
      </c>
      <c r="C86" s="100">
        <f t="shared" ref="C86:K86" si="42">+IF(C88&gt;151.67,1,C88/151.67)</f>
        <v>0</v>
      </c>
      <c r="D86" s="100">
        <f t="shared" si="42"/>
        <v>0</v>
      </c>
      <c r="E86" s="100">
        <f t="shared" si="42"/>
        <v>0</v>
      </c>
      <c r="F86" s="100">
        <f t="shared" si="42"/>
        <v>0</v>
      </c>
      <c r="G86" s="100">
        <f t="shared" si="42"/>
        <v>0</v>
      </c>
      <c r="H86" s="100">
        <f t="shared" si="42"/>
        <v>0</v>
      </c>
      <c r="I86" s="100">
        <f t="shared" si="42"/>
        <v>0</v>
      </c>
      <c r="J86" s="100">
        <f t="shared" si="42"/>
        <v>0</v>
      </c>
      <c r="K86" s="100">
        <f t="shared" si="42"/>
        <v>0</v>
      </c>
      <c r="L86" s="103">
        <f>SUM(B86:K86)</f>
        <v>0</v>
      </c>
      <c r="M86" s="103">
        <f ca="1">+SUMIF(B85:K85,"oui",B86:K86)</f>
        <v>0</v>
      </c>
      <c r="N86" s="89"/>
      <c r="O86" s="89"/>
      <c r="P86" s="89"/>
      <c r="Q86" s="89"/>
    </row>
    <row r="87" spans="1:17">
      <c r="A87" s="101" t="s">
        <v>93</v>
      </c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103">
        <f>SUM(B87:K87)</f>
        <v>0</v>
      </c>
      <c r="M87" s="103">
        <f ca="1">+SUMIF(B85:K85,"OUI",B92:K92)</f>
        <v>41003.360000000001</v>
      </c>
      <c r="N87" s="88"/>
      <c r="O87" s="88"/>
      <c r="P87" s="88"/>
      <c r="Q87" s="88"/>
    </row>
    <row r="88" spans="1:17">
      <c r="A88" s="101" t="s">
        <v>94</v>
      </c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103"/>
      <c r="M88" s="103"/>
      <c r="N88" s="88"/>
      <c r="O88" s="88"/>
      <c r="P88" s="88"/>
      <c r="Q88" s="88"/>
    </row>
    <row r="89" spans="1:17">
      <c r="A89" s="101" t="s">
        <v>95</v>
      </c>
      <c r="B89" s="98">
        <f>B88*$B$2*2.5+B79</f>
        <v>5677.89458333333</v>
      </c>
      <c r="C89" s="98">
        <f t="shared" ref="C89:K89" si="43">C88*$B$2*2.5+C79</f>
        <v>3613.4583333333308</v>
      </c>
      <c r="D89" s="98">
        <f t="shared" si="43"/>
        <v>23745.662749999996</v>
      </c>
      <c r="E89" s="98">
        <f t="shared" si="43"/>
        <v>-3667.8587499999999</v>
      </c>
      <c r="F89" s="98">
        <f t="shared" si="43"/>
        <v>7147.5</v>
      </c>
      <c r="G89" s="98">
        <f t="shared" si="43"/>
        <v>16081.875</v>
      </c>
      <c r="H89" s="98">
        <f t="shared" si="43"/>
        <v>20132.125</v>
      </c>
      <c r="I89" s="98">
        <f t="shared" si="43"/>
        <v>16177.413249999998</v>
      </c>
      <c r="J89" s="98">
        <f t="shared" si="43"/>
        <v>0</v>
      </c>
      <c r="K89" s="98">
        <f t="shared" si="43"/>
        <v>0</v>
      </c>
      <c r="L89" s="103"/>
      <c r="M89" s="103"/>
      <c r="N89" s="88"/>
      <c r="O89" s="88"/>
      <c r="P89" s="88"/>
      <c r="Q89" s="88"/>
    </row>
    <row r="90" spans="1:17" s="9" customFormat="1">
      <c r="A90" s="98" t="s">
        <v>96</v>
      </c>
      <c r="B90" s="98" t="e">
        <f ca="1">((0.281/0.6)*(1.6*$B$2*(B83+B88)/(B82+B87)-1))*(B82+B87)-B80-B56-B47-B35-B26-B18-B65</f>
        <v>#VALUE!</v>
      </c>
      <c r="C90" s="98" t="e">
        <f t="shared" ref="C90:I90" si="44">((0.281/0.6)*(1.6*$B$2*(C83+C88)/(C82+C87)-1))*(C82+C87)-C80-C56-C47-C35-C26-C18-C65</f>
        <v>#VALUE!</v>
      </c>
      <c r="D90" s="98">
        <f t="shared" si="44"/>
        <v>0</v>
      </c>
      <c r="E90" s="98">
        <f t="shared" si="44"/>
        <v>0</v>
      </c>
      <c r="F90" s="98" t="e">
        <f t="shared" si="44"/>
        <v>#REF!</v>
      </c>
      <c r="G90" s="98" t="e">
        <f t="shared" si="44"/>
        <v>#REF!</v>
      </c>
      <c r="H90" s="98" t="e">
        <f t="shared" si="44"/>
        <v>#REF!</v>
      </c>
      <c r="I90" s="98" t="e">
        <f t="shared" si="44"/>
        <v>#REF!</v>
      </c>
      <c r="J90" s="98"/>
      <c r="K90" s="98"/>
      <c r="L90" s="103"/>
      <c r="M90" s="103">
        <f ca="1">+SUMIF(B90:K90,"&gt;0")</f>
        <v>0</v>
      </c>
      <c r="N90" s="10"/>
      <c r="O90" s="10"/>
      <c r="P90" s="10"/>
      <c r="Q90" s="10"/>
    </row>
    <row r="91" spans="1:17" s="9" customFormat="1">
      <c r="A91" s="98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103"/>
      <c r="M91" s="103"/>
      <c r="N91" s="10"/>
      <c r="O91" s="10"/>
      <c r="P91" s="10"/>
      <c r="Q91" s="10"/>
    </row>
    <row r="92" spans="1:17" s="9" customFormat="1">
      <c r="A92" s="98" t="s">
        <v>98</v>
      </c>
      <c r="B92" s="98" t="e">
        <f ca="1">+B82+B87</f>
        <v>#VALUE!</v>
      </c>
      <c r="C92" s="98">
        <f t="shared" ref="C92:K93" si="45">+C82+C87</f>
        <v>5000</v>
      </c>
      <c r="D92" s="98">
        <f t="shared" si="45"/>
        <v>11108.07</v>
      </c>
      <c r="E92" s="98">
        <f t="shared" si="45"/>
        <v>4433.75</v>
      </c>
      <c r="F92" s="98">
        <f t="shared" si="45"/>
        <v>4727.8500000000004</v>
      </c>
      <c r="G92" s="98">
        <f t="shared" si="45"/>
        <v>6916.4</v>
      </c>
      <c r="H92" s="98">
        <f t="shared" si="45"/>
        <v>10502.81</v>
      </c>
      <c r="I92" s="98">
        <f t="shared" si="45"/>
        <v>7748.2300000000005</v>
      </c>
      <c r="J92" s="98">
        <f t="shared" si="45"/>
        <v>0</v>
      </c>
      <c r="K92" s="98">
        <f t="shared" si="45"/>
        <v>0</v>
      </c>
      <c r="L92" s="103"/>
      <c r="M92" s="103"/>
      <c r="N92" s="10"/>
      <c r="O92" s="10"/>
      <c r="P92" s="10"/>
      <c r="Q92" s="10"/>
    </row>
    <row r="93" spans="1:17" s="9" customFormat="1">
      <c r="A93" s="98" t="s">
        <v>104</v>
      </c>
      <c r="B93" s="98">
        <f>+B83+B88</f>
        <v>238.31666666666655</v>
      </c>
      <c r="C93" s="98">
        <f t="shared" si="45"/>
        <v>151.66666666666657</v>
      </c>
      <c r="D93" s="98">
        <f t="shared" si="45"/>
        <v>996.67</v>
      </c>
      <c r="E93" s="98">
        <f t="shared" si="45"/>
        <v>-2.2800000000000011</v>
      </c>
      <c r="F93" s="98">
        <f t="shared" si="45"/>
        <v>300</v>
      </c>
      <c r="G93" s="98">
        <f t="shared" si="45"/>
        <v>675</v>
      </c>
      <c r="H93" s="98">
        <f t="shared" si="45"/>
        <v>845</v>
      </c>
      <c r="I93" s="98">
        <f t="shared" si="45"/>
        <v>679.01</v>
      </c>
      <c r="J93" s="98">
        <f t="shared" si="45"/>
        <v>0</v>
      </c>
      <c r="K93" s="98">
        <f t="shared" si="45"/>
        <v>0</v>
      </c>
      <c r="L93" s="103"/>
      <c r="M93" s="103"/>
      <c r="N93" s="10"/>
      <c r="O93" s="10"/>
      <c r="P93" s="10"/>
      <c r="Q93" s="10"/>
    </row>
    <row r="94" spans="1:17" s="9" customFormat="1">
      <c r="A94" s="98"/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103"/>
      <c r="M94" s="103"/>
      <c r="N94" s="10"/>
      <c r="O94" s="10"/>
      <c r="P94" s="10"/>
      <c r="Q94" s="10"/>
    </row>
    <row r="95" spans="1:17">
      <c r="A95" s="97" t="s">
        <v>113</v>
      </c>
      <c r="B95" s="98" t="e">
        <f ca="1">IF((B92+B97)&lt;B99,"Oui","Non")</f>
        <v>#VALUE!</v>
      </c>
      <c r="C95" s="98" t="str">
        <f t="shared" ref="C95:K95" si="46">IF((C92+C97)&lt;C99,"Oui","Non")</f>
        <v>Non</v>
      </c>
      <c r="D95" s="98" t="str">
        <f t="shared" si="46"/>
        <v>Oui</v>
      </c>
      <c r="E95" s="98" t="str">
        <f t="shared" si="46"/>
        <v>Non</v>
      </c>
      <c r="F95" s="98" t="str">
        <f t="shared" si="46"/>
        <v>Oui</v>
      </c>
      <c r="G95" s="98" t="str">
        <f t="shared" si="46"/>
        <v>Oui</v>
      </c>
      <c r="H95" s="98" t="str">
        <f t="shared" si="46"/>
        <v>Oui</v>
      </c>
      <c r="I95" s="98" t="str">
        <f t="shared" si="46"/>
        <v>Oui</v>
      </c>
      <c r="J95" s="98" t="str">
        <f t="shared" si="46"/>
        <v>Non</v>
      </c>
      <c r="K95" s="98" t="str">
        <f t="shared" si="46"/>
        <v>Non</v>
      </c>
      <c r="L95" s="103" t="e">
        <f ca="1">SUM(B95:K95)</f>
        <v>#VALUE!</v>
      </c>
      <c r="M95" s="103"/>
      <c r="N95" s="88"/>
      <c r="O95" s="88"/>
      <c r="P95" s="88"/>
      <c r="Q95" s="88"/>
    </row>
    <row r="96" spans="1:17">
      <c r="A96" s="99" t="s">
        <v>92</v>
      </c>
      <c r="B96" s="100">
        <f>+IF(B98&gt;151.67,1,B98/151.67)</f>
        <v>0</v>
      </c>
      <c r="C96" s="100">
        <f t="shared" ref="C96:K96" si="47">+IF(C98&gt;151.67,1,C98/151.67)</f>
        <v>0</v>
      </c>
      <c r="D96" s="100">
        <f t="shared" si="47"/>
        <v>0</v>
      </c>
      <c r="E96" s="100">
        <f t="shared" si="47"/>
        <v>0</v>
      </c>
      <c r="F96" s="100">
        <f t="shared" si="47"/>
        <v>0</v>
      </c>
      <c r="G96" s="100">
        <f t="shared" si="47"/>
        <v>0</v>
      </c>
      <c r="H96" s="100">
        <f t="shared" si="47"/>
        <v>0</v>
      </c>
      <c r="I96" s="100">
        <f t="shared" si="47"/>
        <v>0</v>
      </c>
      <c r="J96" s="100">
        <f t="shared" si="47"/>
        <v>0</v>
      </c>
      <c r="K96" s="100">
        <f t="shared" si="47"/>
        <v>0</v>
      </c>
      <c r="L96" s="103">
        <f>SUM(B96:K96)</f>
        <v>0</v>
      </c>
      <c r="M96" s="103">
        <f ca="1">+SUMIF(B95:K95,"oui",B96:K96)</f>
        <v>0</v>
      </c>
      <c r="N96" s="88"/>
      <c r="O96" s="88"/>
      <c r="P96" s="88"/>
      <c r="Q96" s="88"/>
    </row>
    <row r="97" spans="1:17">
      <c r="A97" s="101" t="s">
        <v>93</v>
      </c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103">
        <f>SUM(B97:K97)</f>
        <v>0</v>
      </c>
      <c r="M97" s="103">
        <f ca="1">+SUMIF(B95:K95,"OUI",B106:K106)</f>
        <v>41003.360000000001</v>
      </c>
      <c r="N97" s="88"/>
      <c r="O97" s="88"/>
      <c r="P97" s="88"/>
      <c r="Q97" s="88"/>
    </row>
    <row r="98" spans="1:17">
      <c r="A98" s="101" t="s">
        <v>94</v>
      </c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103"/>
      <c r="M98" s="103"/>
      <c r="N98" s="88"/>
      <c r="O98" s="88"/>
      <c r="P98" s="88"/>
      <c r="Q98" s="88"/>
    </row>
    <row r="99" spans="1:17">
      <c r="A99" s="101" t="s">
        <v>95</v>
      </c>
      <c r="B99" s="98">
        <f>B98*$B$2*2.5+B89</f>
        <v>5677.89458333333</v>
      </c>
      <c r="C99" s="98">
        <f t="shared" ref="C99:K99" si="48">C98*$B$2*2.5+C89</f>
        <v>3613.4583333333308</v>
      </c>
      <c r="D99" s="98">
        <f t="shared" si="48"/>
        <v>23745.662749999996</v>
      </c>
      <c r="E99" s="98">
        <f t="shared" si="48"/>
        <v>-3667.8587499999999</v>
      </c>
      <c r="F99" s="98">
        <f t="shared" si="48"/>
        <v>7147.5</v>
      </c>
      <c r="G99" s="98">
        <f t="shared" si="48"/>
        <v>16081.875</v>
      </c>
      <c r="H99" s="98">
        <f t="shared" si="48"/>
        <v>20132.125</v>
      </c>
      <c r="I99" s="98">
        <f t="shared" si="48"/>
        <v>16177.413249999998</v>
      </c>
      <c r="J99" s="98">
        <f t="shared" si="48"/>
        <v>0</v>
      </c>
      <c r="K99" s="98">
        <f t="shared" si="48"/>
        <v>0</v>
      </c>
      <c r="L99" s="103"/>
      <c r="M99" s="103"/>
      <c r="N99" s="88"/>
      <c r="O99" s="88"/>
      <c r="P99" s="88"/>
      <c r="Q99" s="88"/>
    </row>
    <row r="100" spans="1:17" s="9" customFormat="1">
      <c r="A100" s="98" t="s">
        <v>96</v>
      </c>
      <c r="B100" s="98" t="e">
        <f ca="1">((0.281/0.6)*(1.6*$B$2*(B93+B98)/(B92+B97)-1))*(B92+B97)-B90-B80-B56-B47-B35-B26-B18-B65</f>
        <v>#VALUE!</v>
      </c>
      <c r="C100" s="98" t="e">
        <f t="shared" ref="C100:I100" si="49">((0.281/0.6)*(1.6*$B$2*(C93+C98)/(C92+C97)-1))*(C92+C97)-C90-C80-C56-C47-C35-C26-C18-C65</f>
        <v>#VALUE!</v>
      </c>
      <c r="D100" s="98">
        <f t="shared" si="49"/>
        <v>0</v>
      </c>
      <c r="E100" s="98">
        <f t="shared" si="49"/>
        <v>0</v>
      </c>
      <c r="F100" s="98" t="e">
        <f t="shared" si="49"/>
        <v>#REF!</v>
      </c>
      <c r="G100" s="98" t="e">
        <f t="shared" si="49"/>
        <v>#REF!</v>
      </c>
      <c r="H100" s="98" t="e">
        <f t="shared" si="49"/>
        <v>#REF!</v>
      </c>
      <c r="I100" s="98" t="e">
        <f t="shared" si="49"/>
        <v>#REF!</v>
      </c>
      <c r="J100" s="98"/>
      <c r="K100" s="98"/>
      <c r="L100" s="103"/>
      <c r="M100" s="103">
        <f ca="1">+SUMIF(B100:K100,"&gt;0")</f>
        <v>0</v>
      </c>
      <c r="N100" s="10"/>
      <c r="O100" s="10"/>
      <c r="P100" s="10"/>
      <c r="Q100" s="10"/>
    </row>
    <row r="101" spans="1:17" s="9" customFormat="1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  <c r="L101" s="103">
        <f>SUM(B101:K101)</f>
        <v>0</v>
      </c>
      <c r="M101" s="103"/>
      <c r="N101" s="10"/>
      <c r="O101" s="10"/>
      <c r="P101" s="10"/>
      <c r="Q101" s="10"/>
    </row>
    <row r="102" spans="1:17" s="9" customFormat="1">
      <c r="A102" s="98" t="s">
        <v>114</v>
      </c>
      <c r="B102" s="98">
        <f>+B77+B87+B97</f>
        <v>0</v>
      </c>
      <c r="C102" s="98">
        <f t="shared" ref="C102" si="50">+C77+C87+C97</f>
        <v>0</v>
      </c>
      <c r="D102" s="98">
        <f>+D77+D87+D97</f>
        <v>0</v>
      </c>
      <c r="E102" s="98">
        <f t="shared" ref="E102" si="51">+E77+E87+E97</f>
        <v>0</v>
      </c>
      <c r="F102" s="98">
        <f>+F77+F87+F97</f>
        <v>0</v>
      </c>
      <c r="G102" s="98">
        <f t="shared" ref="G102" si="52">+G77+G87+G97</f>
        <v>0</v>
      </c>
      <c r="H102" s="98">
        <f>+H77+H87+H97</f>
        <v>0</v>
      </c>
      <c r="I102" s="98">
        <f t="shared" ref="I102" si="53">+I77+I87+I97</f>
        <v>0</v>
      </c>
      <c r="J102" s="98">
        <f>+J77+J87+J97</f>
        <v>0</v>
      </c>
      <c r="K102" s="98">
        <f>+K77+K87+K97</f>
        <v>0</v>
      </c>
      <c r="L102" s="103">
        <f>SUM(B102:K102)</f>
        <v>0</v>
      </c>
      <c r="M102" s="103"/>
      <c r="N102" s="10"/>
      <c r="O102" s="10"/>
      <c r="P102" s="10"/>
      <c r="Q102" s="10"/>
    </row>
    <row r="103" spans="1:17" s="9" customFormat="1">
      <c r="A103" s="98" t="s">
        <v>115</v>
      </c>
      <c r="B103" s="98">
        <f>+B78+B88+B98</f>
        <v>0</v>
      </c>
      <c r="C103" s="98">
        <f>+C78+C88+C98</f>
        <v>0</v>
      </c>
      <c r="D103" s="98">
        <f>+D78+D88+D98</f>
        <v>0</v>
      </c>
      <c r="E103" s="98">
        <f>+E78+E88+E98</f>
        <v>0</v>
      </c>
      <c r="F103" s="98">
        <f>+F78+F88+F98</f>
        <v>0</v>
      </c>
      <c r="G103" s="98">
        <f>+G78+G88+G98</f>
        <v>0</v>
      </c>
      <c r="H103" s="98">
        <f>+H78+H88+H98</f>
        <v>0</v>
      </c>
      <c r="I103" s="98">
        <f>+I78+I88+I98</f>
        <v>0</v>
      </c>
      <c r="J103" s="98">
        <f>+J78+J88+J98</f>
        <v>0</v>
      </c>
      <c r="K103" s="98">
        <f>+K78+K88+K98</f>
        <v>0</v>
      </c>
      <c r="L103" s="103">
        <f>SUM(B103:K103)</f>
        <v>0</v>
      </c>
      <c r="M103" s="103"/>
      <c r="N103" s="10"/>
      <c r="O103" s="10"/>
      <c r="P103" s="10"/>
      <c r="Q103" s="10"/>
    </row>
    <row r="104" spans="1:17" s="9" customFormat="1">
      <c r="A104" s="98" t="s">
        <v>116</v>
      </c>
      <c r="B104" s="98"/>
      <c r="C104" s="98"/>
      <c r="D104" s="98"/>
      <c r="E104" s="105">
        <f>+E80</f>
        <v>0</v>
      </c>
      <c r="F104" s="98"/>
      <c r="G104" s="98"/>
      <c r="H104" s="98"/>
      <c r="I104" s="98"/>
      <c r="J104" s="98"/>
      <c r="K104" s="98"/>
      <c r="L104" s="103">
        <f>SUM(B104:K104)</f>
        <v>0</v>
      </c>
      <c r="M104" s="103">
        <f ca="1">+M80+M90+M100</f>
        <v>0</v>
      </c>
      <c r="N104" s="10"/>
      <c r="O104" s="10"/>
      <c r="P104" s="10"/>
      <c r="Q104" s="10"/>
    </row>
    <row r="105" spans="1:17" s="9" customFormat="1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103">
        <f>SUM(B105:K105)</f>
        <v>0</v>
      </c>
      <c r="M105" s="103"/>
      <c r="N105" s="10"/>
      <c r="O105" s="10"/>
      <c r="P105" s="10"/>
      <c r="Q105" s="10"/>
    </row>
    <row r="106" spans="1:17" s="9" customFormat="1">
      <c r="A106" s="98" t="s">
        <v>117</v>
      </c>
      <c r="B106" s="98" t="e">
        <f ca="1">+B97+B92</f>
        <v>#VALUE!</v>
      </c>
      <c r="C106" s="98">
        <f t="shared" ref="C106:K107" si="54">+C97+C92</f>
        <v>5000</v>
      </c>
      <c r="D106" s="98">
        <f t="shared" si="54"/>
        <v>11108.07</v>
      </c>
      <c r="E106" s="98">
        <f t="shared" si="54"/>
        <v>4433.75</v>
      </c>
      <c r="F106" s="98">
        <f t="shared" si="54"/>
        <v>4727.8500000000004</v>
      </c>
      <c r="G106" s="98">
        <f t="shared" si="54"/>
        <v>6916.4</v>
      </c>
      <c r="H106" s="98">
        <f t="shared" si="54"/>
        <v>10502.81</v>
      </c>
      <c r="I106" s="98">
        <f t="shared" si="54"/>
        <v>7748.2300000000005</v>
      </c>
      <c r="J106" s="98">
        <f t="shared" si="54"/>
        <v>0</v>
      </c>
      <c r="K106" s="98">
        <f t="shared" si="54"/>
        <v>0</v>
      </c>
      <c r="L106" s="103"/>
      <c r="M106" s="103"/>
      <c r="N106" s="10"/>
      <c r="O106" s="10"/>
      <c r="P106" s="10"/>
      <c r="Q106" s="10"/>
    </row>
    <row r="107" spans="1:17" s="9" customFormat="1">
      <c r="A107" s="98" t="s">
        <v>104</v>
      </c>
      <c r="B107" s="98">
        <f>+B98+B93</f>
        <v>238.31666666666655</v>
      </c>
      <c r="C107" s="98">
        <f t="shared" si="54"/>
        <v>151.66666666666657</v>
      </c>
      <c r="D107" s="98">
        <f t="shared" si="54"/>
        <v>996.67</v>
      </c>
      <c r="E107" s="98">
        <f t="shared" si="54"/>
        <v>-2.2800000000000011</v>
      </c>
      <c r="F107" s="98">
        <f t="shared" si="54"/>
        <v>300</v>
      </c>
      <c r="G107" s="98">
        <f t="shared" si="54"/>
        <v>675</v>
      </c>
      <c r="H107" s="98">
        <f t="shared" si="54"/>
        <v>845</v>
      </c>
      <c r="I107" s="98">
        <f t="shared" si="54"/>
        <v>679.01</v>
      </c>
      <c r="J107" s="98">
        <f t="shared" si="54"/>
        <v>0</v>
      </c>
      <c r="K107" s="98">
        <f t="shared" si="54"/>
        <v>0</v>
      </c>
      <c r="L107" s="103"/>
      <c r="M107" s="103"/>
      <c r="N107" s="10"/>
      <c r="O107" s="10"/>
      <c r="P107" s="10"/>
      <c r="Q107" s="10"/>
    </row>
    <row r="108" spans="1:17" s="9" customFormat="1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103">
        <f>SUM(B108:K108)</f>
        <v>0</v>
      </c>
      <c r="M108" s="103"/>
      <c r="N108" s="10"/>
      <c r="O108" s="10"/>
      <c r="P108" s="10"/>
      <c r="Q108" s="10"/>
    </row>
    <row r="109" spans="1:17">
      <c r="A109" s="97" t="s">
        <v>118</v>
      </c>
      <c r="B109" s="98" t="e">
        <f ca="1">IF((B111+B106)&lt;B113,"Oui","Non")</f>
        <v>#VALUE!</v>
      </c>
      <c r="C109" s="98" t="str">
        <f t="shared" ref="C109:K109" si="55">IF((C111+C106)&lt;C113,"Oui","Non")</f>
        <v>Non</v>
      </c>
      <c r="D109" s="98" t="str">
        <f t="shared" si="55"/>
        <v>Oui</v>
      </c>
      <c r="E109" s="98" t="str">
        <f t="shared" si="55"/>
        <v>Non</v>
      </c>
      <c r="F109" s="98" t="str">
        <f t="shared" si="55"/>
        <v>Oui</v>
      </c>
      <c r="G109" s="98" t="str">
        <f t="shared" si="55"/>
        <v>Oui</v>
      </c>
      <c r="H109" s="98" t="str">
        <f t="shared" si="55"/>
        <v>Oui</v>
      </c>
      <c r="I109" s="98" t="str">
        <f t="shared" si="55"/>
        <v>Oui</v>
      </c>
      <c r="J109" s="98" t="str">
        <f t="shared" si="55"/>
        <v>Non</v>
      </c>
      <c r="K109" s="98" t="str">
        <f t="shared" si="55"/>
        <v>Non</v>
      </c>
      <c r="L109" s="10"/>
      <c r="M109" s="10"/>
      <c r="N109" s="88"/>
      <c r="O109" s="88"/>
      <c r="P109" s="88"/>
      <c r="Q109" s="88"/>
    </row>
    <row r="110" spans="1:17" s="11" customFormat="1">
      <c r="A110" s="99" t="s">
        <v>92</v>
      </c>
      <c r="B110" s="100">
        <f>+IF(B112&gt;151.67,1,B112/151.67)</f>
        <v>0</v>
      </c>
      <c r="C110" s="100">
        <f t="shared" ref="C110:K110" si="56">+IF(C112&gt;151.67,1,C112/151.67)</f>
        <v>0</v>
      </c>
      <c r="D110" s="100">
        <f t="shared" si="56"/>
        <v>0</v>
      </c>
      <c r="E110" s="100">
        <f t="shared" si="56"/>
        <v>0</v>
      </c>
      <c r="F110" s="100">
        <f t="shared" si="56"/>
        <v>0</v>
      </c>
      <c r="G110" s="100">
        <f t="shared" si="56"/>
        <v>0</v>
      </c>
      <c r="H110" s="100">
        <f t="shared" si="56"/>
        <v>0</v>
      </c>
      <c r="I110" s="100">
        <f t="shared" si="56"/>
        <v>0</v>
      </c>
      <c r="J110" s="100">
        <f t="shared" si="56"/>
        <v>0</v>
      </c>
      <c r="K110" s="100">
        <f t="shared" si="56"/>
        <v>0</v>
      </c>
      <c r="L110" s="92">
        <f>+SUM(B110:K110)</f>
        <v>0</v>
      </c>
      <c r="M110" s="92">
        <f ca="1">+SUMIF(B109:K109,"oui",B110:K110)</f>
        <v>0</v>
      </c>
      <c r="N110" s="89"/>
      <c r="O110" s="89"/>
      <c r="P110" s="89"/>
      <c r="Q110" s="89"/>
    </row>
    <row r="111" spans="1:17">
      <c r="A111" s="101" t="s">
        <v>93</v>
      </c>
      <c r="B111" s="98"/>
      <c r="C111" s="98"/>
      <c r="D111" s="98"/>
      <c r="E111" s="98"/>
      <c r="F111" s="98"/>
      <c r="G111" s="98"/>
      <c r="H111" s="98"/>
      <c r="I111" s="98"/>
      <c r="J111" s="98"/>
      <c r="K111" s="98"/>
      <c r="L111" s="103">
        <f>SUM(B111:K111)</f>
        <v>0</v>
      </c>
      <c r="M111" s="103">
        <f ca="1">+SUMIF(B109:K109,"OUI",B116:K116)</f>
        <v>41003.360000000001</v>
      </c>
      <c r="N111" s="88"/>
      <c r="O111" s="88"/>
      <c r="P111" s="88"/>
      <c r="Q111" s="88"/>
    </row>
    <row r="112" spans="1:17">
      <c r="A112" s="101" t="s">
        <v>94</v>
      </c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103"/>
      <c r="M112" s="103"/>
      <c r="N112" s="88"/>
      <c r="O112" s="88"/>
      <c r="P112" s="88"/>
      <c r="Q112" s="88"/>
    </row>
    <row r="113" spans="1:17">
      <c r="A113" s="101" t="s">
        <v>95</v>
      </c>
      <c r="B113" s="98">
        <f>B112*$B$2*2.5+B99</f>
        <v>5677.89458333333</v>
      </c>
      <c r="C113" s="98">
        <f t="shared" ref="C113:K113" si="57">C112*$B$2*2.5+C99</f>
        <v>3613.4583333333308</v>
      </c>
      <c r="D113" s="98">
        <f t="shared" si="57"/>
        <v>23745.662749999996</v>
      </c>
      <c r="E113" s="98">
        <f t="shared" si="57"/>
        <v>-3667.8587499999999</v>
      </c>
      <c r="F113" s="98">
        <f t="shared" si="57"/>
        <v>7147.5</v>
      </c>
      <c r="G113" s="98">
        <f t="shared" si="57"/>
        <v>16081.875</v>
      </c>
      <c r="H113" s="98">
        <f t="shared" si="57"/>
        <v>20132.125</v>
      </c>
      <c r="I113" s="98">
        <f t="shared" si="57"/>
        <v>16177.413249999998</v>
      </c>
      <c r="J113" s="98">
        <f t="shared" si="57"/>
        <v>0</v>
      </c>
      <c r="K113" s="98">
        <f t="shared" si="57"/>
        <v>0</v>
      </c>
      <c r="L113" s="103"/>
      <c r="M113" s="103"/>
      <c r="N113" s="88"/>
      <c r="O113" s="88"/>
      <c r="P113" s="88"/>
      <c r="Q113" s="88"/>
    </row>
    <row r="114" spans="1:17" s="9" customFormat="1">
      <c r="A114" s="98" t="s">
        <v>96</v>
      </c>
      <c r="B114" s="98" t="e">
        <f ca="1">((0.281/0.6)*(1.6*$B$2*(B112+B107)/(B111+B106)-1))*(B111+B106)-B90-B80-B56-B47-B35-B26-B18-B65-B100</f>
        <v>#VALUE!</v>
      </c>
      <c r="C114" s="98" t="e">
        <f t="shared" ref="C114:I114" si="58">((0.281/0.6)*(1.6*$B$2*(C112+C107)/(C111+C106)-1))*(C111+C106)-C90-C80-C56-C47-C35-C26-C18-C65-C100</f>
        <v>#VALUE!</v>
      </c>
      <c r="D114" s="98">
        <f t="shared" si="58"/>
        <v>0</v>
      </c>
      <c r="E114" s="98">
        <f t="shared" si="58"/>
        <v>0</v>
      </c>
      <c r="F114" s="98" t="e">
        <f t="shared" si="58"/>
        <v>#REF!</v>
      </c>
      <c r="G114" s="98" t="e">
        <f t="shared" si="58"/>
        <v>#REF!</v>
      </c>
      <c r="H114" s="98" t="e">
        <f t="shared" si="58"/>
        <v>#REF!</v>
      </c>
      <c r="I114" s="98" t="e">
        <f t="shared" si="58"/>
        <v>#REF!</v>
      </c>
      <c r="J114" s="98"/>
      <c r="K114" s="98"/>
      <c r="L114" s="103"/>
      <c r="M114" s="103">
        <f ca="1">+SUMIF(B114:K114,"&gt;0")</f>
        <v>0</v>
      </c>
      <c r="N114" s="10"/>
      <c r="O114" s="10"/>
      <c r="P114" s="10"/>
      <c r="Q114" s="10"/>
    </row>
    <row r="115" spans="1:17" s="9" customFormat="1">
      <c r="A115" s="98"/>
      <c r="B115" s="98"/>
      <c r="C115" s="98"/>
      <c r="D115" s="98"/>
      <c r="E115" s="98"/>
      <c r="F115" s="98"/>
      <c r="G115" s="98"/>
      <c r="H115" s="98"/>
      <c r="I115" s="98"/>
      <c r="J115" s="98"/>
      <c r="K115" s="98"/>
      <c r="L115" s="103"/>
      <c r="M115" s="103"/>
      <c r="N115" s="10"/>
      <c r="O115" s="10"/>
      <c r="P115" s="10"/>
      <c r="Q115" s="10"/>
    </row>
    <row r="116" spans="1:17" s="9" customFormat="1">
      <c r="A116" s="98" t="s">
        <v>98</v>
      </c>
      <c r="B116" s="98" t="e">
        <f ca="1">+B111+B106</f>
        <v>#VALUE!</v>
      </c>
      <c r="C116" s="98">
        <f t="shared" ref="C116:K116" si="59">+C111+C106</f>
        <v>5000</v>
      </c>
      <c r="D116" s="98">
        <f t="shared" si="59"/>
        <v>11108.07</v>
      </c>
      <c r="E116" s="98">
        <f t="shared" si="59"/>
        <v>4433.75</v>
      </c>
      <c r="F116" s="98">
        <f t="shared" si="59"/>
        <v>4727.8500000000004</v>
      </c>
      <c r="G116" s="98">
        <f t="shared" si="59"/>
        <v>6916.4</v>
      </c>
      <c r="H116" s="98">
        <f t="shared" si="59"/>
        <v>10502.81</v>
      </c>
      <c r="I116" s="98">
        <f t="shared" si="59"/>
        <v>7748.2300000000005</v>
      </c>
      <c r="J116" s="98">
        <f t="shared" si="59"/>
        <v>0</v>
      </c>
      <c r="K116" s="98">
        <f t="shared" si="59"/>
        <v>0</v>
      </c>
      <c r="L116" s="103"/>
      <c r="M116" s="103"/>
      <c r="N116" s="10"/>
      <c r="O116" s="10"/>
      <c r="P116" s="10"/>
      <c r="Q116" s="10"/>
    </row>
    <row r="117" spans="1:17" s="9" customFormat="1">
      <c r="A117" s="98" t="s">
        <v>104</v>
      </c>
      <c r="B117" s="98">
        <f>+B107+B112</f>
        <v>238.31666666666655</v>
      </c>
      <c r="C117" s="98">
        <f t="shared" ref="C117:K117" si="60">+C107+C112</f>
        <v>151.66666666666657</v>
      </c>
      <c r="D117" s="98">
        <f t="shared" si="60"/>
        <v>996.67</v>
      </c>
      <c r="E117" s="98">
        <f t="shared" si="60"/>
        <v>-2.2800000000000011</v>
      </c>
      <c r="F117" s="98">
        <f t="shared" si="60"/>
        <v>300</v>
      </c>
      <c r="G117" s="98">
        <f t="shared" si="60"/>
        <v>675</v>
      </c>
      <c r="H117" s="98">
        <f t="shared" si="60"/>
        <v>845</v>
      </c>
      <c r="I117" s="98">
        <f t="shared" si="60"/>
        <v>679.01</v>
      </c>
      <c r="J117" s="98">
        <f t="shared" si="60"/>
        <v>0</v>
      </c>
      <c r="K117" s="98">
        <f t="shared" si="60"/>
        <v>0</v>
      </c>
      <c r="L117" s="103"/>
      <c r="M117" s="103"/>
      <c r="N117" s="10"/>
      <c r="O117" s="10"/>
      <c r="P117" s="10"/>
      <c r="Q117" s="10"/>
    </row>
    <row r="118" spans="1:17" s="9" customFormat="1">
      <c r="A118" s="98"/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103"/>
      <c r="M118" s="103"/>
      <c r="N118" s="10"/>
      <c r="O118" s="10"/>
      <c r="P118" s="10"/>
      <c r="Q118" s="10"/>
    </row>
    <row r="119" spans="1:17">
      <c r="A119" s="97" t="s">
        <v>119</v>
      </c>
      <c r="B119" s="98" t="e">
        <f ca="1">IF((B116+B111)&lt;(B123),"Oui","Non")</f>
        <v>#VALUE!</v>
      </c>
      <c r="C119" s="98" t="str">
        <f t="shared" ref="C119:K119" si="61">IF((C116+C111)&lt;(C123),"Oui","Non")</f>
        <v>Non</v>
      </c>
      <c r="D119" s="98" t="str">
        <f t="shared" si="61"/>
        <v>Oui</v>
      </c>
      <c r="E119" s="98" t="str">
        <f t="shared" si="61"/>
        <v>Non</v>
      </c>
      <c r="F119" s="98" t="str">
        <f t="shared" si="61"/>
        <v>Oui</v>
      </c>
      <c r="G119" s="98" t="str">
        <f t="shared" si="61"/>
        <v>Oui</v>
      </c>
      <c r="H119" s="98" t="str">
        <f t="shared" si="61"/>
        <v>Oui</v>
      </c>
      <c r="I119" s="98" t="str">
        <f t="shared" si="61"/>
        <v>Oui</v>
      </c>
      <c r="J119" s="98" t="str">
        <f t="shared" si="61"/>
        <v>Non</v>
      </c>
      <c r="K119" s="98" t="str">
        <f t="shared" si="61"/>
        <v>Non</v>
      </c>
      <c r="L119" s="103"/>
      <c r="M119" s="103"/>
      <c r="N119" s="88"/>
      <c r="O119" s="88"/>
      <c r="P119" s="88"/>
      <c r="Q119" s="88"/>
    </row>
    <row r="120" spans="1:17" s="11" customFormat="1">
      <c r="A120" s="99" t="s">
        <v>92</v>
      </c>
      <c r="B120" s="100">
        <f>+IF(B122&gt;151.67,1,B122/151.67)</f>
        <v>0</v>
      </c>
      <c r="C120" s="100">
        <f t="shared" ref="C120:K120" si="62">+IF(C122&gt;151.67,1,C122/151.67)</f>
        <v>0</v>
      </c>
      <c r="D120" s="100">
        <f t="shared" si="62"/>
        <v>0</v>
      </c>
      <c r="E120" s="100">
        <f t="shared" si="62"/>
        <v>0</v>
      </c>
      <c r="F120" s="100">
        <f t="shared" si="62"/>
        <v>0</v>
      </c>
      <c r="G120" s="100">
        <f t="shared" si="62"/>
        <v>0</v>
      </c>
      <c r="H120" s="100">
        <f t="shared" si="62"/>
        <v>0</v>
      </c>
      <c r="I120" s="100">
        <f t="shared" si="62"/>
        <v>0</v>
      </c>
      <c r="J120" s="100">
        <f t="shared" si="62"/>
        <v>0</v>
      </c>
      <c r="K120" s="100">
        <f t="shared" si="62"/>
        <v>0</v>
      </c>
      <c r="L120" s="103">
        <f>SUM(B120:K120)</f>
        <v>0</v>
      </c>
      <c r="M120" s="103">
        <f ca="1">+SUMIF(B119:K119,"oui",B120:K120)</f>
        <v>0</v>
      </c>
      <c r="N120" s="89"/>
      <c r="O120" s="89"/>
      <c r="P120" s="89"/>
      <c r="Q120" s="89"/>
    </row>
    <row r="121" spans="1:17">
      <c r="A121" s="101" t="s">
        <v>93</v>
      </c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103">
        <f>SUM(B121:K121)</f>
        <v>0</v>
      </c>
      <c r="M121" s="103">
        <f ca="1">+SUMIF(B119:K119,"OUI",B126:K126)</f>
        <v>41003.360000000001</v>
      </c>
      <c r="N121" s="88"/>
      <c r="O121" s="88"/>
      <c r="P121" s="88"/>
      <c r="Q121" s="88"/>
    </row>
    <row r="122" spans="1:17">
      <c r="A122" s="101" t="s">
        <v>94</v>
      </c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103"/>
      <c r="M122" s="103"/>
      <c r="N122" s="88"/>
      <c r="O122" s="88"/>
      <c r="P122" s="88"/>
      <c r="Q122" s="88"/>
    </row>
    <row r="123" spans="1:17">
      <c r="A123" s="101" t="s">
        <v>95</v>
      </c>
      <c r="B123" s="98">
        <f>B122*$B$2*2.5+B113</f>
        <v>5677.89458333333</v>
      </c>
      <c r="C123" s="98">
        <f t="shared" ref="C123:K123" si="63">C122*$B$2*2.5+C113</f>
        <v>3613.4583333333308</v>
      </c>
      <c r="D123" s="98">
        <f t="shared" si="63"/>
        <v>23745.662749999996</v>
      </c>
      <c r="E123" s="98">
        <f t="shared" si="63"/>
        <v>-3667.8587499999999</v>
      </c>
      <c r="F123" s="98">
        <f t="shared" si="63"/>
        <v>7147.5</v>
      </c>
      <c r="G123" s="98">
        <f t="shared" si="63"/>
        <v>16081.875</v>
      </c>
      <c r="H123" s="98">
        <f t="shared" si="63"/>
        <v>20132.125</v>
      </c>
      <c r="I123" s="98">
        <f t="shared" si="63"/>
        <v>16177.413249999998</v>
      </c>
      <c r="J123" s="98">
        <f t="shared" si="63"/>
        <v>0</v>
      </c>
      <c r="K123" s="98">
        <f t="shared" si="63"/>
        <v>0</v>
      </c>
      <c r="L123" s="103"/>
      <c r="M123" s="103"/>
      <c r="N123" s="88"/>
      <c r="O123" s="88"/>
      <c r="P123" s="88"/>
      <c r="Q123" s="88"/>
    </row>
    <row r="124" spans="1:17" s="9" customFormat="1">
      <c r="A124" s="98" t="s">
        <v>96</v>
      </c>
      <c r="B124" s="98" t="e">
        <f ca="1">((0.281/0.6)*(1.6*$B$2*(B117+B122)/(B116+B121)-1))*(B116+B121)-B114-B90-B80-B56-B47-B35-B26-B18-B65-B100</f>
        <v>#VALUE!</v>
      </c>
      <c r="C124" s="98" t="e">
        <f t="shared" ref="C124:I124" si="64">((0.281/0.6)*(1.6*$B$2*(C117+C122)/(C116+C121)-1))*(C116+C121)-C114-C90-C80-C56-C47-C35-C26-C18-C65-C100</f>
        <v>#VALUE!</v>
      </c>
      <c r="D124" s="98">
        <f t="shared" si="64"/>
        <v>0</v>
      </c>
      <c r="E124" s="98">
        <f t="shared" si="64"/>
        <v>0</v>
      </c>
      <c r="F124" s="98" t="e">
        <f t="shared" si="64"/>
        <v>#REF!</v>
      </c>
      <c r="G124" s="98" t="e">
        <f t="shared" si="64"/>
        <v>#REF!</v>
      </c>
      <c r="H124" s="98" t="e">
        <f t="shared" si="64"/>
        <v>#REF!</v>
      </c>
      <c r="I124" s="98" t="e">
        <f t="shared" si="64"/>
        <v>#REF!</v>
      </c>
      <c r="J124" s="98"/>
      <c r="K124" s="98"/>
      <c r="L124" s="103"/>
      <c r="M124" s="103">
        <f ca="1">+SUMIF(B124:K124,"&gt;0")</f>
        <v>0</v>
      </c>
      <c r="N124" s="10"/>
      <c r="O124" s="10"/>
      <c r="P124" s="10"/>
      <c r="Q124" s="10"/>
    </row>
    <row r="125" spans="1:17" s="9" customFormat="1">
      <c r="A125" s="98"/>
      <c r="B125" s="98"/>
      <c r="C125" s="98"/>
      <c r="D125" s="98"/>
      <c r="E125" s="98"/>
      <c r="F125" s="98"/>
      <c r="G125" s="98"/>
      <c r="H125" s="98"/>
      <c r="I125" s="98"/>
      <c r="J125" s="98"/>
      <c r="K125" s="98"/>
      <c r="L125" s="103"/>
      <c r="M125" s="103"/>
      <c r="N125" s="10"/>
      <c r="O125" s="10"/>
      <c r="P125" s="10"/>
      <c r="Q125" s="10"/>
    </row>
    <row r="126" spans="1:17" s="9" customFormat="1">
      <c r="A126" s="98" t="s">
        <v>98</v>
      </c>
      <c r="B126" s="98" t="e">
        <f ca="1">+B121+B116</f>
        <v>#VALUE!</v>
      </c>
      <c r="C126" s="98">
        <f t="shared" ref="C126:K127" si="65">+C121+C116</f>
        <v>5000</v>
      </c>
      <c r="D126" s="98">
        <f t="shared" si="65"/>
        <v>11108.07</v>
      </c>
      <c r="E126" s="98">
        <f t="shared" si="65"/>
        <v>4433.75</v>
      </c>
      <c r="F126" s="98">
        <f t="shared" si="65"/>
        <v>4727.8500000000004</v>
      </c>
      <c r="G126" s="98">
        <f t="shared" si="65"/>
        <v>6916.4</v>
      </c>
      <c r="H126" s="98">
        <f t="shared" si="65"/>
        <v>10502.81</v>
      </c>
      <c r="I126" s="98">
        <f t="shared" si="65"/>
        <v>7748.2300000000005</v>
      </c>
      <c r="J126" s="98">
        <f t="shared" si="65"/>
        <v>0</v>
      </c>
      <c r="K126" s="98">
        <f t="shared" si="65"/>
        <v>0</v>
      </c>
      <c r="L126" s="103"/>
      <c r="M126" s="103"/>
      <c r="N126" s="10"/>
      <c r="O126" s="10"/>
      <c r="P126" s="10"/>
      <c r="Q126" s="10"/>
    </row>
    <row r="127" spans="1:17" s="9" customFormat="1">
      <c r="A127" s="98" t="s">
        <v>104</v>
      </c>
      <c r="B127" s="98">
        <f>+B122+B117</f>
        <v>238.31666666666655</v>
      </c>
      <c r="C127" s="98">
        <f t="shared" si="65"/>
        <v>151.66666666666657</v>
      </c>
      <c r="D127" s="98">
        <f t="shared" si="65"/>
        <v>996.67</v>
      </c>
      <c r="E127" s="98">
        <f t="shared" si="65"/>
        <v>-2.2800000000000011</v>
      </c>
      <c r="F127" s="98">
        <f t="shared" si="65"/>
        <v>300</v>
      </c>
      <c r="G127" s="98">
        <f t="shared" si="65"/>
        <v>675</v>
      </c>
      <c r="H127" s="98">
        <f t="shared" si="65"/>
        <v>845</v>
      </c>
      <c r="I127" s="98">
        <f t="shared" si="65"/>
        <v>679.01</v>
      </c>
      <c r="J127" s="98">
        <f t="shared" si="65"/>
        <v>0</v>
      </c>
      <c r="K127" s="98">
        <f t="shared" si="65"/>
        <v>0</v>
      </c>
      <c r="L127" s="103"/>
      <c r="M127" s="103"/>
      <c r="N127" s="10"/>
      <c r="O127" s="10"/>
      <c r="P127" s="10"/>
      <c r="Q127" s="10"/>
    </row>
    <row r="128" spans="1:17" s="9" customFormat="1">
      <c r="A128" s="98"/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103"/>
      <c r="M128" s="103"/>
      <c r="N128" s="10"/>
      <c r="O128" s="10"/>
      <c r="P128" s="10"/>
      <c r="Q128" s="10"/>
    </row>
    <row r="129" spans="1:17">
      <c r="A129" s="97" t="s">
        <v>120</v>
      </c>
      <c r="B129" s="98" t="e">
        <f ca="1">IF((B126+B131)&lt;B133,"Oui","Non")</f>
        <v>#VALUE!</v>
      </c>
      <c r="C129" s="98" t="str">
        <f t="shared" ref="C129:K129" si="66">IF((C126+C131)&lt;C133,"Oui","Non")</f>
        <v>Non</v>
      </c>
      <c r="D129" s="98" t="str">
        <f t="shared" si="66"/>
        <v>Oui</v>
      </c>
      <c r="E129" s="98" t="str">
        <f t="shared" si="66"/>
        <v>Non</v>
      </c>
      <c r="F129" s="98" t="str">
        <f t="shared" si="66"/>
        <v>Oui</v>
      </c>
      <c r="G129" s="98" t="str">
        <f t="shared" si="66"/>
        <v>Oui</v>
      </c>
      <c r="H129" s="98" t="str">
        <f t="shared" si="66"/>
        <v>Oui</v>
      </c>
      <c r="I129" s="98" t="str">
        <f t="shared" si="66"/>
        <v>Oui</v>
      </c>
      <c r="J129" s="98" t="str">
        <f t="shared" si="66"/>
        <v>Non</v>
      </c>
      <c r="K129" s="98" t="str">
        <f t="shared" si="66"/>
        <v>Non</v>
      </c>
      <c r="L129" s="103" t="e">
        <f ca="1">SUM(B129:K129)</f>
        <v>#VALUE!</v>
      </c>
      <c r="M129" s="103"/>
      <c r="N129" s="88"/>
      <c r="O129" s="88"/>
      <c r="P129" s="88"/>
      <c r="Q129" s="88"/>
    </row>
    <row r="130" spans="1:17">
      <c r="A130" s="99" t="s">
        <v>92</v>
      </c>
      <c r="B130" s="100">
        <f>+IF(B132&gt;151.67,1,B132/151.67)</f>
        <v>0</v>
      </c>
      <c r="C130" s="100">
        <f t="shared" ref="C130:K130" si="67">+IF(C132&gt;151.67,1,C132/151.67)</f>
        <v>0</v>
      </c>
      <c r="D130" s="100">
        <f t="shared" si="67"/>
        <v>0</v>
      </c>
      <c r="E130" s="100">
        <f t="shared" si="67"/>
        <v>0</v>
      </c>
      <c r="F130" s="100">
        <f t="shared" si="67"/>
        <v>0</v>
      </c>
      <c r="G130" s="100">
        <f t="shared" si="67"/>
        <v>0</v>
      </c>
      <c r="H130" s="100">
        <f t="shared" si="67"/>
        <v>0</v>
      </c>
      <c r="I130" s="100">
        <f t="shared" si="67"/>
        <v>0</v>
      </c>
      <c r="J130" s="100">
        <f t="shared" si="67"/>
        <v>0</v>
      </c>
      <c r="K130" s="100">
        <f t="shared" si="67"/>
        <v>0</v>
      </c>
      <c r="L130" s="103">
        <f>SUM(B130:K130)</f>
        <v>0</v>
      </c>
      <c r="M130" s="103">
        <f ca="1">+SUMIF(B129:K129,"oui",B130:K130)</f>
        <v>0</v>
      </c>
      <c r="N130" s="88"/>
      <c r="O130" s="88"/>
      <c r="P130" s="88"/>
      <c r="Q130" s="88"/>
    </row>
    <row r="131" spans="1:17">
      <c r="A131" s="101" t="s">
        <v>93</v>
      </c>
      <c r="B131" s="98"/>
      <c r="C131" s="98"/>
      <c r="D131" s="98"/>
      <c r="E131" s="98"/>
      <c r="F131" s="98"/>
      <c r="G131" s="98"/>
      <c r="H131" s="98"/>
      <c r="I131" s="98"/>
      <c r="J131" s="98"/>
      <c r="K131" s="98"/>
      <c r="L131" s="103">
        <f>SUM(B131:K131)</f>
        <v>0</v>
      </c>
      <c r="M131" s="103">
        <f ca="1">+SUMIF(B129:K129,"OUI",B140:K140)</f>
        <v>41003.360000000001</v>
      </c>
      <c r="N131" s="88"/>
      <c r="O131" s="88"/>
      <c r="P131" s="88"/>
      <c r="Q131" s="88"/>
    </row>
    <row r="132" spans="1:17">
      <c r="A132" s="101" t="s">
        <v>94</v>
      </c>
      <c r="B132" s="98"/>
      <c r="C132" s="98"/>
      <c r="D132" s="98"/>
      <c r="E132" s="98"/>
      <c r="F132" s="98"/>
      <c r="G132" s="98"/>
      <c r="H132" s="98"/>
      <c r="I132" s="98"/>
      <c r="J132" s="98"/>
      <c r="K132" s="98"/>
      <c r="L132" s="103"/>
      <c r="M132" s="103"/>
      <c r="N132" s="88"/>
      <c r="O132" s="88"/>
      <c r="P132" s="88"/>
      <c r="Q132" s="88"/>
    </row>
    <row r="133" spans="1:17">
      <c r="A133" s="101" t="s">
        <v>95</v>
      </c>
      <c r="B133" s="98">
        <f>B132*$B$2*2.5+B123</f>
        <v>5677.89458333333</v>
      </c>
      <c r="C133" s="98">
        <f t="shared" ref="C133:K133" si="68">C132*$B$2*2.5+C123</f>
        <v>3613.4583333333308</v>
      </c>
      <c r="D133" s="98">
        <f t="shared" si="68"/>
        <v>23745.662749999996</v>
      </c>
      <c r="E133" s="98">
        <f t="shared" si="68"/>
        <v>-3667.8587499999999</v>
      </c>
      <c r="F133" s="98">
        <f t="shared" si="68"/>
        <v>7147.5</v>
      </c>
      <c r="G133" s="98">
        <f t="shared" si="68"/>
        <v>16081.875</v>
      </c>
      <c r="H133" s="98">
        <f t="shared" si="68"/>
        <v>20132.125</v>
      </c>
      <c r="I133" s="98">
        <f t="shared" si="68"/>
        <v>16177.413249999998</v>
      </c>
      <c r="J133" s="98">
        <f t="shared" si="68"/>
        <v>0</v>
      </c>
      <c r="K133" s="98">
        <f t="shared" si="68"/>
        <v>0</v>
      </c>
      <c r="L133" s="103"/>
      <c r="M133" s="103"/>
      <c r="N133" s="88"/>
      <c r="O133" s="88"/>
      <c r="P133" s="88"/>
      <c r="Q133" s="88"/>
    </row>
    <row r="134" spans="1:17" s="9" customFormat="1">
      <c r="A134" s="98" t="s">
        <v>96</v>
      </c>
      <c r="B134" s="98" t="e">
        <f ca="1">((0.281/0.6)*(1.6*$B$2*(B127+B132)/(B126+B131)-1))*(B126+B131)-B124-B114-B90-B80-B56-B47-B35-B26-B18-B65-B100</f>
        <v>#VALUE!</v>
      </c>
      <c r="C134" s="98" t="e">
        <f t="shared" ref="C134:K134" si="69">((0.281/0.6)*(1.6*$B$2*(C127+C132)/(C126+C131)-1))*(C126+C131)-C124-C114-C90-C80-C56-C47-C35-C26-C18-C65-C100</f>
        <v>#VALUE!</v>
      </c>
      <c r="D134" s="98">
        <f t="shared" si="69"/>
        <v>0</v>
      </c>
      <c r="E134" s="98">
        <f t="shared" si="69"/>
        <v>0</v>
      </c>
      <c r="F134" s="98" t="e">
        <f t="shared" si="69"/>
        <v>#REF!</v>
      </c>
      <c r="G134" s="98" t="e">
        <f t="shared" si="69"/>
        <v>#REF!</v>
      </c>
      <c r="H134" s="98" t="e">
        <f t="shared" si="69"/>
        <v>#REF!</v>
      </c>
      <c r="I134" s="98" t="e">
        <f t="shared" si="69"/>
        <v>#REF!</v>
      </c>
      <c r="J134" s="98" t="e">
        <f t="shared" si="69"/>
        <v>#DIV/0!</v>
      </c>
      <c r="K134" s="98" t="e">
        <f t="shared" si="69"/>
        <v>#DIV/0!</v>
      </c>
      <c r="L134" s="103"/>
      <c r="M134" s="103">
        <f ca="1">+SUMIF(B134:K134,"&gt;0")</f>
        <v>0</v>
      </c>
      <c r="N134" s="10"/>
      <c r="O134" s="10"/>
      <c r="P134" s="10"/>
      <c r="Q134" s="10"/>
    </row>
    <row r="135" spans="1:17" s="9" customFormat="1">
      <c r="A135" s="98"/>
      <c r="B135" s="98"/>
      <c r="C135" s="98"/>
      <c r="D135" s="98"/>
      <c r="E135" s="98"/>
      <c r="F135" s="98"/>
      <c r="G135" s="98"/>
      <c r="H135" s="98"/>
      <c r="I135" s="98"/>
      <c r="J135" s="98"/>
      <c r="K135" s="98"/>
      <c r="L135" s="103">
        <f t="shared" ref="L135:L141" si="70">SUM(B135:K135)</f>
        <v>0</v>
      </c>
      <c r="M135" s="103"/>
      <c r="N135" s="10"/>
      <c r="O135" s="10"/>
      <c r="P135" s="10"/>
      <c r="Q135" s="10"/>
    </row>
    <row r="136" spans="1:17" s="9" customFormat="1">
      <c r="A136" s="98" t="s">
        <v>121</v>
      </c>
      <c r="B136" s="98">
        <f>+B111+B121+B131</f>
        <v>0</v>
      </c>
      <c r="C136" s="98">
        <f t="shared" ref="C136" si="71">+C111+C121+C131</f>
        <v>0</v>
      </c>
      <c r="D136" s="98">
        <f>+D111+D121+D131</f>
        <v>0</v>
      </c>
      <c r="E136" s="98">
        <f t="shared" ref="E136" si="72">+E111+E121+E131</f>
        <v>0</v>
      </c>
      <c r="F136" s="98">
        <f>+F111+F121+F131</f>
        <v>0</v>
      </c>
      <c r="G136" s="98">
        <f t="shared" ref="G136" si="73">+G111+G121+G131</f>
        <v>0</v>
      </c>
      <c r="H136" s="98">
        <f>+H111+H121+H131</f>
        <v>0</v>
      </c>
      <c r="I136" s="98">
        <f t="shared" ref="I136" si="74">+I111+I121+I131</f>
        <v>0</v>
      </c>
      <c r="J136" s="98">
        <f>+J111+J121+J131</f>
        <v>0</v>
      </c>
      <c r="K136" s="98">
        <f>+K111+K121+K131</f>
        <v>0</v>
      </c>
      <c r="L136" s="103">
        <f t="shared" si="70"/>
        <v>0</v>
      </c>
      <c r="M136" s="103"/>
      <c r="N136" s="10"/>
      <c r="O136" s="10"/>
      <c r="P136" s="10"/>
      <c r="Q136" s="10"/>
    </row>
    <row r="137" spans="1:17" s="9" customFormat="1">
      <c r="A137" s="98" t="s">
        <v>122</v>
      </c>
      <c r="B137" s="98">
        <f>+B112+B122+B132</f>
        <v>0</v>
      </c>
      <c r="C137" s="98">
        <f>+C112+C122+C132</f>
        <v>0</v>
      </c>
      <c r="D137" s="98">
        <f>+D112+D122+D132</f>
        <v>0</v>
      </c>
      <c r="E137" s="98">
        <f>+E112+E122+E132</f>
        <v>0</v>
      </c>
      <c r="F137" s="98">
        <f>+F112+F122+F132</f>
        <v>0</v>
      </c>
      <c r="G137" s="98">
        <f>+G112+G122+G132</f>
        <v>0</v>
      </c>
      <c r="H137" s="98">
        <f>+H112+H122+H132</f>
        <v>0</v>
      </c>
      <c r="I137" s="98">
        <f>+I112+I122+I132</f>
        <v>0</v>
      </c>
      <c r="J137" s="98">
        <f>+J112+J122+J132</f>
        <v>0</v>
      </c>
      <c r="K137" s="98">
        <f>+K112+K122+K132</f>
        <v>0</v>
      </c>
      <c r="L137" s="103">
        <f t="shared" si="70"/>
        <v>0</v>
      </c>
      <c r="M137" s="103"/>
      <c r="N137" s="10"/>
      <c r="O137" s="10"/>
      <c r="P137" s="10"/>
      <c r="Q137" s="10"/>
    </row>
    <row r="138" spans="1:17" s="9" customFormat="1">
      <c r="A138" s="98" t="s">
        <v>123</v>
      </c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103">
        <f t="shared" si="70"/>
        <v>0</v>
      </c>
      <c r="M138" s="103">
        <f ca="1">+M114+M124+M134</f>
        <v>0</v>
      </c>
      <c r="N138" s="10"/>
      <c r="O138" s="10"/>
      <c r="P138" s="10"/>
      <c r="Q138" s="10"/>
    </row>
    <row r="139" spans="1:17" s="9" customFormat="1">
      <c r="A139" s="98"/>
      <c r="B139" s="98"/>
      <c r="C139" s="98"/>
      <c r="D139" s="98"/>
      <c r="E139" s="98"/>
      <c r="F139" s="98"/>
      <c r="G139" s="98"/>
      <c r="H139" s="98"/>
      <c r="I139" s="98"/>
      <c r="J139" s="98"/>
      <c r="K139" s="98"/>
      <c r="L139" s="103">
        <f t="shared" si="70"/>
        <v>0</v>
      </c>
      <c r="M139" s="103"/>
      <c r="N139" s="10"/>
      <c r="O139" s="10"/>
      <c r="P139" s="10"/>
      <c r="Q139" s="10"/>
    </row>
    <row r="140" spans="1:17" s="9" customFormat="1">
      <c r="A140" s="98" t="s">
        <v>124</v>
      </c>
      <c r="B140" s="98" t="e">
        <f ca="1">+B126+B131</f>
        <v>#VALUE!</v>
      </c>
      <c r="C140" s="98">
        <f t="shared" ref="C140:K141" si="75">+C126+C131</f>
        <v>5000</v>
      </c>
      <c r="D140" s="98">
        <f t="shared" si="75"/>
        <v>11108.07</v>
      </c>
      <c r="E140" s="98">
        <f t="shared" si="75"/>
        <v>4433.75</v>
      </c>
      <c r="F140" s="98">
        <f t="shared" si="75"/>
        <v>4727.8500000000004</v>
      </c>
      <c r="G140" s="98">
        <f t="shared" si="75"/>
        <v>6916.4</v>
      </c>
      <c r="H140" s="98">
        <f t="shared" si="75"/>
        <v>10502.81</v>
      </c>
      <c r="I140" s="98">
        <f t="shared" si="75"/>
        <v>7748.2300000000005</v>
      </c>
      <c r="J140" s="98">
        <f t="shared" si="75"/>
        <v>0</v>
      </c>
      <c r="K140" s="98">
        <f t="shared" si="75"/>
        <v>0</v>
      </c>
      <c r="L140" s="103" t="e">
        <f t="shared" ca="1" si="70"/>
        <v>#VALUE!</v>
      </c>
      <c r="M140" s="103">
        <f ca="1">+M104+M138+M69+M39</f>
        <v>2139.3474852666664</v>
      </c>
      <c r="N140" s="10"/>
      <c r="O140" s="10"/>
      <c r="P140" s="10"/>
      <c r="Q140" s="10"/>
    </row>
    <row r="141" spans="1:17">
      <c r="A141" s="107" t="s">
        <v>125</v>
      </c>
      <c r="B141" s="10">
        <f>+B127+B132</f>
        <v>238.31666666666655</v>
      </c>
      <c r="C141" s="10">
        <f t="shared" si="75"/>
        <v>151.66666666666657</v>
      </c>
      <c r="D141" s="10">
        <f t="shared" si="75"/>
        <v>996.67</v>
      </c>
      <c r="E141" s="10">
        <f t="shared" si="75"/>
        <v>-2.2800000000000011</v>
      </c>
      <c r="F141" s="10">
        <f t="shared" si="75"/>
        <v>300</v>
      </c>
      <c r="G141" s="10">
        <f t="shared" si="75"/>
        <v>675</v>
      </c>
      <c r="H141" s="10">
        <f t="shared" si="75"/>
        <v>845</v>
      </c>
      <c r="I141" s="10">
        <f t="shared" si="75"/>
        <v>679.01</v>
      </c>
      <c r="J141" s="10">
        <f t="shared" si="75"/>
        <v>0</v>
      </c>
      <c r="K141" s="10">
        <f t="shared" si="75"/>
        <v>0</v>
      </c>
      <c r="L141" s="103">
        <f t="shared" si="70"/>
        <v>3883.3833333333332</v>
      </c>
      <c r="M141" s="88"/>
      <c r="N141" s="88"/>
      <c r="O141" s="88"/>
      <c r="P141" s="88"/>
      <c r="Q141" s="88"/>
    </row>
  </sheetData>
  <mergeCells count="1">
    <mergeCell ref="D1:G1"/>
  </mergeCells>
  <conditionalFormatting sqref="C15:K16 B16">
    <cfRule type="containsBlanks" dxfId="0" priority="3">
      <formula>LEN(TRIM(B15))=0</formula>
    </cfRule>
  </conditionalFormatting>
  <printOptions horizontalCentered="1"/>
  <pageMargins left="0.11811023622047245" right="0.11811023622047245" top="0.74803149606299213" bottom="0.74803149606299213" header="0.31496062992125984" footer="0.31496062992125984"/>
  <pageSetup paperSize="256" scale="6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32</vt:i4>
      </vt:variant>
    </vt:vector>
  </HeadingPairs>
  <TitlesOfParts>
    <vt:vector size="38" baseType="lpstr">
      <vt:lpstr>Base de données sociale</vt:lpstr>
      <vt:lpstr>suivi bulletins</vt:lpstr>
      <vt:lpstr>SMIC</vt:lpstr>
      <vt:lpstr>DUBREUIL JEAN</vt:lpstr>
      <vt:lpstr>ROBERT DUVERGNE</vt:lpstr>
      <vt:lpstr>Controle des charges</vt:lpstr>
      <vt:lpstr>'DUBREUIL JEAN'!Coeff.effectif</vt:lpstr>
      <vt:lpstr>'ROBERT DUVERGNE'!Coeff.effectif</vt:lpstr>
      <vt:lpstr>'DUBREUIL JEAN'!Horaire_collectif_mensuel</vt:lpstr>
      <vt:lpstr>'ROBERT DUVERGNE'!Horaire_collectif_mensuel</vt:lpstr>
      <vt:lpstr>'ROBERT DUVERGNE'!Mode_calcul</vt:lpstr>
      <vt:lpstr>Mode_calcul</vt:lpstr>
      <vt:lpstr>'ROBERT DUVERGNE'!Salaire_brut_août</vt:lpstr>
      <vt:lpstr>Salaire_brut_août</vt:lpstr>
      <vt:lpstr>'ROBERT DUVERGNE'!Salaire_brut_avril</vt:lpstr>
      <vt:lpstr>Salaire_brut_avril</vt:lpstr>
      <vt:lpstr>'ROBERT DUVERGNE'!Salaire_brut_décembre</vt:lpstr>
      <vt:lpstr>Salaire_brut_décembre</vt:lpstr>
      <vt:lpstr>'ROBERT DUVERGNE'!Salaire_brut_février</vt:lpstr>
      <vt:lpstr>Salaire_brut_février</vt:lpstr>
      <vt:lpstr>'ROBERT DUVERGNE'!Salaire_brut_janvier</vt:lpstr>
      <vt:lpstr>Salaire_brut_janvier</vt:lpstr>
      <vt:lpstr>'ROBERT DUVERGNE'!Salaire_brut_juillet</vt:lpstr>
      <vt:lpstr>Salaire_brut_juillet</vt:lpstr>
      <vt:lpstr>'ROBERT DUVERGNE'!Salaire_brut_juin</vt:lpstr>
      <vt:lpstr>Salaire_brut_juin</vt:lpstr>
      <vt:lpstr>'ROBERT DUVERGNE'!Salaire_brut_mai</vt:lpstr>
      <vt:lpstr>Salaire_brut_mai</vt:lpstr>
      <vt:lpstr>'ROBERT DUVERGNE'!Salaire_brut_mars</vt:lpstr>
      <vt:lpstr>Salaire_brut_mars</vt:lpstr>
      <vt:lpstr>'ROBERT DUVERGNE'!Salaire_brut_novembre</vt:lpstr>
      <vt:lpstr>Salaire_brut_novembre</vt:lpstr>
      <vt:lpstr>'ROBERT DUVERGNE'!Salaire_brut_octobre</vt:lpstr>
      <vt:lpstr>Salaire_brut_octobre</vt:lpstr>
      <vt:lpstr>'ROBERT DUVERGNE'!Salaire_brut_septembre</vt:lpstr>
      <vt:lpstr>Salaire_brut_septembre</vt:lpstr>
      <vt:lpstr>'DUBREUIL JEAN'!Zone_d_impression</vt:lpstr>
      <vt:lpstr>'ROBERT DUVERGNE'!Zone_d_impression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2014-07-03T21:35:31Z</dcterms:created>
  <dcterms:modified xsi:type="dcterms:W3CDTF">2014-07-06T15:43:29Z</dcterms:modified>
</cp:coreProperties>
</file>