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19410" windowHeight="11010" activeTab="3"/>
  </bookViews>
  <sheets>
    <sheet name="Base de données sociale" sheetId="3" r:id="rId1"/>
    <sheet name="suivi bulletins" sheetId="1" r:id="rId2"/>
    <sheet name="SMIC" sheetId="5" r:id="rId3"/>
    <sheet name="DUBREUIL JEAN" sheetId="6" r:id="rId4"/>
    <sheet name="ROBERT DUVERGNE" sheetId="7" r:id="rId5"/>
    <sheet name="Controle des charges" sheetId="4" r:id="rId6"/>
  </sheets>
  <definedNames>
    <definedName name="_xlnm._FilterDatabase" localSheetId="0" hidden="1">'Base de données sociale'!$B$26:$Q$26</definedName>
    <definedName name="Assiette_Fillon" localSheetId="3">'DUBREUIL JEAN'!#REF!</definedName>
    <definedName name="Assiette_Fillon" localSheetId="4">'ROBERT DUVERGNE'!#REF!</definedName>
    <definedName name="Assiette_Fillon">#REF!</definedName>
    <definedName name="Coeff.effectif" localSheetId="3">'DUBREUIL JEAN'!$C$15</definedName>
    <definedName name="Coeff.effectif" localSheetId="4">'ROBERT DUVERGNE'!$C$15</definedName>
    <definedName name="Coeff.effectif">#REF!</definedName>
    <definedName name="Horaire_collectif_mensuel" localSheetId="3">'DUBREUIL JEAN'!$C$13</definedName>
    <definedName name="Horaire_collectif_mensuel" localSheetId="4">'ROBERT DUVERGNE'!$C$13</definedName>
    <definedName name="Horaire_collectif_mensuel">#REF!</definedName>
    <definedName name="Mode_calcul" localSheetId="4">'ROBERT DUVERGNE'!$C$11</definedName>
    <definedName name="Mode_calcul">'DUBREUIL JEAN'!$C$11</definedName>
    <definedName name="Montant_absences_non_rémunérées" localSheetId="3">'DUBREUIL JEAN'!#REF!</definedName>
    <definedName name="Montant_absences_non_rémunérées" localSheetId="4">'ROBERT DUVERGNE'!#REF!</definedName>
    <definedName name="Montant_absences_non_rémunérées">#REF!</definedName>
    <definedName name="Montant_annuel_absences_non_rémunérées" localSheetId="3">'DUBREUIL JEAN'!#REF!</definedName>
    <definedName name="Montant_annuel_absences_non_rémunérées" localSheetId="4">'ROBERT DUVERGNE'!#REF!</definedName>
    <definedName name="Montant_annuel_absences_non_rémunérées">#REF!</definedName>
    <definedName name="Montant_annuel_gain_des_heures_compl._et_suppl." localSheetId="3">'DUBREUIL JEAN'!#REF!</definedName>
    <definedName name="Montant_annuel_gain_des_heures_compl._et_suppl." localSheetId="4">'ROBERT DUVERGNE'!#REF!</definedName>
    <definedName name="Montant_annuel_gain_des_heures_compl._et_suppl.">#REF!</definedName>
    <definedName name="Montant_annuel_retenu_ijss_brutes" localSheetId="3">'DUBREUIL JEAN'!#REF!</definedName>
    <definedName name="Montant_annuel_retenu_ijss_brutes" localSheetId="4">'ROBERT DUVERGNE'!#REF!</definedName>
    <definedName name="Montant_annuel_retenu_ijss_brutes">#REF!</definedName>
    <definedName name="Montant_retenu_ijss_brutes" localSheetId="3">'DUBREUIL JEAN'!#REF!</definedName>
    <definedName name="Montant_retenu_ijss_brutes" localSheetId="4">'ROBERT DUVERGNE'!#REF!</definedName>
    <definedName name="Montant_retenu_ijss_brutes">#REF!</definedName>
    <definedName name="Nb_heures_supp" localSheetId="3">'DUBREUIL JEAN'!#REF!</definedName>
    <definedName name="Nb_heures_supp" localSheetId="4">'ROBERT DUVERGNE'!#REF!</definedName>
    <definedName name="Nb_heures_supp">#REF!</definedName>
    <definedName name="Prorata_horaire_annuel" localSheetId="3">'DUBREUIL JEAN'!#REF!</definedName>
    <definedName name="Prorata_horaire_annuel" localSheetId="4">'ROBERT DUVERGNE'!#REF!</definedName>
    <definedName name="Prorata_horaire_annuel">#REF!</definedName>
    <definedName name="Prorata_horaire_mensuel" localSheetId="3">'DUBREUIL JEAN'!#REF!</definedName>
    <definedName name="Prorata_horaire_mensuel" localSheetId="4">'ROBERT DUVERGNE'!#REF!</definedName>
    <definedName name="Prorata_horaire_mensuel">#REF!</definedName>
    <definedName name="Salaire_brut_annuel_total" localSheetId="3">'DUBREUIL JEAN'!#REF!</definedName>
    <definedName name="Salaire_brut_annuel_total" localSheetId="4">'ROBERT DUVERGNE'!#REF!</definedName>
    <definedName name="Salaire_brut_annuel_total">#REF!</definedName>
    <definedName name="Salaire_brut_annuel_total__sauf_HS_et_IJSS" localSheetId="3">'DUBREUIL JEAN'!#REF!</definedName>
    <definedName name="Salaire_brut_annuel_total__sauf_HS_et_IJSS" localSheetId="4">'ROBERT DUVERGNE'!#REF!</definedName>
    <definedName name="Salaire_brut_annuel_total__sauf_HS_et_IJSS">#REF!</definedName>
    <definedName name="Salaire_brut_août" localSheetId="4">'ROBERT DUVERGNE'!$D$30</definedName>
    <definedName name="Salaire_brut_août">'DUBREUIL JEAN'!$D$30</definedName>
    <definedName name="Salaire_brut_avril" localSheetId="4">'ROBERT DUVERGNE'!$D$26</definedName>
    <definedName name="Salaire_brut_avril">'DUBREUIL JEAN'!$D$26</definedName>
    <definedName name="Salaire_brut_décembre" localSheetId="4">'ROBERT DUVERGNE'!$D$34</definedName>
    <definedName name="Salaire_brut_décembre">'DUBREUIL JEAN'!$D$34</definedName>
    <definedName name="Salaire_brut_février" localSheetId="4">'ROBERT DUVERGNE'!$D$24</definedName>
    <definedName name="Salaire_brut_février">'DUBREUIL JEAN'!$D$24</definedName>
    <definedName name="Salaire_brut_janvier" localSheetId="4">'ROBERT DUVERGNE'!$D$23</definedName>
    <definedName name="Salaire_brut_janvier">'DUBREUIL JEAN'!$D$23</definedName>
    <definedName name="Salaire_brut_juillet" localSheetId="4">'ROBERT DUVERGNE'!$D$29</definedName>
    <definedName name="Salaire_brut_juillet">'DUBREUIL JEAN'!$D$29</definedName>
    <definedName name="Salaire_brut_juin" localSheetId="4">'ROBERT DUVERGNE'!$D$28</definedName>
    <definedName name="Salaire_brut_juin">'DUBREUIL JEAN'!$D$28</definedName>
    <definedName name="Salaire_brut_mai" localSheetId="4">'ROBERT DUVERGNE'!$D$27</definedName>
    <definedName name="Salaire_brut_mai">'DUBREUIL JEAN'!$D$27</definedName>
    <definedName name="Salaire_brut_mars" localSheetId="4">'ROBERT DUVERGNE'!$D$25</definedName>
    <definedName name="Salaire_brut_mars">'DUBREUIL JEAN'!$D$25</definedName>
    <definedName name="Salaire_brut_novembre" localSheetId="4">'ROBERT DUVERGNE'!$D$33</definedName>
    <definedName name="Salaire_brut_novembre">'DUBREUIL JEAN'!$D$33</definedName>
    <definedName name="Salaire_brut_octobre" localSheetId="4">'ROBERT DUVERGNE'!$D$32</definedName>
    <definedName name="Salaire_brut_octobre">'DUBREUIL JEAN'!$D$32</definedName>
    <definedName name="Salaire_brut_septembre" localSheetId="4">'ROBERT DUVERGNE'!$D$31</definedName>
    <definedName name="Salaire_brut_septembre">'DUBREUIL JEAN'!$D$31</definedName>
    <definedName name="Salaire_brut_total__sauf_HS_et_IJSS" localSheetId="3">'DUBREUIL JEAN'!#REF!</definedName>
    <definedName name="Salaire_brut_total__sauf_HS_et_IJSS" localSheetId="4">'ROBERT DUVERGNE'!#REF!</definedName>
    <definedName name="Salaire_brut_total__sauf_HS_et_IJSS">#REF!</definedName>
    <definedName name="Salaire_mensuel" localSheetId="3">'DUBREUIL JEAN'!#REF!</definedName>
    <definedName name="Salaire_mensuel" localSheetId="4">'ROBERT DUVERGNE'!#REF!</definedName>
    <definedName name="Salaire_mensuel">#REF!</definedName>
    <definedName name="Smic_août" localSheetId="4">'ROBERT DUVERGNE'!#REF!</definedName>
    <definedName name="Smic_août">'DUBREUIL JEAN'!#REF!</definedName>
    <definedName name="Smic_avril" localSheetId="4">'ROBERT DUVERGNE'!#REF!</definedName>
    <definedName name="Smic_avril">'DUBREUIL JEAN'!#REF!</definedName>
    <definedName name="Smic_décembre" localSheetId="4">'ROBERT DUVERGNE'!#REF!</definedName>
    <definedName name="Smic_décembre">'DUBREUIL JEAN'!#REF!</definedName>
    <definedName name="Smic_février" localSheetId="4">'ROBERT DUVERGNE'!#REF!</definedName>
    <definedName name="Smic_février">'DUBREUIL JEAN'!#REF!</definedName>
    <definedName name="Smic_janvier" localSheetId="4">'ROBERT DUVERGNE'!#REF!</definedName>
    <definedName name="Smic_janvier">'DUBREUIL JEAN'!#REF!</definedName>
    <definedName name="Smic_juillet" localSheetId="4">'ROBERT DUVERGNE'!#REF!</definedName>
    <definedName name="Smic_juillet">'DUBREUIL JEAN'!#REF!</definedName>
    <definedName name="Smic_juin" localSheetId="4">'ROBERT DUVERGNE'!#REF!</definedName>
    <definedName name="Smic_juin">'DUBREUIL JEAN'!#REF!</definedName>
    <definedName name="Smic_mai" localSheetId="4">'ROBERT DUVERGNE'!#REF!</definedName>
    <definedName name="Smic_mai">'DUBREUIL JEAN'!#REF!</definedName>
    <definedName name="Smic_mars" localSheetId="4">'ROBERT DUVERGNE'!#REF!</definedName>
    <definedName name="Smic_mars">'DUBREUIL JEAN'!#REF!</definedName>
    <definedName name="Smic_mensuel" localSheetId="3">'DUBREUIL JEAN'!#REF!</definedName>
    <definedName name="Smic_mensuel" localSheetId="4">'ROBERT DUVERGNE'!#REF!</definedName>
    <definedName name="Smic_mensuel">#REF!</definedName>
    <definedName name="Smic_novembre" localSheetId="4">'ROBERT DUVERGNE'!#REF!</definedName>
    <definedName name="Smic_novembre">'DUBREUIL JEAN'!#REF!</definedName>
    <definedName name="Smic_octobre" localSheetId="4">'ROBERT DUVERGNE'!#REF!</definedName>
    <definedName name="Smic_octobre">'DUBREUIL JEAN'!#REF!</definedName>
    <definedName name="Smic_septembre" localSheetId="4">'ROBERT DUVERGNE'!#REF!</definedName>
    <definedName name="Smic_septembre">'DUBREUIL JEAN'!#REF!</definedName>
    <definedName name="Taux_horaire_smic" localSheetId="3">'DUBREUIL JEAN'!#REF!</definedName>
    <definedName name="Taux_horaire_smic" localSheetId="4">'ROBERT DUVERGNE'!#REF!</definedName>
    <definedName name="Taux_horaire_smic">#REF!</definedName>
    <definedName name="_xlnm.Print_Area" localSheetId="3">'DUBREUIL JEAN'!$B$1:$W$51</definedName>
    <definedName name="_xlnm.Print_Area" localSheetId="4">'ROBERT DUVERGNE'!$B$1:$W$51</definedName>
  </definedNames>
  <calcPr calcId="124519"/>
</workbook>
</file>

<file path=xl/calcChain.xml><?xml version="1.0" encoding="utf-8"?>
<calcChain xmlns="http://schemas.openxmlformats.org/spreadsheetml/2006/main">
  <c r="D46" i="7"/>
  <c r="E46"/>
  <c r="D47"/>
  <c r="E47"/>
  <c r="D48"/>
  <c r="E48"/>
  <c r="D49"/>
  <c r="E49"/>
  <c r="D50"/>
  <c r="C44" i="4"/>
  <c r="B45"/>
  <c r="B44"/>
  <c r="C45"/>
  <c r="B37"/>
  <c r="E165" l="1"/>
  <c r="E164"/>
  <c r="B3"/>
  <c r="B2"/>
  <c r="C12"/>
  <c r="G23" i="6"/>
  <c r="B12" i="4"/>
  <c r="D35" i="7"/>
  <c r="N34"/>
  <c r="K34"/>
  <c r="H34"/>
  <c r="G34"/>
  <c r="C34"/>
  <c r="J34" s="1"/>
  <c r="N33"/>
  <c r="K33"/>
  <c r="H33"/>
  <c r="G33"/>
  <c r="C33"/>
  <c r="N32"/>
  <c r="K32"/>
  <c r="H32"/>
  <c r="G32"/>
  <c r="C32"/>
  <c r="J32" s="1"/>
  <c r="N31"/>
  <c r="K31"/>
  <c r="H31"/>
  <c r="G31"/>
  <c r="C31"/>
  <c r="N30"/>
  <c r="K30"/>
  <c r="H30"/>
  <c r="G30"/>
  <c r="C30"/>
  <c r="J30" s="1"/>
  <c r="N29"/>
  <c r="K29"/>
  <c r="H29"/>
  <c r="G29"/>
  <c r="C29"/>
  <c r="N28"/>
  <c r="K28"/>
  <c r="H28"/>
  <c r="G28"/>
  <c r="C28"/>
  <c r="J28" s="1"/>
  <c r="N27"/>
  <c r="K27"/>
  <c r="H27"/>
  <c r="G27"/>
  <c r="C27"/>
  <c r="N26"/>
  <c r="K26"/>
  <c r="H26"/>
  <c r="G26"/>
  <c r="C26"/>
  <c r="J26" s="1"/>
  <c r="N25"/>
  <c r="K25"/>
  <c r="H25"/>
  <c r="G25"/>
  <c r="C25"/>
  <c r="N24"/>
  <c r="K24"/>
  <c r="H24"/>
  <c r="G24"/>
  <c r="C24"/>
  <c r="J24" s="1"/>
  <c r="N23"/>
  <c r="K23"/>
  <c r="H23"/>
  <c r="G23"/>
  <c r="C23"/>
  <c r="E19"/>
  <c r="E18"/>
  <c r="C15"/>
  <c r="D35" i="6"/>
  <c r="N34"/>
  <c r="K34"/>
  <c r="J34"/>
  <c r="H34"/>
  <c r="G34"/>
  <c r="N33"/>
  <c r="K33"/>
  <c r="J33"/>
  <c r="H33"/>
  <c r="G33"/>
  <c r="N32"/>
  <c r="K32"/>
  <c r="J32"/>
  <c r="H32"/>
  <c r="G32"/>
  <c r="N31"/>
  <c r="K31"/>
  <c r="J31"/>
  <c r="H31"/>
  <c r="G31"/>
  <c r="N30"/>
  <c r="K30"/>
  <c r="J30"/>
  <c r="H30"/>
  <c r="G30"/>
  <c r="N29"/>
  <c r="K29"/>
  <c r="H29"/>
  <c r="G29"/>
  <c r="C29"/>
  <c r="J29" s="1"/>
  <c r="N28"/>
  <c r="K28"/>
  <c r="J28"/>
  <c r="H28"/>
  <c r="G28"/>
  <c r="N27"/>
  <c r="K27"/>
  <c r="J27"/>
  <c r="H27"/>
  <c r="G27"/>
  <c r="N26"/>
  <c r="K26"/>
  <c r="J26"/>
  <c r="H26"/>
  <c r="G26"/>
  <c r="N25"/>
  <c r="K25"/>
  <c r="J25"/>
  <c r="H25"/>
  <c r="G25"/>
  <c r="N24"/>
  <c r="K24"/>
  <c r="J24"/>
  <c r="H24"/>
  <c r="G24"/>
  <c r="N23"/>
  <c r="K23"/>
  <c r="H23"/>
  <c r="C23"/>
  <c r="M23" s="1"/>
  <c r="E19"/>
  <c r="E18"/>
  <c r="C15"/>
  <c r="B12" i="5"/>
  <c r="B13" s="1"/>
  <c r="B11"/>
  <c r="C30" i="6" s="1"/>
  <c r="B6" i="5"/>
  <c r="C25" i="6" s="1"/>
  <c r="B5" i="5"/>
  <c r="C24" i="6" s="1"/>
  <c r="C54" i="4"/>
  <c r="C99"/>
  <c r="C145"/>
  <c r="B108"/>
  <c r="B54"/>
  <c r="C24"/>
  <c r="C72"/>
  <c r="C129"/>
  <c r="B137"/>
  <c r="B92"/>
  <c r="B35"/>
  <c r="B62"/>
  <c r="C15"/>
  <c r="C62"/>
  <c r="C108"/>
  <c r="B145"/>
  <c r="B99"/>
  <c r="B34"/>
  <c r="C35"/>
  <c r="C92"/>
  <c r="C137"/>
  <c r="B129"/>
  <c r="B72"/>
  <c r="B16"/>
  <c r="B24"/>
  <c r="C23"/>
  <c r="C71"/>
  <c r="C128"/>
  <c r="B136"/>
  <c r="B91"/>
  <c r="C11"/>
  <c r="C55"/>
  <c r="C100"/>
  <c r="C146"/>
  <c r="B109"/>
  <c r="B63"/>
  <c r="B23"/>
  <c r="B15"/>
  <c r="C34"/>
  <c r="C91"/>
  <c r="C136"/>
  <c r="B128"/>
  <c r="B71"/>
  <c r="C16"/>
  <c r="C63"/>
  <c r="C109"/>
  <c r="B146"/>
  <c r="B100"/>
  <c r="B55"/>
  <c r="B11"/>
  <c r="C28" l="1"/>
  <c r="C29"/>
  <c r="C25" s="1"/>
  <c r="B29"/>
  <c r="B25" s="1"/>
  <c r="B28"/>
  <c r="J25" i="7"/>
  <c r="J27"/>
  <c r="J29"/>
  <c r="J31"/>
  <c r="J33"/>
  <c r="C130" i="4"/>
  <c r="C138" s="1"/>
  <c r="C147" s="1"/>
  <c r="C93"/>
  <c r="C101" s="1"/>
  <c r="C110" s="1"/>
  <c r="C79"/>
  <c r="C80"/>
  <c r="C56"/>
  <c r="C64" s="1"/>
  <c r="C73" s="1"/>
  <c r="C17"/>
  <c r="J23" i="7"/>
  <c r="L23" s="1"/>
  <c r="I23" i="4"/>
  <c r="H23"/>
  <c r="J15"/>
  <c r="I15"/>
  <c r="H15"/>
  <c r="G23"/>
  <c r="G15"/>
  <c r="J34"/>
  <c r="I34"/>
  <c r="H34"/>
  <c r="G34"/>
  <c r="J23"/>
  <c r="I145"/>
  <c r="G145"/>
  <c r="I136"/>
  <c r="G136"/>
  <c r="J128"/>
  <c r="I128"/>
  <c r="H128"/>
  <c r="G128"/>
  <c r="I108"/>
  <c r="I99"/>
  <c r="J91"/>
  <c r="I91"/>
  <c r="H91"/>
  <c r="G108"/>
  <c r="G99"/>
  <c r="G91"/>
  <c r="I71"/>
  <c r="G71"/>
  <c r="I62"/>
  <c r="G62"/>
  <c r="J54"/>
  <c r="I54"/>
  <c r="H54"/>
  <c r="G54"/>
  <c r="G79" s="1"/>
  <c r="B154"/>
  <c r="D146"/>
  <c r="B144"/>
  <c r="B153"/>
  <c r="D145"/>
  <c r="H145" s="1"/>
  <c r="D137"/>
  <c r="B135"/>
  <c r="D136"/>
  <c r="H136" s="1"/>
  <c r="B130"/>
  <c r="B126" s="1"/>
  <c r="D129"/>
  <c r="B127"/>
  <c r="D128"/>
  <c r="C154"/>
  <c r="C144"/>
  <c r="C153"/>
  <c r="C135"/>
  <c r="C126"/>
  <c r="C127"/>
  <c r="B117"/>
  <c r="D109"/>
  <c r="B107"/>
  <c r="B116"/>
  <c r="D108"/>
  <c r="H108" s="1"/>
  <c r="D100"/>
  <c r="B98"/>
  <c r="D99"/>
  <c r="H99" s="1"/>
  <c r="B93"/>
  <c r="B89" s="1"/>
  <c r="D92"/>
  <c r="B90"/>
  <c r="D91"/>
  <c r="C117"/>
  <c r="C107"/>
  <c r="C116"/>
  <c r="C98"/>
  <c r="C89"/>
  <c r="C90"/>
  <c r="B80"/>
  <c r="D72"/>
  <c r="B70"/>
  <c r="B79"/>
  <c r="D79" s="1"/>
  <c r="D71"/>
  <c r="H71" s="1"/>
  <c r="D63"/>
  <c r="B61"/>
  <c r="D62"/>
  <c r="H62" s="1"/>
  <c r="B56"/>
  <c r="B52" s="1"/>
  <c r="D55"/>
  <c r="B53"/>
  <c r="D54"/>
  <c r="C70"/>
  <c r="C61"/>
  <c r="C52"/>
  <c r="C53"/>
  <c r="C42"/>
  <c r="C43"/>
  <c r="B43"/>
  <c r="B42"/>
  <c r="D35"/>
  <c r="D24"/>
  <c r="C22"/>
  <c r="C33"/>
  <c r="D16"/>
  <c r="B17"/>
  <c r="P34" i="7"/>
  <c r="S34" s="1"/>
  <c r="J23" i="6"/>
  <c r="L23" s="1"/>
  <c r="L24" s="1"/>
  <c r="L25" s="1"/>
  <c r="L26" s="1"/>
  <c r="L27" s="1"/>
  <c r="L28" s="1"/>
  <c r="L29" s="1"/>
  <c r="L30" s="1"/>
  <c r="L31" s="1"/>
  <c r="L32" s="1"/>
  <c r="L33" s="1"/>
  <c r="L34" s="1"/>
  <c r="L24" i="7"/>
  <c r="M23"/>
  <c r="M24" s="1"/>
  <c r="M25" s="1"/>
  <c r="M26" s="1"/>
  <c r="M27" s="1"/>
  <c r="M28" s="1"/>
  <c r="M29" s="1"/>
  <c r="M30" s="1"/>
  <c r="M31" s="1"/>
  <c r="M32" s="1"/>
  <c r="M33" s="1"/>
  <c r="M34" s="1"/>
  <c r="P23"/>
  <c r="S23" s="1"/>
  <c r="P24"/>
  <c r="S24" s="1"/>
  <c r="U24" s="1"/>
  <c r="P25"/>
  <c r="S25" s="1"/>
  <c r="U25" s="1"/>
  <c r="P26"/>
  <c r="S26" s="1"/>
  <c r="U26" s="1"/>
  <c r="P27"/>
  <c r="S27" s="1"/>
  <c r="U27" s="1"/>
  <c r="P28"/>
  <c r="S28" s="1"/>
  <c r="U28" s="1"/>
  <c r="P29"/>
  <c r="S29" s="1"/>
  <c r="U29" s="1"/>
  <c r="P30"/>
  <c r="S30" s="1"/>
  <c r="U30" s="1"/>
  <c r="P31"/>
  <c r="S31" s="1"/>
  <c r="U31" s="1"/>
  <c r="P32"/>
  <c r="S32" s="1"/>
  <c r="U32" s="1"/>
  <c r="P33"/>
  <c r="S33" s="1"/>
  <c r="U33" s="1"/>
  <c r="M24" i="6"/>
  <c r="B7" i="5"/>
  <c r="B8" s="1"/>
  <c r="B14"/>
  <c r="C32" i="6"/>
  <c r="P32" s="1"/>
  <c r="S32" s="1"/>
  <c r="U32" s="1"/>
  <c r="M25"/>
  <c r="B9" i="5"/>
  <c r="C28" i="6" s="1"/>
  <c r="P28" s="1"/>
  <c r="S28" s="1"/>
  <c r="U28" s="1"/>
  <c r="C27"/>
  <c r="P27" s="1"/>
  <c r="S27" s="1"/>
  <c r="U27" s="1"/>
  <c r="P24"/>
  <c r="S24" s="1"/>
  <c r="U24" s="1"/>
  <c r="P25"/>
  <c r="S25" s="1"/>
  <c r="U25" s="1"/>
  <c r="P29"/>
  <c r="S29" s="1"/>
  <c r="U29" s="1"/>
  <c r="P30"/>
  <c r="S30" s="1"/>
  <c r="U30" s="1"/>
  <c r="C26"/>
  <c r="P26" s="1"/>
  <c r="S26" s="1"/>
  <c r="U26" s="1"/>
  <c r="C31"/>
  <c r="P31" s="1"/>
  <c r="S31" s="1"/>
  <c r="U31" s="1"/>
  <c r="G153" i="4" l="1"/>
  <c r="G116"/>
  <c r="I42"/>
  <c r="C36"/>
  <c r="I116"/>
  <c r="I153"/>
  <c r="C164"/>
  <c r="C165"/>
  <c r="B165"/>
  <c r="B164"/>
  <c r="H153"/>
  <c r="H116"/>
  <c r="I79"/>
  <c r="H79"/>
  <c r="C152"/>
  <c r="E129"/>
  <c r="E128"/>
  <c r="E127"/>
  <c r="D127"/>
  <c r="D135"/>
  <c r="B138"/>
  <c r="D153"/>
  <c r="D154"/>
  <c r="B152"/>
  <c r="D144"/>
  <c r="C115"/>
  <c r="E92"/>
  <c r="E91"/>
  <c r="E90"/>
  <c r="D90"/>
  <c r="D98"/>
  <c r="B101"/>
  <c r="D116"/>
  <c r="D117"/>
  <c r="B115"/>
  <c r="D107"/>
  <c r="C78"/>
  <c r="E55"/>
  <c r="E54"/>
  <c r="E53"/>
  <c r="D53"/>
  <c r="D61"/>
  <c r="B64"/>
  <c r="D80"/>
  <c r="B78"/>
  <c r="D78" s="1"/>
  <c r="D70"/>
  <c r="G42"/>
  <c r="G164" s="1"/>
  <c r="P23" i="6"/>
  <c r="S23" s="1"/>
  <c r="U23" s="1"/>
  <c r="W23" s="1"/>
  <c r="O25"/>
  <c r="Q25" s="1"/>
  <c r="O24"/>
  <c r="Q24" s="1"/>
  <c r="O23"/>
  <c r="R23" s="1"/>
  <c r="W29" i="7"/>
  <c r="X41"/>
  <c r="V29"/>
  <c r="Y41"/>
  <c r="U23"/>
  <c r="S35"/>
  <c r="O23"/>
  <c r="W33"/>
  <c r="V33"/>
  <c r="V25"/>
  <c r="W25"/>
  <c r="L25"/>
  <c r="O24"/>
  <c r="Q24" s="1"/>
  <c r="V30"/>
  <c r="W30"/>
  <c r="Y40"/>
  <c r="W26"/>
  <c r="X40"/>
  <c r="V26"/>
  <c r="W31"/>
  <c r="V31"/>
  <c r="V27"/>
  <c r="W27"/>
  <c r="V32"/>
  <c r="W32"/>
  <c r="V28"/>
  <c r="W28"/>
  <c r="W24"/>
  <c r="V24"/>
  <c r="X40" i="6"/>
  <c r="Y40"/>
  <c r="V24"/>
  <c r="W24"/>
  <c r="M26"/>
  <c r="X41"/>
  <c r="Y41"/>
  <c r="C33"/>
  <c r="P33" s="1"/>
  <c r="S33" s="1"/>
  <c r="U33" s="1"/>
  <c r="B15" i="5"/>
  <c r="C34" i="6" s="1"/>
  <c r="P34" s="1"/>
  <c r="S34" s="1"/>
  <c r="C95" i="4"/>
  <c r="C75"/>
  <c r="C132"/>
  <c r="C58"/>
  <c r="C112"/>
  <c r="B27"/>
  <c r="C139"/>
  <c r="C111"/>
  <c r="B26"/>
  <c r="C66"/>
  <c r="C131"/>
  <c r="C74"/>
  <c r="C103"/>
  <c r="C102"/>
  <c r="C94"/>
  <c r="C37"/>
  <c r="C27"/>
  <c r="B19"/>
  <c r="C57"/>
  <c r="C65"/>
  <c r="C38"/>
  <c r="C140"/>
  <c r="C26"/>
  <c r="I164" l="1"/>
  <c r="D115"/>
  <c r="D165"/>
  <c r="C81"/>
  <c r="C82"/>
  <c r="D152"/>
  <c r="F26"/>
  <c r="F27"/>
  <c r="B147"/>
  <c r="B134"/>
  <c r="C134"/>
  <c r="B110"/>
  <c r="B106" s="1"/>
  <c r="B97"/>
  <c r="C106"/>
  <c r="C97"/>
  <c r="B73"/>
  <c r="B69" s="1"/>
  <c r="B60"/>
  <c r="C69"/>
  <c r="C60"/>
  <c r="Q23" i="6"/>
  <c r="R24"/>
  <c r="R25" s="1"/>
  <c r="V39" s="1"/>
  <c r="R23" i="7"/>
  <c r="Q23"/>
  <c r="X39"/>
  <c r="V23"/>
  <c r="Y39"/>
  <c r="W23"/>
  <c r="L26"/>
  <c r="O25"/>
  <c r="Q25" s="1"/>
  <c r="S35" i="6"/>
  <c r="V23"/>
  <c r="X39"/>
  <c r="D46" s="1"/>
  <c r="Y39"/>
  <c r="M27"/>
  <c r="O26"/>
  <c r="Q26" s="1"/>
  <c r="V25"/>
  <c r="W25"/>
  <c r="C19" i="4"/>
  <c r="C18"/>
  <c r="B38"/>
  <c r="B111"/>
  <c r="B18"/>
  <c r="C119" l="1"/>
  <c r="F19"/>
  <c r="C118"/>
  <c r="F18"/>
  <c r="F38"/>
  <c r="F111"/>
  <c r="F37"/>
  <c r="C143"/>
  <c r="B143"/>
  <c r="E137"/>
  <c r="E136"/>
  <c r="E135"/>
  <c r="E109"/>
  <c r="E117" s="1"/>
  <c r="E108"/>
  <c r="D106"/>
  <c r="E107"/>
  <c r="E100"/>
  <c r="E99"/>
  <c r="J99" s="1"/>
  <c r="E98"/>
  <c r="E72"/>
  <c r="E80" s="1"/>
  <c r="E71"/>
  <c r="D69"/>
  <c r="E70"/>
  <c r="E63"/>
  <c r="E62"/>
  <c r="J62" s="1"/>
  <c r="E61"/>
  <c r="R26" i="6"/>
  <c r="W26" s="1"/>
  <c r="W39"/>
  <c r="R24" i="7"/>
  <c r="R25" s="1"/>
  <c r="L27"/>
  <c r="O26"/>
  <c r="Q26" s="1"/>
  <c r="E46" i="6"/>
  <c r="V26"/>
  <c r="M28"/>
  <c r="O27"/>
  <c r="Q27" s="1"/>
  <c r="R27" s="1"/>
  <c r="B57" i="4"/>
  <c r="B58"/>
  <c r="E146" l="1"/>
  <c r="E154" s="1"/>
  <c r="F44"/>
  <c r="E116"/>
  <c r="J108"/>
  <c r="J116" s="1"/>
  <c r="F45"/>
  <c r="F57"/>
  <c r="F58"/>
  <c r="E79"/>
  <c r="J71"/>
  <c r="J79" s="1"/>
  <c r="D143"/>
  <c r="E144"/>
  <c r="E145"/>
  <c r="R26" i="7"/>
  <c r="V39"/>
  <c r="L28"/>
  <c r="O27"/>
  <c r="Q27" s="1"/>
  <c r="W39"/>
  <c r="M29" i="6"/>
  <c r="O28"/>
  <c r="Q28" s="1"/>
  <c r="R28" s="1"/>
  <c r="V27"/>
  <c r="W27"/>
  <c r="B65" i="4"/>
  <c r="B66"/>
  <c r="E153" l="1"/>
  <c r="J145"/>
  <c r="F66"/>
  <c r="F65"/>
  <c r="R27" i="7"/>
  <c r="L29"/>
  <c r="O28"/>
  <c r="Q28" s="1"/>
  <c r="R28" s="1"/>
  <c r="W40" s="1"/>
  <c r="V28" i="6"/>
  <c r="W28"/>
  <c r="M30"/>
  <c r="O29"/>
  <c r="Q29" s="1"/>
  <c r="R29" s="1"/>
  <c r="V40"/>
  <c r="D47" s="1"/>
  <c r="W40"/>
  <c r="E47" s="1"/>
  <c r="B74" i="4"/>
  <c r="B75"/>
  <c r="B82" l="1"/>
  <c r="F75"/>
  <c r="F82" s="1"/>
  <c r="B81"/>
  <c r="F74"/>
  <c r="F81" s="1"/>
  <c r="V40" i="7"/>
  <c r="L30"/>
  <c r="O29"/>
  <c r="Q29" s="1"/>
  <c r="R29" s="1"/>
  <c r="V29" i="6"/>
  <c r="W29"/>
  <c r="M31"/>
  <c r="O30"/>
  <c r="Q30" s="1"/>
  <c r="R30" s="1"/>
  <c r="B94" i="4"/>
  <c r="B95"/>
  <c r="F95" l="1"/>
  <c r="F94"/>
  <c r="L31" i="7"/>
  <c r="O30"/>
  <c r="Q30" s="1"/>
  <c r="R30" s="1"/>
  <c r="M32" i="6"/>
  <c r="O31"/>
  <c r="Q31" s="1"/>
  <c r="R31" s="1"/>
  <c r="V30"/>
  <c r="W30"/>
  <c r="B102" i="4"/>
  <c r="B103"/>
  <c r="F103" l="1"/>
  <c r="F102"/>
  <c r="F118" s="1"/>
  <c r="B118"/>
  <c r="L32" i="7"/>
  <c r="O31"/>
  <c r="Q31" s="1"/>
  <c r="R31" s="1"/>
  <c r="W41" s="1"/>
  <c r="V31" i="6"/>
  <c r="W31"/>
  <c r="W41"/>
  <c r="E48" s="1"/>
  <c r="M33"/>
  <c r="O32"/>
  <c r="Q32" s="1"/>
  <c r="R32" s="1"/>
  <c r="V41"/>
  <c r="D48" s="1"/>
  <c r="B112" i="4"/>
  <c r="B119" l="1"/>
  <c r="F112"/>
  <c r="F119" s="1"/>
  <c r="V41" i="7"/>
  <c r="L33"/>
  <c r="O32"/>
  <c r="Q32" s="1"/>
  <c r="R32" s="1"/>
  <c r="V32" i="6"/>
  <c r="W32"/>
  <c r="M34"/>
  <c r="O34" s="1"/>
  <c r="Q34" s="1"/>
  <c r="O33"/>
  <c r="Q33" s="1"/>
  <c r="R33" s="1"/>
  <c r="B131" i="4"/>
  <c r="B132"/>
  <c r="F132" l="1"/>
  <c r="F131"/>
  <c r="T34" i="6"/>
  <c r="L34" i="7"/>
  <c r="O34" s="1"/>
  <c r="Q34" s="1"/>
  <c r="O33"/>
  <c r="Q33" s="1"/>
  <c r="R33" s="1"/>
  <c r="V33" i="6"/>
  <c r="W33"/>
  <c r="R34"/>
  <c r="B140" i="4"/>
  <c r="B139"/>
  <c r="T34" i="7" l="1"/>
  <c r="F140" i="4"/>
  <c r="F139"/>
  <c r="R34" i="7"/>
  <c r="U34" i="6"/>
  <c r="W34" s="1"/>
  <c r="W42"/>
  <c r="V42"/>
  <c r="B149" i="4"/>
  <c r="V42" i="7" l="1"/>
  <c r="B156" i="4"/>
  <c r="B167" s="1"/>
  <c r="W42" i="7"/>
  <c r="U34"/>
  <c r="W34" s="1"/>
  <c r="V34" i="6"/>
  <c r="X42"/>
  <c r="D49" s="1"/>
  <c r="Y42"/>
  <c r="E49" s="1"/>
  <c r="B148" i="4"/>
  <c r="C149"/>
  <c r="C156" l="1"/>
  <c r="C167" s="1"/>
  <c r="F149"/>
  <c r="F156" s="1"/>
  <c r="F167" s="1"/>
  <c r="B155"/>
  <c r="B166" s="1"/>
  <c r="D164"/>
  <c r="V35" i="6"/>
  <c r="D50"/>
  <c r="Y42" i="7"/>
  <c r="X42"/>
  <c r="V34"/>
  <c r="C148" i="4"/>
  <c r="C155" l="1"/>
  <c r="C166" s="1"/>
  <c r="F148"/>
  <c r="F155" s="1"/>
  <c r="F166" s="1"/>
  <c r="V35" i="7"/>
  <c r="B13" i="4" l="1"/>
  <c r="D43"/>
  <c r="D34"/>
  <c r="B33"/>
  <c r="D23"/>
  <c r="B22"/>
  <c r="D15"/>
  <c r="C14"/>
  <c r="C41" s="1"/>
  <c r="C163" s="1"/>
  <c r="B14"/>
  <c r="H42" l="1"/>
  <c r="H164" s="1"/>
  <c r="B41"/>
  <c r="D33"/>
  <c r="C13"/>
  <c r="E15" s="1"/>
  <c r="B36"/>
  <c r="C21"/>
  <c r="D14"/>
  <c r="D22"/>
  <c r="D41" l="1"/>
  <c r="D163" s="1"/>
  <c r="B163"/>
  <c r="E16"/>
  <c r="B21"/>
  <c r="E24" s="1"/>
  <c r="E14"/>
  <c r="C32"/>
  <c r="B32"/>
  <c r="E34" l="1"/>
  <c r="E35"/>
  <c r="E43" s="1"/>
  <c r="E23"/>
  <c r="J136"/>
  <c r="J153" s="1"/>
  <c r="E22"/>
  <c r="D42"/>
  <c r="E33"/>
  <c r="D32"/>
  <c r="E42" l="1"/>
  <c r="J42"/>
  <c r="J164" s="1"/>
  <c r="Q7" i="1"/>
  <c r="Q8"/>
  <c r="Q9"/>
  <c r="Q10"/>
  <c r="Q12"/>
  <c r="Q14"/>
  <c r="Q15"/>
  <c r="Q17"/>
  <c r="Q19"/>
  <c r="Q20"/>
  <c r="Q21"/>
  <c r="Q22"/>
  <c r="Q23"/>
  <c r="Q25"/>
  <c r="Q6" l="1"/>
</calcChain>
</file>

<file path=xl/comments1.xml><?xml version="1.0" encoding="utf-8"?>
<comments xmlns="http://schemas.openxmlformats.org/spreadsheetml/2006/main">
  <authors>
    <author>UTIL10</author>
  </authors>
  <commentList>
    <comment ref="E21" authorId="0">
      <text>
        <r>
          <rPr>
            <b/>
            <sz val="8"/>
            <color indexed="81"/>
            <rFont val="Tahoma"/>
            <family val="2"/>
          </rPr>
          <t>En cas d'embauche, de départ, d'absences ...</t>
        </r>
        <r>
          <rPr>
            <sz val="8"/>
            <color indexed="81"/>
            <rFont val="Tahoma"/>
            <family val="2"/>
          </rPr>
          <t xml:space="preserve">
Renseigner La rémunération qui aurait été versée pour le mois entier à temps complet
</t>
        </r>
      </text>
    </comment>
  </commentList>
</comments>
</file>

<file path=xl/comments2.xml><?xml version="1.0" encoding="utf-8"?>
<comments xmlns="http://schemas.openxmlformats.org/spreadsheetml/2006/main">
  <authors>
    <author>UTIL10</author>
  </authors>
  <commentList>
    <comment ref="E21" authorId="0">
      <text>
        <r>
          <rPr>
            <b/>
            <sz val="8"/>
            <color indexed="81"/>
            <rFont val="Tahoma"/>
            <family val="2"/>
          </rPr>
          <t>En cas d'embauche, de départ, d'absences ...</t>
        </r>
        <r>
          <rPr>
            <sz val="8"/>
            <color indexed="81"/>
            <rFont val="Tahoma"/>
            <family val="2"/>
          </rPr>
          <t xml:space="preserve">
Renseigner La rémunération qui aurait été versée pour le mois entier à temps complet
</t>
        </r>
      </text>
    </comment>
  </commentList>
</comments>
</file>

<file path=xl/sharedStrings.xml><?xml version="1.0" encoding="utf-8"?>
<sst xmlns="http://schemas.openxmlformats.org/spreadsheetml/2006/main" count="420" uniqueCount="179">
  <si>
    <t>Liste des salariés de l'entreprise</t>
  </si>
  <si>
    <t>salarié 1</t>
  </si>
  <si>
    <t>salarié 2</t>
  </si>
  <si>
    <t>salarié 3</t>
  </si>
  <si>
    <t>salarié 4</t>
  </si>
  <si>
    <t>Nom</t>
  </si>
  <si>
    <t>date d entrée</t>
  </si>
  <si>
    <t>date de sortie</t>
  </si>
  <si>
    <t>type de contrat</t>
  </si>
  <si>
    <t>si cdd, Date de fin</t>
  </si>
  <si>
    <t>apprentissage</t>
  </si>
  <si>
    <t>professionnalisation</t>
  </si>
  <si>
    <t>handicap</t>
  </si>
  <si>
    <t>Contrat de génération</t>
  </si>
  <si>
    <t>CIE</t>
  </si>
  <si>
    <t>Dirigeant</t>
  </si>
  <si>
    <t>Cumul emploi retraite</t>
  </si>
  <si>
    <t>associé</t>
  </si>
  <si>
    <t>conjoint(e) associé ou dirigeant</t>
  </si>
  <si>
    <t>due établis</t>
  </si>
  <si>
    <t>contrat établis</t>
  </si>
  <si>
    <t>retour contrat signé</t>
  </si>
  <si>
    <t>Nom entreprise</t>
  </si>
  <si>
    <t>Nombre d'établissement</t>
  </si>
  <si>
    <t>effectifs au 31/12/N-1</t>
  </si>
  <si>
    <t>date de versement des salaires</t>
  </si>
  <si>
    <t>contact principal</t>
  </si>
  <si>
    <t>coordonées du contact principal</t>
  </si>
  <si>
    <t>périodicité des charges sociales</t>
  </si>
  <si>
    <t>Spécificité 1**</t>
  </si>
  <si>
    <t>caisse des congés payés</t>
  </si>
  <si>
    <t>prime d'ancienneté</t>
  </si>
  <si>
    <t>prime diverses</t>
  </si>
  <si>
    <t>si oui, préciser</t>
  </si>
  <si>
    <t>mensuelle</t>
  </si>
  <si>
    <t>trimestrielle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</si>
  <si>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</si>
  <si>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</si>
  <si>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</si>
  <si>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</si>
  <si>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</si>
  <si>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</si>
  <si>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</si>
  <si>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</si>
  <si>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</si>
  <si>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</si>
  <si>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</si>
  <si>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</si>
  <si>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</si>
  <si>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temps partiel</t>
  </si>
  <si>
    <t>multiemployeurs</t>
  </si>
  <si>
    <t>statut</t>
  </si>
  <si>
    <t>ETAM</t>
  </si>
  <si>
    <t>Cadre</t>
  </si>
  <si>
    <t>Mandataire social</t>
  </si>
  <si>
    <t>Ouvrier</t>
  </si>
  <si>
    <t>Non cadre</t>
  </si>
  <si>
    <t>date dernière visite médicale</t>
  </si>
  <si>
    <t>mutuelle</t>
  </si>
  <si>
    <t>avantage en nature</t>
  </si>
  <si>
    <t>oui</t>
  </si>
  <si>
    <t>non</t>
  </si>
  <si>
    <t>véhicule</t>
  </si>
  <si>
    <t>repas pris</t>
  </si>
  <si>
    <t>repas non pris</t>
  </si>
  <si>
    <t>logement</t>
  </si>
  <si>
    <t>autres( à préciser)</t>
  </si>
  <si>
    <t>matricule</t>
  </si>
  <si>
    <t>A</t>
  </si>
  <si>
    <t>machin@machine,com</t>
  </si>
  <si>
    <t>albert robert</t>
  </si>
  <si>
    <t>NA</t>
  </si>
  <si>
    <t>bulletins initiaux</t>
  </si>
  <si>
    <t>Total bulletins</t>
  </si>
  <si>
    <t>procédure de licenciement*</t>
  </si>
  <si>
    <t>rupture conventionnelle*</t>
  </si>
  <si>
    <t>* précisez le nom du salarié concerné en commentaires</t>
  </si>
  <si>
    <t>dont solde de tout compte*</t>
  </si>
  <si>
    <t>dont bulletins spécifiques*</t>
  </si>
  <si>
    <t>bulletins refaits erreurs client*</t>
  </si>
  <si>
    <t>bulletins refaits erreurs cabinet*</t>
  </si>
  <si>
    <t>total procédures</t>
  </si>
  <si>
    <t>Bordereau de charges URSSAF</t>
  </si>
  <si>
    <t>bordereau de charges retraite</t>
  </si>
  <si>
    <t>Bordereau de charges prévoyance</t>
  </si>
  <si>
    <t>Bordereau de charges Mutuelle</t>
  </si>
  <si>
    <t>bordereau de caisse des congés payés</t>
  </si>
  <si>
    <t>Total Bordereaux</t>
  </si>
  <si>
    <t>SMIC</t>
  </si>
  <si>
    <t>Effectif</t>
  </si>
  <si>
    <t>Salaire brut</t>
  </si>
  <si>
    <t>Nombre d'heures travaillées</t>
  </si>
  <si>
    <t>Majoration 2,5 fois SMIC</t>
  </si>
  <si>
    <t>REDUCTION FILLON</t>
  </si>
  <si>
    <t>COEFFICIENT</t>
  </si>
  <si>
    <t>Table SMIC horaire</t>
  </si>
  <si>
    <t>Smic hor 2012</t>
  </si>
  <si>
    <r>
      <rPr>
        <u/>
        <sz val="8"/>
        <color theme="1"/>
        <rFont val="Century Gothic"/>
        <family val="2"/>
      </rPr>
      <t>Coefficient</t>
    </r>
    <r>
      <rPr>
        <sz val="11"/>
        <color theme="1"/>
        <rFont val="Calibri"/>
        <family val="2"/>
        <scheme val="minor"/>
      </rPr>
      <t xml:space="preserve"> = 0,26/0,6 x [1,6 x Smic mensuel base 151,67 heures/Rémunération mensuelle brute - 1] </t>
    </r>
  </si>
  <si>
    <t>Remarques sur le calcul Fillon:</t>
  </si>
  <si>
    <t>le résultat du coefficient obtenu est arrondi à quatre décimales au dix millième le plus proche. Il est pris en compte pour une valeur égale à 0,281 s'il est supérieur à 0,281</t>
  </si>
  <si>
    <t>Pour le calcul de ce coefficient, la rémunération des heures supplémentaires ou complémentaires défiscalisées (c’est-à-dire dans la limite, en ce qui concerne la majoration salariale, des taux de 25 % ou de 50 % selon le cas) sont à exclure</t>
  </si>
  <si>
    <t>les entreprises qui atteignent ou franchissent le seuil de 19 salariés pour la première fois, maintiennent ce coefficient maximal à 0,2810 pendant 3 ans (article 48 de la loi n° 2008-776 de modernisation de l'économie du 4 août 2008).</t>
  </si>
  <si>
    <t>CALCUL DE LA REDUCTION FILLON</t>
  </si>
  <si>
    <t xml:space="preserve">Année : </t>
  </si>
  <si>
    <t>Nom / Prénom :</t>
  </si>
  <si>
    <t>Matricule :</t>
  </si>
  <si>
    <t>0004</t>
  </si>
  <si>
    <t>Effectif de l'entreprise :</t>
  </si>
  <si>
    <t>Choix du mode de calcul de la régularisation :</t>
  </si>
  <si>
    <t>Horaire collectif mensuel :</t>
  </si>
  <si>
    <t>Coefficient effectif :</t>
  </si>
  <si>
    <t>Temps partiel :</t>
  </si>
  <si>
    <t>Horaire hebdo contractuel :</t>
  </si>
  <si>
    <t>ex. : 17h</t>
  </si>
  <si>
    <t>Horaire hebdo conventionnel :</t>
  </si>
  <si>
    <t>ex. : 35h</t>
  </si>
  <si>
    <t>Mois incomplet</t>
  </si>
  <si>
    <t>Tps partiel</t>
  </si>
  <si>
    <t>Réduction calculée</t>
  </si>
  <si>
    <t>Smic mensuel</t>
  </si>
  <si>
    <t>Salaire brut total versé</t>
  </si>
  <si>
    <t xml:space="preserve">Base rémunération mensuelle </t>
  </si>
  <si>
    <t>Nb d'h.suppl.</t>
  </si>
  <si>
    <t>horaire hebdo contractuel</t>
  </si>
  <si>
    <t>horaire hebdo conventionnel</t>
  </si>
  <si>
    <t>Smic brut mensuel</t>
  </si>
  <si>
    <t>Assiette Fillon</t>
  </si>
  <si>
    <t>Cumul smic mensuel</t>
  </si>
  <si>
    <t>Cumul HS SMIC</t>
  </si>
  <si>
    <t>Cumul SB mensuel</t>
  </si>
  <si>
    <t>Coeff.progr</t>
  </si>
  <si>
    <t>Coeff.annuel</t>
  </si>
  <si>
    <t xml:space="preserve">Réduction Fillon réelle cumulée </t>
  </si>
  <si>
    <t>Mtt réduction Fillon progr.</t>
  </si>
  <si>
    <t>Calcul par régularisation annuelle</t>
  </si>
  <si>
    <t>Mtt réduction Fillon annuel</t>
  </si>
  <si>
    <t>Réduction 
(code 671)</t>
  </si>
  <si>
    <t>Régularisation
 (code 801)</t>
  </si>
  <si>
    <t>Total</t>
  </si>
  <si>
    <t>Progressif</t>
  </si>
  <si>
    <t>Annuel</t>
  </si>
  <si>
    <t>Code 671</t>
  </si>
  <si>
    <t>Code 801</t>
  </si>
  <si>
    <t>1er trimestre</t>
  </si>
  <si>
    <t>2ème trimestre</t>
  </si>
  <si>
    <t>3ème trimestre</t>
  </si>
  <si>
    <t>4ème trimestre</t>
  </si>
  <si>
    <t>RECAPITULATIF TRIMESTRIEL</t>
  </si>
  <si>
    <t>Réduction (code 671)</t>
  </si>
  <si>
    <t>Régularisation
(code 801)</t>
  </si>
  <si>
    <t>ROBERT DUVERGNE</t>
  </si>
  <si>
    <t>STATUT</t>
  </si>
  <si>
    <t>TOTAL CADRE</t>
  </si>
  <si>
    <t>TOTAL NON CADRE</t>
  </si>
  <si>
    <t>TOTAL DIRIGEANT</t>
  </si>
  <si>
    <t>Régularisation réduction fillon</t>
  </si>
  <si>
    <t>Réduction fillon</t>
  </si>
  <si>
    <t>CONTRÔLE DES CHARGES SOCIALES</t>
  </si>
  <si>
    <t>N : Non cadre</t>
  </si>
  <si>
    <t>C : Cadre</t>
  </si>
  <si>
    <t>A : Apprentis</t>
  </si>
  <si>
    <t>D : Dirigeant</t>
  </si>
  <si>
    <t>NOM</t>
  </si>
  <si>
    <t>Statut</t>
  </si>
  <si>
    <t>DUBREUIL JEAN</t>
  </si>
  <si>
    <t>non cadre</t>
  </si>
  <si>
    <t>1er Trimestre</t>
  </si>
  <si>
    <t>ELIGIBLE CICE</t>
  </si>
  <si>
    <t>SALAIRE BRUT</t>
  </si>
  <si>
    <t>apprenti</t>
  </si>
  <si>
    <t>TOTAL APPRENTI</t>
  </si>
  <si>
    <t>2eme Trimestre</t>
  </si>
  <si>
    <t>aout</t>
  </si>
  <si>
    <t>3eme Trimestre</t>
  </si>
  <si>
    <t>decembre</t>
  </si>
  <si>
    <t>4eme Trimestre</t>
  </si>
  <si>
    <t>TOTAL ANNUEL</t>
  </si>
  <si>
    <t>salaire brut cumule</t>
  </si>
  <si>
    <t>nb d heures travaillé cumulé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</si>
</sst>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0\ _€_-;\-* #,##0.000\ _€_-;_-* &quot;-&quot;??\ _€_-;_-@_-"/>
    <numFmt numFmtId="166" formatCode="0.00?&quot;h&quot;"/>
    <numFmt numFmtId="167" formatCode="0.0000"/>
    <numFmt numFmtId="168" formatCode="0.000"/>
  </numFmts>
  <fonts count="1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8"/>
      <name val="Century Gothic"/>
      <family val="2"/>
    </font>
    <font>
      <u/>
      <sz val="8"/>
      <color theme="1"/>
      <name val="Century Gothic"/>
      <family val="2"/>
    </font>
    <font>
      <sz val="8"/>
      <name val="Tahoma"/>
      <family val="2"/>
    </font>
    <font>
      <b/>
      <sz val="8"/>
      <color theme="1"/>
      <name val="Century Gothic"/>
      <family val="2"/>
    </font>
    <font>
      <sz val="8"/>
      <color rgb="FFFF0000"/>
      <name val="Century Gothic"/>
      <family val="2"/>
    </font>
    <font>
      <sz val="11"/>
      <color theme="1"/>
      <name val="Franklin Gothic Heavy"/>
      <family val="2"/>
    </font>
    <font>
      <i/>
      <sz val="8"/>
      <color theme="1"/>
      <name val="Century Gothic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/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double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</cellStyleXfs>
  <cellXfs count="167">
    <xf numFmtId="0" fontId="0" fillId="0" borderId="0" xfId="0"/>
    <xf numFmtId="2" fontId="0" fillId="0" borderId="0" xfId="0" applyNumberFormat="1" applyAlignment="1">
      <alignment horizontal="center" vertical="distributed"/>
    </xf>
    <xf numFmtId="0" fontId="0" fillId="0" borderId="1" xfId="0" applyBorder="1"/>
    <xf numFmtId="0" fontId="1" fillId="0" borderId="0" xfId="0" applyFont="1"/>
    <xf numFmtId="2" fontId="0" fillId="0" borderId="0" xfId="0" applyNumberFormat="1"/>
    <xf numFmtId="2" fontId="0" fillId="0" borderId="0" xfId="0" applyNumberFormat="1" applyAlignment="1"/>
    <xf numFmtId="2" fontId="0" fillId="0" borderId="0" xfId="0" applyNumberFormat="1" applyAlignment="1">
      <alignment horizontal="left"/>
    </xf>
    <xf numFmtId="0" fontId="2" fillId="0" borderId="1" xfId="1" applyBorder="1" applyAlignment="1" applyProtection="1"/>
    <xf numFmtId="14" fontId="0" fillId="0" borderId="0" xfId="0" applyNumberFormat="1"/>
    <xf numFmtId="0" fontId="5" fillId="0" borderId="0" xfId="3"/>
    <xf numFmtId="0" fontId="5" fillId="0" borderId="0" xfId="3" applyAlignment="1">
      <alignment horizontal="center"/>
    </xf>
    <xf numFmtId="0" fontId="6" fillId="0" borderId="0" xfId="3" applyFont="1" applyAlignment="1">
      <alignment horizontal="right" vertical="center"/>
    </xf>
    <xf numFmtId="44" fontId="0" fillId="3" borderId="0" xfId="4" applyFont="1" applyFill="1" applyAlignment="1" applyProtection="1">
      <alignment vertical="center"/>
      <protection locked="0"/>
    </xf>
    <xf numFmtId="0" fontId="5" fillId="0" borderId="0" xfId="3" applyAlignment="1">
      <alignment vertical="top"/>
    </xf>
    <xf numFmtId="0" fontId="7" fillId="0" borderId="0" xfId="3" applyFont="1" applyAlignment="1">
      <alignment vertical="center"/>
    </xf>
    <xf numFmtId="0" fontId="5" fillId="0" borderId="0" xfId="3" applyFont="1" applyAlignment="1">
      <alignment vertical="center"/>
    </xf>
    <xf numFmtId="0" fontId="10" fillId="0" borderId="0" xfId="3" applyFont="1" applyAlignment="1">
      <alignment vertical="center"/>
    </xf>
    <xf numFmtId="0" fontId="9" fillId="0" borderId="0" xfId="3" applyFont="1" applyAlignment="1">
      <alignment vertical="top"/>
    </xf>
    <xf numFmtId="0" fontId="11" fillId="0" borderId="1" xfId="3" applyFont="1" applyBorder="1" applyAlignment="1">
      <alignment horizontal="center" vertical="center"/>
    </xf>
    <xf numFmtId="0" fontId="5" fillId="0" borderId="0" xfId="3" applyAlignment="1">
      <alignment vertical="center"/>
    </xf>
    <xf numFmtId="0" fontId="5" fillId="3" borderId="0" xfId="3" applyFill="1" applyAlignment="1" applyProtection="1">
      <alignment vertical="center"/>
      <protection locked="0"/>
    </xf>
    <xf numFmtId="0" fontId="5" fillId="0" borderId="0" xfId="3" applyFont="1"/>
    <xf numFmtId="49" fontId="5" fillId="3" borderId="0" xfId="3" applyNumberFormat="1" applyFill="1" applyAlignment="1" applyProtection="1">
      <alignment vertical="center"/>
      <protection locked="0"/>
    </xf>
    <xf numFmtId="0" fontId="9" fillId="0" borderId="0" xfId="3" applyFont="1" applyAlignment="1">
      <alignment horizontal="left" vertical="center" wrapText="1"/>
    </xf>
    <xf numFmtId="0" fontId="5" fillId="0" borderId="0" xfId="3" applyFont="1" applyAlignment="1">
      <alignment horizontal="left" vertical="center" wrapText="1"/>
    </xf>
    <xf numFmtId="0" fontId="10" fillId="0" borderId="0" xfId="3" applyFont="1" applyAlignment="1" applyProtection="1">
      <alignment vertical="center"/>
      <protection locked="0"/>
    </xf>
    <xf numFmtId="166" fontId="0" fillId="3" borderId="1" xfId="4" applyNumberFormat="1" applyFont="1" applyFill="1" applyBorder="1" applyAlignment="1" applyProtection="1">
      <alignment horizontal="center" vertical="center"/>
      <protection locked="0"/>
    </xf>
    <xf numFmtId="44" fontId="5" fillId="0" borderId="0" xfId="3" applyNumberFormat="1" applyFont="1" applyAlignment="1">
      <alignment vertical="center"/>
    </xf>
    <xf numFmtId="0" fontId="5" fillId="0" borderId="1" xfId="3" applyFont="1" applyBorder="1" applyAlignment="1">
      <alignment horizontal="center" vertical="center"/>
    </xf>
    <xf numFmtId="0" fontId="5" fillId="0" borderId="0" xfId="3" applyFont="1" applyAlignment="1">
      <alignment horizontal="center" vertical="center" wrapText="1"/>
    </xf>
    <xf numFmtId="0" fontId="10" fillId="0" borderId="0" xfId="3" applyFont="1" applyAlignment="1">
      <alignment horizontal="center" vertical="center" wrapText="1"/>
    </xf>
    <xf numFmtId="0" fontId="10" fillId="0" borderId="0" xfId="3" applyFont="1" applyAlignment="1">
      <alignment vertical="center" wrapText="1"/>
    </xf>
    <xf numFmtId="0" fontId="5" fillId="0" borderId="0" xfId="3" applyAlignment="1">
      <alignment horizontal="left" vertical="center" wrapText="1"/>
    </xf>
    <xf numFmtId="0" fontId="12" fillId="0" borderId="0" xfId="3" applyFont="1" applyAlignment="1">
      <alignment horizontal="left" vertical="center" wrapText="1"/>
    </xf>
    <xf numFmtId="0" fontId="5" fillId="0" borderId="0" xfId="3" applyFont="1" applyAlignment="1">
      <alignment vertical="center" wrapText="1"/>
    </xf>
    <xf numFmtId="0" fontId="5" fillId="4" borderId="2" xfId="3" applyFill="1" applyBorder="1" applyAlignment="1">
      <alignment vertical="center" wrapText="1"/>
    </xf>
    <xf numFmtId="0" fontId="5" fillId="0" borderId="0" xfId="3" applyAlignment="1">
      <alignment horizontal="center" vertical="center" wrapText="1"/>
    </xf>
    <xf numFmtId="0" fontId="5" fillId="4" borderId="7" xfId="3" applyFont="1" applyFill="1" applyBorder="1" applyAlignment="1">
      <alignment horizontal="center" vertical="center" wrapText="1"/>
    </xf>
    <xf numFmtId="0" fontId="5" fillId="4" borderId="8" xfId="3" applyFill="1" applyBorder="1" applyAlignment="1">
      <alignment horizontal="center" vertical="center" wrapText="1"/>
    </xf>
    <xf numFmtId="0" fontId="5" fillId="4" borderId="9" xfId="3" applyFill="1" applyBorder="1" applyAlignment="1">
      <alignment horizontal="center" vertical="center" wrapText="1"/>
    </xf>
    <xf numFmtId="0" fontId="5" fillId="4" borderId="9" xfId="3" applyFont="1" applyFill="1" applyBorder="1" applyAlignment="1">
      <alignment horizontal="center" vertical="center" wrapText="1"/>
    </xf>
    <xf numFmtId="0" fontId="5" fillId="4" borderId="7" xfId="3" applyFill="1" applyBorder="1" applyAlignment="1">
      <alignment horizontal="center" vertical="center" wrapText="1"/>
    </xf>
    <xf numFmtId="0" fontId="10" fillId="0" borderId="0" xfId="3" applyFont="1" applyBorder="1" applyAlignment="1">
      <alignment horizontal="center" vertical="center" wrapText="1"/>
    </xf>
    <xf numFmtId="0" fontId="5" fillId="4" borderId="10" xfId="3" applyFont="1" applyFill="1" applyBorder="1" applyAlignment="1">
      <alignment horizontal="center" vertical="center" wrapText="1"/>
    </xf>
    <xf numFmtId="0" fontId="5" fillId="4" borderId="11" xfId="3" applyFont="1" applyFill="1" applyBorder="1" applyAlignment="1">
      <alignment horizontal="center" vertical="center" wrapText="1"/>
    </xf>
    <xf numFmtId="0" fontId="5" fillId="0" borderId="0" xfId="3" applyFont="1" applyFill="1" applyAlignment="1">
      <alignment horizontal="right" vertical="center"/>
    </xf>
    <xf numFmtId="44" fontId="0" fillId="0" borderId="12" xfId="4" applyFont="1" applyFill="1" applyBorder="1" applyAlignment="1">
      <alignment vertical="center"/>
    </xf>
    <xf numFmtId="44" fontId="0" fillId="3" borderId="13" xfId="4" applyFont="1" applyFill="1" applyBorder="1" applyAlignment="1" applyProtection="1">
      <alignment vertical="center"/>
      <protection locked="0"/>
    </xf>
    <xf numFmtId="166" fontId="0" fillId="3" borderId="13" xfId="4" applyNumberFormat="1" applyFont="1" applyFill="1" applyBorder="1" applyAlignment="1" applyProtection="1">
      <alignment horizontal="center" vertical="center"/>
      <protection locked="0"/>
    </xf>
    <xf numFmtId="166" fontId="0" fillId="0" borderId="14" xfId="4" applyNumberFormat="1" applyFont="1" applyFill="1" applyBorder="1" applyAlignment="1">
      <alignment horizontal="center" vertical="center"/>
    </xf>
    <xf numFmtId="44" fontId="10" fillId="0" borderId="0" xfId="3" applyNumberFormat="1" applyFont="1" applyAlignment="1">
      <alignment vertical="center"/>
    </xf>
    <xf numFmtId="167" fontId="10" fillId="0" borderId="0" xfId="3" applyNumberFormat="1" applyFont="1" applyAlignment="1">
      <alignment vertical="center"/>
    </xf>
    <xf numFmtId="44" fontId="10" fillId="0" borderId="0" xfId="3" applyNumberFormat="1" applyFont="1" applyBorder="1" applyAlignment="1">
      <alignment vertical="center" wrapText="1"/>
    </xf>
    <xf numFmtId="44" fontId="5" fillId="0" borderId="15" xfId="3" applyNumberFormat="1" applyFont="1" applyBorder="1" applyAlignment="1">
      <alignment vertical="center"/>
    </xf>
    <xf numFmtId="44" fontId="5" fillId="0" borderId="16" xfId="3" applyNumberFormat="1" applyFont="1" applyBorder="1" applyAlignment="1">
      <alignment vertical="center"/>
    </xf>
    <xf numFmtId="166" fontId="0" fillId="0" borderId="13" xfId="4" applyNumberFormat="1" applyFont="1" applyFill="1" applyBorder="1" applyAlignment="1">
      <alignment horizontal="center" vertical="center"/>
    </xf>
    <xf numFmtId="44" fontId="5" fillId="0" borderId="17" xfId="3" applyNumberFormat="1" applyFont="1" applyBorder="1" applyAlignment="1">
      <alignment vertical="center"/>
    </xf>
    <xf numFmtId="44" fontId="0" fillId="0" borderId="18" xfId="4" applyFont="1" applyFill="1" applyBorder="1" applyAlignment="1">
      <alignment vertical="center"/>
    </xf>
    <xf numFmtId="44" fontId="0" fillId="3" borderId="19" xfId="4" applyFont="1" applyFill="1" applyBorder="1" applyAlignment="1" applyProtection="1">
      <alignment vertical="center"/>
      <protection locked="0"/>
    </xf>
    <xf numFmtId="166" fontId="0" fillId="3" borderId="19" xfId="4" applyNumberFormat="1" applyFont="1" applyFill="1" applyBorder="1" applyAlignment="1" applyProtection="1">
      <alignment horizontal="center" vertical="center"/>
      <protection locked="0"/>
    </xf>
    <xf numFmtId="166" fontId="0" fillId="0" borderId="19" xfId="4" applyNumberFormat="1" applyFont="1" applyFill="1" applyBorder="1" applyAlignment="1">
      <alignment horizontal="center" vertical="center"/>
    </xf>
    <xf numFmtId="44" fontId="5" fillId="0" borderId="20" xfId="3" applyNumberFormat="1" applyFont="1" applyBorder="1" applyAlignment="1">
      <alignment vertical="center"/>
    </xf>
    <xf numFmtId="0" fontId="9" fillId="0" borderId="0" xfId="3" applyFont="1" applyAlignment="1">
      <alignment horizontal="right" vertical="center"/>
    </xf>
    <xf numFmtId="0" fontId="5" fillId="0" borderId="8" xfId="3" applyFont="1" applyBorder="1" applyAlignment="1">
      <alignment vertical="center"/>
    </xf>
    <xf numFmtId="44" fontId="9" fillId="0" borderId="8" xfId="3" applyNumberFormat="1" applyFont="1" applyBorder="1" applyAlignment="1">
      <alignment vertical="center"/>
    </xf>
    <xf numFmtId="44" fontId="9" fillId="0" borderId="21" xfId="3" applyNumberFormat="1" applyFont="1" applyBorder="1" applyAlignment="1">
      <alignment vertical="center"/>
    </xf>
    <xf numFmtId="0" fontId="5" fillId="0" borderId="21" xfId="3" applyFont="1" applyBorder="1" applyAlignment="1">
      <alignment vertical="center"/>
    </xf>
    <xf numFmtId="44" fontId="6" fillId="0" borderId="0" xfId="3" applyNumberFormat="1" applyFont="1" applyAlignment="1">
      <alignment vertical="center"/>
    </xf>
    <xf numFmtId="0" fontId="5" fillId="0" borderId="0" xfId="3" applyAlignment="1">
      <alignment horizontal="right" vertical="center"/>
    </xf>
    <xf numFmtId="0" fontId="5" fillId="0" borderId="0" xfId="3" applyAlignment="1">
      <alignment horizontal="center" vertical="center"/>
    </xf>
    <xf numFmtId="0" fontId="10" fillId="0" borderId="0" xfId="3" applyFont="1" applyAlignment="1">
      <alignment horizontal="center" vertical="center"/>
    </xf>
    <xf numFmtId="0" fontId="10" fillId="0" borderId="0" xfId="3" applyFont="1" applyAlignment="1">
      <alignment horizontal="right" vertical="center"/>
    </xf>
    <xf numFmtId="44" fontId="10" fillId="0" borderId="0" xfId="3" applyNumberFormat="1" applyFont="1" applyBorder="1" applyAlignment="1">
      <alignment vertical="center"/>
    </xf>
    <xf numFmtId="0" fontId="5" fillId="0" borderId="0" xfId="3" applyFont="1" applyBorder="1" applyAlignment="1">
      <alignment vertical="center"/>
    </xf>
    <xf numFmtId="0" fontId="10" fillId="0" borderId="0" xfId="3" applyFont="1" applyBorder="1" applyAlignment="1">
      <alignment vertical="center"/>
    </xf>
    <xf numFmtId="0" fontId="5" fillId="4" borderId="23" xfId="3" applyFont="1" applyFill="1" applyBorder="1" applyAlignment="1">
      <alignment horizontal="center" vertical="center" wrapText="1"/>
    </xf>
    <xf numFmtId="0" fontId="5" fillId="4" borderId="16" xfId="3" applyFont="1" applyFill="1" applyBorder="1" applyAlignment="1">
      <alignment horizontal="center" vertical="center" wrapText="1"/>
    </xf>
    <xf numFmtId="0" fontId="6" fillId="0" borderId="24" xfId="3" applyFont="1" applyBorder="1" applyAlignment="1">
      <alignment horizontal="right" vertical="center"/>
    </xf>
    <xf numFmtId="44" fontId="5" fillId="0" borderId="25" xfId="3" applyNumberFormat="1" applyFont="1" applyFill="1" applyBorder="1" applyAlignment="1">
      <alignment vertical="center"/>
    </xf>
    <xf numFmtId="44" fontId="5" fillId="0" borderId="26" xfId="3" applyNumberFormat="1" applyFont="1" applyFill="1" applyBorder="1" applyAlignment="1">
      <alignment vertical="center"/>
    </xf>
    <xf numFmtId="2" fontId="5" fillId="0" borderId="0" xfId="3" applyNumberFormat="1" applyFont="1" applyAlignment="1">
      <alignment vertical="center"/>
    </xf>
    <xf numFmtId="0" fontId="9" fillId="0" borderId="0" xfId="3" applyFont="1" applyAlignment="1">
      <alignment vertical="center"/>
    </xf>
    <xf numFmtId="44" fontId="9" fillId="0" borderId="0" xfId="3" applyNumberFormat="1" applyFont="1" applyAlignment="1">
      <alignment vertical="center"/>
    </xf>
    <xf numFmtId="168" fontId="5" fillId="0" borderId="0" xfId="3" applyNumberFormat="1" applyFont="1" applyAlignment="1">
      <alignment vertical="center"/>
    </xf>
    <xf numFmtId="0" fontId="5" fillId="0" borderId="0" xfId="3" applyFont="1" applyBorder="1" applyAlignment="1">
      <alignment horizontal="center" vertical="center" wrapText="1"/>
    </xf>
    <xf numFmtId="0" fontId="0" fillId="0" borderId="0" xfId="0" applyBorder="1" applyProtection="1"/>
    <xf numFmtId="0" fontId="0" fillId="0" borderId="0" xfId="0" applyProtection="1"/>
    <xf numFmtId="0" fontId="4" fillId="0" borderId="0" xfId="0" applyFont="1" applyBorder="1" applyProtection="1"/>
    <xf numFmtId="43" fontId="4" fillId="0" borderId="0" xfId="2" applyFont="1" applyBorder="1" applyProtection="1"/>
    <xf numFmtId="165" fontId="4" fillId="0" borderId="0" xfId="2" applyNumberFormat="1" applyFont="1" applyBorder="1" applyProtection="1"/>
    <xf numFmtId="0" fontId="4" fillId="4" borderId="0" xfId="0" applyFont="1" applyFill="1" applyBorder="1" applyAlignment="1" applyProtection="1">
      <alignment horizontal="center"/>
    </xf>
    <xf numFmtId="43" fontId="4" fillId="4" borderId="0" xfId="2" applyFont="1" applyFill="1" applyBorder="1" applyProtection="1"/>
    <xf numFmtId="43" fontId="4" fillId="4" borderId="0" xfId="2" applyFont="1" applyFill="1" applyBorder="1" applyAlignment="1" applyProtection="1">
      <alignment horizontal="center"/>
    </xf>
    <xf numFmtId="0" fontId="4" fillId="4" borderId="0" xfId="0" applyFont="1" applyFill="1" applyBorder="1" applyProtection="1"/>
    <xf numFmtId="0" fontId="4" fillId="0" borderId="0" xfId="0" applyFont="1" applyProtection="1"/>
    <xf numFmtId="0" fontId="4" fillId="0" borderId="28" xfId="0" applyFont="1" applyBorder="1" applyAlignment="1" applyProtection="1">
      <alignment horizontal="center"/>
    </xf>
    <xf numFmtId="43" fontId="15" fillId="0" borderId="29" xfId="2" applyFont="1" applyBorder="1" applyAlignment="1" applyProtection="1">
      <alignment horizontal="center"/>
    </xf>
    <xf numFmtId="43" fontId="15" fillId="0" borderId="29" xfId="2" applyFont="1" applyBorder="1" applyProtection="1"/>
    <xf numFmtId="0" fontId="15" fillId="0" borderId="29" xfId="0" applyFont="1" applyBorder="1" applyProtection="1"/>
    <xf numFmtId="0" fontId="15" fillId="0" borderId="30" xfId="0" applyFont="1" applyBorder="1" applyProtection="1"/>
    <xf numFmtId="164" fontId="0" fillId="0" borderId="31" xfId="2" applyNumberFormat="1" applyFont="1" applyBorder="1" applyAlignment="1" applyProtection="1">
      <alignment horizontal="center"/>
    </xf>
    <xf numFmtId="43" fontId="15" fillId="0" borderId="0" xfId="2" applyNumberFormat="1" applyFont="1" applyBorder="1" applyAlignment="1" applyProtection="1">
      <alignment horizontal="center"/>
    </xf>
    <xf numFmtId="43" fontId="16" fillId="0" borderId="0" xfId="2" applyFont="1" applyBorder="1" applyProtection="1"/>
    <xf numFmtId="164" fontId="15" fillId="0" borderId="0" xfId="2" applyNumberFormat="1" applyFont="1" applyBorder="1" applyProtection="1"/>
    <xf numFmtId="164" fontId="15" fillId="0" borderId="32" xfId="2" applyNumberFormat="1" applyFont="1" applyBorder="1" applyProtection="1"/>
    <xf numFmtId="164" fontId="0" fillId="0" borderId="0" xfId="2" applyNumberFormat="1" applyFont="1" applyProtection="1"/>
    <xf numFmtId="0" fontId="0" fillId="0" borderId="31" xfId="0" applyBorder="1" applyAlignment="1" applyProtection="1">
      <alignment horizontal="center"/>
    </xf>
    <xf numFmtId="0" fontId="15" fillId="5" borderId="0" xfId="0" quotePrefix="1" applyFont="1" applyFill="1" applyBorder="1" applyProtection="1"/>
    <xf numFmtId="43" fontId="16" fillId="7" borderId="0" xfId="2" applyFont="1" applyFill="1" applyBorder="1" applyAlignment="1" applyProtection="1">
      <alignment horizontal="center"/>
    </xf>
    <xf numFmtId="0" fontId="15" fillId="6" borderId="0" xfId="0" applyFont="1" applyFill="1" applyBorder="1" applyProtection="1"/>
    <xf numFmtId="0" fontId="15" fillId="6" borderId="32" xfId="0" applyFont="1" applyFill="1" applyBorder="1" applyProtection="1"/>
    <xf numFmtId="2" fontId="15" fillId="5" borderId="0" xfId="0" quotePrefix="1" applyNumberFormat="1" applyFont="1" applyFill="1" applyBorder="1" applyProtection="1"/>
    <xf numFmtId="0" fontId="15" fillId="0" borderId="0" xfId="0" applyFont="1" applyBorder="1" applyProtection="1"/>
    <xf numFmtId="0" fontId="15" fillId="0" borderId="32" xfId="0" applyFont="1" applyBorder="1" applyProtection="1"/>
    <xf numFmtId="43" fontId="15" fillId="0" borderId="0" xfId="2" applyFont="1" applyBorder="1" applyAlignment="1" applyProtection="1">
      <alignment horizontal="center"/>
    </xf>
    <xf numFmtId="43" fontId="16" fillId="0" borderId="0" xfId="2" applyFont="1" applyBorder="1" applyAlignment="1" applyProtection="1">
      <alignment horizontal="center"/>
    </xf>
    <xf numFmtId="43" fontId="0" fillId="0" borderId="31" xfId="2" applyFont="1" applyBorder="1" applyAlignment="1" applyProtection="1">
      <alignment horizontal="center"/>
    </xf>
    <xf numFmtId="43" fontId="15" fillId="2" borderId="0" xfId="2" applyFont="1" applyFill="1" applyBorder="1" applyAlignment="1" applyProtection="1">
      <alignment horizontal="center"/>
    </xf>
    <xf numFmtId="43" fontId="15" fillId="0" borderId="0" xfId="2" applyFont="1" applyBorder="1" applyProtection="1"/>
    <xf numFmtId="43" fontId="15" fillId="0" borderId="32" xfId="2" applyFont="1" applyBorder="1" applyProtection="1"/>
    <xf numFmtId="43" fontId="0" fillId="0" borderId="0" xfId="2" applyFont="1" applyProtection="1"/>
    <xf numFmtId="43" fontId="0" fillId="0" borderId="33" xfId="2" applyFont="1" applyBorder="1" applyAlignment="1" applyProtection="1">
      <alignment horizontal="center"/>
    </xf>
    <xf numFmtId="43" fontId="15" fillId="2" borderId="34" xfId="2" applyFont="1" applyFill="1" applyBorder="1" applyAlignment="1" applyProtection="1">
      <alignment horizontal="center"/>
    </xf>
    <xf numFmtId="43" fontId="16" fillId="7" borderId="34" xfId="2" applyFont="1" applyFill="1" applyBorder="1" applyAlignment="1" applyProtection="1">
      <alignment horizontal="center"/>
    </xf>
    <xf numFmtId="43" fontId="15" fillId="0" borderId="34" xfId="2" applyFont="1" applyBorder="1" applyProtection="1"/>
    <xf numFmtId="43" fontId="15" fillId="0" borderId="35" xfId="2" applyFont="1" applyBorder="1" applyProtection="1"/>
    <xf numFmtId="43" fontId="0" fillId="0" borderId="0" xfId="2" applyFont="1" applyBorder="1" applyAlignment="1" applyProtection="1">
      <alignment horizontal="center"/>
    </xf>
    <xf numFmtId="43" fontId="16" fillId="0" borderId="29" xfId="2" applyFont="1" applyBorder="1" applyAlignment="1" applyProtection="1">
      <alignment horizontal="center"/>
    </xf>
    <xf numFmtId="0" fontId="4" fillId="0" borderId="27" xfId="0" applyFont="1" applyBorder="1" applyAlignment="1" applyProtection="1">
      <alignment horizontal="center"/>
    </xf>
    <xf numFmtId="43" fontId="15" fillId="0" borderId="27" xfId="2" applyFont="1" applyBorder="1" applyAlignment="1" applyProtection="1">
      <alignment horizontal="center"/>
    </xf>
    <xf numFmtId="43" fontId="16" fillId="0" borderId="27" xfId="2" applyFont="1" applyBorder="1" applyAlignment="1" applyProtection="1">
      <alignment horizontal="center"/>
    </xf>
    <xf numFmtId="43" fontId="15" fillId="0" borderId="27" xfId="2" applyFont="1" applyBorder="1" applyProtection="1"/>
    <xf numFmtId="43" fontId="15" fillId="0" borderId="37" xfId="2" applyFont="1" applyBorder="1" applyProtection="1"/>
    <xf numFmtId="164" fontId="0" fillId="0" borderId="0" xfId="2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43" fontId="15" fillId="5" borderId="0" xfId="2" applyFont="1" applyFill="1" applyBorder="1" applyAlignment="1" applyProtection="1">
      <alignment horizontal="center"/>
    </xf>
    <xf numFmtId="43" fontId="15" fillId="6" borderId="0" xfId="2" applyFont="1" applyFill="1" applyBorder="1" applyProtection="1"/>
    <xf numFmtId="43" fontId="0" fillId="0" borderId="36" xfId="2" applyFont="1" applyBorder="1" applyAlignment="1" applyProtection="1">
      <alignment horizontal="center"/>
    </xf>
    <xf numFmtId="43" fontId="15" fillId="0" borderId="36" xfId="2" applyFont="1" applyBorder="1" applyAlignment="1" applyProtection="1">
      <alignment horizontal="center"/>
    </xf>
    <xf numFmtId="43" fontId="16" fillId="0" borderId="36" xfId="2" applyFont="1" applyFill="1" applyBorder="1" applyAlignment="1" applyProtection="1">
      <alignment horizontal="center"/>
    </xf>
    <xf numFmtId="43" fontId="15" fillId="0" borderId="36" xfId="2" applyFont="1" applyBorder="1" applyProtection="1"/>
    <xf numFmtId="43" fontId="15" fillId="0" borderId="38" xfId="2" applyFont="1" applyBorder="1" applyProtection="1"/>
    <xf numFmtId="0" fontId="4" fillId="0" borderId="0" xfId="0" applyFont="1" applyBorder="1" applyAlignment="1" applyProtection="1">
      <alignment horizontal="center"/>
    </xf>
    <xf numFmtId="43" fontId="0" fillId="0" borderId="0" xfId="2" applyFont="1" applyFill="1" applyBorder="1" applyAlignment="1" applyProtection="1">
      <alignment horizontal="center"/>
    </xf>
    <xf numFmtId="0" fontId="16" fillId="0" borderId="0" xfId="0" applyFont="1" applyBorder="1" applyProtection="1"/>
    <xf numFmtId="43" fontId="15" fillId="0" borderId="0" xfId="2" applyFont="1" applyProtection="1"/>
    <xf numFmtId="0" fontId="15" fillId="0" borderId="0" xfId="0" applyFont="1" applyProtection="1"/>
    <xf numFmtId="43" fontId="15" fillId="0" borderId="0" xfId="2" applyFont="1" applyFill="1" applyBorder="1" applyAlignment="1" applyProtection="1">
      <alignment horizontal="center"/>
    </xf>
    <xf numFmtId="43" fontId="15" fillId="0" borderId="0" xfId="2" applyNumberFormat="1" applyFont="1" applyFill="1" applyBorder="1" applyAlignment="1" applyProtection="1">
      <alignment horizontal="center"/>
    </xf>
    <xf numFmtId="0" fontId="15" fillId="0" borderId="0" xfId="0" quotePrefix="1" applyFont="1" applyFill="1" applyProtection="1"/>
    <xf numFmtId="43" fontId="15" fillId="2" borderId="0" xfId="2" applyNumberFormat="1" applyFont="1" applyFill="1" applyBorder="1" applyAlignment="1" applyProtection="1">
      <alignment horizontal="center"/>
    </xf>
    <xf numFmtId="43" fontId="15" fillId="2" borderId="34" xfId="2" applyNumberFormat="1" applyFont="1" applyFill="1" applyBorder="1" applyAlignment="1" applyProtection="1">
      <alignment horizontal="center"/>
    </xf>
    <xf numFmtId="2" fontId="0" fillId="0" borderId="0" xfId="0" applyNumberFormat="1" applyAlignment="1">
      <alignment horizontal="center" vertical="distributed"/>
    </xf>
    <xf numFmtId="0" fontId="5" fillId="0" borderId="0" xfId="3" applyFont="1" applyBorder="1" applyAlignment="1">
      <alignment horizontal="left" vertical="center" wrapText="1"/>
    </xf>
    <xf numFmtId="0" fontId="9" fillId="4" borderId="0" xfId="3" applyFont="1" applyFill="1" applyAlignment="1">
      <alignment horizontal="center" vertical="center"/>
    </xf>
    <xf numFmtId="0" fontId="5" fillId="4" borderId="3" xfId="3" applyFill="1" applyBorder="1" applyAlignment="1">
      <alignment horizontal="center" vertical="center" wrapText="1"/>
    </xf>
    <xf numFmtId="0" fontId="5" fillId="4" borderId="4" xfId="3" applyFill="1" applyBorder="1" applyAlignment="1">
      <alignment horizontal="center" vertical="center" wrapText="1"/>
    </xf>
    <xf numFmtId="0" fontId="5" fillId="4" borderId="5" xfId="3" applyFill="1" applyBorder="1" applyAlignment="1">
      <alignment horizontal="center" vertical="center" wrapText="1"/>
    </xf>
    <xf numFmtId="0" fontId="5" fillId="4" borderId="6" xfId="3" applyFont="1" applyFill="1" applyBorder="1" applyAlignment="1">
      <alignment horizontal="center" vertical="center" wrapText="1"/>
    </xf>
    <xf numFmtId="0" fontId="10" fillId="0" borderId="0" xfId="3" applyFont="1" applyAlignment="1">
      <alignment horizontal="center" vertical="center"/>
    </xf>
    <xf numFmtId="44" fontId="9" fillId="0" borderId="10" xfId="3" applyNumberFormat="1" applyFont="1" applyBorder="1" applyAlignment="1">
      <alignment horizontal="center" vertical="center"/>
    </xf>
    <xf numFmtId="44" fontId="9" fillId="0" borderId="22" xfId="3" applyNumberFormat="1" applyFont="1" applyBorder="1" applyAlignment="1">
      <alignment horizontal="center" vertical="center"/>
    </xf>
    <xf numFmtId="0" fontId="5" fillId="4" borderId="8" xfId="3" applyFill="1" applyBorder="1" applyAlignment="1">
      <alignment horizontal="center" vertical="center" wrapText="1"/>
    </xf>
    <xf numFmtId="0" fontId="5" fillId="0" borderId="0" xfId="3" applyAlignment="1">
      <alignment horizontal="center" wrapText="1"/>
    </xf>
    <xf numFmtId="0" fontId="5" fillId="0" borderId="0" xfId="3" applyFont="1" applyAlignment="1">
      <alignment horizontal="center" wrapText="1"/>
    </xf>
    <xf numFmtId="44" fontId="9" fillId="0" borderId="8" xfId="3" applyNumberFormat="1" applyFont="1" applyBorder="1" applyAlignment="1">
      <alignment horizontal="center" vertical="center"/>
    </xf>
    <xf numFmtId="43" fontId="4" fillId="4" borderId="0" xfId="2" applyFont="1" applyFill="1" applyBorder="1" applyAlignment="1" applyProtection="1">
      <alignment horizontal="center"/>
    </xf>
  </cellXfs>
  <cellStyles count="5">
    <cellStyle name="Lien hypertexte" xfId="1" builtinId="8"/>
    <cellStyle name="Milliers" xfId="2" builtinId="3"/>
    <cellStyle name="Monétaire 2" xfId="4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chin@machine,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V69"/>
  <sheetViews>
    <sheetView showGridLines="0" showRowColHeaders="0" workbookViewId="0">
      <selection activeCell="I11" sqref="I11"/>
    </sheetView>
  </sheetViews>
  <sheetFormatPr baseColWidth="10" defaultRowHeight="15"/>
  <cols>
    <col min="3" max="3" width="18.140625" bestFit="1" customWidth="1"/>
    <col min="4" max="4" width="13" bestFit="1" customWidth="1"/>
    <col min="5" max="5" width="13.28515625" bestFit="1" customWidth="1"/>
    <col min="6" max="6" width="21.42578125" bestFit="1" customWidth="1"/>
    <col min="7" max="7" width="15.7109375" bestFit="1" customWidth="1"/>
    <col min="9" max="9" width="16" bestFit="1" customWidth="1"/>
    <col min="10" max="10" width="16.7109375" bestFit="1" customWidth="1"/>
    <col min="11" max="11" width="29.28515625" bestFit="1" customWidth="1"/>
    <col min="15" max="15" width="13.7109375" bestFit="1" customWidth="1"/>
    <col min="22" max="22" width="11.42578125" customWidth="1"/>
  </cols>
  <sheetData>
    <row r="1" spans="2:22" ht="15.75" thickBot="1"/>
    <row r="2" spans="2:22" ht="15.75" thickBot="1">
      <c r="B2" t="s">
        <v>22</v>
      </c>
      <c r="F2" s="2" t="s">
        <v>68</v>
      </c>
    </row>
    <row r="3" spans="2:22" ht="15.75" thickBot="1">
      <c r="V3" t="s">
        <v>60</v>
      </c>
    </row>
    <row r="4" spans="2:22" ht="15.75" thickBot="1">
      <c r="B4" t="s">
        <v>23</v>
      </c>
      <c r="F4" s="2">
        <v>1</v>
      </c>
      <c r="V4" t="s">
        <v>61</v>
      </c>
    </row>
    <row r="5" spans="2:22" ht="15.75" thickBot="1"/>
    <row r="6" spans="2:22" ht="15.75" thickBot="1">
      <c r="B6" t="s">
        <v>24</v>
      </c>
      <c r="F6" s="2">
        <v>5</v>
      </c>
    </row>
    <row r="7" spans="2:22" ht="15.75" thickBot="1"/>
    <row r="8" spans="2:22" ht="15.75" thickBot="1">
      <c r="B8" t="s">
        <v>25</v>
      </c>
      <c r="F8" s="2">
        <v>30</v>
      </c>
    </row>
    <row r="9" spans="2:22" ht="15.75" thickBot="1"/>
    <row r="10" spans="2:22" ht="15.75" thickBot="1">
      <c r="B10" t="s">
        <v>28</v>
      </c>
      <c r="F10" s="2" t="s">
        <v>35</v>
      </c>
      <c r="V10" t="s">
        <v>34</v>
      </c>
    </row>
    <row r="11" spans="2:22" ht="15.75" thickBot="1">
      <c r="V11" t="s">
        <v>35</v>
      </c>
    </row>
    <row r="12" spans="2:22" ht="15.75" thickBot="1">
      <c r="B12" t="s">
        <v>26</v>
      </c>
      <c r="F12" s="7" t="s">
        <v>69</v>
      </c>
    </row>
    <row r="13" spans="2:22" ht="15.75" thickBot="1"/>
    <row r="14" spans="2:22" ht="15.75" thickBot="1">
      <c r="B14" t="s">
        <v>27</v>
      </c>
      <c r="F14" s="2" t="s">
        <v>70</v>
      </c>
      <c r="V14">
        <v>1</v>
      </c>
    </row>
    <row r="15" spans="2:22" ht="15.75" thickBot="1">
      <c r="V15">
        <v>2</v>
      </c>
    </row>
    <row r="16" spans="2:22" ht="15.75" thickBot="1">
      <c r="B16" t="s">
        <v>30</v>
      </c>
      <c r="F16" s="2" t="s">
        <v>61</v>
      </c>
      <c r="V16">
        <v>3</v>
      </c>
    </row>
    <row r="17" spans="2:22" ht="15.75" thickBot="1">
      <c r="V17">
        <v>4</v>
      </c>
    </row>
    <row r="18" spans="2:22" ht="15.75" thickBot="1">
      <c r="B18" t="s">
        <v>31</v>
      </c>
      <c r="F18" s="2" t="s">
        <v>60</v>
      </c>
      <c r="V18">
        <v>5</v>
      </c>
    </row>
    <row r="19" spans="2:22" ht="15.75" thickBot="1">
      <c r="V19">
        <v>6</v>
      </c>
    </row>
    <row r="20" spans="2:22" ht="15.75" thickBot="1">
      <c r="B20" t="s">
        <v>32</v>
      </c>
      <c r="F20" s="2" t="s">
        <v>61</v>
      </c>
      <c r="V20">
        <v>7</v>
      </c>
    </row>
    <row r="21" spans="2:22" ht="15.75" thickBot="1">
      <c r="B21" t="s">
        <v>33</v>
      </c>
      <c r="F21" s="2" t="s">
        <v>71</v>
      </c>
      <c r="V21">
        <v>8</v>
      </c>
    </row>
    <row r="22" spans="2:22">
      <c r="V22">
        <v>9</v>
      </c>
    </row>
    <row r="23" spans="2:22" ht="18.75">
      <c r="B23" s="3" t="s">
        <v>0</v>
      </c>
      <c r="C23" s="3"/>
      <c r="D23" s="3"/>
      <c r="V23">
        <v>10</v>
      </c>
    </row>
    <row r="24" spans="2:22">
      <c r="V24">
        <v>11</v>
      </c>
    </row>
    <row r="25" spans="2:22">
      <c r="V25">
        <v>12</v>
      </c>
    </row>
    <row r="26" spans="2:22" s="1" customFormat="1" ht="45">
      <c r="B26" s="1" t="s">
        <v>5</v>
      </c>
      <c r="C26" s="1" t="s">
        <v>67</v>
      </c>
      <c r="D26" s="1" t="s">
        <v>6</v>
      </c>
      <c r="E26" s="1" t="s">
        <v>7</v>
      </c>
      <c r="F26" s="1" t="s">
        <v>8</v>
      </c>
      <c r="G26" s="1" t="s">
        <v>9</v>
      </c>
      <c r="H26" s="1" t="s">
        <v>49</v>
      </c>
      <c r="I26" s="1" t="s">
        <v>50</v>
      </c>
      <c r="J26" s="1" t="s">
        <v>51</v>
      </c>
      <c r="K26" s="1" t="s">
        <v>29</v>
      </c>
      <c r="L26" s="1" t="s">
        <v>19</v>
      </c>
      <c r="M26" s="1" t="s">
        <v>20</v>
      </c>
      <c r="N26" s="1" t="s">
        <v>21</v>
      </c>
      <c r="O26" s="1" t="s">
        <v>57</v>
      </c>
      <c r="P26" s="1" t="s">
        <v>58</v>
      </c>
      <c r="Q26" s="1" t="s">
        <v>59</v>
      </c>
      <c r="V26">
        <v>13</v>
      </c>
    </row>
    <row r="27" spans="2:22">
      <c r="B27" t="s">
        <v>1</v>
      </c>
      <c r="C27" t="s">
        <v>164</v>
      </c>
      <c r="D27" s="8">
        <v>38838</v>
      </c>
      <c r="G27" t="s">
        <v>71</v>
      </c>
      <c r="J27" t="s">
        <v>55</v>
      </c>
      <c r="Q27" t="s">
        <v>65</v>
      </c>
      <c r="V27">
        <v>14</v>
      </c>
    </row>
    <row r="28" spans="2:22">
      <c r="B28" t="s">
        <v>2</v>
      </c>
      <c r="C28" t="s">
        <v>150</v>
      </c>
      <c r="J28" t="s">
        <v>56</v>
      </c>
      <c r="K28" t="s">
        <v>12</v>
      </c>
      <c r="V28">
        <v>15</v>
      </c>
    </row>
    <row r="29" spans="2:22">
      <c r="B29" t="s">
        <v>3</v>
      </c>
      <c r="J29" t="s">
        <v>53</v>
      </c>
      <c r="K29" t="s">
        <v>18</v>
      </c>
      <c r="V29">
        <v>16</v>
      </c>
    </row>
    <row r="30" spans="2:22">
      <c r="B30" t="s">
        <v>4</v>
      </c>
      <c r="J30" t="s">
        <v>54</v>
      </c>
      <c r="V30">
        <v>17</v>
      </c>
    </row>
    <row r="31" spans="2:22">
      <c r="V31">
        <v>18</v>
      </c>
    </row>
    <row r="32" spans="2:22">
      <c r="V32">
        <v>19</v>
      </c>
    </row>
    <row r="33" spans="22:22">
      <c r="V33">
        <v>20</v>
      </c>
    </row>
    <row r="34" spans="22:22">
      <c r="V34">
        <v>21</v>
      </c>
    </row>
    <row r="35" spans="22:22">
      <c r="V35">
        <v>22</v>
      </c>
    </row>
    <row r="36" spans="22:22">
      <c r="V36">
        <v>23</v>
      </c>
    </row>
    <row r="37" spans="22:22">
      <c r="V37">
        <v>24</v>
      </c>
    </row>
    <row r="38" spans="22:22">
      <c r="V38">
        <v>25</v>
      </c>
    </row>
    <row r="39" spans="22:22">
      <c r="V39">
        <v>26</v>
      </c>
    </row>
    <row r="40" spans="22:22">
      <c r="V40">
        <v>27</v>
      </c>
    </row>
    <row r="41" spans="22:22">
      <c r="V41">
        <v>28</v>
      </c>
    </row>
    <row r="42" spans="22:22">
      <c r="V42">
        <v>29</v>
      </c>
    </row>
    <row r="43" spans="22:22">
      <c r="V43">
        <v>30</v>
      </c>
    </row>
    <row r="44" spans="22:22">
      <c r="V44">
        <v>31</v>
      </c>
    </row>
    <row r="46" spans="22:22">
      <c r="V46" t="s">
        <v>55</v>
      </c>
    </row>
    <row r="47" spans="22:22">
      <c r="V47" t="s">
        <v>56</v>
      </c>
    </row>
    <row r="48" spans="22:22">
      <c r="V48" t="s">
        <v>52</v>
      </c>
    </row>
    <row r="49" spans="22:22">
      <c r="V49" t="s">
        <v>53</v>
      </c>
    </row>
    <row r="50" spans="22:22">
      <c r="V50" t="s">
        <v>54</v>
      </c>
    </row>
    <row r="54" spans="22:22">
      <c r="V54" t="s">
        <v>10</v>
      </c>
    </row>
    <row r="55" spans="22:22">
      <c r="V55" t="s">
        <v>11</v>
      </c>
    </row>
    <row r="56" spans="22:22">
      <c r="V56" t="s">
        <v>12</v>
      </c>
    </row>
    <row r="57" spans="22:22">
      <c r="V57" t="s">
        <v>13</v>
      </c>
    </row>
    <row r="58" spans="22:22">
      <c r="V58" t="s">
        <v>14</v>
      </c>
    </row>
    <row r="59" spans="22:22">
      <c r="V59" t="s">
        <v>15</v>
      </c>
    </row>
    <row r="60" spans="22:22">
      <c r="V60" t="s">
        <v>16</v>
      </c>
    </row>
    <row r="61" spans="22:22">
      <c r="V61" t="s">
        <v>17</v>
      </c>
    </row>
    <row r="62" spans="22:22">
      <c r="V62" t="s">
        <v>18</v>
      </c>
    </row>
    <row r="65" spans="22:22">
      <c r="V65" t="s">
        <v>62</v>
      </c>
    </row>
    <row r="66" spans="22:22">
      <c r="V66" t="s">
        <v>63</v>
      </c>
    </row>
    <row r="67" spans="22:22">
      <c r="V67" t="s">
        <v>64</v>
      </c>
    </row>
    <row r="68" spans="22:22">
      <c r="V68" t="s">
        <v>65</v>
      </c>
    </row>
    <row r="69" spans="22:22">
      <c r="V69" t="s">
        <v>66</v>
      </c>
    </row>
  </sheetData>
  <autoFilter ref="B26:Q26">
    <filterColumn colId="1"/>
  </autoFilter>
  <dataValidations count="6">
    <dataValidation type="list" allowBlank="1" showInputMessage="1" showErrorMessage="1" sqref="J27:J30">
      <formula1>$V$46:$V$50</formula1>
    </dataValidation>
    <dataValidation type="list" allowBlank="1" showInputMessage="1" showErrorMessage="1" sqref="F8">
      <formula1>$V$13:$V$44</formula1>
    </dataValidation>
    <dataValidation type="list" allowBlank="1" showInputMessage="1" showErrorMessage="1" sqref="F10">
      <formula1>$V$9:$V$11</formula1>
    </dataValidation>
    <dataValidation type="list" allowBlank="1" showInputMessage="1" showErrorMessage="1" sqref="F20 P27:P30 L27:N30 F18 F16">
      <formula1>$V$2:$V$4</formula1>
    </dataValidation>
    <dataValidation type="list" allowBlank="1" showInputMessage="1" showErrorMessage="1" sqref="K27:K30">
      <formula1>$V$53:$V$62</formula1>
    </dataValidation>
    <dataValidation type="list" allowBlank="1" showInputMessage="1" showErrorMessage="1" sqref="Q27:Q30">
      <formula1>$V$64:$V$69</formula1>
    </dataValidation>
  </dataValidations>
  <hyperlinks>
    <hyperlink ref="F12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Q45"/>
  <sheetViews>
    <sheetView showGridLines="0" showRowColHeaders="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E6" sqref="E6"/>
    </sheetView>
  </sheetViews>
  <sheetFormatPr baseColWidth="10" defaultRowHeight="15"/>
  <cols>
    <col min="4" max="4" width="35" bestFit="1" customWidth="1"/>
  </cols>
  <sheetData>
    <row r="3" spans="1:17">
      <c r="A3" t="s">
        <v>76</v>
      </c>
    </row>
    <row r="4" spans="1:17">
      <c r="C4" s="4"/>
      <c r="D4" s="4"/>
      <c r="E4" t="s">
        <v>36</v>
      </c>
      <c r="F4" t="s">
        <v>37</v>
      </c>
      <c r="G4" t="s">
        <v>38</v>
      </c>
      <c r="H4" t="s">
        <v>39</v>
      </c>
      <c r="I4" t="s">
        <v>40</v>
      </c>
      <c r="J4" t="s">
        <v>41</v>
      </c>
      <c r="K4" t="s">
        <v>42</v>
      </c>
      <c r="L4" t="s">
        <v>43</v>
      </c>
      <c r="M4" t="s">
        <v>44</v>
      </c>
      <c r="N4" t="s">
        <v>45</v>
      </c>
      <c r="O4" t="s">
        <v>46</v>
      </c>
      <c r="P4" t="s">
        <v>47</v>
      </c>
      <c r="Q4" t="s">
        <v>48</v>
      </c>
    </row>
    <row r="5" spans="1:17">
      <c r="C5" s="152"/>
      <c r="D5" s="4"/>
    </row>
    <row r="6" spans="1:17">
      <c r="C6" s="152"/>
      <c r="D6" s="6" t="s">
        <v>72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f>+SUM(E6:P6)</f>
        <v>12</v>
      </c>
    </row>
    <row r="7" spans="1:17">
      <c r="C7" s="152"/>
      <c r="D7" s="6" t="s">
        <v>78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f t="shared" ref="Q7:Q25" si="0">+SUM(E7:P7)</f>
        <v>0</v>
      </c>
    </row>
    <row r="8" spans="1:17">
      <c r="C8" s="152"/>
      <c r="D8" s="6" t="s">
        <v>77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f t="shared" si="0"/>
        <v>0</v>
      </c>
    </row>
    <row r="9" spans="1:17">
      <c r="C9" s="152"/>
      <c r="D9" s="6" t="s">
        <v>79</v>
      </c>
      <c r="E9">
        <v>1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f t="shared" si="0"/>
        <v>1</v>
      </c>
    </row>
    <row r="10" spans="1:17">
      <c r="C10" s="152"/>
      <c r="D10" s="6" t="s">
        <v>80</v>
      </c>
      <c r="E10">
        <v>0</v>
      </c>
      <c r="F10">
        <v>0</v>
      </c>
      <c r="G10">
        <v>0</v>
      </c>
      <c r="H10">
        <v>0</v>
      </c>
      <c r="I10">
        <v>1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f t="shared" si="0"/>
        <v>1</v>
      </c>
    </row>
    <row r="11" spans="1:17">
      <c r="C11" s="5"/>
      <c r="D11" s="6"/>
    </row>
    <row r="12" spans="1:17">
      <c r="C12" s="152"/>
      <c r="D12" s="4" t="s">
        <v>73</v>
      </c>
      <c r="Q12">
        <f t="shared" si="0"/>
        <v>0</v>
      </c>
    </row>
    <row r="13" spans="1:17">
      <c r="C13" s="152"/>
      <c r="D13" s="6"/>
    </row>
    <row r="14" spans="1:17">
      <c r="C14" s="152"/>
      <c r="D14" s="6" t="s">
        <v>74</v>
      </c>
      <c r="Q14">
        <f t="shared" si="0"/>
        <v>0</v>
      </c>
    </row>
    <row r="15" spans="1:17">
      <c r="C15" s="152"/>
      <c r="D15" s="6" t="s">
        <v>75</v>
      </c>
      <c r="Q15">
        <f t="shared" si="0"/>
        <v>0</v>
      </c>
    </row>
    <row r="16" spans="1:17">
      <c r="C16" s="152"/>
      <c r="D16" s="6"/>
    </row>
    <row r="17" spans="3:17">
      <c r="C17" s="152"/>
      <c r="D17" s="6" t="s">
        <v>81</v>
      </c>
      <c r="Q17">
        <f t="shared" si="0"/>
        <v>0</v>
      </c>
    </row>
    <row r="18" spans="3:17">
      <c r="C18" s="5"/>
      <c r="D18" s="6"/>
    </row>
    <row r="19" spans="3:17">
      <c r="C19" s="152"/>
      <c r="D19" s="4" t="s">
        <v>82</v>
      </c>
      <c r="Q19">
        <f t="shared" si="0"/>
        <v>0</v>
      </c>
    </row>
    <row r="20" spans="3:17">
      <c r="C20" s="152"/>
      <c r="D20" s="6" t="s">
        <v>83</v>
      </c>
      <c r="Q20">
        <f t="shared" si="0"/>
        <v>0</v>
      </c>
    </row>
    <row r="21" spans="3:17">
      <c r="C21" s="152"/>
      <c r="D21" s="6" t="s">
        <v>84</v>
      </c>
      <c r="Q21">
        <f t="shared" si="0"/>
        <v>0</v>
      </c>
    </row>
    <row r="22" spans="3:17">
      <c r="C22" s="152"/>
      <c r="D22" s="6" t="s">
        <v>85</v>
      </c>
      <c r="Q22">
        <f t="shared" si="0"/>
        <v>0</v>
      </c>
    </row>
    <row r="23" spans="3:17">
      <c r="C23" s="152"/>
      <c r="D23" s="6" t="s">
        <v>86</v>
      </c>
      <c r="Q23">
        <f t="shared" si="0"/>
        <v>0</v>
      </c>
    </row>
    <row r="24" spans="3:17">
      <c r="C24" s="152"/>
      <c r="D24" s="6"/>
    </row>
    <row r="25" spans="3:17">
      <c r="C25" s="5"/>
      <c r="D25" s="5" t="s">
        <v>87</v>
      </c>
      <c r="Q25">
        <f t="shared" si="0"/>
        <v>0</v>
      </c>
    </row>
    <row r="26" spans="3:17">
      <c r="C26" s="152"/>
      <c r="D26" s="4"/>
    </row>
    <row r="27" spans="3:17">
      <c r="C27" s="152"/>
      <c r="D27" s="6"/>
    </row>
    <row r="28" spans="3:17">
      <c r="C28" s="152"/>
      <c r="D28" s="6"/>
    </row>
    <row r="29" spans="3:17">
      <c r="C29" s="152"/>
      <c r="D29" s="6"/>
    </row>
    <row r="30" spans="3:17">
      <c r="C30" s="152"/>
      <c r="D30" s="6"/>
    </row>
    <row r="31" spans="3:17">
      <c r="C31" s="152"/>
      <c r="D31" s="6"/>
    </row>
    <row r="32" spans="3:17">
      <c r="C32" s="5"/>
      <c r="D32" s="5"/>
    </row>
    <row r="33" spans="3:4">
      <c r="C33" s="5"/>
      <c r="D33" s="5"/>
    </row>
    <row r="34" spans="3:4">
      <c r="C34" s="5"/>
      <c r="D34" s="5"/>
    </row>
    <row r="35" spans="3:4">
      <c r="C35" s="5"/>
      <c r="D35" s="5"/>
    </row>
    <row r="36" spans="3:4">
      <c r="C36" s="5"/>
      <c r="D36" s="5"/>
    </row>
    <row r="37" spans="3:4">
      <c r="C37" s="5"/>
      <c r="D37" s="5"/>
    </row>
    <row r="38" spans="3:4">
      <c r="C38" s="5"/>
      <c r="D38" s="5"/>
    </row>
    <row r="39" spans="3:4">
      <c r="C39" s="5"/>
      <c r="D39" s="5"/>
    </row>
    <row r="40" spans="3:4">
      <c r="C40" s="5"/>
      <c r="D40" s="5"/>
    </row>
    <row r="41" spans="3:4">
      <c r="C41" s="5"/>
      <c r="D41" s="5"/>
    </row>
    <row r="42" spans="3:4">
      <c r="C42" s="5"/>
      <c r="D42" s="5"/>
    </row>
    <row r="43" spans="3:4">
      <c r="D43" s="5"/>
    </row>
    <row r="44" spans="3:4">
      <c r="D44" s="5"/>
    </row>
    <row r="45" spans="3:4">
      <c r="D45" s="5"/>
    </row>
  </sheetData>
  <mergeCells count="4">
    <mergeCell ref="C5:C10"/>
    <mergeCell ref="C12:C17"/>
    <mergeCell ref="C19:C24"/>
    <mergeCell ref="C26:C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3"/>
  <sheetViews>
    <sheetView showGridLines="0" showRowColHeaders="0" workbookViewId="0">
      <selection activeCell="H44" sqref="H44"/>
    </sheetView>
  </sheetViews>
  <sheetFormatPr baseColWidth="10" defaultColWidth="11.42578125" defaultRowHeight="13.5"/>
  <cols>
    <col min="1" max="16384" width="11.42578125" style="9"/>
  </cols>
  <sheetData>
    <row r="1" spans="1:2">
      <c r="A1" s="9" t="s">
        <v>95</v>
      </c>
    </row>
    <row r="3" spans="1:2">
      <c r="B3" s="10" t="s">
        <v>96</v>
      </c>
    </row>
    <row r="4" spans="1:2" ht="15">
      <c r="A4" s="11" t="s">
        <v>36</v>
      </c>
      <c r="B4" s="12">
        <v>9.5299999999999994</v>
      </c>
    </row>
    <row r="5" spans="1:2" ht="15">
      <c r="A5" s="11" t="s">
        <v>37</v>
      </c>
      <c r="B5" s="12">
        <f>B4</f>
        <v>9.5299999999999994</v>
      </c>
    </row>
    <row r="6" spans="1:2" ht="15">
      <c r="A6" s="11" t="s">
        <v>38</v>
      </c>
      <c r="B6" s="12">
        <f>B5</f>
        <v>9.5299999999999994</v>
      </c>
    </row>
    <row r="7" spans="1:2" ht="15">
      <c r="A7" s="11" t="s">
        <v>39</v>
      </c>
      <c r="B7" s="12">
        <f>B6</f>
        <v>9.5299999999999994</v>
      </c>
    </row>
    <row r="8" spans="1:2" ht="15">
      <c r="A8" s="11" t="s">
        <v>40</v>
      </c>
      <c r="B8" s="12">
        <f t="shared" ref="B8:B15" si="0">B7</f>
        <v>9.5299999999999994</v>
      </c>
    </row>
    <row r="9" spans="1:2" ht="15">
      <c r="A9" s="11" t="s">
        <v>41</v>
      </c>
      <c r="B9" s="12">
        <f t="shared" si="0"/>
        <v>9.5299999999999994</v>
      </c>
    </row>
    <row r="10" spans="1:2" ht="15">
      <c r="A10" s="11" t="s">
        <v>42</v>
      </c>
      <c r="B10" s="12">
        <v>9.5299999999999994</v>
      </c>
    </row>
    <row r="11" spans="1:2" ht="15">
      <c r="A11" s="11" t="s">
        <v>43</v>
      </c>
      <c r="B11" s="12">
        <f t="shared" si="0"/>
        <v>9.5299999999999994</v>
      </c>
    </row>
    <row r="12" spans="1:2" ht="15">
      <c r="A12" s="11" t="s">
        <v>44</v>
      </c>
      <c r="B12" s="12">
        <f t="shared" si="0"/>
        <v>9.5299999999999994</v>
      </c>
    </row>
    <row r="13" spans="1:2" ht="15">
      <c r="A13" s="11" t="s">
        <v>45</v>
      </c>
      <c r="B13" s="12">
        <f t="shared" si="0"/>
        <v>9.5299999999999994</v>
      </c>
    </row>
    <row r="14" spans="1:2" ht="15">
      <c r="A14" s="11" t="s">
        <v>46</v>
      </c>
      <c r="B14" s="12">
        <f t="shared" si="0"/>
        <v>9.5299999999999994</v>
      </c>
    </row>
    <row r="15" spans="1:2" ht="15">
      <c r="A15" s="11" t="s">
        <v>47</v>
      </c>
      <c r="B15" s="12">
        <f t="shared" si="0"/>
        <v>9.5299999999999994</v>
      </c>
    </row>
    <row r="17" spans="2:11" ht="15">
      <c r="B17" s="13" t="s">
        <v>97</v>
      </c>
    </row>
    <row r="19" spans="2:11">
      <c r="B19" s="14" t="s">
        <v>98</v>
      </c>
      <c r="C19" s="15"/>
      <c r="D19" s="15"/>
      <c r="E19" s="15"/>
      <c r="F19" s="15"/>
      <c r="G19" s="15"/>
      <c r="H19" s="15"/>
      <c r="I19" s="15"/>
      <c r="J19" s="15"/>
      <c r="K19" s="15"/>
    </row>
    <row r="20" spans="2:11">
      <c r="B20" s="153" t="s">
        <v>99</v>
      </c>
      <c r="C20" s="153"/>
      <c r="D20" s="153"/>
      <c r="E20" s="153"/>
      <c r="F20" s="153"/>
      <c r="G20" s="153"/>
      <c r="H20" s="153"/>
      <c r="I20" s="153"/>
      <c r="J20" s="153"/>
      <c r="K20" s="153"/>
    </row>
    <row r="21" spans="2:11" ht="25.5" customHeight="1">
      <c r="B21" s="153" t="s">
        <v>100</v>
      </c>
      <c r="C21" s="153"/>
      <c r="D21" s="153"/>
      <c r="E21" s="153"/>
      <c r="F21" s="153"/>
      <c r="G21" s="153"/>
      <c r="H21" s="153"/>
      <c r="I21" s="153"/>
      <c r="J21" s="153"/>
      <c r="K21" s="153"/>
    </row>
    <row r="22" spans="2:11" ht="23.25" customHeight="1">
      <c r="B22" s="153" t="s">
        <v>101</v>
      </c>
      <c r="C22" s="153"/>
      <c r="D22" s="153"/>
      <c r="E22" s="153"/>
      <c r="F22" s="153"/>
      <c r="G22" s="153"/>
      <c r="H22" s="153"/>
      <c r="I22" s="153"/>
      <c r="J22" s="153"/>
      <c r="K22" s="153"/>
    </row>
    <row r="23" spans="2:11">
      <c r="B23" s="15"/>
      <c r="C23" s="15"/>
      <c r="D23" s="15"/>
      <c r="E23" s="15"/>
      <c r="F23" s="15"/>
      <c r="G23" s="15"/>
      <c r="H23" s="15"/>
      <c r="I23" s="15"/>
      <c r="J23" s="15"/>
      <c r="K23" s="15"/>
    </row>
  </sheetData>
  <sheetProtection password="C75A" sheet="1" objects="1" scenarios="1"/>
  <mergeCells count="3">
    <mergeCell ref="B20:K20"/>
    <mergeCell ref="B21:K21"/>
    <mergeCell ref="B22:K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E69"/>
  <sheetViews>
    <sheetView showGridLines="0" showRowColHeaders="0" tabSelected="1" workbookViewId="0">
      <selection activeCell="I3" sqref="I3"/>
    </sheetView>
  </sheetViews>
  <sheetFormatPr baseColWidth="10" defaultColWidth="0" defaultRowHeight="13.5"/>
  <cols>
    <col min="1" max="1" width="2.7109375" style="15" customWidth="1"/>
    <col min="2" max="2" width="25.28515625" style="15" customWidth="1"/>
    <col min="3" max="9" width="13.5703125" style="15" customWidth="1"/>
    <col min="10" max="14" width="12.7109375" style="15" hidden="1" customWidth="1"/>
    <col min="15" max="16" width="10.85546875" style="16" hidden="1" customWidth="1"/>
    <col min="17" max="17" width="12.7109375" style="16" hidden="1" customWidth="1"/>
    <col min="18" max="18" width="11.28515625" style="16" hidden="1" customWidth="1"/>
    <col min="19" max="19" width="14.7109375" style="16" hidden="1" customWidth="1"/>
    <col min="20" max="20" width="14.7109375" style="15" hidden="1" customWidth="1"/>
    <col min="21" max="21" width="14.28515625" style="15" hidden="1" customWidth="1"/>
    <col min="22" max="23" width="15.7109375" style="15" customWidth="1"/>
    <col min="24" max="24" width="2.5703125" style="15" customWidth="1"/>
    <col min="25" max="33" width="10.28515625" style="15" hidden="1" customWidth="1"/>
    <col min="34" max="16384" width="10.28515625" style="15" hidden="1"/>
  </cols>
  <sheetData>
    <row r="1" spans="2:23" ht="25.5" customHeight="1">
      <c r="B1" s="154" t="s">
        <v>102</v>
      </c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54"/>
    </row>
    <row r="2" spans="2:23" ht="14.25" thickBot="1"/>
    <row r="3" spans="2:23" ht="21.75" customHeight="1" thickBot="1">
      <c r="B3" s="17" t="s">
        <v>103</v>
      </c>
      <c r="C3" s="18">
        <v>2013</v>
      </c>
      <c r="H3" s="19" t="s">
        <v>104</v>
      </c>
      <c r="I3" s="20" t="s">
        <v>164</v>
      </c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</row>
    <row r="4" spans="2:23" ht="20.25" customHeight="1">
      <c r="B4" s="21"/>
      <c r="H4" s="19" t="s">
        <v>105</v>
      </c>
      <c r="I4" s="22" t="s">
        <v>106</v>
      </c>
    </row>
    <row r="5" spans="2:23" ht="27" customHeight="1">
      <c r="B5" s="23" t="s">
        <v>107</v>
      </c>
      <c r="H5" s="15" t="s">
        <v>163</v>
      </c>
      <c r="I5" s="15" t="s">
        <v>169</v>
      </c>
    </row>
    <row r="6" spans="2:23" ht="9.75" customHeight="1">
      <c r="B6" s="24"/>
    </row>
    <row r="7" spans="2:23" hidden="1">
      <c r="B7" s="24"/>
      <c r="C7" s="25">
        <v>1</v>
      </c>
    </row>
    <row r="8" spans="2:23" ht="5.25" customHeight="1">
      <c r="B8" s="24"/>
    </row>
    <row r="9" spans="2:23" ht="15" customHeight="1">
      <c r="B9" s="24"/>
    </row>
    <row r="10" spans="2:23" ht="29.25" customHeight="1">
      <c r="B10" s="23" t="s">
        <v>108</v>
      </c>
    </row>
    <row r="11" spans="2:23" ht="15" hidden="1" customHeight="1">
      <c r="B11" s="24"/>
      <c r="C11" s="25">
        <v>1</v>
      </c>
    </row>
    <row r="12" spans="2:23" ht="15" customHeight="1" thickBot="1">
      <c r="B12" s="24"/>
    </row>
    <row r="13" spans="2:23" ht="15.75" thickBot="1">
      <c r="B13" s="23" t="s">
        <v>109</v>
      </c>
      <c r="C13" s="26">
        <v>151.66999999999999</v>
      </c>
      <c r="G13" s="27"/>
    </row>
    <row r="14" spans="2:23" ht="14.25" thickBot="1">
      <c r="B14" s="24"/>
    </row>
    <row r="15" spans="2:23" ht="14.25" thickBot="1">
      <c r="B15" s="23" t="s">
        <v>110</v>
      </c>
      <c r="C15" s="28">
        <f>IF(C7=1,0.281,0.26)</f>
        <v>0.28100000000000003</v>
      </c>
      <c r="G15" s="27"/>
    </row>
    <row r="16" spans="2:23" s="29" customFormat="1" ht="15" customHeight="1">
      <c r="B16" s="24"/>
      <c r="S16" s="30"/>
    </row>
    <row r="17" spans="2:23" s="29" customFormat="1" ht="15" customHeight="1" thickBot="1">
      <c r="B17" s="23" t="s">
        <v>111</v>
      </c>
      <c r="S17" s="30"/>
      <c r="U17" s="31"/>
    </row>
    <row r="18" spans="2:23" s="29" customFormat="1" ht="15" customHeight="1" thickBot="1">
      <c r="B18" s="32" t="s">
        <v>112</v>
      </c>
      <c r="C18" s="26">
        <v>35</v>
      </c>
      <c r="D18" s="33" t="s">
        <v>113</v>
      </c>
      <c r="E18" s="16" t="str">
        <f>IF(AND(C19&lt;&gt;"",OR(C18="",C18=0)),"&lt;&lt;&lt;&lt;&lt; info à compléter","")</f>
        <v/>
      </c>
      <c r="S18" s="30"/>
      <c r="U18" s="31"/>
    </row>
    <row r="19" spans="2:23" s="29" customFormat="1" ht="15" customHeight="1" thickBot="1">
      <c r="B19" s="32" t="s">
        <v>114</v>
      </c>
      <c r="C19" s="26">
        <v>35</v>
      </c>
      <c r="D19" s="33" t="s">
        <v>115</v>
      </c>
      <c r="E19" s="16" t="str">
        <f>IF(AND(C18&lt;&gt;"",OR(C19="",C19=0)),"&lt;&lt;&lt;&lt;&lt; info à compléter","")</f>
        <v/>
      </c>
      <c r="S19" s="30"/>
      <c r="U19" s="31"/>
    </row>
    <row r="20" spans="2:23" s="29" customFormat="1" ht="15" customHeight="1">
      <c r="B20" s="34"/>
      <c r="S20" s="30"/>
      <c r="U20" s="31"/>
    </row>
    <row r="21" spans="2:23" s="29" customFormat="1" ht="14.25" customHeight="1" thickBot="1">
      <c r="B21" s="34"/>
      <c r="C21" s="34"/>
      <c r="D21" s="34"/>
      <c r="E21" s="35" t="s">
        <v>116</v>
      </c>
      <c r="F21" s="34"/>
      <c r="G21" s="155" t="s">
        <v>117</v>
      </c>
      <c r="H21" s="156"/>
      <c r="I21" s="36"/>
      <c r="U21" s="31"/>
      <c r="V21" s="157" t="s">
        <v>118</v>
      </c>
      <c r="W21" s="158"/>
    </row>
    <row r="22" spans="2:23" s="29" customFormat="1" ht="27" customHeight="1" thickBot="1">
      <c r="C22" s="37" t="s">
        <v>119</v>
      </c>
      <c r="D22" s="38" t="s">
        <v>120</v>
      </c>
      <c r="E22" s="39" t="s">
        <v>121</v>
      </c>
      <c r="F22" s="40" t="s">
        <v>122</v>
      </c>
      <c r="G22" s="41" t="s">
        <v>123</v>
      </c>
      <c r="H22" s="39" t="s">
        <v>124</v>
      </c>
      <c r="I22" s="36"/>
      <c r="J22" s="30" t="s">
        <v>125</v>
      </c>
      <c r="K22" s="30" t="s">
        <v>126</v>
      </c>
      <c r="L22" s="30" t="s">
        <v>127</v>
      </c>
      <c r="M22" s="30" t="s">
        <v>128</v>
      </c>
      <c r="N22" s="30" t="s">
        <v>129</v>
      </c>
      <c r="O22" s="30" t="s">
        <v>130</v>
      </c>
      <c r="P22" s="30" t="s">
        <v>131</v>
      </c>
      <c r="Q22" s="30" t="s">
        <v>132</v>
      </c>
      <c r="R22" s="30" t="s">
        <v>133</v>
      </c>
      <c r="S22" s="159" t="s">
        <v>134</v>
      </c>
      <c r="T22" s="159"/>
      <c r="U22" s="42" t="s">
        <v>135</v>
      </c>
      <c r="V22" s="43" t="s">
        <v>136</v>
      </c>
      <c r="W22" s="44" t="s">
        <v>137</v>
      </c>
    </row>
    <row r="23" spans="2:23" ht="15">
      <c r="B23" s="45" t="s">
        <v>36</v>
      </c>
      <c r="C23" s="46">
        <f>SMIC!B4</f>
        <v>9.5299999999999994</v>
      </c>
      <c r="D23" s="12">
        <v>1001</v>
      </c>
      <c r="E23" s="47"/>
      <c r="F23" s="48"/>
      <c r="G23" s="49">
        <f>IF(AND($C$18&lt;&gt;0,$C$18&lt;&gt;""),$C$18,"")</f>
        <v>35</v>
      </c>
      <c r="H23" s="49">
        <f>IF(AND($C$19&lt;&gt;0,$C$19&lt;&gt;""),$C$19,"")</f>
        <v>35</v>
      </c>
      <c r="I23" s="45" t="s">
        <v>36</v>
      </c>
      <c r="J23" s="50">
        <f>IF(Salaire_brut_janvier="",0,(Horaire_collectif_mensuel*C23*IF(G23&lt;&gt;"",G23,Salaire_brut_janvier)/IF(H23&lt;&gt;"",H23,IF(E23&lt;&gt;"",E23,Salaire_brut_janvier))))</f>
        <v>1445.4150999999997</v>
      </c>
      <c r="K23" s="50">
        <f t="shared" ref="K23:K34" si="0">D23</f>
        <v>1001</v>
      </c>
      <c r="L23" s="50">
        <f>J23</f>
        <v>1445.4150999999997</v>
      </c>
      <c r="M23" s="50">
        <f>C23*F23</f>
        <v>0</v>
      </c>
      <c r="N23" s="50">
        <f>D23</f>
        <v>1001</v>
      </c>
      <c r="O23" s="51">
        <f t="shared" ref="O23:O34" si="1">IF(IF(ROUND(((Coeff.effectif/0.6)*((1.6*(L23+M23)/N23)-1)),4)&gt;0,ROUND(((Coeff.effectif/0.6)*((1.6*(L23+M23)/N23)-1)),4),0)&gt;Coeff.effectif,Coeff.effectif,IF(ROUND(((Coeff.effectif/0.6)*((1.6*(L23+M23)/N23)-1)),4)&gt;0,ROUND(((Coeff.effectif/0.6)*((1.6*(L23+M23)/N23)-1)),4),0))</f>
        <v>0.28100000000000003</v>
      </c>
      <c r="P23" s="51">
        <f>IF(IF(ROUND(((Coeff.effectif/0.6)*((1.6*(J23+(C23*F23))/Salaire_brut_janvier)-1)),4)&gt;0,ROUND(((Coeff.effectif/0.6)*((1.6*(J23+(C23*F23))/Salaire_brut_janvier)-1)),4),0)&gt;Coeff.effectif,Coeff.effectif,IF(ROUND(((Coeff.effectif/0.6)*((1.6*(J23+(C23*F23))/Salaire_brut_janvier)-1)),4)&gt;0,ROUND(((Coeff.effectif/0.6)*((1.6*(J23+(C23*F23))/Salaire_brut_janvier)-1)),4),0))</f>
        <v>0.28100000000000003</v>
      </c>
      <c r="Q23" s="50">
        <f>IF(ISERR(N23*O23),0,N23*O23)</f>
        <v>281.28100000000001</v>
      </c>
      <c r="R23" s="50">
        <f>IF(ISERR(Salaire_brut_janvier*O23),0,Salaire_brut_janvier*O23)</f>
        <v>281.28100000000001</v>
      </c>
      <c r="S23" s="50">
        <f>IF(ISERR(P23),0,Salaire_brut_janvier*P23)</f>
        <v>281.28100000000001</v>
      </c>
      <c r="T23" s="50"/>
      <c r="U23" s="52">
        <f>S23</f>
        <v>281.28100000000001</v>
      </c>
      <c r="V23" s="53">
        <f t="shared" ref="V23:V34" si="2">IF(Mode_calcul=1,IF(R23&gt;0,R23,""),IF(U23&gt;0,U23,""))</f>
        <v>281.28100000000001</v>
      </c>
      <c r="W23" s="54" t="str">
        <f t="shared" ref="W23:W33" si="3">IF(Mode_calcul=1,IF(R23&lt;0,-R23,""),IF(U23&lt;0,-U23,""))</f>
        <v/>
      </c>
    </row>
    <row r="24" spans="2:23" ht="15">
      <c r="B24" s="45" t="s">
        <v>37</v>
      </c>
      <c r="C24" s="46">
        <f>SMIC!B5</f>
        <v>9.5299999999999994</v>
      </c>
      <c r="D24" s="12">
        <v>1002</v>
      </c>
      <c r="E24" s="47"/>
      <c r="F24" s="48"/>
      <c r="G24" s="55">
        <f t="shared" ref="G24:G34" si="4">IF(AND($C$18&lt;&gt;0,$C$18&lt;&gt;""),$C$18,"")</f>
        <v>35</v>
      </c>
      <c r="H24" s="55">
        <f t="shared" ref="H24:H34" si="5">IF(AND($C$19&lt;&gt;0,$C$19&lt;&gt;""),$C$19,"")</f>
        <v>35</v>
      </c>
      <c r="I24" s="45" t="s">
        <v>37</v>
      </c>
      <c r="J24" s="50">
        <f>IF(Salaire_brut_février="",0,Horaire_collectif_mensuel*C24*IF(G24&lt;&gt;"",G24,Salaire_brut_février)/IF(H24&lt;&gt;"",H24,IF(E24&lt;&gt;"",E24,Salaire_brut_février)))</f>
        <v>1445.4150999999997</v>
      </c>
      <c r="K24" s="50">
        <f t="shared" si="0"/>
        <v>1002</v>
      </c>
      <c r="L24" s="50">
        <f>L23+J24</f>
        <v>2890.8301999999994</v>
      </c>
      <c r="M24" s="50">
        <f t="shared" ref="M24:M34" si="6">M23+C24*F24</f>
        <v>0</v>
      </c>
      <c r="N24" s="50">
        <f>Salaire_brut_janvier+Salaire_brut_février</f>
        <v>2003</v>
      </c>
      <c r="O24" s="51">
        <f t="shared" si="1"/>
        <v>0.28100000000000003</v>
      </c>
      <c r="P24" s="51">
        <f>IF(IF(ROUND(((Coeff.effectif/0.6)*((1.6*(J24+(C24*F24))/Salaire_brut_février)-1)),4)&gt;0,ROUND(((Coeff.effectif/0.6)*((1.6*(J24+(C24*F24))/Salaire_brut_février)-1)),4),0)&gt;Coeff.effectif,Coeff.effectif,IF(ROUND(((Coeff.effectif/0.6)*((1.6*(J24+(C24*F24))/Salaire_brut_février)-1)),4)&gt;0,ROUND(((Coeff.effectif/0.6)*((1.6*(J24+(C24*F24))/Salaire_brut_février)-1)),4),0))</f>
        <v>0.28100000000000003</v>
      </c>
      <c r="Q24" s="50">
        <f t="shared" ref="Q24:Q33" si="7">IF(ISERR(N24*O24),0,N24*O24)</f>
        <v>562.84300000000007</v>
      </c>
      <c r="R24" s="50">
        <f>Q24-SUM(R23)</f>
        <v>281.56200000000007</v>
      </c>
      <c r="S24" s="50">
        <f>IF(ISERR(P24),0,Salaire_brut_février*P24)</f>
        <v>281.56200000000001</v>
      </c>
      <c r="T24" s="50"/>
      <c r="U24" s="50">
        <f t="shared" ref="U24:U33" si="8">S24</f>
        <v>281.56200000000001</v>
      </c>
      <c r="V24" s="53">
        <f t="shared" si="2"/>
        <v>281.56200000000007</v>
      </c>
      <c r="W24" s="56" t="str">
        <f t="shared" si="3"/>
        <v/>
      </c>
    </row>
    <row r="25" spans="2:23" ht="15">
      <c r="B25" s="45" t="s">
        <v>38</v>
      </c>
      <c r="C25" s="46">
        <f>SMIC!B6</f>
        <v>9.5299999999999994</v>
      </c>
      <c r="D25" s="12">
        <v>4004</v>
      </c>
      <c r="E25" s="47"/>
      <c r="F25" s="48"/>
      <c r="G25" s="55">
        <f t="shared" si="4"/>
        <v>35</v>
      </c>
      <c r="H25" s="55">
        <f t="shared" si="5"/>
        <v>35</v>
      </c>
      <c r="I25" s="45" t="s">
        <v>38</v>
      </c>
      <c r="J25" s="50">
        <f>IF(Salaire_brut_mars="",0,Horaire_collectif_mensuel*C25*IF(G25&lt;&gt;"",G25,Salaire_brut_mars)/IF(H25&lt;&gt;"",H25,IF(E25&lt;&gt;"",E25,Salaire_brut_mars)))</f>
        <v>1445.4150999999997</v>
      </c>
      <c r="K25" s="50">
        <f t="shared" si="0"/>
        <v>4004</v>
      </c>
      <c r="L25" s="50">
        <f t="shared" ref="L25:L34" si="9">L24+J25</f>
        <v>4336.2452999999987</v>
      </c>
      <c r="M25" s="50">
        <f t="shared" si="6"/>
        <v>0</v>
      </c>
      <c r="N25" s="50">
        <f>Salaire_brut_janvier+Salaire_brut_février+Salaire_brut_mars</f>
        <v>6007</v>
      </c>
      <c r="O25" s="51">
        <f t="shared" si="1"/>
        <v>7.2599999999999998E-2</v>
      </c>
      <c r="P25" s="51">
        <f>IF(IF(ROUND(((Coeff.effectif/0.6)*((1.6*(J25+(C25*F25))/Salaire_brut_mars)-1)),4)&gt;0,ROUND(((Coeff.effectif/0.6)*((1.6*(J25+(C25*F25))/Salaire_brut_mars)-1)),4),0)&gt;Coeff.effectif,Coeff.effectif,IF(ROUND(((Coeff.effectif/0.6)*((1.6*(J25+(C25*F25))/Salaire_brut_mars)-1)),4)&gt;0,ROUND(((Coeff.effectif/0.6)*((1.6*(J25+(C25*F25))/Salaire_brut_mars)-1)),4),0))</f>
        <v>0</v>
      </c>
      <c r="Q25" s="50">
        <f t="shared" si="7"/>
        <v>436.10820000000001</v>
      </c>
      <c r="R25" s="50">
        <f>Q25-SUM(R23:R24)</f>
        <v>-126.73480000000006</v>
      </c>
      <c r="S25" s="50">
        <f>IF(ISERR(P25),0,Salaire_brut_mars*P25)</f>
        <v>0</v>
      </c>
      <c r="T25" s="50"/>
      <c r="U25" s="50">
        <f t="shared" si="8"/>
        <v>0</v>
      </c>
      <c r="V25" s="53" t="str">
        <f t="shared" si="2"/>
        <v/>
      </c>
      <c r="W25" s="56">
        <f t="shared" si="3"/>
        <v>126.73480000000006</v>
      </c>
    </row>
    <row r="26" spans="2:23" ht="15">
      <c r="B26" s="45" t="s">
        <v>39</v>
      </c>
      <c r="C26" s="46">
        <f>SMIC!B7</f>
        <v>9.5299999999999994</v>
      </c>
      <c r="D26" s="12">
        <v>1004</v>
      </c>
      <c r="E26" s="47"/>
      <c r="F26" s="48"/>
      <c r="G26" s="55">
        <f t="shared" si="4"/>
        <v>35</v>
      </c>
      <c r="H26" s="55">
        <f t="shared" si="5"/>
        <v>35</v>
      </c>
      <c r="I26" s="45" t="s">
        <v>39</v>
      </c>
      <c r="J26" s="50">
        <f>IF(Salaire_brut_avril="",0,Horaire_collectif_mensuel*C26*IF(G26&lt;&gt;"",G26,Salaire_brut_avril)/IF(H26&lt;&gt;"",H26,IF(E26&lt;&gt;"",E26,Salaire_brut_avril)))</f>
        <v>1445.4150999999997</v>
      </c>
      <c r="K26" s="50">
        <f t="shared" si="0"/>
        <v>1004</v>
      </c>
      <c r="L26" s="50">
        <f t="shared" si="9"/>
        <v>5781.6603999999988</v>
      </c>
      <c r="M26" s="50">
        <f t="shared" si="6"/>
        <v>0</v>
      </c>
      <c r="N26" s="50">
        <f>Salaire_brut_janvier+Salaire_brut_février+Salaire_brut_mars+Salaire_brut_avril</f>
        <v>7011</v>
      </c>
      <c r="O26" s="51">
        <f t="shared" si="1"/>
        <v>0.14960000000000001</v>
      </c>
      <c r="P26" s="51">
        <f>IF(IF(ROUND(((Coeff.effectif/0.6)*((1.6*(J26+(C26*F26))/Salaire_brut_avril)-1)),4)&gt;0,ROUND(((Coeff.effectif/0.6)*((1.6*(J26+(C26*F26))/Salaire_brut_avril)-1)),4),0)&gt;Coeff.effectif,Coeff.effectif,IF(ROUND(((Coeff.effectif/0.6)*((1.6*(J26+(C26*F26))/Salaire_brut_avril)-1)),4)&gt;0,ROUND(((Coeff.effectif/0.6)*((1.6*(J26+(C26*F26))/Salaire_brut_avril)-1)),4),0))</f>
        <v>0.28100000000000003</v>
      </c>
      <c r="Q26" s="50">
        <f t="shared" si="7"/>
        <v>1048.8456000000001</v>
      </c>
      <c r="R26" s="50">
        <f>Q26-SUM(R23:R25)</f>
        <v>612.73740000000009</v>
      </c>
      <c r="S26" s="50">
        <f>IF(ISERR(P26),0,Salaire_brut_avril*P26)</f>
        <v>282.12400000000002</v>
      </c>
      <c r="T26" s="50"/>
      <c r="U26" s="50">
        <f t="shared" si="8"/>
        <v>282.12400000000002</v>
      </c>
      <c r="V26" s="53">
        <f t="shared" si="2"/>
        <v>612.73740000000009</v>
      </c>
      <c r="W26" s="56" t="str">
        <f t="shared" si="3"/>
        <v/>
      </c>
    </row>
    <row r="27" spans="2:23" ht="15">
      <c r="B27" s="45" t="s">
        <v>40</v>
      </c>
      <c r="C27" s="46">
        <f>SMIC!B8</f>
        <v>9.5299999999999994</v>
      </c>
      <c r="D27" s="12">
        <v>1005</v>
      </c>
      <c r="E27" s="47"/>
      <c r="F27" s="48"/>
      <c r="G27" s="55">
        <f t="shared" si="4"/>
        <v>35</v>
      </c>
      <c r="H27" s="55">
        <f t="shared" si="5"/>
        <v>35</v>
      </c>
      <c r="I27" s="45" t="s">
        <v>40</v>
      </c>
      <c r="J27" s="50">
        <f>IF(Salaire_brut_mai="",0,Horaire_collectif_mensuel*C27*IF(G27&lt;&gt;"",G27,Salaire_brut_mai)/IF(H27&lt;&gt;"",H27,IF(E27&lt;&gt;"",E27,Salaire_brut_mai)))</f>
        <v>1445.4150999999997</v>
      </c>
      <c r="K27" s="50">
        <f t="shared" si="0"/>
        <v>1005</v>
      </c>
      <c r="L27" s="50">
        <f t="shared" si="9"/>
        <v>7227.075499999999</v>
      </c>
      <c r="M27" s="50">
        <f t="shared" si="6"/>
        <v>0</v>
      </c>
      <c r="N27" s="50">
        <f>Salaire_brut_janvier+Salaire_brut_février+Salaire_brut_mars+Salaire_brut_avril+Salaire_brut_mai</f>
        <v>8016</v>
      </c>
      <c r="O27" s="51">
        <f t="shared" si="1"/>
        <v>0.20730000000000001</v>
      </c>
      <c r="P27" s="51">
        <f>IF(IF(ROUND(((Coeff.effectif/0.6)*((1.6*(J27+(C27*F27))/Salaire_brut_mai)-1)),4)&gt;0,ROUND(((Coeff.effectif/0.6)*((1.6*(J27+(C27*F27))/Salaire_brut_mai)-1)),4),0)&gt;Coeff.effectif,Coeff.effectif,IF(ROUND(((Coeff.effectif/0.6)*((1.6*(J27+(C27*F27))/Salaire_brut_mai)-1)),4)&gt;0,ROUND(((Coeff.effectif/0.6)*((1.6*(J27+(C27*F27))/Salaire_brut_mai)-1)),4),0))</f>
        <v>0.28100000000000003</v>
      </c>
      <c r="Q27" s="50">
        <f t="shared" si="7"/>
        <v>1661.7168000000001</v>
      </c>
      <c r="R27" s="50">
        <f>Q27-SUM(R23:R26)</f>
        <v>612.87120000000004</v>
      </c>
      <c r="S27" s="50">
        <f>IF(ISERR(P27),0,Salaire_brut_mai*P27)</f>
        <v>282.40500000000003</v>
      </c>
      <c r="T27" s="50"/>
      <c r="U27" s="50">
        <f t="shared" si="8"/>
        <v>282.40500000000003</v>
      </c>
      <c r="V27" s="53">
        <f t="shared" si="2"/>
        <v>612.87120000000004</v>
      </c>
      <c r="W27" s="56" t="str">
        <f t="shared" si="3"/>
        <v/>
      </c>
    </row>
    <row r="28" spans="2:23" ht="15">
      <c r="B28" s="45" t="s">
        <v>41</v>
      </c>
      <c r="C28" s="46">
        <f>SMIC!B9</f>
        <v>9.5299999999999994</v>
      </c>
      <c r="D28" s="12">
        <v>3006</v>
      </c>
      <c r="E28" s="47"/>
      <c r="F28" s="48"/>
      <c r="G28" s="55">
        <f t="shared" si="4"/>
        <v>35</v>
      </c>
      <c r="H28" s="55">
        <f t="shared" si="5"/>
        <v>35</v>
      </c>
      <c r="I28" s="45" t="s">
        <v>41</v>
      </c>
      <c r="J28" s="50">
        <f>IF(Salaire_brut_juin="",0,Horaire_collectif_mensuel*C28*IF(G28&lt;&gt;"",G28,Salaire_brut_juin)/IF(H28&lt;&gt;"",H28,IF(E28&lt;&gt;"",E28,Salaire_brut_juin)))</f>
        <v>1445.4150999999997</v>
      </c>
      <c r="K28" s="50">
        <f t="shared" si="0"/>
        <v>3006</v>
      </c>
      <c r="L28" s="50">
        <f t="shared" si="9"/>
        <v>8672.4905999999992</v>
      </c>
      <c r="M28" s="50">
        <f t="shared" si="6"/>
        <v>0</v>
      </c>
      <c r="N28" s="50">
        <f>Salaire_brut_janvier+Salaire_brut_février+Salaire_brut_mars+Salaire_brut_avril+Salaire_brut_mai+Salaire_brut_juin</f>
        <v>11022</v>
      </c>
      <c r="O28" s="51">
        <f t="shared" si="1"/>
        <v>0.12130000000000001</v>
      </c>
      <c r="P28" s="51">
        <f>IF(IF(ROUND(((Coeff.effectif/0.6)*((1.6*(J28+(C28*F28))/Salaire_brut_juin)-1)),4)&gt;0,ROUND(((Coeff.effectif/0.6)*((1.6*(J28+(C28*F28))/Salaire_brut_juin)-1)),4),0)&gt;Coeff.effectif,Coeff.effectif,IF(ROUND(((Coeff.effectif/0.6)*((1.6*(J28+(C28*F28))/Salaire_brut_juin)-1)),4)&gt;0,ROUND(((Coeff.effectif/0.6)*((1.6*(J28+(C28*F28))/Salaire_brut_juin)-1)),4),0))</f>
        <v>0</v>
      </c>
      <c r="Q28" s="50">
        <f t="shared" si="7"/>
        <v>1336.9686000000002</v>
      </c>
      <c r="R28" s="50">
        <f>Q28-SUM(R23:R27)</f>
        <v>-324.7482</v>
      </c>
      <c r="S28" s="50">
        <f>IF(ISERR(P28),0,Salaire_brut_juin*P28)</f>
        <v>0</v>
      </c>
      <c r="T28" s="50"/>
      <c r="U28" s="50">
        <f t="shared" si="8"/>
        <v>0</v>
      </c>
      <c r="V28" s="53" t="str">
        <f t="shared" si="2"/>
        <v/>
      </c>
      <c r="W28" s="56">
        <f t="shared" si="3"/>
        <v>324.7482</v>
      </c>
    </row>
    <row r="29" spans="2:23" ht="15">
      <c r="B29" s="45" t="s">
        <v>42</v>
      </c>
      <c r="C29" s="46">
        <f>SMIC!B10</f>
        <v>9.5299999999999994</v>
      </c>
      <c r="D29" s="12">
        <v>1007</v>
      </c>
      <c r="E29" s="47"/>
      <c r="F29" s="48"/>
      <c r="G29" s="55">
        <f t="shared" si="4"/>
        <v>35</v>
      </c>
      <c r="H29" s="55">
        <f t="shared" si="5"/>
        <v>35</v>
      </c>
      <c r="I29" s="45" t="s">
        <v>42</v>
      </c>
      <c r="J29" s="50">
        <f>IF(Salaire_brut_juillet="",0,Horaire_collectif_mensuel*C29*IF(G29&lt;&gt;"",G29,Salaire_brut_juillet)/IF(H29&lt;&gt;"",H29,IF(E29&lt;&gt;"",E29,Salaire_brut_juillet)))</f>
        <v>1445.4150999999997</v>
      </c>
      <c r="K29" s="50">
        <f t="shared" si="0"/>
        <v>1007</v>
      </c>
      <c r="L29" s="50">
        <f t="shared" si="9"/>
        <v>10117.905699999999</v>
      </c>
      <c r="M29" s="50">
        <f t="shared" si="6"/>
        <v>0</v>
      </c>
      <c r="N29" s="50">
        <f>Salaire_brut_janvier+Salaire_brut_février+Salaire_brut_mars+Salaire_brut_avril+Salaire_brut_mai+Salaire_brut_juin+Salaire_brut_juillet</f>
        <v>12029</v>
      </c>
      <c r="O29" s="51">
        <f t="shared" si="1"/>
        <v>0.16200000000000001</v>
      </c>
      <c r="P29" s="51">
        <f>IF(IF(ROUND(((Coeff.effectif/0.6)*((1.6*(J29+(C29*F29))/Salaire_brut_juillet)-1)),4)&gt;0,ROUND(((Coeff.effectif/0.6)*((1.6*(J29+(C29*F29))/Salaire_brut_juillet)-1)),4),0)&gt;Coeff.effectif,Coeff.effectif,IF(ROUND(((Coeff.effectif/0.6)*((1.6*(J29+(C29*F29))/Salaire_brut_juillet)-1)),4)&gt;0,ROUND(((Coeff.effectif/0.6)*((1.6*(J29+(C29*F29))/Salaire_brut_juillet)-1)),4),0))</f>
        <v>0.28100000000000003</v>
      </c>
      <c r="Q29" s="50">
        <f t="shared" si="7"/>
        <v>1948.6980000000001</v>
      </c>
      <c r="R29" s="50">
        <f>Q29-SUM(R23:R28)</f>
        <v>611.72939999999994</v>
      </c>
      <c r="S29" s="50">
        <f>IF(ISERR(P29),0,Salaire_brut_juillet*P29)</f>
        <v>282.96700000000004</v>
      </c>
      <c r="T29" s="50"/>
      <c r="U29" s="50">
        <f t="shared" si="8"/>
        <v>282.96700000000004</v>
      </c>
      <c r="V29" s="53">
        <f t="shared" si="2"/>
        <v>611.72939999999994</v>
      </c>
      <c r="W29" s="56" t="str">
        <f t="shared" si="3"/>
        <v/>
      </c>
    </row>
    <row r="30" spans="2:23" ht="15">
      <c r="B30" s="45" t="s">
        <v>43</v>
      </c>
      <c r="C30" s="46">
        <f>SMIC!B11</f>
        <v>9.5299999999999994</v>
      </c>
      <c r="D30" s="12">
        <v>1008</v>
      </c>
      <c r="E30" s="47"/>
      <c r="F30" s="48"/>
      <c r="G30" s="55">
        <f t="shared" si="4"/>
        <v>35</v>
      </c>
      <c r="H30" s="55">
        <f t="shared" si="5"/>
        <v>35</v>
      </c>
      <c r="I30" s="45" t="s">
        <v>43</v>
      </c>
      <c r="J30" s="50">
        <f>IF(Salaire_brut_août="",0,Horaire_collectif_mensuel*C30*IF(G30&lt;&gt;"",G30,Salaire_brut_août)/IF(H30&lt;&gt;"",H30,IF(E30&lt;&gt;"",E30,Salaire_brut_août)))</f>
        <v>1445.4150999999997</v>
      </c>
      <c r="K30" s="50">
        <f t="shared" si="0"/>
        <v>1008</v>
      </c>
      <c r="L30" s="50">
        <f t="shared" si="9"/>
        <v>11563.3208</v>
      </c>
      <c r="M30" s="50">
        <f t="shared" si="6"/>
        <v>0</v>
      </c>
      <c r="N30" s="50">
        <f>Salaire_brut_janvier+Salaire_brut_février+Salaire_brut_mars+Salaire_brut_avril+Salaire_brut_mai+Salaire_brut_juin+Salaire_brut_juillet+Salaire_brut_août</f>
        <v>13037</v>
      </c>
      <c r="O30" s="51">
        <f t="shared" si="1"/>
        <v>0.1963</v>
      </c>
      <c r="P30" s="51">
        <f>IF(IF(ROUND(((Coeff.effectif/0.6)*((1.6*(J30+(C30*F30))/Salaire_brut_août)-1)),4)&gt;0,ROUND(((Coeff.effectif/0.6)*((1.6*(J30+(C30*F30))/Salaire_brut_août)-1)),4),0)&gt;Coeff.effectif,Coeff.effectif,IF(ROUND(((Coeff.effectif/0.6)*((1.6*(J30+(C30*F30))/Salaire_brut_août)-1)),4)&gt;0,ROUND(((Coeff.effectif/0.6)*((1.6*(J30+(C30*F30))/Salaire_brut_août)-1)),4),0))</f>
        <v>0.28100000000000003</v>
      </c>
      <c r="Q30" s="50">
        <f t="shared" si="7"/>
        <v>2559.1631000000002</v>
      </c>
      <c r="R30" s="50">
        <f>Q30-SUM(R23:R29)</f>
        <v>610.46510000000012</v>
      </c>
      <c r="S30" s="50">
        <f>IF(ISERR(P30),0,Salaire_brut_août*P30)</f>
        <v>283.24800000000005</v>
      </c>
      <c r="T30" s="50"/>
      <c r="U30" s="50">
        <f t="shared" si="8"/>
        <v>283.24800000000005</v>
      </c>
      <c r="V30" s="53">
        <f t="shared" si="2"/>
        <v>610.46510000000012</v>
      </c>
      <c r="W30" s="56" t="str">
        <f t="shared" si="3"/>
        <v/>
      </c>
    </row>
    <row r="31" spans="2:23" ht="15">
      <c r="B31" s="45" t="s">
        <v>44</v>
      </c>
      <c r="C31" s="46">
        <f>SMIC!B12</f>
        <v>9.5299999999999994</v>
      </c>
      <c r="D31" s="12">
        <v>3009</v>
      </c>
      <c r="E31" s="47"/>
      <c r="F31" s="48"/>
      <c r="G31" s="55">
        <f t="shared" si="4"/>
        <v>35</v>
      </c>
      <c r="H31" s="55">
        <f t="shared" si="5"/>
        <v>35</v>
      </c>
      <c r="I31" s="45" t="s">
        <v>44</v>
      </c>
      <c r="J31" s="50">
        <f>IF(Salaire_brut_septembre="",0,Horaire_collectif_mensuel*C31*IF(G31&lt;&gt;"",G31,Salaire_brut_septembre)/IF(H31&lt;&gt;"",H31,IF(E31&lt;&gt;"",E31,Salaire_brut_septembre)))</f>
        <v>1445.4150999999997</v>
      </c>
      <c r="K31" s="50">
        <f t="shared" si="0"/>
        <v>3009</v>
      </c>
      <c r="L31" s="50">
        <f t="shared" si="9"/>
        <v>13008.7359</v>
      </c>
      <c r="M31" s="50">
        <f t="shared" si="6"/>
        <v>0</v>
      </c>
      <c r="N31" s="50">
        <f>Salaire_brut_janvier+Salaire_brut_février+Salaire_brut_mars+Salaire_brut_avril+Salaire_brut_mai+Salaire_brut_juin+Salaire_brut_juillet+Salaire_brut_août+Salaire_brut_septembre</f>
        <v>16046</v>
      </c>
      <c r="O31" s="51">
        <f t="shared" si="1"/>
        <v>0.13919999999999999</v>
      </c>
      <c r="P31" s="51">
        <f>IF(IF(ROUND(((Coeff.effectif/0.6)*((1.6*(J31+(C31*F31))/Salaire_brut_septembre)-1)),4)&gt;0,ROUND(((Coeff.effectif/0.6)*((1.6*(J31+(C31*F31))/Salaire_brut_septembre)-1)),4),0)&gt;Coeff.effectif,Coeff.effectif,IF(ROUND(((Coeff.effectif/0.6)*((1.6*(J31+(C31*F31))/Salaire_brut_septembre)-1)),4)&gt;0,ROUND(((Coeff.effectif/0.6)*((1.6*(J31+(C31*F31))/Salaire_brut_septembre)-1)),4),0))</f>
        <v>0</v>
      </c>
      <c r="Q31" s="50">
        <f t="shared" si="7"/>
        <v>2233.6032</v>
      </c>
      <c r="R31" s="50">
        <f>Q31-SUM(R23:R30)</f>
        <v>-325.5599000000002</v>
      </c>
      <c r="S31" s="50">
        <f>IF(ISERR(P31),0,Salaire_brut_septembre*P31)</f>
        <v>0</v>
      </c>
      <c r="T31" s="50"/>
      <c r="U31" s="50">
        <f t="shared" si="8"/>
        <v>0</v>
      </c>
      <c r="V31" s="53" t="str">
        <f t="shared" si="2"/>
        <v/>
      </c>
      <c r="W31" s="56">
        <f t="shared" si="3"/>
        <v>325.5599000000002</v>
      </c>
    </row>
    <row r="32" spans="2:23" ht="15">
      <c r="B32" s="45" t="s">
        <v>45</v>
      </c>
      <c r="C32" s="46">
        <f>SMIC!B13</f>
        <v>9.5299999999999994</v>
      </c>
      <c r="D32" s="12">
        <v>1010</v>
      </c>
      <c r="E32" s="47"/>
      <c r="F32" s="48"/>
      <c r="G32" s="55">
        <f t="shared" si="4"/>
        <v>35</v>
      </c>
      <c r="H32" s="55">
        <f t="shared" si="5"/>
        <v>35</v>
      </c>
      <c r="I32" s="45" t="s">
        <v>45</v>
      </c>
      <c r="J32" s="50">
        <f>IF(Salaire_brut_octobre="",0,Horaire_collectif_mensuel*C32*IF(G32&lt;&gt;"",G32,Salaire_brut_octobre)/IF(H32&lt;&gt;"",H32,IF(E32&lt;&gt;"",E32,Salaire_brut_octobre)))</f>
        <v>1445.4150999999997</v>
      </c>
      <c r="K32" s="50">
        <f t="shared" si="0"/>
        <v>1010</v>
      </c>
      <c r="L32" s="50">
        <f t="shared" si="9"/>
        <v>14454.151</v>
      </c>
      <c r="M32" s="50">
        <f t="shared" si="6"/>
        <v>0</v>
      </c>
      <c r="N32" s="50">
        <f>Salaire_brut_janvier+Salaire_brut_février+Salaire_brut_mars+Salaire_brut_avril+Salaire_brut_mai+Salaire_brut_juin+Salaire_brut_juillet+Salaire_brut_août+Salaire_brut_septembre+Salaire_brut_octobre</f>
        <v>17056</v>
      </c>
      <c r="O32" s="51">
        <f t="shared" si="1"/>
        <v>0.16669999999999999</v>
      </c>
      <c r="P32" s="51">
        <f>IF(IF(ROUND(((Coeff.effectif/0.6)*((1.6*(J32+(C32*F32))/Salaire_brut_octobre)-1)),4)&gt;0,ROUND(((Coeff.effectif/0.6)*((1.6*(J32+(C32*F32))/Salaire_brut_octobre)-1)),4),0)&gt;Coeff.effectif,Coeff.effectif,IF(ROUND(((Coeff.effectif/0.6)*((1.6*(J32+(C32*F32))/Salaire_brut_octobre)-1)),4)&gt;0,ROUND(((Coeff.effectif/0.6)*((1.6*(J32+(C32*F32))/Salaire_brut_octobre)-1)),4),0))</f>
        <v>0.28100000000000003</v>
      </c>
      <c r="Q32" s="50">
        <f t="shared" si="7"/>
        <v>2843.2351999999996</v>
      </c>
      <c r="R32" s="50">
        <f>Q32-SUM(R23:R31)</f>
        <v>609.63199999999961</v>
      </c>
      <c r="S32" s="50">
        <f>IF(ISERR(P32),0,Salaire_brut_octobre*P32)</f>
        <v>283.81</v>
      </c>
      <c r="T32" s="50"/>
      <c r="U32" s="50">
        <f t="shared" si="8"/>
        <v>283.81</v>
      </c>
      <c r="V32" s="53">
        <f t="shared" si="2"/>
        <v>609.63199999999961</v>
      </c>
      <c r="W32" s="56" t="str">
        <f t="shared" si="3"/>
        <v/>
      </c>
    </row>
    <row r="33" spans="2:31" ht="15">
      <c r="B33" s="45" t="s">
        <v>46</v>
      </c>
      <c r="C33" s="46">
        <f>SMIC!B14</f>
        <v>9.5299999999999994</v>
      </c>
      <c r="D33" s="12">
        <v>1011</v>
      </c>
      <c r="E33" s="47"/>
      <c r="F33" s="48"/>
      <c r="G33" s="55">
        <f t="shared" si="4"/>
        <v>35</v>
      </c>
      <c r="H33" s="55">
        <f t="shared" si="5"/>
        <v>35</v>
      </c>
      <c r="I33" s="45" t="s">
        <v>46</v>
      </c>
      <c r="J33" s="50">
        <f>IF(Salaire_brut_novembre="",0,Horaire_collectif_mensuel*C33*IF(G33&lt;&gt;"",G33,Salaire_brut_novembre)/IF(H33&lt;&gt;"",H33,IF(E33&lt;&gt;"",E33,Salaire_brut_novembre)))</f>
        <v>1445.4150999999997</v>
      </c>
      <c r="K33" s="50">
        <f t="shared" si="0"/>
        <v>1011</v>
      </c>
      <c r="L33" s="50">
        <f t="shared" si="9"/>
        <v>15899.5661</v>
      </c>
      <c r="M33" s="50">
        <f t="shared" si="6"/>
        <v>0</v>
      </c>
      <c r="N33" s="50">
        <f>Salaire_brut_janvier+Salaire_brut_février+Salaire_brut_mars+Salaire_brut_avril+Salaire_brut_mai+Salaire_brut_juin+Salaire_brut_juillet+Salaire_brut_août+Salaire_brut_septembre+Salaire_brut_octobre+Salaire_brut_novembre</f>
        <v>18067</v>
      </c>
      <c r="O33" s="51">
        <f t="shared" si="1"/>
        <v>0.19109999999999999</v>
      </c>
      <c r="P33" s="51">
        <f>IF(IF(ROUND(((Coeff.effectif/0.6)*((1.6*(J33+(C33*F33))/Salaire_brut_novembre)-1)),4)&gt;0,ROUND(((Coeff.effectif/0.6)*((1.6*(J33+(C33*F33))/Salaire_brut_novembre)-1)),4),0)&gt;Coeff.effectif,Coeff.effectif,IF(ROUND(((Coeff.effectif/0.6)*((1.6*(J33+(C33*F33))/Salaire_brut_novembre)-1)),4)&gt;0,ROUND(((Coeff.effectif/0.6)*((1.6*(J33+(C33*F33))/Salaire_brut_novembre)-1)),4),0))</f>
        <v>0.28100000000000003</v>
      </c>
      <c r="Q33" s="50">
        <f t="shared" si="7"/>
        <v>3452.6036999999997</v>
      </c>
      <c r="R33" s="50">
        <f>Q33-SUM(R23:R32)</f>
        <v>609.36850000000004</v>
      </c>
      <c r="S33" s="50">
        <f>IF(ISERR(P33),0,Salaire_brut_novembre*P33)</f>
        <v>284.09100000000001</v>
      </c>
      <c r="U33" s="50">
        <f t="shared" si="8"/>
        <v>284.09100000000001</v>
      </c>
      <c r="V33" s="53">
        <f t="shared" si="2"/>
        <v>609.36850000000004</v>
      </c>
      <c r="W33" s="56" t="str">
        <f t="shared" si="3"/>
        <v/>
      </c>
    </row>
    <row r="34" spans="2:31" ht="15.75" thickBot="1">
      <c r="B34" s="45" t="s">
        <v>47</v>
      </c>
      <c r="C34" s="57">
        <f>SMIC!B15</f>
        <v>9.5299999999999994</v>
      </c>
      <c r="D34" s="12">
        <v>3012</v>
      </c>
      <c r="E34" s="58"/>
      <c r="F34" s="59"/>
      <c r="G34" s="60">
        <f t="shared" si="4"/>
        <v>35</v>
      </c>
      <c r="H34" s="60">
        <f t="shared" si="5"/>
        <v>35</v>
      </c>
      <c r="I34" s="45" t="s">
        <v>47</v>
      </c>
      <c r="J34" s="50">
        <f>IF(Salaire_brut_décembre="",0,Horaire_collectif_mensuel*C34*IF(G34&lt;&gt;"",G34,Salaire_brut_décembre)/IF(H34&lt;&gt;"",H34,IF(E34&lt;&gt;"",E34,Salaire_brut_décembre)))</f>
        <v>1445.4150999999997</v>
      </c>
      <c r="K34" s="50">
        <f t="shared" si="0"/>
        <v>3012</v>
      </c>
      <c r="L34" s="50">
        <f t="shared" si="9"/>
        <v>17344.981199999998</v>
      </c>
      <c r="M34" s="50">
        <f t="shared" si="6"/>
        <v>0</v>
      </c>
      <c r="N34" s="50">
        <f>Salaire_brut_janvier+Salaire_brut_février+Salaire_brut_mars+Salaire_brut_avril+Salaire_brut_mai+Salaire_brut_juin+Salaire_brut_juillet+Salaire_brut_août+Salaire_brut_septembre+Salaire_brut_octobre+Salaire_brut_novembre+Salaire_brut_décembre</f>
        <v>21079</v>
      </c>
      <c r="O34" s="51">
        <f t="shared" si="1"/>
        <v>0.14829999999999999</v>
      </c>
      <c r="P34" s="51">
        <f>IF(IF(ROUND(((Coeff.effectif/0.6)*((1.6*(J34+(C34*F34))/Salaire_brut_décembre)-1)),4)&gt;0,ROUND(((Coeff.effectif/0.6)*((1.6*(J34+(C34*F34))/Salaire_brut_décembre)-1)),4),0)&gt;Coeff.effectif,Coeff.effectif,IF(ROUND(((Coeff.effectif/0.6)*((1.6*(J34+(C34*F34))/Salaire_brut_décembre)-1)),4)&gt;0,ROUND(((Coeff.effectif/0.6)*((1.6*(J34+(C34*F34))/Salaire_brut_décembre)-1)),4),0))</f>
        <v>0</v>
      </c>
      <c r="Q34" s="50">
        <f>IF(Salaire_brut_décembre=0,0,N34*O34)</f>
        <v>3126.0156999999999</v>
      </c>
      <c r="R34" s="50" t="str">
        <f>IF(Q34-SUM(R23:R33)&lt;0,"",Q34-SUM(R23:R33))</f>
        <v/>
      </c>
      <c r="S34" s="50">
        <f>IF(ISERR(P34),0,Salaire_brut_décembre*P34)</f>
        <v>0</v>
      </c>
      <c r="T34" s="50">
        <f>IF(Salaire_brut_décembre="",0,IF(Q34-SUM(R23:R33)&gt;0,"",Q34-SUM(R23:R33)))</f>
        <v>-326.58799999999974</v>
      </c>
      <c r="U34" s="50">
        <f>(SUM(R23:R33)+IF(R34&lt;&gt;"",R34,0)+IF(T34&lt;&gt;"",T34,0))-SUM(U23:U33)</f>
        <v>864.52769999999964</v>
      </c>
      <c r="V34" s="53" t="str">
        <f t="shared" si="2"/>
        <v/>
      </c>
      <c r="W34" s="61">
        <f>IF(Mode_calcul=1,IF(T34&lt;0,-T34,""),IF(U34&lt;0,-U34,""))</f>
        <v>326.58799999999974</v>
      </c>
    </row>
    <row r="35" spans="2:31" ht="21" customHeight="1" thickBot="1">
      <c r="B35" s="62" t="s">
        <v>138</v>
      </c>
      <c r="C35" s="63"/>
      <c r="D35" s="64">
        <f>SUM(D23:D34)</f>
        <v>21079</v>
      </c>
      <c r="E35" s="65"/>
      <c r="F35" s="66"/>
      <c r="G35" s="63"/>
      <c r="H35" s="63"/>
      <c r="I35" s="62" t="s">
        <v>138</v>
      </c>
      <c r="Q35" s="50"/>
      <c r="R35" s="67"/>
      <c r="S35" s="50">
        <f>SUM(S23:S34)</f>
        <v>2261.4880000000003</v>
      </c>
      <c r="V35" s="160">
        <f>SUM(V23:V33)+IF(V34="",0,V34)-SUM(W23:W33)-IF(W34="",0,W34)</f>
        <v>3126.0156999999999</v>
      </c>
      <c r="W35" s="161"/>
    </row>
    <row r="36" spans="2:31" ht="21" customHeight="1" thickBot="1">
      <c r="C36" s="68"/>
      <c r="F36" s="27"/>
      <c r="Q36" s="50"/>
      <c r="R36" s="67"/>
      <c r="S36" s="50"/>
    </row>
    <row r="37" spans="2:31" ht="21" hidden="1" customHeight="1">
      <c r="C37" s="68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50"/>
      <c r="V37" s="159" t="s">
        <v>139</v>
      </c>
      <c r="W37" s="159"/>
      <c r="X37" s="159" t="s">
        <v>140</v>
      </c>
      <c r="Y37" s="159"/>
    </row>
    <row r="38" spans="2:31" ht="21" hidden="1" customHeight="1">
      <c r="C38" s="68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50"/>
      <c r="V38" s="16" t="s">
        <v>141</v>
      </c>
      <c r="W38" s="16" t="s">
        <v>142</v>
      </c>
      <c r="X38" s="16" t="s">
        <v>141</v>
      </c>
      <c r="Y38" s="16" t="s">
        <v>142</v>
      </c>
      <c r="AB38" s="16"/>
      <c r="AC38" s="16"/>
      <c r="AD38" s="50"/>
      <c r="AE38" s="19"/>
    </row>
    <row r="39" spans="2:31" ht="21" hidden="1" customHeight="1">
      <c r="C39" s="68"/>
      <c r="D39" s="69"/>
      <c r="E39" s="69"/>
      <c r="F39" s="69"/>
      <c r="H39" s="70"/>
      <c r="I39" s="70"/>
      <c r="J39" s="69"/>
      <c r="K39" s="69"/>
      <c r="L39" s="69"/>
      <c r="M39" s="69"/>
      <c r="N39" s="69"/>
      <c r="O39" s="69"/>
      <c r="P39" s="69"/>
      <c r="Q39" s="69"/>
      <c r="R39" s="69"/>
      <c r="S39" s="50"/>
      <c r="U39" s="71" t="s">
        <v>143</v>
      </c>
      <c r="V39" s="72">
        <f>IF(R23+R24+R25&lt;0,"",R23+R24+R25)</f>
        <v>436.10820000000001</v>
      </c>
      <c r="W39" s="72" t="str">
        <f>IF(R23+R24+R25&gt;0,"",-(R23+R24+R25))</f>
        <v/>
      </c>
      <c r="X39" s="72">
        <f>IF(U23+U24+U25&lt;0,"",U23+U24+U25)</f>
        <v>562.84300000000007</v>
      </c>
      <c r="Y39" s="72" t="str">
        <f>IF(U23+U24+U25&gt;0,"",-(U23+U24+U25))</f>
        <v/>
      </c>
      <c r="Z39" s="73"/>
      <c r="AA39" s="73"/>
      <c r="AB39" s="74"/>
      <c r="AC39" s="74"/>
      <c r="AD39" s="74"/>
    </row>
    <row r="40" spans="2:31" ht="21" hidden="1" customHeight="1">
      <c r="C40" s="68"/>
      <c r="D40" s="69"/>
      <c r="E40" s="69"/>
      <c r="F40" s="69"/>
      <c r="H40" s="70"/>
      <c r="I40" s="70"/>
      <c r="J40" s="69"/>
      <c r="K40" s="69"/>
      <c r="L40" s="69"/>
      <c r="M40" s="69"/>
      <c r="N40" s="69"/>
      <c r="O40" s="69"/>
      <c r="P40" s="69"/>
      <c r="Q40" s="69"/>
      <c r="R40" s="69"/>
      <c r="S40" s="50"/>
      <c r="U40" s="71" t="s">
        <v>144</v>
      </c>
      <c r="V40" s="72">
        <f>IF(R26+R27+R28&lt;0,"",R26+R27+R28)</f>
        <v>900.86040000000003</v>
      </c>
      <c r="W40" s="72" t="str">
        <f>IF(R26+R27+R28&gt;0,"",-(R26+R27+R28))</f>
        <v/>
      </c>
      <c r="X40" s="72">
        <f>IF(U26+U27+U28&lt;0,"",U26+U27+U28)</f>
        <v>564.529</v>
      </c>
      <c r="Y40" s="72" t="str">
        <f>IF(U26+U27+U28&gt;0,"",-(U26+U27+U28))</f>
        <v/>
      </c>
      <c r="Z40" s="73"/>
      <c r="AA40" s="73"/>
      <c r="AB40" s="74"/>
      <c r="AC40" s="74"/>
      <c r="AD40" s="74"/>
    </row>
    <row r="41" spans="2:31" ht="21" hidden="1" customHeight="1">
      <c r="C41" s="68"/>
      <c r="D41" s="69"/>
      <c r="E41" s="69"/>
      <c r="F41" s="69"/>
      <c r="H41" s="70"/>
      <c r="I41" s="70"/>
      <c r="J41" s="69"/>
      <c r="K41" s="69"/>
      <c r="L41" s="69"/>
      <c r="M41" s="69"/>
      <c r="N41" s="69"/>
      <c r="O41" s="69"/>
      <c r="P41" s="69"/>
      <c r="Q41" s="69"/>
      <c r="R41" s="69"/>
      <c r="S41" s="50"/>
      <c r="U41" s="71" t="s">
        <v>145</v>
      </c>
      <c r="V41" s="72">
        <f>IF(R29+R30+R31&lt;0,"",R29+R30+R31)</f>
        <v>896.63459999999986</v>
      </c>
      <c r="W41" s="72" t="str">
        <f>IF(R29+R30+R31&gt;0,"",-(R29+R30+R31))</f>
        <v/>
      </c>
      <c r="X41" s="72">
        <f>IF(U29+U30+U31&lt;0,"",U29+U30+U31)</f>
        <v>566.21500000000015</v>
      </c>
      <c r="Y41" s="72" t="str">
        <f>IF(U29+U30+U31&gt;0,"",-(U29+U30+U31))</f>
        <v/>
      </c>
      <c r="Z41" s="73"/>
      <c r="AA41" s="73"/>
      <c r="AB41" s="74"/>
      <c r="AC41" s="74"/>
      <c r="AD41" s="74"/>
    </row>
    <row r="42" spans="2:31" ht="21" hidden="1" customHeight="1" thickBot="1">
      <c r="C42" s="68"/>
      <c r="D42" s="69"/>
      <c r="E42" s="69"/>
      <c r="F42" s="69"/>
      <c r="H42" s="70"/>
      <c r="I42" s="70"/>
      <c r="J42" s="69"/>
      <c r="K42" s="69"/>
      <c r="L42" s="69"/>
      <c r="M42" s="69"/>
      <c r="N42" s="69"/>
      <c r="O42" s="69"/>
      <c r="P42" s="69"/>
      <c r="Q42" s="69"/>
      <c r="R42" s="69"/>
      <c r="S42" s="50"/>
      <c r="U42" s="71" t="s">
        <v>146</v>
      </c>
      <c r="V42" s="72">
        <f>IF(R32+R33+IF(R34&lt;&gt;"",R34,0)+IF(T34&lt;&gt;"",T34,0)&lt;0,"",R32+R33+IF(R34&lt;&gt;"",R34,0)+IF(T34&lt;&gt;"",T34,0))</f>
        <v>892.41249999999991</v>
      </c>
      <c r="W42" s="72" t="str">
        <f>IF(R32+R33+IF(R34&lt;&gt;"",R34,0)+IF(T34&lt;&gt;"",T34,0)&gt;0,"",-(R32+R33+IF(R34&lt;&gt;"",R34,0)+IF(T34&lt;&gt;"",T34,0)))</f>
        <v/>
      </c>
      <c r="X42" s="72">
        <f>IF(U32+U33+U34&lt;0,"",U32+U33+U34)</f>
        <v>1432.4286999999997</v>
      </c>
      <c r="Y42" s="72" t="str">
        <f>IF(U32+U33+U34&gt;0,"",-(U32+U33+U34))</f>
        <v/>
      </c>
      <c r="Z42" s="73"/>
      <c r="AA42" s="73"/>
      <c r="AB42" s="74"/>
      <c r="AC42" s="74"/>
      <c r="AD42" s="74"/>
    </row>
    <row r="43" spans="2:31" ht="21" customHeight="1" thickBot="1">
      <c r="C43" s="162" t="s">
        <v>147</v>
      </c>
      <c r="D43" s="162"/>
      <c r="E43" s="162"/>
      <c r="F43" s="162"/>
      <c r="G43" s="162"/>
      <c r="H43" s="162"/>
      <c r="I43" s="70"/>
      <c r="J43" s="69"/>
      <c r="K43" s="69"/>
      <c r="L43" s="69"/>
      <c r="M43" s="69"/>
      <c r="N43" s="69"/>
      <c r="O43" s="69"/>
      <c r="P43" s="69"/>
      <c r="Q43" s="69"/>
      <c r="R43" s="69"/>
      <c r="S43" s="50"/>
      <c r="U43" s="71"/>
      <c r="V43" s="72"/>
      <c r="W43" s="72"/>
      <c r="X43" s="72"/>
      <c r="Y43" s="72"/>
      <c r="Z43" s="73"/>
      <c r="AA43" s="73"/>
      <c r="AB43" s="74"/>
      <c r="AC43" s="74"/>
      <c r="AD43" s="74"/>
    </row>
    <row r="44" spans="2:31" ht="21" customHeight="1" thickBot="1">
      <c r="C44" s="68"/>
      <c r="D44" s="163" t="s">
        <v>118</v>
      </c>
      <c r="E44" s="163"/>
      <c r="F44" s="164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50"/>
    </row>
    <row r="45" spans="2:31" ht="32.25" customHeight="1">
      <c r="C45" s="68"/>
      <c r="D45" s="75" t="s">
        <v>148</v>
      </c>
      <c r="E45" s="76" t="s">
        <v>149</v>
      </c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50"/>
    </row>
    <row r="46" spans="2:31">
      <c r="C46" s="77" t="s">
        <v>143</v>
      </c>
      <c r="D46" s="78">
        <f t="shared" ref="D46:E49" si="10">IF(Mode_calcul=1,V39,X39)</f>
        <v>436.10820000000001</v>
      </c>
      <c r="E46" s="78" t="str">
        <f t="shared" si="10"/>
        <v/>
      </c>
      <c r="O46" s="15"/>
      <c r="P46" s="15"/>
      <c r="Q46" s="15"/>
      <c r="R46" s="15"/>
    </row>
    <row r="47" spans="2:31">
      <c r="C47" s="77" t="s">
        <v>144</v>
      </c>
      <c r="D47" s="78">
        <f t="shared" si="10"/>
        <v>900.86040000000003</v>
      </c>
      <c r="E47" s="78" t="str">
        <f t="shared" si="10"/>
        <v/>
      </c>
      <c r="O47" s="15"/>
      <c r="P47" s="15"/>
      <c r="Q47" s="15"/>
      <c r="R47" s="15"/>
    </row>
    <row r="48" spans="2:31">
      <c r="C48" s="77" t="s">
        <v>145</v>
      </c>
      <c r="D48" s="78">
        <f t="shared" si="10"/>
        <v>896.63459999999986</v>
      </c>
      <c r="E48" s="78" t="str">
        <f t="shared" si="10"/>
        <v/>
      </c>
      <c r="O48" s="15"/>
      <c r="P48" s="15"/>
      <c r="Q48" s="15"/>
      <c r="R48" s="15"/>
    </row>
    <row r="49" spans="3:19" ht="14.25" thickBot="1">
      <c r="C49" s="77" t="s">
        <v>146</v>
      </c>
      <c r="D49" s="79">
        <f t="shared" si="10"/>
        <v>892.41249999999991</v>
      </c>
      <c r="E49" s="79" t="str">
        <f t="shared" si="10"/>
        <v/>
      </c>
      <c r="O49" s="15"/>
      <c r="P49" s="15"/>
      <c r="Q49" s="15"/>
      <c r="R49" s="15"/>
    </row>
    <row r="50" spans="3:19" ht="14.25" thickBot="1">
      <c r="C50" s="62" t="s">
        <v>138</v>
      </c>
      <c r="D50" s="165">
        <f>+SUM(D46:D49)-SUM(E46:E49)</f>
        <v>3126.0156999999999</v>
      </c>
      <c r="E50" s="165"/>
      <c r="K50" s="80"/>
      <c r="L50" s="80"/>
      <c r="M50" s="80"/>
      <c r="N50" s="80"/>
      <c r="S50" s="51"/>
    </row>
    <row r="51" spans="3:19">
      <c r="K51" s="80"/>
      <c r="L51" s="80"/>
      <c r="M51" s="80"/>
      <c r="N51" s="80"/>
      <c r="S51" s="51"/>
    </row>
    <row r="52" spans="3:19">
      <c r="C52" s="81"/>
      <c r="D52" s="82"/>
      <c r="E52" s="82"/>
      <c r="F52" s="82"/>
      <c r="G52" s="82"/>
      <c r="H52" s="82"/>
      <c r="I52" s="82"/>
      <c r="K52" s="80"/>
      <c r="L52" s="80"/>
      <c r="M52" s="80"/>
      <c r="N52" s="80"/>
      <c r="S52" s="51"/>
    </row>
    <row r="53" spans="3:19">
      <c r="K53" s="80"/>
      <c r="L53" s="80"/>
      <c r="M53" s="80"/>
      <c r="N53" s="80"/>
      <c r="S53" s="51"/>
    </row>
    <row r="54" spans="3:19">
      <c r="K54" s="80"/>
      <c r="L54" s="80"/>
      <c r="M54" s="80"/>
      <c r="N54" s="80"/>
      <c r="S54" s="51"/>
    </row>
    <row r="55" spans="3:19">
      <c r="K55" s="80"/>
      <c r="L55" s="80"/>
      <c r="M55" s="80"/>
      <c r="N55" s="80"/>
      <c r="S55" s="51"/>
    </row>
    <row r="56" spans="3:19">
      <c r="K56" s="80"/>
      <c r="L56" s="80"/>
      <c r="M56" s="80"/>
      <c r="N56" s="80"/>
      <c r="S56" s="51"/>
    </row>
    <row r="57" spans="3:19">
      <c r="K57" s="80"/>
      <c r="L57" s="80"/>
      <c r="M57" s="80"/>
      <c r="N57" s="80"/>
      <c r="S57" s="51"/>
    </row>
    <row r="58" spans="3:19">
      <c r="K58" s="80"/>
      <c r="L58" s="80"/>
      <c r="M58" s="80"/>
      <c r="N58" s="80"/>
      <c r="S58" s="51"/>
    </row>
    <row r="59" spans="3:19">
      <c r="K59" s="80"/>
      <c r="L59" s="80"/>
      <c r="M59" s="80"/>
      <c r="N59" s="80"/>
      <c r="S59" s="51"/>
    </row>
    <row r="60" spans="3:19">
      <c r="K60" s="80"/>
      <c r="L60" s="80"/>
      <c r="M60" s="80"/>
      <c r="N60" s="80"/>
      <c r="S60" s="51"/>
    </row>
    <row r="61" spans="3:19">
      <c r="K61" s="80"/>
      <c r="L61" s="80"/>
      <c r="M61" s="80"/>
      <c r="N61" s="80"/>
      <c r="S61" s="51"/>
    </row>
    <row r="63" spans="3:19">
      <c r="G63" s="83"/>
      <c r="H63" s="83"/>
      <c r="I63" s="83"/>
    </row>
    <row r="65" spans="2:14">
      <c r="B65" s="153"/>
      <c r="C65" s="153"/>
      <c r="D65" s="153"/>
      <c r="E65" s="153"/>
      <c r="F65" s="153"/>
      <c r="G65" s="153"/>
      <c r="H65" s="153"/>
      <c r="I65" s="153"/>
      <c r="J65" s="153"/>
      <c r="K65" s="153"/>
      <c r="L65" s="84"/>
      <c r="M65" s="84"/>
      <c r="N65" s="84"/>
    </row>
    <row r="67" spans="2:14">
      <c r="B67" s="153"/>
      <c r="C67" s="153"/>
      <c r="D67" s="153"/>
      <c r="E67" s="153"/>
      <c r="F67" s="153"/>
      <c r="G67" s="153"/>
      <c r="H67" s="153"/>
      <c r="I67" s="153"/>
      <c r="J67" s="153"/>
      <c r="K67" s="153"/>
      <c r="L67" s="84"/>
      <c r="M67" s="84"/>
      <c r="N67" s="84"/>
    </row>
    <row r="69" spans="2:14">
      <c r="B69" s="153"/>
      <c r="C69" s="153"/>
      <c r="D69" s="153"/>
      <c r="E69" s="153"/>
      <c r="F69" s="153"/>
      <c r="G69" s="153"/>
      <c r="H69" s="153"/>
      <c r="I69" s="153"/>
      <c r="J69" s="153"/>
      <c r="K69" s="153"/>
      <c r="L69" s="84"/>
      <c r="M69" s="84"/>
      <c r="N69" s="84"/>
    </row>
  </sheetData>
  <mergeCells count="13">
    <mergeCell ref="B69:K69"/>
    <mergeCell ref="X37:Y37"/>
    <mergeCell ref="C43:H43"/>
    <mergeCell ref="D44:F44"/>
    <mergeCell ref="D50:E50"/>
    <mergeCell ref="B65:K65"/>
    <mergeCell ref="B67:K67"/>
    <mergeCell ref="V37:W37"/>
    <mergeCell ref="B1:W1"/>
    <mergeCell ref="G21:H21"/>
    <mergeCell ref="V21:W21"/>
    <mergeCell ref="S22:T22"/>
    <mergeCell ref="V35:W35"/>
  </mergeCells>
  <dataValidations count="1">
    <dataValidation allowBlank="1" showInputMessage="1" showErrorMessage="1" sqref="I25:I34 B25:B34"/>
  </dataValidations>
  <pageMargins left="0.24" right="0.24" top="0.4" bottom="0.74803149606299213" header="0.17" footer="0.31496062992125984"/>
  <pageSetup paperSize="9" scale="71" orientation="portrait" verticalDpi="144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E69"/>
  <sheetViews>
    <sheetView showGridLines="0" showRowColHeaders="0" topLeftCell="A8" workbookViewId="0">
      <selection activeCell="V47" sqref="V47"/>
    </sheetView>
  </sheetViews>
  <sheetFormatPr baseColWidth="10" defaultColWidth="0" defaultRowHeight="13.5"/>
  <cols>
    <col min="1" max="1" width="2.7109375" style="15" customWidth="1"/>
    <col min="2" max="2" width="25.28515625" style="15" customWidth="1"/>
    <col min="3" max="9" width="13.5703125" style="15" customWidth="1"/>
    <col min="10" max="14" width="12.7109375" style="15" hidden="1" customWidth="1"/>
    <col min="15" max="16" width="10.85546875" style="16" hidden="1" customWidth="1"/>
    <col min="17" max="17" width="12.7109375" style="16" hidden="1" customWidth="1"/>
    <col min="18" max="18" width="11.28515625" style="16" hidden="1" customWidth="1"/>
    <col min="19" max="19" width="14.7109375" style="16" hidden="1" customWidth="1"/>
    <col min="20" max="20" width="14.7109375" style="15" hidden="1" customWidth="1"/>
    <col min="21" max="21" width="14.28515625" style="15" hidden="1" customWidth="1"/>
    <col min="22" max="23" width="15.7109375" style="15" customWidth="1"/>
    <col min="24" max="24" width="2.5703125" style="15" customWidth="1"/>
    <col min="25" max="33" width="10.28515625" style="15" hidden="1" customWidth="1"/>
    <col min="34" max="16384" width="10.28515625" style="15" hidden="1"/>
  </cols>
  <sheetData>
    <row r="1" spans="2:23" ht="25.5" customHeight="1">
      <c r="B1" s="154" t="s">
        <v>102</v>
      </c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54"/>
    </row>
    <row r="2" spans="2:23" ht="14.25" thickBot="1"/>
    <row r="3" spans="2:23" ht="21.75" customHeight="1" thickBot="1">
      <c r="B3" s="17" t="s">
        <v>103</v>
      </c>
      <c r="C3" s="18">
        <v>2013</v>
      </c>
      <c r="H3" s="19" t="s">
        <v>104</v>
      </c>
      <c r="I3" s="20" t="s">
        <v>150</v>
      </c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</row>
    <row r="4" spans="2:23" ht="20.25" customHeight="1">
      <c r="B4" s="21"/>
      <c r="H4" s="19" t="s">
        <v>105</v>
      </c>
      <c r="I4" s="22" t="s">
        <v>106</v>
      </c>
    </row>
    <row r="5" spans="2:23" ht="27" customHeight="1">
      <c r="B5" s="23" t="s">
        <v>107</v>
      </c>
      <c r="I5" s="15" t="s">
        <v>165</v>
      </c>
    </row>
    <row r="6" spans="2:23" ht="9.75" customHeight="1">
      <c r="B6" s="24"/>
    </row>
    <row r="7" spans="2:23" hidden="1">
      <c r="B7" s="24"/>
      <c r="C7" s="25">
        <v>1</v>
      </c>
    </row>
    <row r="8" spans="2:23" ht="5.25" customHeight="1">
      <c r="B8" s="24"/>
    </row>
    <row r="9" spans="2:23" ht="15" customHeight="1">
      <c r="B9" s="24"/>
    </row>
    <row r="10" spans="2:23" ht="29.25" customHeight="1">
      <c r="B10" s="23" t="s">
        <v>108</v>
      </c>
    </row>
    <row r="11" spans="2:23" ht="15" hidden="1" customHeight="1">
      <c r="B11" s="24"/>
      <c r="C11" s="25">
        <v>2</v>
      </c>
    </row>
    <row r="12" spans="2:23" ht="15" customHeight="1" thickBot="1">
      <c r="B12" s="24"/>
    </row>
    <row r="13" spans="2:23" ht="15.75" thickBot="1">
      <c r="B13" s="23" t="s">
        <v>109</v>
      </c>
      <c r="C13" s="26">
        <v>151.66999999999999</v>
      </c>
      <c r="G13" s="27"/>
    </row>
    <row r="14" spans="2:23" ht="14.25" thickBot="1">
      <c r="B14" s="24"/>
    </row>
    <row r="15" spans="2:23" ht="14.25" thickBot="1">
      <c r="B15" s="23" t="s">
        <v>110</v>
      </c>
      <c r="C15" s="28">
        <f>IF(C7=1,0.281,0.26)</f>
        <v>0.28100000000000003</v>
      </c>
      <c r="G15" s="27"/>
    </row>
    <row r="16" spans="2:23" s="29" customFormat="1" ht="15" customHeight="1">
      <c r="B16" s="24"/>
      <c r="S16" s="30"/>
    </row>
    <row r="17" spans="2:23" s="29" customFormat="1" ht="15" customHeight="1" thickBot="1">
      <c r="B17" s="23" t="s">
        <v>111</v>
      </c>
      <c r="S17" s="30"/>
      <c r="U17" s="31"/>
    </row>
    <row r="18" spans="2:23" s="29" customFormat="1" ht="15" customHeight="1" thickBot="1">
      <c r="B18" s="32" t="s">
        <v>112</v>
      </c>
      <c r="C18" s="26">
        <v>35</v>
      </c>
      <c r="D18" s="33" t="s">
        <v>113</v>
      </c>
      <c r="E18" s="16" t="str">
        <f>IF(AND(C19&lt;&gt;"",OR(C18="",C18=0)),"&lt;&lt;&lt;&lt;&lt; info à compléter","")</f>
        <v/>
      </c>
      <c r="S18" s="30"/>
      <c r="U18" s="31"/>
    </row>
    <row r="19" spans="2:23" s="29" customFormat="1" ht="15" customHeight="1" thickBot="1">
      <c r="B19" s="32" t="s">
        <v>114</v>
      </c>
      <c r="C19" s="26">
        <v>35</v>
      </c>
      <c r="D19" s="33" t="s">
        <v>115</v>
      </c>
      <c r="E19" s="16" t="str">
        <f>IF(AND(C18&lt;&gt;"",OR(C19="",C19=0)),"&lt;&lt;&lt;&lt;&lt; info à compléter","")</f>
        <v/>
      </c>
      <c r="S19" s="30"/>
      <c r="U19" s="31"/>
    </row>
    <row r="20" spans="2:23" s="29" customFormat="1" ht="15" customHeight="1">
      <c r="B20" s="34"/>
      <c r="S20" s="30"/>
      <c r="U20" s="31"/>
    </row>
    <row r="21" spans="2:23" s="29" customFormat="1" ht="14.25" customHeight="1" thickBot="1">
      <c r="B21" s="34"/>
      <c r="C21" s="34"/>
      <c r="D21" s="34"/>
      <c r="E21" s="35" t="s">
        <v>116</v>
      </c>
      <c r="F21" s="34"/>
      <c r="G21" s="155" t="s">
        <v>117</v>
      </c>
      <c r="H21" s="156"/>
      <c r="I21" s="36"/>
      <c r="U21" s="31"/>
      <c r="V21" s="157" t="s">
        <v>118</v>
      </c>
      <c r="W21" s="158"/>
    </row>
    <row r="22" spans="2:23" s="29" customFormat="1" ht="27" customHeight="1" thickBot="1">
      <c r="C22" s="37" t="s">
        <v>119</v>
      </c>
      <c r="D22" s="38" t="s">
        <v>120</v>
      </c>
      <c r="E22" s="39" t="s">
        <v>121</v>
      </c>
      <c r="F22" s="40" t="s">
        <v>122</v>
      </c>
      <c r="G22" s="41" t="s">
        <v>123</v>
      </c>
      <c r="H22" s="39" t="s">
        <v>124</v>
      </c>
      <c r="I22" s="36"/>
      <c r="J22" s="30" t="s">
        <v>125</v>
      </c>
      <c r="K22" s="30" t="s">
        <v>126</v>
      </c>
      <c r="L22" s="30" t="s">
        <v>127</v>
      </c>
      <c r="M22" s="30" t="s">
        <v>128</v>
      </c>
      <c r="N22" s="30" t="s">
        <v>129</v>
      </c>
      <c r="O22" s="30" t="s">
        <v>130</v>
      </c>
      <c r="P22" s="30" t="s">
        <v>131</v>
      </c>
      <c r="Q22" s="30" t="s">
        <v>132</v>
      </c>
      <c r="R22" s="30" t="s">
        <v>133</v>
      </c>
      <c r="S22" s="159" t="s">
        <v>134</v>
      </c>
      <c r="T22" s="159"/>
      <c r="U22" s="42" t="s">
        <v>135</v>
      </c>
      <c r="V22" s="43" t="s">
        <v>136</v>
      </c>
      <c r="W22" s="44" t="s">
        <v>137</v>
      </c>
    </row>
    <row r="23" spans="2:23" ht="15">
      <c r="B23" s="45" t="s">
        <v>36</v>
      </c>
      <c r="C23" s="46">
        <f>SMIC!B4</f>
        <v>9.5299999999999994</v>
      </c>
      <c r="D23" s="12">
        <v>5001</v>
      </c>
      <c r="E23" s="47"/>
      <c r="F23" s="48"/>
      <c r="G23" s="49">
        <f>IF(AND($C$18&lt;&gt;0,$C$18&lt;&gt;""),$C$18,"")</f>
        <v>35</v>
      </c>
      <c r="H23" s="49">
        <f>IF(AND($C$19&lt;&gt;0,$C$19&lt;&gt;""),$C$19,"")</f>
        <v>35</v>
      </c>
      <c r="I23" s="45" t="s">
        <v>36</v>
      </c>
      <c r="J23" s="50">
        <f>IF(Salaire_brut_janvier="",0,(Horaire_collectif_mensuel*C23*IF(G23&lt;&gt;"",G23,Salaire_brut_janvier)/IF(H23&lt;&gt;"",H23,IF(E23&lt;&gt;"",E23,Salaire_brut_janvier))))</f>
        <v>1445.4150999999997</v>
      </c>
      <c r="K23" s="50">
        <f t="shared" ref="K23:K34" si="0">D23</f>
        <v>5001</v>
      </c>
      <c r="L23" s="50">
        <f>J23</f>
        <v>1445.4150999999997</v>
      </c>
      <c r="M23" s="50">
        <f>C23*F23</f>
        <v>0</v>
      </c>
      <c r="N23" s="50">
        <f>D23</f>
        <v>5001</v>
      </c>
      <c r="O23" s="51">
        <f t="shared" ref="O23:O34" si="1">IF(IF(ROUND(((Coeff.effectif/0.6)*((1.6*(L23+M23)/N23)-1)),4)&gt;0,ROUND(((Coeff.effectif/0.6)*((1.6*(L23+M23)/N23)-1)),4),0)&gt;Coeff.effectif,Coeff.effectif,IF(ROUND(((Coeff.effectif/0.6)*((1.6*(L23+M23)/N23)-1)),4)&gt;0,ROUND(((Coeff.effectif/0.6)*((1.6*(L23+M23)/N23)-1)),4),0))</f>
        <v>0</v>
      </c>
      <c r="P23" s="51">
        <f>IF(IF(ROUND(((Coeff.effectif/0.6)*((1.6*(J23+(C23*F23))/Salaire_brut_janvier)-1)),4)&gt;0,ROUND(((Coeff.effectif/0.6)*((1.6*(J23+(C23*F23))/Salaire_brut_janvier)-1)),4),0)&gt;Coeff.effectif,Coeff.effectif,IF(ROUND(((Coeff.effectif/0.6)*((1.6*(J23+(C23*F23))/Salaire_brut_janvier)-1)),4)&gt;0,ROUND(((Coeff.effectif/0.6)*((1.6*(J23+(C23*F23))/Salaire_brut_janvier)-1)),4),0))</f>
        <v>0</v>
      </c>
      <c r="Q23" s="50">
        <f>IF(ISERR(N23*O23),0,N23*O23)</f>
        <v>0</v>
      </c>
      <c r="R23" s="50">
        <f>IF(ISERR(Salaire_brut_janvier*O23),0,Salaire_brut_janvier*O23)</f>
        <v>0</v>
      </c>
      <c r="S23" s="50">
        <f>IF(ISERR(P23),0,Salaire_brut_janvier*P23)</f>
        <v>0</v>
      </c>
      <c r="T23" s="50"/>
      <c r="U23" s="52">
        <f>S23</f>
        <v>0</v>
      </c>
      <c r="V23" s="53" t="str">
        <f t="shared" ref="V23:V34" si="2">IF(Mode_calcul=1,IF(R23&gt;0,R23,""),IF(U23&gt;0,U23,""))</f>
        <v/>
      </c>
      <c r="W23" s="54" t="str">
        <f t="shared" ref="W23:W33" si="3">IF(Mode_calcul=1,IF(R23&lt;0,-R23,""),IF(U23&lt;0,-U23,""))</f>
        <v/>
      </c>
    </row>
    <row r="24" spans="2:23" ht="15">
      <c r="B24" s="45" t="s">
        <v>37</v>
      </c>
      <c r="C24" s="46">
        <f>SMIC!B5</f>
        <v>9.5299999999999994</v>
      </c>
      <c r="D24" s="12">
        <v>5002</v>
      </c>
      <c r="E24" s="47"/>
      <c r="F24" s="48"/>
      <c r="G24" s="55">
        <f t="shared" ref="G24:G34" si="4">IF(AND($C$18&lt;&gt;0,$C$18&lt;&gt;""),$C$18,"")</f>
        <v>35</v>
      </c>
      <c r="H24" s="55">
        <f t="shared" ref="H24:H34" si="5">IF(AND($C$19&lt;&gt;0,$C$19&lt;&gt;""),$C$19,"")</f>
        <v>35</v>
      </c>
      <c r="I24" s="45" t="s">
        <v>37</v>
      </c>
      <c r="J24" s="50">
        <f>IF(Salaire_brut_février="",0,Horaire_collectif_mensuel*C24*IF(G24&lt;&gt;"",G24,Salaire_brut_février)/IF(H24&lt;&gt;"",H24,IF(E24&lt;&gt;"",E24,Salaire_brut_février)))</f>
        <v>1445.4150999999997</v>
      </c>
      <c r="K24" s="50">
        <f t="shared" si="0"/>
        <v>5002</v>
      </c>
      <c r="L24" s="50">
        <f>L23+J24</f>
        <v>2890.8301999999994</v>
      </c>
      <c r="M24" s="50">
        <f t="shared" ref="M24:M34" si="6">M23+C24*F24</f>
        <v>0</v>
      </c>
      <c r="N24" s="50">
        <f>Salaire_brut_janvier+Salaire_brut_février</f>
        <v>10003</v>
      </c>
      <c r="O24" s="51">
        <f t="shared" si="1"/>
        <v>0</v>
      </c>
      <c r="P24" s="51">
        <f>IF(IF(ROUND(((Coeff.effectif/0.6)*((1.6*(J24+(C24*F24))/Salaire_brut_février)-1)),4)&gt;0,ROUND(((Coeff.effectif/0.6)*((1.6*(J24+(C24*F24))/Salaire_brut_février)-1)),4),0)&gt;Coeff.effectif,Coeff.effectif,IF(ROUND(((Coeff.effectif/0.6)*((1.6*(J24+(C24*F24))/Salaire_brut_février)-1)),4)&gt;0,ROUND(((Coeff.effectif/0.6)*((1.6*(J24+(C24*F24))/Salaire_brut_février)-1)),4),0))</f>
        <v>0</v>
      </c>
      <c r="Q24" s="50">
        <f t="shared" ref="Q24:Q33" si="7">IF(ISERR(N24*O24),0,N24*O24)</f>
        <v>0</v>
      </c>
      <c r="R24" s="50">
        <f>Q24-SUM(R23)</f>
        <v>0</v>
      </c>
      <c r="S24" s="50">
        <f>IF(ISERR(P24),0,Salaire_brut_février*P24)</f>
        <v>0</v>
      </c>
      <c r="T24" s="50"/>
      <c r="U24" s="50">
        <f t="shared" ref="U24:U33" si="8">S24</f>
        <v>0</v>
      </c>
      <c r="V24" s="53" t="str">
        <f t="shared" si="2"/>
        <v/>
      </c>
      <c r="W24" s="56" t="str">
        <f t="shared" si="3"/>
        <v/>
      </c>
    </row>
    <row r="25" spans="2:23" ht="15">
      <c r="B25" s="45" t="s">
        <v>38</v>
      </c>
      <c r="C25" s="46">
        <f>SMIC!B6</f>
        <v>9.5299999999999994</v>
      </c>
      <c r="D25" s="12">
        <v>5003</v>
      </c>
      <c r="E25" s="47"/>
      <c r="F25" s="48"/>
      <c r="G25" s="55">
        <f t="shared" si="4"/>
        <v>35</v>
      </c>
      <c r="H25" s="55">
        <f t="shared" si="5"/>
        <v>35</v>
      </c>
      <c r="I25" s="45" t="s">
        <v>38</v>
      </c>
      <c r="J25" s="50">
        <f>IF(Salaire_brut_mars="",0,Horaire_collectif_mensuel*C25*IF(G25&lt;&gt;"",G25,Salaire_brut_mars)/IF(H25&lt;&gt;"",H25,IF(E25&lt;&gt;"",E25,Salaire_brut_mars)))</f>
        <v>1445.4150999999997</v>
      </c>
      <c r="K25" s="50">
        <f t="shared" si="0"/>
        <v>5003</v>
      </c>
      <c r="L25" s="50">
        <f t="shared" ref="L25:L34" si="9">L24+J25</f>
        <v>4336.2452999999987</v>
      </c>
      <c r="M25" s="50">
        <f t="shared" si="6"/>
        <v>0</v>
      </c>
      <c r="N25" s="50">
        <f>Salaire_brut_janvier+Salaire_brut_février+Salaire_brut_mars</f>
        <v>15006</v>
      </c>
      <c r="O25" s="51">
        <f t="shared" si="1"/>
        <v>0</v>
      </c>
      <c r="P25" s="51">
        <f>IF(IF(ROUND(((Coeff.effectif/0.6)*((1.6*(J25+(C25*F25))/Salaire_brut_mars)-1)),4)&gt;0,ROUND(((Coeff.effectif/0.6)*((1.6*(J25+(C25*F25))/Salaire_brut_mars)-1)),4),0)&gt;Coeff.effectif,Coeff.effectif,IF(ROUND(((Coeff.effectif/0.6)*((1.6*(J25+(C25*F25))/Salaire_brut_mars)-1)),4)&gt;0,ROUND(((Coeff.effectif/0.6)*((1.6*(J25+(C25*F25))/Salaire_brut_mars)-1)),4),0))</f>
        <v>0</v>
      </c>
      <c r="Q25" s="50">
        <f t="shared" si="7"/>
        <v>0</v>
      </c>
      <c r="R25" s="50">
        <f>Q25-SUM(R23:R24)</f>
        <v>0</v>
      </c>
      <c r="S25" s="50">
        <f>IF(ISERR(P25),0,Salaire_brut_mars*P25)</f>
        <v>0</v>
      </c>
      <c r="T25" s="50"/>
      <c r="U25" s="50">
        <f t="shared" si="8"/>
        <v>0</v>
      </c>
      <c r="V25" s="53" t="str">
        <f t="shared" si="2"/>
        <v/>
      </c>
      <c r="W25" s="56" t="str">
        <f t="shared" si="3"/>
        <v/>
      </c>
    </row>
    <row r="26" spans="2:23" ht="15">
      <c r="B26" s="45" t="s">
        <v>39</v>
      </c>
      <c r="C26" s="46">
        <f>SMIC!B7</f>
        <v>9.5299999999999994</v>
      </c>
      <c r="D26" s="12">
        <v>5004</v>
      </c>
      <c r="E26" s="47"/>
      <c r="F26" s="48"/>
      <c r="G26" s="55">
        <f t="shared" si="4"/>
        <v>35</v>
      </c>
      <c r="H26" s="55">
        <f t="shared" si="5"/>
        <v>35</v>
      </c>
      <c r="I26" s="45" t="s">
        <v>39</v>
      </c>
      <c r="J26" s="50">
        <f>IF(Salaire_brut_avril="",0,Horaire_collectif_mensuel*C26*IF(G26&lt;&gt;"",G26,Salaire_brut_avril)/IF(H26&lt;&gt;"",H26,IF(E26&lt;&gt;"",E26,Salaire_brut_avril)))</f>
        <v>1445.4150999999997</v>
      </c>
      <c r="K26" s="50">
        <f t="shared" si="0"/>
        <v>5004</v>
      </c>
      <c r="L26" s="50">
        <f t="shared" si="9"/>
        <v>5781.6603999999988</v>
      </c>
      <c r="M26" s="50">
        <f t="shared" si="6"/>
        <v>0</v>
      </c>
      <c r="N26" s="50">
        <f>Salaire_brut_janvier+Salaire_brut_février+Salaire_brut_mars+Salaire_brut_avril</f>
        <v>20010</v>
      </c>
      <c r="O26" s="51">
        <f t="shared" si="1"/>
        <v>0</v>
      </c>
      <c r="P26" s="51">
        <f>IF(IF(ROUND(((Coeff.effectif/0.6)*((1.6*(J26+(C26*F26))/Salaire_brut_avril)-1)),4)&gt;0,ROUND(((Coeff.effectif/0.6)*((1.6*(J26+(C26*F26))/Salaire_brut_avril)-1)),4),0)&gt;Coeff.effectif,Coeff.effectif,IF(ROUND(((Coeff.effectif/0.6)*((1.6*(J26+(C26*F26))/Salaire_brut_avril)-1)),4)&gt;0,ROUND(((Coeff.effectif/0.6)*((1.6*(J26+(C26*F26))/Salaire_brut_avril)-1)),4),0))</f>
        <v>0</v>
      </c>
      <c r="Q26" s="50">
        <f t="shared" si="7"/>
        <v>0</v>
      </c>
      <c r="R26" s="50">
        <f>Q26-SUM(R23:R25)</f>
        <v>0</v>
      </c>
      <c r="S26" s="50">
        <f>IF(ISERR(P26),0,Salaire_brut_avril*P26)</f>
        <v>0</v>
      </c>
      <c r="T26" s="50"/>
      <c r="U26" s="50">
        <f t="shared" si="8"/>
        <v>0</v>
      </c>
      <c r="V26" s="53" t="str">
        <f t="shared" si="2"/>
        <v/>
      </c>
      <c r="W26" s="56" t="str">
        <f t="shared" si="3"/>
        <v/>
      </c>
    </row>
    <row r="27" spans="2:23" ht="15">
      <c r="B27" s="45" t="s">
        <v>40</v>
      </c>
      <c r="C27" s="46">
        <f>SMIC!B8</f>
        <v>9.5299999999999994</v>
      </c>
      <c r="D27" s="12">
        <v>5005</v>
      </c>
      <c r="E27" s="47"/>
      <c r="F27" s="48"/>
      <c r="G27" s="55">
        <f t="shared" si="4"/>
        <v>35</v>
      </c>
      <c r="H27" s="55">
        <f t="shared" si="5"/>
        <v>35</v>
      </c>
      <c r="I27" s="45" t="s">
        <v>40</v>
      </c>
      <c r="J27" s="50">
        <f>IF(Salaire_brut_mai="",0,Horaire_collectif_mensuel*C27*IF(G27&lt;&gt;"",G27,Salaire_brut_mai)/IF(H27&lt;&gt;"",H27,IF(E27&lt;&gt;"",E27,Salaire_brut_mai)))</f>
        <v>1445.4150999999997</v>
      </c>
      <c r="K27" s="50">
        <f t="shared" si="0"/>
        <v>5005</v>
      </c>
      <c r="L27" s="50">
        <f t="shared" si="9"/>
        <v>7227.075499999999</v>
      </c>
      <c r="M27" s="50">
        <f t="shared" si="6"/>
        <v>0</v>
      </c>
      <c r="N27" s="50">
        <f>Salaire_brut_janvier+Salaire_brut_février+Salaire_brut_mars+Salaire_brut_avril+Salaire_brut_mai</f>
        <v>25015</v>
      </c>
      <c r="O27" s="51">
        <f t="shared" si="1"/>
        <v>0</v>
      </c>
      <c r="P27" s="51">
        <f>IF(IF(ROUND(((Coeff.effectif/0.6)*((1.6*(J27+(C27*F27))/Salaire_brut_mai)-1)),4)&gt;0,ROUND(((Coeff.effectif/0.6)*((1.6*(J27+(C27*F27))/Salaire_brut_mai)-1)),4),0)&gt;Coeff.effectif,Coeff.effectif,IF(ROUND(((Coeff.effectif/0.6)*((1.6*(J27+(C27*F27))/Salaire_brut_mai)-1)),4)&gt;0,ROUND(((Coeff.effectif/0.6)*((1.6*(J27+(C27*F27))/Salaire_brut_mai)-1)),4),0))</f>
        <v>0</v>
      </c>
      <c r="Q27" s="50">
        <f t="shared" si="7"/>
        <v>0</v>
      </c>
      <c r="R27" s="50">
        <f>Q27-SUM(R23:R26)</f>
        <v>0</v>
      </c>
      <c r="S27" s="50">
        <f>IF(ISERR(P27),0,Salaire_brut_mai*P27)</f>
        <v>0</v>
      </c>
      <c r="T27" s="50"/>
      <c r="U27" s="50">
        <f t="shared" si="8"/>
        <v>0</v>
      </c>
      <c r="V27" s="53" t="str">
        <f t="shared" si="2"/>
        <v/>
      </c>
      <c r="W27" s="56" t="str">
        <f t="shared" si="3"/>
        <v/>
      </c>
    </row>
    <row r="28" spans="2:23" ht="15">
      <c r="B28" s="45" t="s">
        <v>41</v>
      </c>
      <c r="C28" s="46">
        <f>SMIC!B9</f>
        <v>9.5299999999999994</v>
      </c>
      <c r="D28" s="12">
        <v>5006</v>
      </c>
      <c r="E28" s="47"/>
      <c r="F28" s="48"/>
      <c r="G28" s="55">
        <f t="shared" si="4"/>
        <v>35</v>
      </c>
      <c r="H28" s="55">
        <f t="shared" si="5"/>
        <v>35</v>
      </c>
      <c r="I28" s="45" t="s">
        <v>41</v>
      </c>
      <c r="J28" s="50">
        <f>IF(Salaire_brut_juin="",0,Horaire_collectif_mensuel*C28*IF(G28&lt;&gt;"",G28,Salaire_brut_juin)/IF(H28&lt;&gt;"",H28,IF(E28&lt;&gt;"",E28,Salaire_brut_juin)))</f>
        <v>1445.4150999999997</v>
      </c>
      <c r="K28" s="50">
        <f t="shared" si="0"/>
        <v>5006</v>
      </c>
      <c r="L28" s="50">
        <f t="shared" si="9"/>
        <v>8672.4905999999992</v>
      </c>
      <c r="M28" s="50">
        <f t="shared" si="6"/>
        <v>0</v>
      </c>
      <c r="N28" s="50">
        <f>Salaire_brut_janvier+Salaire_brut_février+Salaire_brut_mars+Salaire_brut_avril+Salaire_brut_mai+Salaire_brut_juin</f>
        <v>30021</v>
      </c>
      <c r="O28" s="51">
        <f t="shared" si="1"/>
        <v>0</v>
      </c>
      <c r="P28" s="51">
        <f>IF(IF(ROUND(((Coeff.effectif/0.6)*((1.6*(J28+(C28*F28))/Salaire_brut_juin)-1)),4)&gt;0,ROUND(((Coeff.effectif/0.6)*((1.6*(J28+(C28*F28))/Salaire_brut_juin)-1)),4),0)&gt;Coeff.effectif,Coeff.effectif,IF(ROUND(((Coeff.effectif/0.6)*((1.6*(J28+(C28*F28))/Salaire_brut_juin)-1)),4)&gt;0,ROUND(((Coeff.effectif/0.6)*((1.6*(J28+(C28*F28))/Salaire_brut_juin)-1)),4),0))</f>
        <v>0</v>
      </c>
      <c r="Q28" s="50">
        <f t="shared" si="7"/>
        <v>0</v>
      </c>
      <c r="R28" s="50">
        <f>Q28-SUM(R23:R27)</f>
        <v>0</v>
      </c>
      <c r="S28" s="50">
        <f>IF(ISERR(P28),0,Salaire_brut_juin*P28)</f>
        <v>0</v>
      </c>
      <c r="T28" s="50"/>
      <c r="U28" s="50">
        <f t="shared" si="8"/>
        <v>0</v>
      </c>
      <c r="V28" s="53" t="str">
        <f t="shared" si="2"/>
        <v/>
      </c>
      <c r="W28" s="56" t="str">
        <f t="shared" si="3"/>
        <v/>
      </c>
    </row>
    <row r="29" spans="2:23" ht="15">
      <c r="B29" s="45" t="s">
        <v>42</v>
      </c>
      <c r="C29" s="46">
        <f>SMIC!B10</f>
        <v>9.5299999999999994</v>
      </c>
      <c r="D29" s="12">
        <v>5007</v>
      </c>
      <c r="E29" s="47"/>
      <c r="F29" s="48"/>
      <c r="G29" s="55">
        <f t="shared" si="4"/>
        <v>35</v>
      </c>
      <c r="H29" s="55">
        <f t="shared" si="5"/>
        <v>35</v>
      </c>
      <c r="I29" s="45" t="s">
        <v>42</v>
      </c>
      <c r="J29" s="50">
        <f>IF(Salaire_brut_juillet="",0,Horaire_collectif_mensuel*C29*IF(G29&lt;&gt;"",G29,Salaire_brut_juillet)/IF(H29&lt;&gt;"",H29,IF(E29&lt;&gt;"",E29,Salaire_brut_juillet)))</f>
        <v>1445.4150999999997</v>
      </c>
      <c r="K29" s="50">
        <f t="shared" si="0"/>
        <v>5007</v>
      </c>
      <c r="L29" s="50">
        <f t="shared" si="9"/>
        <v>10117.905699999999</v>
      </c>
      <c r="M29" s="50">
        <f t="shared" si="6"/>
        <v>0</v>
      </c>
      <c r="N29" s="50">
        <f>Salaire_brut_janvier+Salaire_brut_février+Salaire_brut_mars+Salaire_brut_avril+Salaire_brut_mai+Salaire_brut_juin+Salaire_brut_juillet</f>
        <v>35028</v>
      </c>
      <c r="O29" s="51">
        <f t="shared" si="1"/>
        <v>0</v>
      </c>
      <c r="P29" s="51">
        <f>IF(IF(ROUND(((Coeff.effectif/0.6)*((1.6*(J29+(C29*F29))/Salaire_brut_juillet)-1)),4)&gt;0,ROUND(((Coeff.effectif/0.6)*((1.6*(J29+(C29*F29))/Salaire_brut_juillet)-1)),4),0)&gt;Coeff.effectif,Coeff.effectif,IF(ROUND(((Coeff.effectif/0.6)*((1.6*(J29+(C29*F29))/Salaire_brut_juillet)-1)),4)&gt;0,ROUND(((Coeff.effectif/0.6)*((1.6*(J29+(C29*F29))/Salaire_brut_juillet)-1)),4),0))</f>
        <v>0</v>
      </c>
      <c r="Q29" s="50">
        <f t="shared" si="7"/>
        <v>0</v>
      </c>
      <c r="R29" s="50">
        <f>Q29-SUM(R23:R28)</f>
        <v>0</v>
      </c>
      <c r="S29" s="50">
        <f>IF(ISERR(P29),0,Salaire_brut_juillet*P29)</f>
        <v>0</v>
      </c>
      <c r="T29" s="50"/>
      <c r="U29" s="50">
        <f t="shared" si="8"/>
        <v>0</v>
      </c>
      <c r="V29" s="53" t="str">
        <f t="shared" si="2"/>
        <v/>
      </c>
      <c r="W29" s="56" t="str">
        <f t="shared" si="3"/>
        <v/>
      </c>
    </row>
    <row r="30" spans="2:23" ht="15">
      <c r="B30" s="45" t="s">
        <v>43</v>
      </c>
      <c r="C30" s="46">
        <f>SMIC!B11</f>
        <v>9.5299999999999994</v>
      </c>
      <c r="D30" s="12">
        <v>5008</v>
      </c>
      <c r="E30" s="47"/>
      <c r="F30" s="48"/>
      <c r="G30" s="55">
        <f t="shared" si="4"/>
        <v>35</v>
      </c>
      <c r="H30" s="55">
        <f t="shared" si="5"/>
        <v>35</v>
      </c>
      <c r="I30" s="45" t="s">
        <v>43</v>
      </c>
      <c r="J30" s="50">
        <f>IF(Salaire_brut_août="",0,Horaire_collectif_mensuel*C30*IF(G30&lt;&gt;"",G30,Salaire_brut_août)/IF(H30&lt;&gt;"",H30,IF(E30&lt;&gt;"",E30,Salaire_brut_août)))</f>
        <v>1445.4150999999997</v>
      </c>
      <c r="K30" s="50">
        <f t="shared" si="0"/>
        <v>5008</v>
      </c>
      <c r="L30" s="50">
        <f t="shared" si="9"/>
        <v>11563.3208</v>
      </c>
      <c r="M30" s="50">
        <f t="shared" si="6"/>
        <v>0</v>
      </c>
      <c r="N30" s="50">
        <f>Salaire_brut_janvier+Salaire_brut_février+Salaire_brut_mars+Salaire_brut_avril+Salaire_brut_mai+Salaire_brut_juin+Salaire_brut_juillet+Salaire_brut_août</f>
        <v>40036</v>
      </c>
      <c r="O30" s="51">
        <f t="shared" si="1"/>
        <v>0</v>
      </c>
      <c r="P30" s="51">
        <f>IF(IF(ROUND(((Coeff.effectif/0.6)*((1.6*(J30+(C30*F30))/Salaire_brut_août)-1)),4)&gt;0,ROUND(((Coeff.effectif/0.6)*((1.6*(J30+(C30*F30))/Salaire_brut_août)-1)),4),0)&gt;Coeff.effectif,Coeff.effectif,IF(ROUND(((Coeff.effectif/0.6)*((1.6*(J30+(C30*F30))/Salaire_brut_août)-1)),4)&gt;0,ROUND(((Coeff.effectif/0.6)*((1.6*(J30+(C30*F30))/Salaire_brut_août)-1)),4),0))</f>
        <v>0</v>
      </c>
      <c r="Q30" s="50">
        <f t="shared" si="7"/>
        <v>0</v>
      </c>
      <c r="R30" s="50">
        <f>Q30-SUM(R23:R29)</f>
        <v>0</v>
      </c>
      <c r="S30" s="50">
        <f>IF(ISERR(P30),0,Salaire_brut_août*P30)</f>
        <v>0</v>
      </c>
      <c r="T30" s="50"/>
      <c r="U30" s="50">
        <f t="shared" si="8"/>
        <v>0</v>
      </c>
      <c r="V30" s="53" t="str">
        <f t="shared" si="2"/>
        <v/>
      </c>
      <c r="W30" s="56" t="str">
        <f t="shared" si="3"/>
        <v/>
      </c>
    </row>
    <row r="31" spans="2:23" ht="15">
      <c r="B31" s="45" t="s">
        <v>44</v>
      </c>
      <c r="C31" s="46">
        <f>SMIC!B12</f>
        <v>9.5299999999999994</v>
      </c>
      <c r="D31" s="12">
        <v>5009</v>
      </c>
      <c r="E31" s="47"/>
      <c r="F31" s="48"/>
      <c r="G31" s="55">
        <f t="shared" si="4"/>
        <v>35</v>
      </c>
      <c r="H31" s="55">
        <f t="shared" si="5"/>
        <v>35</v>
      </c>
      <c r="I31" s="45" t="s">
        <v>44</v>
      </c>
      <c r="J31" s="50">
        <f>IF(Salaire_brut_septembre="",0,Horaire_collectif_mensuel*C31*IF(G31&lt;&gt;"",G31,Salaire_brut_septembre)/IF(H31&lt;&gt;"",H31,IF(E31&lt;&gt;"",E31,Salaire_brut_septembre)))</f>
        <v>1445.4150999999997</v>
      </c>
      <c r="K31" s="50">
        <f t="shared" si="0"/>
        <v>5009</v>
      </c>
      <c r="L31" s="50">
        <f t="shared" si="9"/>
        <v>13008.7359</v>
      </c>
      <c r="M31" s="50">
        <f t="shared" si="6"/>
        <v>0</v>
      </c>
      <c r="N31" s="50">
        <f>Salaire_brut_janvier+Salaire_brut_février+Salaire_brut_mars+Salaire_brut_avril+Salaire_brut_mai+Salaire_brut_juin+Salaire_brut_juillet+Salaire_brut_août+Salaire_brut_septembre</f>
        <v>45045</v>
      </c>
      <c r="O31" s="51">
        <f t="shared" si="1"/>
        <v>0</v>
      </c>
      <c r="P31" s="51">
        <f>IF(IF(ROUND(((Coeff.effectif/0.6)*((1.6*(J31+(C31*F31))/Salaire_brut_septembre)-1)),4)&gt;0,ROUND(((Coeff.effectif/0.6)*((1.6*(J31+(C31*F31))/Salaire_brut_septembre)-1)),4),0)&gt;Coeff.effectif,Coeff.effectif,IF(ROUND(((Coeff.effectif/0.6)*((1.6*(J31+(C31*F31))/Salaire_brut_septembre)-1)),4)&gt;0,ROUND(((Coeff.effectif/0.6)*((1.6*(J31+(C31*F31))/Salaire_brut_septembre)-1)),4),0))</f>
        <v>0</v>
      </c>
      <c r="Q31" s="50">
        <f t="shared" si="7"/>
        <v>0</v>
      </c>
      <c r="R31" s="50">
        <f>Q31-SUM(R23:R30)</f>
        <v>0</v>
      </c>
      <c r="S31" s="50">
        <f>IF(ISERR(P31),0,Salaire_brut_septembre*P31)</f>
        <v>0</v>
      </c>
      <c r="T31" s="50"/>
      <c r="U31" s="50">
        <f t="shared" si="8"/>
        <v>0</v>
      </c>
      <c r="V31" s="53" t="str">
        <f t="shared" si="2"/>
        <v/>
      </c>
      <c r="W31" s="56" t="str">
        <f t="shared" si="3"/>
        <v/>
      </c>
    </row>
    <row r="32" spans="2:23" ht="15">
      <c r="B32" s="45" t="s">
        <v>45</v>
      </c>
      <c r="C32" s="46">
        <f>SMIC!B13</f>
        <v>9.5299999999999994</v>
      </c>
      <c r="D32" s="12">
        <v>5010</v>
      </c>
      <c r="E32" s="47"/>
      <c r="F32" s="48"/>
      <c r="G32" s="55">
        <f t="shared" si="4"/>
        <v>35</v>
      </c>
      <c r="H32" s="55">
        <f t="shared" si="5"/>
        <v>35</v>
      </c>
      <c r="I32" s="45" t="s">
        <v>45</v>
      </c>
      <c r="J32" s="50">
        <f>IF(Salaire_brut_octobre="",0,Horaire_collectif_mensuel*C32*IF(G32&lt;&gt;"",G32,Salaire_brut_octobre)/IF(H32&lt;&gt;"",H32,IF(E32&lt;&gt;"",E32,Salaire_brut_octobre)))</f>
        <v>1445.4150999999997</v>
      </c>
      <c r="K32" s="50">
        <f t="shared" si="0"/>
        <v>5010</v>
      </c>
      <c r="L32" s="50">
        <f t="shared" si="9"/>
        <v>14454.151</v>
      </c>
      <c r="M32" s="50">
        <f t="shared" si="6"/>
        <v>0</v>
      </c>
      <c r="N32" s="50">
        <f>Salaire_brut_janvier+Salaire_brut_février+Salaire_brut_mars+Salaire_brut_avril+Salaire_brut_mai+Salaire_brut_juin+Salaire_brut_juillet+Salaire_brut_août+Salaire_brut_septembre+Salaire_brut_octobre</f>
        <v>50055</v>
      </c>
      <c r="O32" s="51">
        <f t="shared" si="1"/>
        <v>0</v>
      </c>
      <c r="P32" s="51">
        <f>IF(IF(ROUND(((Coeff.effectif/0.6)*((1.6*(J32+(C32*F32))/Salaire_brut_octobre)-1)),4)&gt;0,ROUND(((Coeff.effectif/0.6)*((1.6*(J32+(C32*F32))/Salaire_brut_octobre)-1)),4),0)&gt;Coeff.effectif,Coeff.effectif,IF(ROUND(((Coeff.effectif/0.6)*((1.6*(J32+(C32*F32))/Salaire_brut_octobre)-1)),4)&gt;0,ROUND(((Coeff.effectif/0.6)*((1.6*(J32+(C32*F32))/Salaire_brut_octobre)-1)),4),0))</f>
        <v>0</v>
      </c>
      <c r="Q32" s="50">
        <f t="shared" si="7"/>
        <v>0</v>
      </c>
      <c r="R32" s="50">
        <f>Q32-SUM(R23:R31)</f>
        <v>0</v>
      </c>
      <c r="S32" s="50">
        <f>IF(ISERR(P32),0,Salaire_brut_octobre*P32)</f>
        <v>0</v>
      </c>
      <c r="T32" s="50"/>
      <c r="U32" s="50">
        <f t="shared" si="8"/>
        <v>0</v>
      </c>
      <c r="V32" s="53" t="str">
        <f t="shared" si="2"/>
        <v/>
      </c>
      <c r="W32" s="56" t="str">
        <f t="shared" si="3"/>
        <v/>
      </c>
    </row>
    <row r="33" spans="2:31" ht="15">
      <c r="B33" s="45" t="s">
        <v>46</v>
      </c>
      <c r="C33" s="46">
        <f>SMIC!B14</f>
        <v>9.5299999999999994</v>
      </c>
      <c r="D33" s="12">
        <v>5011</v>
      </c>
      <c r="E33" s="47"/>
      <c r="F33" s="48"/>
      <c r="G33" s="55">
        <f t="shared" si="4"/>
        <v>35</v>
      </c>
      <c r="H33" s="55">
        <f t="shared" si="5"/>
        <v>35</v>
      </c>
      <c r="I33" s="45" t="s">
        <v>46</v>
      </c>
      <c r="J33" s="50">
        <f>IF(Salaire_brut_novembre="",0,Horaire_collectif_mensuel*C33*IF(G33&lt;&gt;"",G33,Salaire_brut_novembre)/IF(H33&lt;&gt;"",H33,IF(E33&lt;&gt;"",E33,Salaire_brut_novembre)))</f>
        <v>1445.4150999999997</v>
      </c>
      <c r="K33" s="50">
        <f t="shared" si="0"/>
        <v>5011</v>
      </c>
      <c r="L33" s="50">
        <f t="shared" si="9"/>
        <v>15899.5661</v>
      </c>
      <c r="M33" s="50">
        <f t="shared" si="6"/>
        <v>0</v>
      </c>
      <c r="N33" s="50">
        <f>Salaire_brut_janvier+Salaire_brut_février+Salaire_brut_mars+Salaire_brut_avril+Salaire_brut_mai+Salaire_brut_juin+Salaire_brut_juillet+Salaire_brut_août+Salaire_brut_septembre+Salaire_brut_octobre+Salaire_brut_novembre</f>
        <v>55066</v>
      </c>
      <c r="O33" s="51">
        <f t="shared" si="1"/>
        <v>0</v>
      </c>
      <c r="P33" s="51">
        <f>IF(IF(ROUND(((Coeff.effectif/0.6)*((1.6*(J33+(C33*F33))/Salaire_brut_novembre)-1)),4)&gt;0,ROUND(((Coeff.effectif/0.6)*((1.6*(J33+(C33*F33))/Salaire_brut_novembre)-1)),4),0)&gt;Coeff.effectif,Coeff.effectif,IF(ROUND(((Coeff.effectif/0.6)*((1.6*(J33+(C33*F33))/Salaire_brut_novembre)-1)),4)&gt;0,ROUND(((Coeff.effectif/0.6)*((1.6*(J33+(C33*F33))/Salaire_brut_novembre)-1)),4),0))</f>
        <v>0</v>
      </c>
      <c r="Q33" s="50">
        <f t="shared" si="7"/>
        <v>0</v>
      </c>
      <c r="R33" s="50">
        <f>Q33-SUM(R23:R32)</f>
        <v>0</v>
      </c>
      <c r="S33" s="50">
        <f>IF(ISERR(P33),0,Salaire_brut_novembre*P33)</f>
        <v>0</v>
      </c>
      <c r="U33" s="50">
        <f t="shared" si="8"/>
        <v>0</v>
      </c>
      <c r="V33" s="53" t="str">
        <f t="shared" si="2"/>
        <v/>
      </c>
      <c r="W33" s="56" t="str">
        <f t="shared" si="3"/>
        <v/>
      </c>
    </row>
    <row r="34" spans="2:31" ht="15.75" thickBot="1">
      <c r="B34" s="45" t="s">
        <v>47</v>
      </c>
      <c r="C34" s="57">
        <f>SMIC!B15</f>
        <v>9.5299999999999994</v>
      </c>
      <c r="D34" s="12">
        <v>5012</v>
      </c>
      <c r="E34" s="58"/>
      <c r="F34" s="59"/>
      <c r="G34" s="60">
        <f t="shared" si="4"/>
        <v>35</v>
      </c>
      <c r="H34" s="60">
        <f t="shared" si="5"/>
        <v>35</v>
      </c>
      <c r="I34" s="45" t="s">
        <v>47</v>
      </c>
      <c r="J34" s="50">
        <f>IF(Salaire_brut_décembre="",0,Horaire_collectif_mensuel*C34*IF(G34&lt;&gt;"",G34,Salaire_brut_décembre)/IF(H34&lt;&gt;"",H34,IF(E34&lt;&gt;"",E34,Salaire_brut_décembre)))</f>
        <v>1445.4150999999997</v>
      </c>
      <c r="K34" s="50">
        <f t="shared" si="0"/>
        <v>5012</v>
      </c>
      <c r="L34" s="50">
        <f t="shared" si="9"/>
        <v>17344.981199999998</v>
      </c>
      <c r="M34" s="50">
        <f t="shared" si="6"/>
        <v>0</v>
      </c>
      <c r="N34" s="50">
        <f>Salaire_brut_janvier+Salaire_brut_février+Salaire_brut_mars+Salaire_brut_avril+Salaire_brut_mai+Salaire_brut_juin+Salaire_brut_juillet+Salaire_brut_août+Salaire_brut_septembre+Salaire_brut_octobre+Salaire_brut_novembre+Salaire_brut_décembre</f>
        <v>60078</v>
      </c>
      <c r="O34" s="51">
        <f t="shared" si="1"/>
        <v>0</v>
      </c>
      <c r="P34" s="51">
        <f>IF(IF(ROUND(((Coeff.effectif/0.6)*((1.6*(J34+(C34*F34))/Salaire_brut_décembre)-1)),4)&gt;0,ROUND(((Coeff.effectif/0.6)*((1.6*(J34+(C34*F34))/Salaire_brut_décembre)-1)),4),0)&gt;Coeff.effectif,Coeff.effectif,IF(ROUND(((Coeff.effectif/0.6)*((1.6*(J34+(C34*F34))/Salaire_brut_décembre)-1)),4)&gt;0,ROUND(((Coeff.effectif/0.6)*((1.6*(J34+(C34*F34))/Salaire_brut_décembre)-1)),4),0))</f>
        <v>0</v>
      </c>
      <c r="Q34" s="50">
        <f>IF(Salaire_brut_décembre=0,0,N34*O34)</f>
        <v>0</v>
      </c>
      <c r="R34" s="50">
        <f>IF(Q34-SUM(R23:R33)&lt;0,"",Q34-SUM(R23:R33))</f>
        <v>0</v>
      </c>
      <c r="S34" s="50">
        <f>IF(ISERR(P34),0,Salaire_brut_décembre*P34)</f>
        <v>0</v>
      </c>
      <c r="T34" s="50">
        <f>IF(Salaire_brut_décembre="",0,IF(Q34-SUM(R23:R33)&gt;0,"",Q34-SUM(R23:R33)))</f>
        <v>0</v>
      </c>
      <c r="U34" s="50">
        <f>(SUM(R23:R33)+IF(R34&lt;&gt;"",R34,0)+IF(T34&lt;&gt;"",T34,0))-SUM(U23:U33)</f>
        <v>0</v>
      </c>
      <c r="V34" s="53" t="str">
        <f t="shared" si="2"/>
        <v/>
      </c>
      <c r="W34" s="61" t="str">
        <f>IF(Mode_calcul=1,IF(T34&lt;0,-T34,""),IF(U34&lt;0,-U34,""))</f>
        <v/>
      </c>
    </row>
    <row r="35" spans="2:31" ht="21" customHeight="1" thickBot="1">
      <c r="B35" s="62" t="s">
        <v>138</v>
      </c>
      <c r="C35" s="63"/>
      <c r="D35" s="64">
        <f>SUM(D23:D34)</f>
        <v>60078</v>
      </c>
      <c r="E35" s="65"/>
      <c r="F35" s="66"/>
      <c r="G35" s="63"/>
      <c r="H35" s="63"/>
      <c r="I35" s="62" t="s">
        <v>138</v>
      </c>
      <c r="Q35" s="50"/>
      <c r="R35" s="67"/>
      <c r="S35" s="50">
        <f>SUM(S23:S34)</f>
        <v>0</v>
      </c>
      <c r="V35" s="160">
        <f>SUM(V23:V33)+IF(V34="",0,V34)-SUM(W23:W33)-IF(W34="",0,W34)</f>
        <v>0</v>
      </c>
      <c r="W35" s="161"/>
    </row>
    <row r="36" spans="2:31" ht="21" customHeight="1" thickBot="1">
      <c r="C36" s="68"/>
      <c r="F36" s="27"/>
      <c r="Q36" s="50"/>
      <c r="R36" s="67"/>
      <c r="S36" s="50"/>
    </row>
    <row r="37" spans="2:31" ht="21" hidden="1" customHeight="1">
      <c r="C37" s="68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50"/>
      <c r="V37" s="159" t="s">
        <v>139</v>
      </c>
      <c r="W37" s="159"/>
      <c r="X37" s="159" t="s">
        <v>140</v>
      </c>
      <c r="Y37" s="159"/>
    </row>
    <row r="38" spans="2:31" ht="21" hidden="1" customHeight="1">
      <c r="C38" s="68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50"/>
      <c r="V38" s="16" t="s">
        <v>141</v>
      </c>
      <c r="W38" s="16" t="s">
        <v>142</v>
      </c>
      <c r="X38" s="16" t="s">
        <v>141</v>
      </c>
      <c r="Y38" s="16" t="s">
        <v>142</v>
      </c>
      <c r="AB38" s="16"/>
      <c r="AC38" s="16"/>
      <c r="AD38" s="50"/>
      <c r="AE38" s="19"/>
    </row>
    <row r="39" spans="2:31" ht="21" hidden="1" customHeight="1">
      <c r="C39" s="68"/>
      <c r="D39" s="69"/>
      <c r="E39" s="69"/>
      <c r="F39" s="69"/>
      <c r="H39" s="70"/>
      <c r="I39" s="70"/>
      <c r="J39" s="69"/>
      <c r="K39" s="69"/>
      <c r="L39" s="69"/>
      <c r="M39" s="69"/>
      <c r="N39" s="69"/>
      <c r="O39" s="69"/>
      <c r="P39" s="69"/>
      <c r="Q39" s="69"/>
      <c r="R39" s="69"/>
      <c r="S39" s="50"/>
      <c r="U39" s="71" t="s">
        <v>143</v>
      </c>
      <c r="V39" s="72">
        <f>IF(R23+R24+R25&lt;0,"",R23+R24+R25)</f>
        <v>0</v>
      </c>
      <c r="W39" s="72">
        <f>IF(R23+R24+R25&gt;0,"",-(R23+R24+R25))</f>
        <v>0</v>
      </c>
      <c r="X39" s="72">
        <f>IF(U23+U24+U25&lt;0,"",U23+U24+U25)</f>
        <v>0</v>
      </c>
      <c r="Y39" s="72">
        <f>IF(U23+U24+U25&gt;0,"",-(U23+U24+U25))</f>
        <v>0</v>
      </c>
      <c r="Z39" s="73"/>
      <c r="AA39" s="73"/>
      <c r="AB39" s="74"/>
      <c r="AC39" s="74"/>
      <c r="AD39" s="74"/>
    </row>
    <row r="40" spans="2:31" ht="21" hidden="1" customHeight="1">
      <c r="C40" s="68"/>
      <c r="D40" s="69"/>
      <c r="E40" s="69"/>
      <c r="F40" s="69"/>
      <c r="H40" s="70"/>
      <c r="I40" s="70"/>
      <c r="J40" s="69"/>
      <c r="K40" s="69"/>
      <c r="L40" s="69"/>
      <c r="M40" s="69"/>
      <c r="N40" s="69"/>
      <c r="O40" s="69"/>
      <c r="P40" s="69"/>
      <c r="Q40" s="69"/>
      <c r="R40" s="69"/>
      <c r="S40" s="50"/>
      <c r="U40" s="71" t="s">
        <v>144</v>
      </c>
      <c r="V40" s="72">
        <f>IF(R26+R27+R28&lt;0,"",R26+R27+R28)</f>
        <v>0</v>
      </c>
      <c r="W40" s="72">
        <f>IF(R26+R27+R28&gt;0,"",-(R26+R27+R28))</f>
        <v>0</v>
      </c>
      <c r="X40" s="72">
        <f>IF(U26+U27+U28&lt;0,"",U26+U27+U28)</f>
        <v>0</v>
      </c>
      <c r="Y40" s="72">
        <f>IF(U26+U27+U28&gt;0,"",-(U26+U27+U28))</f>
        <v>0</v>
      </c>
      <c r="Z40" s="73"/>
      <c r="AA40" s="73"/>
      <c r="AB40" s="74"/>
      <c r="AC40" s="74"/>
      <c r="AD40" s="74"/>
    </row>
    <row r="41" spans="2:31" ht="21" hidden="1" customHeight="1">
      <c r="C41" s="68"/>
      <c r="D41" s="69"/>
      <c r="E41" s="69"/>
      <c r="F41" s="69"/>
      <c r="H41" s="70"/>
      <c r="I41" s="70"/>
      <c r="J41" s="69"/>
      <c r="K41" s="69"/>
      <c r="L41" s="69"/>
      <c r="M41" s="69"/>
      <c r="N41" s="69"/>
      <c r="O41" s="69"/>
      <c r="P41" s="69"/>
      <c r="Q41" s="69"/>
      <c r="R41" s="69"/>
      <c r="S41" s="50"/>
      <c r="U41" s="71" t="s">
        <v>145</v>
      </c>
      <c r="V41" s="72">
        <f>IF(R29+R30+R31&lt;0,"",R29+R30+R31)</f>
        <v>0</v>
      </c>
      <c r="W41" s="72">
        <f>IF(R29+R30+R31&gt;0,"",-(R29+R30+R31))</f>
        <v>0</v>
      </c>
      <c r="X41" s="72">
        <f>IF(U29+U30+U31&lt;0,"",U29+U30+U31)</f>
        <v>0</v>
      </c>
      <c r="Y41" s="72">
        <f>IF(U29+U30+U31&gt;0,"",-(U29+U30+U31))</f>
        <v>0</v>
      </c>
      <c r="Z41" s="73"/>
      <c r="AA41" s="73"/>
      <c r="AB41" s="74"/>
      <c r="AC41" s="74"/>
      <c r="AD41" s="74"/>
    </row>
    <row r="42" spans="2:31" ht="21" hidden="1" customHeight="1" thickBot="1">
      <c r="C42" s="68"/>
      <c r="D42" s="69"/>
      <c r="E42" s="69"/>
      <c r="F42" s="69"/>
      <c r="H42" s="70"/>
      <c r="I42" s="70"/>
      <c r="J42" s="69"/>
      <c r="K42" s="69"/>
      <c r="L42" s="69"/>
      <c r="M42" s="69"/>
      <c r="N42" s="69"/>
      <c r="O42" s="69"/>
      <c r="P42" s="69"/>
      <c r="Q42" s="69"/>
      <c r="R42" s="69"/>
      <c r="S42" s="50"/>
      <c r="U42" s="71" t="s">
        <v>146</v>
      </c>
      <c r="V42" s="72">
        <f>IF(R32+R33+IF(R34&lt;&gt;"",R34,0)+IF(T34&lt;&gt;"",T34,0)&lt;0,"",R32+R33+IF(R34&lt;&gt;"",R34,0)+IF(T34&lt;&gt;"",T34,0))</f>
        <v>0</v>
      </c>
      <c r="W42" s="72">
        <f>IF(R32+R33+IF(R34&lt;&gt;"",R34,0)+IF(T34&lt;&gt;"",T34,0)&gt;0,"",-(R32+R33+IF(R34&lt;&gt;"",R34,0)+IF(T34&lt;&gt;"",T34,0)))</f>
        <v>0</v>
      </c>
      <c r="X42" s="72">
        <f>IF(U32+U33+U34&lt;0,"",U32+U33+U34)</f>
        <v>0</v>
      </c>
      <c r="Y42" s="72">
        <f>IF(U32+U33+U34&gt;0,"",-(U32+U33+U34))</f>
        <v>0</v>
      </c>
      <c r="Z42" s="73"/>
      <c r="AA42" s="73"/>
      <c r="AB42" s="74"/>
      <c r="AC42" s="74"/>
      <c r="AD42" s="74"/>
    </row>
    <row r="43" spans="2:31" ht="21" customHeight="1" thickBot="1">
      <c r="C43" s="162" t="s">
        <v>147</v>
      </c>
      <c r="D43" s="162"/>
      <c r="E43" s="162"/>
      <c r="F43" s="162"/>
      <c r="G43" s="162"/>
      <c r="H43" s="162"/>
      <c r="I43" s="70"/>
      <c r="J43" s="69"/>
      <c r="K43" s="69"/>
      <c r="L43" s="69"/>
      <c r="M43" s="69"/>
      <c r="N43" s="69"/>
      <c r="O43" s="69"/>
      <c r="P43" s="69"/>
      <c r="Q43" s="69"/>
      <c r="R43" s="69"/>
      <c r="S43" s="50"/>
      <c r="U43" s="71"/>
      <c r="V43" s="72"/>
      <c r="W43" s="72"/>
      <c r="X43" s="72"/>
      <c r="Y43" s="72"/>
      <c r="Z43" s="73"/>
      <c r="AA43" s="73"/>
      <c r="AB43" s="74"/>
      <c r="AC43" s="74"/>
      <c r="AD43" s="74"/>
    </row>
    <row r="44" spans="2:31" ht="21" customHeight="1" thickBot="1">
      <c r="C44" s="68"/>
      <c r="D44" s="163" t="s">
        <v>118</v>
      </c>
      <c r="E44" s="163"/>
      <c r="F44" s="164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50"/>
    </row>
    <row r="45" spans="2:31" ht="32.25" customHeight="1">
      <c r="C45" s="68"/>
      <c r="D45" s="75" t="s">
        <v>148</v>
      </c>
      <c r="E45" s="76" t="s">
        <v>149</v>
      </c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50"/>
    </row>
    <row r="46" spans="2:31">
      <c r="C46" s="77" t="s">
        <v>143</v>
      </c>
      <c r="D46" s="78">
        <f t="shared" ref="D46:E49" si="10">IF(Mode_calcul=1,V39,X39)</f>
        <v>0</v>
      </c>
      <c r="E46" s="78">
        <f t="shared" si="10"/>
        <v>0</v>
      </c>
      <c r="O46" s="15"/>
      <c r="P46" s="15"/>
      <c r="Q46" s="15"/>
      <c r="R46" s="15"/>
    </row>
    <row r="47" spans="2:31">
      <c r="C47" s="77" t="s">
        <v>144</v>
      </c>
      <c r="D47" s="78">
        <f t="shared" si="10"/>
        <v>0</v>
      </c>
      <c r="E47" s="78">
        <f t="shared" si="10"/>
        <v>0</v>
      </c>
      <c r="O47" s="15"/>
      <c r="P47" s="15"/>
      <c r="Q47" s="15"/>
      <c r="R47" s="15"/>
    </row>
    <row r="48" spans="2:31">
      <c r="C48" s="77" t="s">
        <v>145</v>
      </c>
      <c r="D48" s="78">
        <f t="shared" si="10"/>
        <v>0</v>
      </c>
      <c r="E48" s="78">
        <f t="shared" si="10"/>
        <v>0</v>
      </c>
      <c r="O48" s="15"/>
      <c r="P48" s="15"/>
      <c r="Q48" s="15"/>
      <c r="R48" s="15"/>
    </row>
    <row r="49" spans="3:19" ht="14.25" thickBot="1">
      <c r="C49" s="77" t="s">
        <v>146</v>
      </c>
      <c r="D49" s="79">
        <f t="shared" si="10"/>
        <v>0</v>
      </c>
      <c r="E49" s="79">
        <f t="shared" si="10"/>
        <v>0</v>
      </c>
      <c r="O49" s="15"/>
      <c r="P49" s="15"/>
      <c r="Q49" s="15"/>
      <c r="R49" s="15"/>
    </row>
    <row r="50" spans="3:19" ht="14.25" thickBot="1">
      <c r="C50" s="62" t="s">
        <v>138</v>
      </c>
      <c r="D50" s="165">
        <f>+SUM(D46:D49)-SUM(E46:E49)</f>
        <v>0</v>
      </c>
      <c r="E50" s="165"/>
      <c r="K50" s="80"/>
      <c r="L50" s="80"/>
      <c r="M50" s="80"/>
      <c r="N50" s="80"/>
      <c r="S50" s="51"/>
    </row>
    <row r="51" spans="3:19">
      <c r="K51" s="80"/>
      <c r="L51" s="80"/>
      <c r="M51" s="80"/>
      <c r="N51" s="80"/>
      <c r="S51" s="51"/>
    </row>
    <row r="52" spans="3:19">
      <c r="C52" s="81"/>
      <c r="D52" s="82"/>
      <c r="E52" s="82"/>
      <c r="F52" s="82"/>
      <c r="G52" s="82"/>
      <c r="H52" s="82"/>
      <c r="I52" s="82"/>
      <c r="K52" s="80"/>
      <c r="L52" s="80"/>
      <c r="M52" s="80"/>
      <c r="N52" s="80"/>
      <c r="S52" s="51"/>
    </row>
    <row r="53" spans="3:19">
      <c r="K53" s="80"/>
      <c r="L53" s="80"/>
      <c r="M53" s="80"/>
      <c r="N53" s="80"/>
      <c r="S53" s="51"/>
    </row>
    <row r="54" spans="3:19">
      <c r="K54" s="80"/>
      <c r="L54" s="80"/>
      <c r="M54" s="80"/>
      <c r="N54" s="80"/>
      <c r="S54" s="51"/>
    </row>
    <row r="55" spans="3:19">
      <c r="K55" s="80"/>
      <c r="L55" s="80"/>
      <c r="M55" s="80"/>
      <c r="N55" s="80"/>
      <c r="S55" s="51"/>
    </row>
    <row r="56" spans="3:19">
      <c r="K56" s="80"/>
      <c r="L56" s="80"/>
      <c r="M56" s="80"/>
      <c r="N56" s="80"/>
      <c r="S56" s="51"/>
    </row>
    <row r="57" spans="3:19">
      <c r="K57" s="80"/>
      <c r="L57" s="80"/>
      <c r="M57" s="80"/>
      <c r="N57" s="80"/>
      <c r="S57" s="51"/>
    </row>
    <row r="58" spans="3:19">
      <c r="K58" s="80"/>
      <c r="L58" s="80"/>
      <c r="M58" s="80"/>
      <c r="N58" s="80"/>
      <c r="S58" s="51"/>
    </row>
    <row r="59" spans="3:19">
      <c r="K59" s="80"/>
      <c r="L59" s="80"/>
      <c r="M59" s="80"/>
      <c r="N59" s="80"/>
      <c r="S59" s="51"/>
    </row>
    <row r="60" spans="3:19">
      <c r="K60" s="80"/>
      <c r="L60" s="80"/>
      <c r="M60" s="80"/>
      <c r="N60" s="80"/>
      <c r="S60" s="51"/>
    </row>
    <row r="61" spans="3:19">
      <c r="K61" s="80"/>
      <c r="L61" s="80"/>
      <c r="M61" s="80"/>
      <c r="N61" s="80"/>
      <c r="S61" s="51"/>
    </row>
    <row r="63" spans="3:19">
      <c r="G63" s="83"/>
      <c r="H63" s="83"/>
      <c r="I63" s="83"/>
    </row>
    <row r="65" spans="2:14">
      <c r="B65" s="153"/>
      <c r="C65" s="153"/>
      <c r="D65" s="153"/>
      <c r="E65" s="153"/>
      <c r="F65" s="153"/>
      <c r="G65" s="153"/>
      <c r="H65" s="153"/>
      <c r="I65" s="153"/>
      <c r="J65" s="153"/>
      <c r="K65" s="153"/>
      <c r="L65" s="84"/>
      <c r="M65" s="84"/>
      <c r="N65" s="84"/>
    </row>
    <row r="67" spans="2:14">
      <c r="B67" s="153"/>
      <c r="C67" s="153"/>
      <c r="D67" s="153"/>
      <c r="E67" s="153"/>
      <c r="F67" s="153"/>
      <c r="G67" s="153"/>
      <c r="H67" s="153"/>
      <c r="I67" s="153"/>
      <c r="J67" s="153"/>
      <c r="K67" s="153"/>
      <c r="L67" s="84"/>
      <c r="M67" s="84"/>
      <c r="N67" s="84"/>
    </row>
    <row r="69" spans="2:14">
      <c r="B69" s="153"/>
      <c r="C69" s="153"/>
      <c r="D69" s="153"/>
      <c r="E69" s="153"/>
      <c r="F69" s="153"/>
      <c r="G69" s="153"/>
      <c r="H69" s="153"/>
      <c r="I69" s="153"/>
      <c r="J69" s="153"/>
      <c r="K69" s="153"/>
      <c r="L69" s="84"/>
      <c r="M69" s="84"/>
      <c r="N69" s="84"/>
    </row>
  </sheetData>
  <mergeCells count="13">
    <mergeCell ref="B69:K69"/>
    <mergeCell ref="X37:Y37"/>
    <mergeCell ref="C43:H43"/>
    <mergeCell ref="D44:F44"/>
    <mergeCell ref="D50:E50"/>
    <mergeCell ref="B65:K65"/>
    <mergeCell ref="B67:K67"/>
    <mergeCell ref="V37:W37"/>
    <mergeCell ref="B1:W1"/>
    <mergeCell ref="G21:H21"/>
    <mergeCell ref="V21:W21"/>
    <mergeCell ref="S22:T22"/>
    <mergeCell ref="V35:W35"/>
  </mergeCells>
  <dataValidations count="1">
    <dataValidation allowBlank="1" showInputMessage="1" showErrorMessage="1" sqref="I25:I34 B25:B34"/>
  </dataValidations>
  <pageMargins left="0.24" right="0.24" top="0.4" bottom="0.74803149606299213" header="0.17" footer="0.31496062992125984"/>
  <pageSetup paperSize="9" scale="71" orientation="portrait" verticalDpi="144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J252"/>
  <sheetViews>
    <sheetView showGridLines="0" workbookViewId="0">
      <pane xSplit="1" ySplit="12" topLeftCell="B139" activePane="bottomRight" state="frozen"/>
      <selection pane="topRight" activeCell="B1" sqref="B1"/>
      <selection pane="bottomLeft" activeCell="A11" sqref="A11"/>
      <selection pane="bottomRight" activeCell="B8" sqref="B8"/>
    </sheetView>
  </sheetViews>
  <sheetFormatPr baseColWidth="10" defaultRowHeight="15"/>
  <cols>
    <col min="1" max="1" width="35.5703125" style="86" bestFit="1" customWidth="1"/>
    <col min="2" max="3" width="21.42578125" style="120" customWidth="1"/>
    <col min="4" max="4" width="16.28515625" style="86" bestFit="1" customWidth="1"/>
    <col min="5" max="5" width="16.28515625" style="86" customWidth="1"/>
    <col min="6" max="6" width="19.5703125" style="86" bestFit="1" customWidth="1"/>
    <col min="7" max="7" width="12.28515625" style="86" bestFit="1" customWidth="1"/>
    <col min="8" max="8" width="16.85546875" style="86" bestFit="1" customWidth="1"/>
    <col min="9" max="9" width="16.85546875" style="86" customWidth="1"/>
    <col min="10" max="10" width="16.85546875" style="86" bestFit="1" customWidth="1"/>
    <col min="11" max="16384" width="11.42578125" style="86"/>
  </cols>
  <sheetData>
    <row r="1" spans="1:10" ht="24" customHeight="1">
      <c r="A1" s="85"/>
      <c r="B1" s="166" t="s">
        <v>157</v>
      </c>
      <c r="C1" s="166"/>
      <c r="D1" s="85"/>
      <c r="E1" s="85"/>
      <c r="F1" s="85"/>
      <c r="G1" s="85"/>
      <c r="H1" s="85"/>
      <c r="I1" s="85"/>
      <c r="J1" s="85"/>
    </row>
    <row r="2" spans="1:10">
      <c r="A2" s="87" t="s">
        <v>88</v>
      </c>
      <c r="B2" s="88">
        <f>+SMIC!B4</f>
        <v>9.5299999999999994</v>
      </c>
      <c r="C2" s="88"/>
      <c r="D2" s="85"/>
      <c r="E2" s="85"/>
      <c r="F2" s="85"/>
      <c r="G2" s="85"/>
      <c r="H2" s="85"/>
      <c r="I2" s="85"/>
      <c r="J2" s="85"/>
    </row>
    <row r="3" spans="1:10">
      <c r="A3" s="87" t="s">
        <v>94</v>
      </c>
      <c r="B3" s="89">
        <f>+'DUBREUIL JEAN'!Coeff.effectif</f>
        <v>0.28100000000000003</v>
      </c>
      <c r="C3" s="88"/>
      <c r="D3" s="85"/>
      <c r="E3" s="85"/>
      <c r="F3" s="85"/>
      <c r="G3" s="85"/>
      <c r="H3" s="85"/>
      <c r="I3" s="85"/>
      <c r="J3" s="85"/>
    </row>
    <row r="4" spans="1:10">
      <c r="A4" s="87"/>
      <c r="B4" s="89"/>
      <c r="C4" s="88"/>
      <c r="D4" s="85"/>
      <c r="E4" s="85"/>
      <c r="F4" s="85"/>
      <c r="G4" s="85"/>
      <c r="H4" s="85"/>
      <c r="I4" s="85"/>
      <c r="J4" s="85"/>
    </row>
    <row r="5" spans="1:10">
      <c r="A5" s="87"/>
      <c r="B5" s="89"/>
      <c r="C5" s="88"/>
      <c r="D5" s="85"/>
      <c r="E5" s="85"/>
      <c r="F5" s="85"/>
      <c r="G5" s="85"/>
      <c r="H5" s="85"/>
      <c r="I5" s="85"/>
      <c r="J5" s="85"/>
    </row>
    <row r="6" spans="1:10">
      <c r="A6" s="87" t="s">
        <v>158</v>
      </c>
      <c r="B6" s="89"/>
      <c r="C6" s="88"/>
      <c r="D6" s="85"/>
      <c r="E6" s="85"/>
      <c r="F6" s="85"/>
      <c r="G6" s="85"/>
      <c r="H6" s="85"/>
      <c r="I6" s="85"/>
      <c r="J6" s="85"/>
    </row>
    <row r="7" spans="1:10">
      <c r="A7" s="87" t="s">
        <v>159</v>
      </c>
      <c r="B7" s="89"/>
      <c r="C7" s="88"/>
      <c r="D7" s="85"/>
      <c r="E7" s="85"/>
      <c r="F7" s="85"/>
      <c r="G7" s="85"/>
      <c r="H7" s="85"/>
      <c r="I7" s="85"/>
      <c r="J7" s="85"/>
    </row>
    <row r="8" spans="1:10">
      <c r="A8" s="87" t="s">
        <v>160</v>
      </c>
      <c r="B8" s="89"/>
      <c r="C8" s="88"/>
      <c r="D8" s="85"/>
      <c r="E8" s="85"/>
      <c r="F8" s="85"/>
      <c r="G8" s="85"/>
      <c r="H8" s="85"/>
      <c r="I8" s="85"/>
      <c r="J8" s="85"/>
    </row>
    <row r="9" spans="1:10">
      <c r="A9" s="87" t="s">
        <v>161</v>
      </c>
      <c r="B9" s="89"/>
      <c r="C9" s="88"/>
      <c r="D9" s="85"/>
      <c r="E9" s="85"/>
      <c r="F9" s="85"/>
      <c r="G9" s="85"/>
      <c r="H9" s="85"/>
      <c r="I9" s="85"/>
      <c r="J9" s="85"/>
    </row>
    <row r="10" spans="1:10">
      <c r="A10" s="87"/>
      <c r="B10" s="89"/>
      <c r="C10" s="88"/>
      <c r="D10" s="85"/>
      <c r="E10" s="85"/>
      <c r="F10" s="85"/>
      <c r="G10" s="85"/>
      <c r="H10" s="85"/>
      <c r="I10" s="85"/>
      <c r="J10" s="85"/>
    </row>
    <row r="11" spans="1:10">
      <c r="A11" s="87" t="s">
        <v>151</v>
      </c>
      <c r="B11" s="89" t="str">
        <f ca="1">INDIRECT("'"&amp;B$12&amp;"'!i$5")</f>
        <v>apprenti</v>
      </c>
      <c r="C11" s="89" t="str">
        <f ca="1">INDIRECT("'"&amp;C$12&amp;"'!i$5")</f>
        <v>non cadre</v>
      </c>
      <c r="D11" s="85"/>
      <c r="E11" s="85"/>
      <c r="F11" s="85"/>
      <c r="G11" s="85"/>
      <c r="H11" s="85"/>
      <c r="I11" s="85"/>
      <c r="J11" s="85"/>
    </row>
    <row r="12" spans="1:10" s="94" customFormat="1" ht="38.25" customHeight="1">
      <c r="A12" s="90" t="s">
        <v>162</v>
      </c>
      <c r="B12" s="91" t="str">
        <f>+'DUBREUIL JEAN'!I3</f>
        <v>DUBREUIL JEAN</v>
      </c>
      <c r="C12" s="92" t="str">
        <f>+'ROBERT DUVERGNE'!I3</f>
        <v>ROBERT DUVERGNE</v>
      </c>
      <c r="D12" s="91" t="s">
        <v>168</v>
      </c>
      <c r="E12" s="91" t="s">
        <v>167</v>
      </c>
      <c r="F12" s="91" t="s">
        <v>93</v>
      </c>
      <c r="G12" s="93" t="s">
        <v>152</v>
      </c>
      <c r="H12" s="93" t="s">
        <v>153</v>
      </c>
      <c r="I12" s="93" t="s">
        <v>154</v>
      </c>
      <c r="J12" s="93" t="s">
        <v>170</v>
      </c>
    </row>
    <row r="13" spans="1:10">
      <c r="A13" s="95" t="s">
        <v>36</v>
      </c>
      <c r="B13" s="96" t="str">
        <f t="shared" ref="B13:C13" ca="1" si="0">IF(B15&lt;B17,"Oui","Non")</f>
        <v>Oui</v>
      </c>
      <c r="C13" s="96" t="str">
        <f t="shared" ca="1" si="0"/>
        <v>Non</v>
      </c>
      <c r="D13" s="97"/>
      <c r="E13" s="97"/>
      <c r="F13" s="97"/>
      <c r="G13" s="98"/>
      <c r="H13" s="98"/>
      <c r="I13" s="98"/>
      <c r="J13" s="99"/>
    </row>
    <row r="14" spans="1:10" s="105" customFormat="1">
      <c r="A14" s="100" t="s">
        <v>89</v>
      </c>
      <c r="B14" s="101">
        <f ca="1">+IF(B16&gt;151.67,1,B16/151.67)</f>
        <v>0.99997802246104484</v>
      </c>
      <c r="C14" s="101">
        <f t="shared" ref="C14" ca="1" si="1">+IF(C16&gt;151.67,1,C16/151.67)</f>
        <v>0.99997802246104484</v>
      </c>
      <c r="D14" s="102">
        <f ca="1">+SUM(B14:C14)</f>
        <v>1.9999560449220897</v>
      </c>
      <c r="E14" s="102">
        <f ca="1">+SUMIF(B13:C13,"oui",B14:C14)</f>
        <v>0.99997802246104484</v>
      </c>
      <c r="F14" s="102"/>
      <c r="G14" s="103"/>
      <c r="H14" s="103"/>
      <c r="I14" s="103"/>
      <c r="J14" s="104"/>
    </row>
    <row r="15" spans="1:10">
      <c r="A15" s="106" t="s">
        <v>90</v>
      </c>
      <c r="B15" s="107">
        <f ca="1">INDIRECT("'"&amp;B$12&amp;"'!d$23")</f>
        <v>1001</v>
      </c>
      <c r="C15" s="107">
        <f ca="1">INDIRECT("'"&amp;C$12&amp;"'!d$23")</f>
        <v>5001</v>
      </c>
      <c r="D15" s="108">
        <f ca="1">SUM(B15:C15)</f>
        <v>6002</v>
      </c>
      <c r="E15" s="108">
        <f ca="1">+SUMIF(B13:C13,"OUI",B15:C15)</f>
        <v>1001</v>
      </c>
      <c r="F15" s="108"/>
      <c r="G15" s="109">
        <f ca="1">+SUMIF(B$11:C$11,"cadre",B15:C15)</f>
        <v>0</v>
      </c>
      <c r="H15" s="109">
        <f ca="1">+SUMIF(B$11:C$11,"non cadre",B15:C15)</f>
        <v>5001</v>
      </c>
      <c r="I15" s="109">
        <f ca="1">+SUMIF(B$11:C$11,"dirigeant",B15:C15)</f>
        <v>0</v>
      </c>
      <c r="J15" s="110">
        <f ca="1">+SUMIF(B$11:C$11,"apprenti",B15:C15)</f>
        <v>1001</v>
      </c>
    </row>
    <row r="16" spans="1:10">
      <c r="A16" s="106" t="s">
        <v>91</v>
      </c>
      <c r="B16" s="111">
        <f ca="1">INDIRECT("'"&amp;B$12&amp;"'!g23")*52/12</f>
        <v>151.66666666666666</v>
      </c>
      <c r="C16" s="111">
        <f ca="1">INDIRECT("'"&amp;C$12&amp;"'!g23")*52/12</f>
        <v>151.66666666666666</v>
      </c>
      <c r="D16" s="108">
        <f ca="1">+SUM(B16:C16)</f>
        <v>303.33333333333331</v>
      </c>
      <c r="E16" s="108">
        <f ca="1">+SUMIF(B13:C13,"OUI",B16:C16)</f>
        <v>151.66666666666666</v>
      </c>
      <c r="F16" s="108"/>
      <c r="G16" s="112"/>
      <c r="H16" s="112"/>
      <c r="I16" s="112"/>
      <c r="J16" s="113"/>
    </row>
    <row r="17" spans="1:10" hidden="1">
      <c r="A17" s="106" t="s">
        <v>92</v>
      </c>
      <c r="B17" s="114">
        <f ca="1">B16*$B$2*2.5</f>
        <v>3613.458333333333</v>
      </c>
      <c r="C17" s="114">
        <f ca="1">C16*$B$2*2.5</f>
        <v>3613.458333333333</v>
      </c>
      <c r="D17" s="115"/>
      <c r="E17" s="115"/>
      <c r="F17" s="115"/>
      <c r="G17" s="112"/>
      <c r="H17" s="112"/>
      <c r="I17" s="112"/>
      <c r="J17" s="113"/>
    </row>
    <row r="18" spans="1:10" s="120" customFormat="1">
      <c r="A18" s="116" t="s">
        <v>156</v>
      </c>
      <c r="B18" s="117">
        <f ca="1">INDIRECT("'"&amp;B$12&amp;"'!v$23")</f>
        <v>281.28100000000001</v>
      </c>
      <c r="C18" s="117" t="str">
        <f ca="1">INDIRECT("'"&amp;C$12&amp;"'!v$23")</f>
        <v/>
      </c>
      <c r="D18" s="108"/>
      <c r="E18" s="108"/>
      <c r="F18" s="108">
        <f ca="1">+SUM(B18:C18)</f>
        <v>281.28100000000001</v>
      </c>
      <c r="G18" s="118"/>
      <c r="H18" s="118"/>
      <c r="I18" s="118"/>
      <c r="J18" s="119"/>
    </row>
    <row r="19" spans="1:10" s="120" customFormat="1">
      <c r="A19" s="121" t="s">
        <v>155</v>
      </c>
      <c r="B19" s="122" t="str">
        <f ca="1">INDIRECT("'"&amp;B$12&amp;"'!w$23")</f>
        <v/>
      </c>
      <c r="C19" s="122" t="str">
        <f ca="1">INDIRECT("'"&amp;C$12&amp;"'!w$23")</f>
        <v/>
      </c>
      <c r="D19" s="123"/>
      <c r="E19" s="123"/>
      <c r="F19" s="108">
        <f ca="1">+SUM(B19:C19)</f>
        <v>0</v>
      </c>
      <c r="G19" s="124"/>
      <c r="H19" s="124"/>
      <c r="I19" s="124"/>
      <c r="J19" s="125"/>
    </row>
    <row r="20" spans="1:10" s="120" customFormat="1">
      <c r="A20" s="126"/>
      <c r="B20" s="114"/>
      <c r="C20" s="114"/>
      <c r="D20" s="115"/>
      <c r="E20" s="115"/>
      <c r="F20" s="115"/>
      <c r="G20" s="118"/>
      <c r="H20" s="118"/>
      <c r="I20" s="118"/>
      <c r="J20" s="118"/>
    </row>
    <row r="21" spans="1:10">
      <c r="A21" s="95" t="s">
        <v>37</v>
      </c>
      <c r="B21" s="96" t="str">
        <f t="shared" ref="B21:C21" ca="1" si="2">IF((B23+B15)&lt;(B25),"Oui","Non")</f>
        <v>Oui</v>
      </c>
      <c r="C21" s="96" t="str">
        <f t="shared" ca="1" si="2"/>
        <v>Non</v>
      </c>
      <c r="D21" s="127"/>
      <c r="E21" s="127"/>
      <c r="F21" s="127"/>
      <c r="G21" s="98"/>
      <c r="H21" s="98"/>
      <c r="I21" s="98"/>
      <c r="J21" s="99"/>
    </row>
    <row r="22" spans="1:10" s="105" customFormat="1">
      <c r="A22" s="100" t="s">
        <v>89</v>
      </c>
      <c r="B22" s="101">
        <f ca="1">+IF(B24&gt;151.67,1,B24/151.67)</f>
        <v>0.99997802246104484</v>
      </c>
      <c r="C22" s="101">
        <f ca="1">+IF(C24&gt;151.67,1,C24/151.67)</f>
        <v>0.99997802246104484</v>
      </c>
      <c r="D22" s="115">
        <f ca="1">SUM(B22:C22)</f>
        <v>1.9999560449220897</v>
      </c>
      <c r="E22" s="115">
        <f ca="1">+SUMIF(B21:C21,"oui",B22:C22)</f>
        <v>0.99997802246104484</v>
      </c>
      <c r="F22" s="115"/>
      <c r="G22" s="103"/>
      <c r="H22" s="103"/>
      <c r="I22" s="103"/>
      <c r="J22" s="104"/>
    </row>
    <row r="23" spans="1:10">
      <c r="A23" s="106" t="s">
        <v>90</v>
      </c>
      <c r="B23" s="107">
        <f ca="1">INDIRECT("'"&amp;B$12&amp;"'!d$24")</f>
        <v>1002</v>
      </c>
      <c r="C23" s="107">
        <f ca="1">INDIRECT("'"&amp;C$12&amp;"'!d$24")</f>
        <v>5002</v>
      </c>
      <c r="D23" s="108">
        <f ca="1">SUM(B23:C23)</f>
        <v>6004</v>
      </c>
      <c r="E23" s="108">
        <f ca="1">+SUMIF(B21:C21,"OUI",B28:C28)</f>
        <v>2003</v>
      </c>
      <c r="F23" s="108"/>
      <c r="G23" s="109">
        <f ca="1">+SUMIF(B$11:C$11,"cadre",B23:C23)</f>
        <v>0</v>
      </c>
      <c r="H23" s="109">
        <f ca="1">+SUMIF(B$11:C$11,"non cadre",B23:C23)</f>
        <v>5002</v>
      </c>
      <c r="I23" s="109">
        <f ca="1">+SUMIF(B$11:C$11,"dirigeant",B23:C23)</f>
        <v>0</v>
      </c>
      <c r="J23" s="109">
        <f ca="1">+SUMIF(B11:C11,"apprenti",B23:C23)</f>
        <v>1002</v>
      </c>
    </row>
    <row r="24" spans="1:10">
      <c r="A24" s="106" t="s">
        <v>91</v>
      </c>
      <c r="B24" s="111">
        <f ca="1">INDIRECT("'"&amp;B$12&amp;"'!g24")*52/12</f>
        <v>151.66666666666666</v>
      </c>
      <c r="C24" s="111">
        <f ca="1">INDIRECT("'"&amp;C$12&amp;"'!g24")*52/12</f>
        <v>151.66666666666666</v>
      </c>
      <c r="D24" s="108">
        <f ca="1">SUM(B24:C24)</f>
        <v>303.33333333333331</v>
      </c>
      <c r="E24" s="108">
        <f ca="1">+SUMIF(B21:C21,"OUI",B29:C29)</f>
        <v>303.33333333333331</v>
      </c>
      <c r="F24" s="108"/>
      <c r="G24" s="112"/>
      <c r="H24" s="112"/>
      <c r="I24" s="112"/>
      <c r="J24" s="113"/>
    </row>
    <row r="25" spans="1:10" hidden="1">
      <c r="A25" s="106" t="s">
        <v>92</v>
      </c>
      <c r="B25" s="114">
        <f ca="1">+B29*B$2*2.5</f>
        <v>7226.9166666666661</v>
      </c>
      <c r="C25" s="114">
        <f ca="1">+C29*B$2*2.5</f>
        <v>7226.9166666666661</v>
      </c>
      <c r="D25" s="115"/>
      <c r="E25" s="115"/>
      <c r="F25" s="115"/>
      <c r="G25" s="112"/>
      <c r="H25" s="112"/>
      <c r="I25" s="112"/>
      <c r="J25" s="113"/>
    </row>
    <row r="26" spans="1:10" s="120" customFormat="1">
      <c r="A26" s="116" t="s">
        <v>156</v>
      </c>
      <c r="B26" s="117">
        <f ca="1">INDIRECT("'"&amp;B$12&amp;"'!v$24")</f>
        <v>281.56200000000007</v>
      </c>
      <c r="C26" s="117" t="str">
        <f ca="1">INDIRECT("'"&amp;C$12&amp;"'!v$24")</f>
        <v/>
      </c>
      <c r="D26" s="108"/>
      <c r="E26" s="108"/>
      <c r="F26" s="108">
        <f ca="1">+SUM(B26:C26)</f>
        <v>281.56200000000007</v>
      </c>
      <c r="G26" s="118"/>
      <c r="H26" s="118"/>
      <c r="I26" s="118"/>
      <c r="J26" s="119"/>
    </row>
    <row r="27" spans="1:10" s="120" customFormat="1">
      <c r="A27" s="121" t="s">
        <v>155</v>
      </c>
      <c r="B27" s="122" t="str">
        <f ca="1">INDIRECT("'"&amp;B$12&amp;"'!w$24")</f>
        <v/>
      </c>
      <c r="C27" s="122" t="str">
        <f ca="1">INDIRECT("'"&amp;C$12&amp;"'!w$24")</f>
        <v/>
      </c>
      <c r="D27" s="123"/>
      <c r="E27" s="123"/>
      <c r="F27" s="108">
        <f ca="1">+SUM(B27:C27)</f>
        <v>0</v>
      </c>
      <c r="G27" s="124"/>
      <c r="H27" s="124"/>
      <c r="I27" s="124"/>
      <c r="J27" s="125"/>
    </row>
    <row r="28" spans="1:10" s="120" customFormat="1" hidden="1">
      <c r="A28" s="126" t="s">
        <v>177</v>
      </c>
      <c r="B28" s="117">
        <f ca="1">+B23+B15</f>
        <v>2003</v>
      </c>
      <c r="C28" s="117">
        <f ca="1">+C23+C15</f>
        <v>10003</v>
      </c>
      <c r="D28" s="108"/>
      <c r="E28" s="108"/>
      <c r="F28" s="108"/>
      <c r="G28" s="118"/>
      <c r="H28" s="118"/>
      <c r="I28" s="118"/>
      <c r="J28" s="118"/>
    </row>
    <row r="29" spans="1:10" s="120" customFormat="1" hidden="1">
      <c r="A29" s="126" t="s">
        <v>178</v>
      </c>
      <c r="B29" s="117">
        <f ca="1">+B24+B16</f>
        <v>303.33333333333331</v>
      </c>
      <c r="C29" s="117">
        <f ca="1">+C24+C16</f>
        <v>303.33333333333331</v>
      </c>
      <c r="D29" s="108"/>
      <c r="E29" s="108"/>
      <c r="F29" s="108"/>
      <c r="G29" s="118"/>
      <c r="H29" s="118"/>
      <c r="I29" s="118"/>
      <c r="J29" s="118"/>
    </row>
    <row r="30" spans="1:10" s="120" customFormat="1">
      <c r="A30" s="126"/>
      <c r="B30" s="114"/>
      <c r="C30" s="114"/>
      <c r="D30" s="115"/>
      <c r="E30" s="115"/>
      <c r="F30" s="115"/>
      <c r="G30" s="118"/>
      <c r="H30" s="118"/>
      <c r="I30" s="118"/>
      <c r="J30" s="118"/>
    </row>
    <row r="31" spans="1:10" s="120" customFormat="1">
      <c r="A31" s="126"/>
      <c r="B31" s="114"/>
      <c r="C31" s="114"/>
      <c r="D31" s="115"/>
      <c r="E31" s="115"/>
      <c r="F31" s="115"/>
      <c r="G31" s="118"/>
      <c r="H31" s="118"/>
      <c r="I31" s="118"/>
      <c r="J31" s="118"/>
    </row>
    <row r="32" spans="1:10">
      <c r="A32" s="95" t="s">
        <v>38</v>
      </c>
      <c r="B32" s="96" t="str">
        <f ca="1">IF((B23+B15+B34)&lt;B36,"Oui","Non")</f>
        <v>Oui</v>
      </c>
      <c r="C32" s="96" t="str">
        <f ca="1">IF((C23+C15+C34)&lt;C36,"Oui","Non")</f>
        <v>Non</v>
      </c>
      <c r="D32" s="127">
        <f ca="1">SUM(B32:C32)</f>
        <v>0</v>
      </c>
      <c r="E32" s="127"/>
      <c r="F32" s="127"/>
      <c r="G32" s="98"/>
      <c r="H32" s="98"/>
      <c r="I32" s="98"/>
      <c r="J32" s="99"/>
    </row>
    <row r="33" spans="1:10">
      <c r="A33" s="100" t="s">
        <v>89</v>
      </c>
      <c r="B33" s="101">
        <f ca="1">+IF(B35&gt;151.67,1,B35/151.67)</f>
        <v>0.99997802246104484</v>
      </c>
      <c r="C33" s="101">
        <f ca="1">+IF(C35&gt;151.67,1,C35/151.67)</f>
        <v>0.99997802246104484</v>
      </c>
      <c r="D33" s="115">
        <f ca="1">SUM(B33:C33)</f>
        <v>1.9999560449220897</v>
      </c>
      <c r="E33" s="115">
        <f ca="1">+SUMIF(B32:C32,"oui",B33:C33)</f>
        <v>0.99997802246104484</v>
      </c>
      <c r="F33" s="115"/>
      <c r="G33" s="112"/>
      <c r="H33" s="112"/>
      <c r="I33" s="112"/>
      <c r="J33" s="113"/>
    </row>
    <row r="34" spans="1:10">
      <c r="A34" s="106" t="s">
        <v>90</v>
      </c>
      <c r="B34" s="107">
        <f ca="1">INDIRECT("'"&amp;B$12&amp;"'!d$25")</f>
        <v>4004</v>
      </c>
      <c r="C34" s="107">
        <f ca="1">INDIRECT("'"&amp;C$12&amp;"'!d$25")</f>
        <v>5003</v>
      </c>
      <c r="D34" s="108">
        <f ca="1">SUM(B34:C34)</f>
        <v>9007</v>
      </c>
      <c r="E34" s="108">
        <f ca="1">+SUMIF(B32:C32,"OUI",B42:C42)</f>
        <v>6007</v>
      </c>
      <c r="F34" s="108"/>
      <c r="G34" s="109">
        <f ca="1">+SUMIF(B11:C11,"cadre",B34:C34)</f>
        <v>0</v>
      </c>
      <c r="H34" s="109">
        <f ca="1">+SUMIF(B11:C11,"non cadre",B34:C34)</f>
        <v>5003</v>
      </c>
      <c r="I34" s="109">
        <f ca="1">+SUMIF(B11:C11,"dirigeant",B34:C34)</f>
        <v>0</v>
      </c>
      <c r="J34" s="110">
        <f ca="1">+SUMIF(B11:C11,"apprenti",B34:C34)</f>
        <v>4004</v>
      </c>
    </row>
    <row r="35" spans="1:10">
      <c r="A35" s="106" t="s">
        <v>91</v>
      </c>
      <c r="B35" s="111">
        <f ca="1">INDIRECT("'"&amp;B$12&amp;"'!g25")*52/12</f>
        <v>151.66666666666666</v>
      </c>
      <c r="C35" s="111">
        <f ca="1">INDIRECT("'"&amp;C$12&amp;"'!g25")*52/12</f>
        <v>151.66666666666666</v>
      </c>
      <c r="D35" s="108">
        <f ca="1">SUM(B35:C35)</f>
        <v>303.33333333333331</v>
      </c>
      <c r="E35" s="108">
        <f ca="1">+SUMIF(B32:C32,"OUI",B43:C43)</f>
        <v>455</v>
      </c>
      <c r="F35" s="108"/>
      <c r="G35" s="112"/>
      <c r="H35" s="112"/>
      <c r="I35" s="112"/>
      <c r="J35" s="113"/>
    </row>
    <row r="36" spans="1:10" hidden="1">
      <c r="A36" s="106" t="s">
        <v>92</v>
      </c>
      <c r="B36" s="114">
        <f ca="1">B35*$B$2*2.5+B25</f>
        <v>10840.375</v>
      </c>
      <c r="C36" s="114">
        <f ca="1">C35*$B$2*2.5+C25</f>
        <v>10840.375</v>
      </c>
      <c r="D36" s="115"/>
      <c r="E36" s="115"/>
      <c r="F36" s="115"/>
      <c r="G36" s="112"/>
      <c r="H36" s="112"/>
      <c r="I36" s="112"/>
      <c r="J36" s="113"/>
    </row>
    <row r="37" spans="1:10" s="120" customFormat="1">
      <c r="A37" s="116" t="s">
        <v>156</v>
      </c>
      <c r="B37" s="150" t="str">
        <f ca="1">INDIRECT("'"&amp;B$12&amp;"'!v$25")</f>
        <v/>
      </c>
      <c r="C37" s="117" t="str">
        <f ca="1">INDIRECT("'"&amp;C$12&amp;"'!v$25")</f>
        <v/>
      </c>
      <c r="D37" s="108"/>
      <c r="E37" s="108"/>
      <c r="F37" s="108">
        <f ca="1">+SUM(B37:C37)</f>
        <v>0</v>
      </c>
      <c r="G37" s="118"/>
      <c r="H37" s="118"/>
      <c r="I37" s="118"/>
      <c r="J37" s="119"/>
    </row>
    <row r="38" spans="1:10" s="120" customFormat="1">
      <c r="A38" s="121" t="s">
        <v>155</v>
      </c>
      <c r="B38" s="151">
        <f ca="1">INDIRECT("'"&amp;B$12&amp;"'!w$25")</f>
        <v>126.73480000000006</v>
      </c>
      <c r="C38" s="122" t="str">
        <f ca="1">INDIRECT("'"&amp;C$12&amp;"'!w$25")</f>
        <v/>
      </c>
      <c r="D38" s="123"/>
      <c r="E38" s="123"/>
      <c r="F38" s="108">
        <f ca="1">+SUM(B38:C38)</f>
        <v>126.73480000000006</v>
      </c>
      <c r="G38" s="124"/>
      <c r="H38" s="124"/>
      <c r="I38" s="124"/>
      <c r="J38" s="125"/>
    </row>
    <row r="39" spans="1:10" s="120" customFormat="1">
      <c r="A39" s="126"/>
      <c r="B39" s="114"/>
      <c r="C39" s="114"/>
      <c r="D39" s="115"/>
      <c r="E39" s="115"/>
      <c r="F39" s="115"/>
      <c r="G39" s="118"/>
      <c r="H39" s="118"/>
      <c r="I39" s="118"/>
      <c r="J39" s="118"/>
    </row>
    <row r="40" spans="1:10" s="120" customFormat="1">
      <c r="A40" s="128" t="s">
        <v>166</v>
      </c>
      <c r="B40" s="129"/>
      <c r="C40" s="129"/>
      <c r="D40" s="130"/>
      <c r="E40" s="130"/>
      <c r="F40" s="130"/>
      <c r="G40" s="131"/>
      <c r="H40" s="131"/>
      <c r="I40" s="131"/>
      <c r="J40" s="132"/>
    </row>
    <row r="41" spans="1:10" s="120" customFormat="1">
      <c r="A41" s="133" t="s">
        <v>89</v>
      </c>
      <c r="B41" s="114">
        <f ca="1">+(B33+B22+B14)/3</f>
        <v>0.99997802246104472</v>
      </c>
      <c r="C41" s="114">
        <f ca="1">+(C33+C22+C14)/3</f>
        <v>0.99997802246104472</v>
      </c>
      <c r="D41" s="115">
        <f ca="1">SUM(B41:C41)</f>
        <v>1.9999560449220894</v>
      </c>
      <c r="E41" s="115"/>
      <c r="F41" s="115"/>
      <c r="G41" s="118"/>
      <c r="H41" s="118"/>
      <c r="I41" s="118"/>
      <c r="J41" s="119"/>
    </row>
    <row r="42" spans="1:10" s="120" customFormat="1">
      <c r="A42" s="134" t="s">
        <v>90</v>
      </c>
      <c r="B42" s="135">
        <f ca="1">+(B34+B23+B15)</f>
        <v>6007</v>
      </c>
      <c r="C42" s="135">
        <f ca="1">+(C34+C23+C15)</f>
        <v>15006</v>
      </c>
      <c r="D42" s="108">
        <f ca="1">SUM(B42:C42)</f>
        <v>21013</v>
      </c>
      <c r="E42" s="108">
        <f ca="1">+E34</f>
        <v>6007</v>
      </c>
      <c r="F42" s="108"/>
      <c r="G42" s="136">
        <f ca="1">+G34+G23+G15</f>
        <v>0</v>
      </c>
      <c r="H42" s="136">
        <f ca="1">+H34+H23+H15</f>
        <v>15006</v>
      </c>
      <c r="I42" s="136">
        <f ca="1">+I34+I23+I15</f>
        <v>0</v>
      </c>
      <c r="J42" s="136">
        <f ca="1">+J34+J23+J15</f>
        <v>6007</v>
      </c>
    </row>
    <row r="43" spans="1:10" s="120" customFormat="1">
      <c r="A43" s="134" t="s">
        <v>91</v>
      </c>
      <c r="B43" s="135">
        <f ca="1">+(B35+B24+B16)</f>
        <v>455</v>
      </c>
      <c r="C43" s="135">
        <f ca="1">+(C35+C24+C16)</f>
        <v>455</v>
      </c>
      <c r="D43" s="108">
        <f ca="1">SUM(B43:C43)</f>
        <v>910</v>
      </c>
      <c r="E43" s="108">
        <f ca="1">+E35</f>
        <v>455</v>
      </c>
      <c r="F43" s="108"/>
      <c r="G43" s="118"/>
      <c r="H43" s="118"/>
      <c r="I43" s="118"/>
      <c r="J43" s="119"/>
    </row>
    <row r="44" spans="1:10" s="120" customFormat="1">
      <c r="A44" s="126" t="s">
        <v>156</v>
      </c>
      <c r="B44" s="150">
        <f ca="1">INDIRECT("'"&amp;B$12&amp;"'!d$46")</f>
        <v>436.10820000000001</v>
      </c>
      <c r="C44" s="150">
        <f ca="1">INDIRECT("'"&amp;C$12&amp;"'!d$46")</f>
        <v>0</v>
      </c>
      <c r="D44" s="108"/>
      <c r="E44" s="108"/>
      <c r="F44" s="108">
        <f ca="1">+F37+F26+F18</f>
        <v>562.84300000000007</v>
      </c>
      <c r="G44" s="118"/>
      <c r="H44" s="118"/>
      <c r="I44" s="118"/>
      <c r="J44" s="119"/>
    </row>
    <row r="45" spans="1:10" s="120" customFormat="1">
      <c r="A45" s="126" t="s">
        <v>155</v>
      </c>
      <c r="B45" s="150" t="str">
        <f ca="1">INDIRECT("'"&amp;B$12&amp;"'!e$46")</f>
        <v/>
      </c>
      <c r="C45" s="150">
        <f ca="1">INDIRECT("'"&amp;C$12&amp;"'!d$46")</f>
        <v>0</v>
      </c>
      <c r="D45" s="108"/>
      <c r="E45" s="108"/>
      <c r="F45" s="108">
        <f ca="1">+F38+F27+F19</f>
        <v>126.73480000000006</v>
      </c>
      <c r="G45" s="118"/>
      <c r="H45" s="118"/>
      <c r="I45" s="118"/>
      <c r="J45" s="119"/>
    </row>
    <row r="46" spans="1:10" s="120" customFormat="1" ht="15.75" thickBot="1">
      <c r="A46" s="137"/>
      <c r="B46" s="138"/>
      <c r="C46" s="138"/>
      <c r="D46" s="139"/>
      <c r="E46" s="139"/>
      <c r="F46" s="139"/>
      <c r="G46" s="140"/>
      <c r="H46" s="140"/>
      <c r="I46" s="140"/>
      <c r="J46" s="141"/>
    </row>
    <row r="47" spans="1:10" s="120" customFormat="1" ht="15.75" thickTop="1">
      <c r="A47" s="126"/>
      <c r="B47" s="114"/>
      <c r="C47" s="114"/>
      <c r="D47" s="115"/>
      <c r="E47" s="115"/>
      <c r="F47" s="115"/>
      <c r="G47" s="118"/>
      <c r="H47" s="118"/>
      <c r="I47" s="118"/>
      <c r="J47" s="118"/>
    </row>
    <row r="48" spans="1:10" s="120" customFormat="1">
      <c r="A48" s="126"/>
      <c r="B48" s="114"/>
      <c r="C48" s="114"/>
      <c r="D48" s="115"/>
      <c r="E48" s="115"/>
      <c r="F48" s="115"/>
      <c r="G48" s="118"/>
      <c r="H48" s="118"/>
      <c r="I48" s="118"/>
      <c r="J48" s="118"/>
    </row>
    <row r="49" spans="1:10">
      <c r="A49" s="142"/>
      <c r="B49" s="147"/>
      <c r="C49" s="147"/>
      <c r="D49" s="102"/>
      <c r="E49" s="102"/>
      <c r="F49" s="102"/>
      <c r="G49" s="112"/>
      <c r="H49" s="112"/>
      <c r="I49" s="112"/>
      <c r="J49" s="112"/>
    </row>
    <row r="50" spans="1:10" s="105" customFormat="1">
      <c r="A50" s="133"/>
      <c r="B50" s="148"/>
      <c r="C50" s="148"/>
      <c r="D50" s="102"/>
      <c r="E50" s="102"/>
      <c r="F50" s="102"/>
      <c r="G50" s="103"/>
      <c r="H50" s="103"/>
      <c r="I50" s="103"/>
      <c r="J50" s="103"/>
    </row>
    <row r="51" spans="1:10">
      <c r="A51" s="134"/>
      <c r="B51" s="149"/>
      <c r="C51" s="149"/>
      <c r="D51" s="115"/>
      <c r="E51" s="115"/>
      <c r="F51" s="115"/>
      <c r="G51" s="112"/>
      <c r="H51" s="112"/>
      <c r="I51" s="112"/>
      <c r="J51" s="112"/>
    </row>
    <row r="52" spans="1:10">
      <c r="A52" s="95" t="s">
        <v>39</v>
      </c>
      <c r="B52" s="96" t="str">
        <f t="shared" ref="B52:C52" ca="1" si="3">IF(B54&lt;B56,"Oui","Non")</f>
        <v>Oui</v>
      </c>
      <c r="C52" s="96" t="str">
        <f t="shared" ca="1" si="3"/>
        <v>Non</v>
      </c>
      <c r="D52" s="97"/>
      <c r="E52" s="97"/>
      <c r="F52" s="97"/>
      <c r="G52" s="98"/>
      <c r="H52" s="98"/>
      <c r="I52" s="98"/>
      <c r="J52" s="99"/>
    </row>
    <row r="53" spans="1:10">
      <c r="A53" s="100" t="s">
        <v>89</v>
      </c>
      <c r="B53" s="101">
        <f ca="1">+IF(B55&gt;151.67,1,B55/151.67)</f>
        <v>0.99997802246104484</v>
      </c>
      <c r="C53" s="101">
        <f t="shared" ref="C53" ca="1" si="4">+IF(C55&gt;151.67,1,C55/151.67)</f>
        <v>0.99997802246104484</v>
      </c>
      <c r="D53" s="102">
        <f ca="1">+SUM(B53:C53)</f>
        <v>1.9999560449220897</v>
      </c>
      <c r="E53" s="102">
        <f ca="1">+SUMIF(B52:C52,"oui",B53:C53)</f>
        <v>0.99997802246104484</v>
      </c>
      <c r="F53" s="102"/>
      <c r="G53" s="103"/>
      <c r="H53" s="103"/>
      <c r="I53" s="103"/>
      <c r="J53" s="104"/>
    </row>
    <row r="54" spans="1:10" s="120" customFormat="1">
      <c r="A54" s="106" t="s">
        <v>90</v>
      </c>
      <c r="B54" s="107">
        <f ca="1">INDIRECT("'"&amp;B$12&amp;"'!d$26")</f>
        <v>1004</v>
      </c>
      <c r="C54" s="107">
        <f ca="1">INDIRECT("'"&amp;C$12&amp;"'!d$26")</f>
        <v>5004</v>
      </c>
      <c r="D54" s="108">
        <f ca="1">SUM(B54:C54)</f>
        <v>6008</v>
      </c>
      <c r="E54" s="108">
        <f ca="1">+SUMIF(B52:C52,"OUI",B54:C54)</f>
        <v>1004</v>
      </c>
      <c r="F54" s="108"/>
      <c r="G54" s="109">
        <f ca="1">+SUMIF(B11:C11,"cadre",B54:C54)</f>
        <v>0</v>
      </c>
      <c r="H54" s="109">
        <f ca="1">+SUMIF(B11:C11,"non cadre",B54:C54)</f>
        <v>5004</v>
      </c>
      <c r="I54" s="109">
        <f ca="1">+SUMIF(B11:C11,"dirigeant",B54:C54)</f>
        <v>0</v>
      </c>
      <c r="J54" s="110">
        <f ca="1">+SUMIF(B11:C11,"apprenti",B54:C54)</f>
        <v>1004</v>
      </c>
    </row>
    <row r="55" spans="1:10" s="120" customFormat="1">
      <c r="A55" s="106" t="s">
        <v>91</v>
      </c>
      <c r="B55" s="111">
        <f ca="1">INDIRECT("'"&amp;B$12&amp;"'!g26")*52/12</f>
        <v>151.66666666666666</v>
      </c>
      <c r="C55" s="111">
        <f ca="1">INDIRECT("'"&amp;C$12&amp;"'!g26")*52/12</f>
        <v>151.66666666666666</v>
      </c>
      <c r="D55" s="108">
        <f ca="1">+SUM(B55:C55)</f>
        <v>303.33333333333331</v>
      </c>
      <c r="E55" s="108">
        <f ca="1">+SUMIF(B52:C52,"OUI",B55:C55)</f>
        <v>151.66666666666666</v>
      </c>
      <c r="F55" s="108"/>
      <c r="G55" s="112"/>
      <c r="H55" s="112"/>
      <c r="I55" s="112"/>
      <c r="J55" s="113"/>
    </row>
    <row r="56" spans="1:10" s="120" customFormat="1" hidden="1">
      <c r="A56" s="106" t="s">
        <v>92</v>
      </c>
      <c r="B56" s="114">
        <f ca="1">B55*$B$2*2.5</f>
        <v>3613.458333333333</v>
      </c>
      <c r="C56" s="114">
        <f ca="1">C55*$B$2*2.5</f>
        <v>3613.458333333333</v>
      </c>
      <c r="D56" s="115"/>
      <c r="E56" s="115"/>
      <c r="F56" s="115"/>
      <c r="G56" s="112"/>
      <c r="H56" s="112"/>
      <c r="I56" s="112"/>
      <c r="J56" s="113"/>
    </row>
    <row r="57" spans="1:10" s="120" customFormat="1">
      <c r="A57" s="116" t="s">
        <v>156</v>
      </c>
      <c r="B57" s="117">
        <f ca="1">INDIRECT("'"&amp;B$12&amp;"'!v$26")</f>
        <v>612.73740000000009</v>
      </c>
      <c r="C57" s="117" t="str">
        <f ca="1">INDIRECT("'"&amp;C$12&amp;"'!v$26")</f>
        <v/>
      </c>
      <c r="D57" s="108"/>
      <c r="E57" s="108"/>
      <c r="F57" s="108">
        <f ca="1">+SUM(B57:C57)</f>
        <v>612.73740000000009</v>
      </c>
      <c r="G57" s="118"/>
      <c r="H57" s="118"/>
      <c r="I57" s="118"/>
      <c r="J57" s="119"/>
    </row>
    <row r="58" spans="1:10">
      <c r="A58" s="121" t="s">
        <v>155</v>
      </c>
      <c r="B58" s="122" t="str">
        <f ca="1">INDIRECT("'"&amp;B$12&amp;"'!w$26")</f>
        <v/>
      </c>
      <c r="C58" s="122" t="str">
        <f ca="1">INDIRECT("'"&amp;C$12&amp;"'!w$26")</f>
        <v/>
      </c>
      <c r="D58" s="123"/>
      <c r="E58" s="123"/>
      <c r="F58" s="108">
        <f ca="1">+SUM(B58:C58)</f>
        <v>0</v>
      </c>
      <c r="G58" s="124"/>
      <c r="H58" s="124"/>
      <c r="I58" s="124"/>
      <c r="J58" s="125"/>
    </row>
    <row r="59" spans="1:10" s="105" customFormat="1">
      <c r="A59" s="126"/>
      <c r="B59" s="114"/>
      <c r="C59" s="114"/>
      <c r="D59" s="115"/>
      <c r="E59" s="115"/>
      <c r="F59" s="115"/>
      <c r="G59" s="118"/>
      <c r="H59" s="118"/>
      <c r="I59" s="118"/>
      <c r="J59" s="118"/>
    </row>
    <row r="60" spans="1:10">
      <c r="A60" s="95" t="s">
        <v>40</v>
      </c>
      <c r="B60" s="96" t="str">
        <f t="shared" ref="B60:C60" ca="1" si="5">IF((B62+B54)&lt;(B64),"Oui","Non")</f>
        <v>Oui</v>
      </c>
      <c r="C60" s="96" t="str">
        <f t="shared" ca="1" si="5"/>
        <v>Non</v>
      </c>
      <c r="D60" s="127"/>
      <c r="E60" s="127"/>
      <c r="F60" s="127"/>
      <c r="G60" s="98"/>
      <c r="H60" s="98"/>
      <c r="I60" s="98"/>
      <c r="J60" s="99"/>
    </row>
    <row r="61" spans="1:10">
      <c r="A61" s="100" t="s">
        <v>89</v>
      </c>
      <c r="B61" s="101">
        <f ca="1">+IF(B63&gt;151.67,1,B63/151.67)</f>
        <v>0.99997802246104484</v>
      </c>
      <c r="C61" s="101">
        <f ca="1">+IF(C63&gt;151.67,1,C63/151.67)</f>
        <v>0.99997802246104484</v>
      </c>
      <c r="D61" s="115">
        <f ca="1">SUM(B61:C61)</f>
        <v>1.9999560449220897</v>
      </c>
      <c r="E61" s="115">
        <f ca="1">+SUMIF(B60:C60,"oui",B61:C61)</f>
        <v>0.99997802246104484</v>
      </c>
      <c r="F61" s="115"/>
      <c r="G61" s="103"/>
      <c r="H61" s="103"/>
      <c r="I61" s="103"/>
      <c r="J61" s="104"/>
    </row>
    <row r="62" spans="1:10">
      <c r="A62" s="106" t="s">
        <v>90</v>
      </c>
      <c r="B62" s="107">
        <f ca="1">INDIRECT("'"&amp;B$12&amp;"'!d$27")</f>
        <v>1005</v>
      </c>
      <c r="C62" s="107">
        <f ca="1">INDIRECT("'"&amp;C$12&amp;"'!d$27")</f>
        <v>5005</v>
      </c>
      <c r="D62" s="108">
        <f ca="1">SUM(B62:C62)</f>
        <v>6010</v>
      </c>
      <c r="E62" s="108">
        <f ca="1">+SUMIF(B60:C60,"OUI",B62:C62)</f>
        <v>1005</v>
      </c>
      <c r="F62" s="108"/>
      <c r="G62" s="109">
        <f ca="1">+SUMIF(B11:C11,"cadre",B62:C62)</f>
        <v>0</v>
      </c>
      <c r="H62" s="109">
        <f ca="1">+SUMIF(B11:C11,"non cadre",C62:D62)</f>
        <v>6010</v>
      </c>
      <c r="I62" s="109">
        <f ca="1">+SUMIF(B11:C11,"dirigeant",D62:E62)</f>
        <v>0</v>
      </c>
      <c r="J62" s="109">
        <f ca="1">+SUMIF(B11:C11,"apprenti",E62:F62)</f>
        <v>1005</v>
      </c>
    </row>
    <row r="63" spans="1:10" s="120" customFormat="1">
      <c r="A63" s="106" t="s">
        <v>91</v>
      </c>
      <c r="B63" s="111">
        <f ca="1">INDIRECT("'"&amp;B$12&amp;"'!g27")*52/12</f>
        <v>151.66666666666666</v>
      </c>
      <c r="C63" s="111">
        <f ca="1">INDIRECT("'"&amp;C$12&amp;"'!g27")*52/12</f>
        <v>151.66666666666666</v>
      </c>
      <c r="D63" s="108">
        <f ca="1">SUM(B63:C63)</f>
        <v>303.33333333333331</v>
      </c>
      <c r="E63" s="108">
        <f ca="1">+SUMIF(B60:C60,"OUI",B63:C63)</f>
        <v>151.66666666666666</v>
      </c>
      <c r="F63" s="108"/>
      <c r="G63" s="112"/>
      <c r="H63" s="112"/>
      <c r="I63" s="112"/>
      <c r="J63" s="113"/>
    </row>
    <row r="64" spans="1:10" s="120" customFormat="1" hidden="1">
      <c r="A64" s="106" t="s">
        <v>92</v>
      </c>
      <c r="B64" s="114">
        <f ca="1">B63*$B$2*2.5+B56</f>
        <v>7226.9166666666661</v>
      </c>
      <c r="C64" s="114">
        <f ca="1">C63*$B$2*2.5+C56</f>
        <v>7226.9166666666661</v>
      </c>
      <c r="D64" s="115"/>
      <c r="E64" s="115"/>
      <c r="F64" s="115"/>
      <c r="G64" s="112"/>
      <c r="H64" s="112"/>
      <c r="I64" s="112"/>
      <c r="J64" s="113"/>
    </row>
    <row r="65" spans="1:10" s="120" customFormat="1">
      <c r="A65" s="116" t="s">
        <v>156</v>
      </c>
      <c r="B65" s="117">
        <f ca="1">INDIRECT("'"&amp;B$12&amp;"'!v$27")</f>
        <v>612.87120000000004</v>
      </c>
      <c r="C65" s="117" t="str">
        <f ca="1">INDIRECT("'"&amp;C$12&amp;"'!v$27")</f>
        <v/>
      </c>
      <c r="D65" s="108"/>
      <c r="E65" s="108"/>
      <c r="F65" s="108">
        <f ca="1">+SUM(B65:C65)</f>
        <v>612.87120000000004</v>
      </c>
      <c r="G65" s="118"/>
      <c r="H65" s="118"/>
      <c r="I65" s="118"/>
      <c r="J65" s="119"/>
    </row>
    <row r="66" spans="1:10" s="120" customFormat="1">
      <c r="A66" s="121" t="s">
        <v>155</v>
      </c>
      <c r="B66" s="122" t="str">
        <f ca="1">INDIRECT("'"&amp;B$12&amp;"'!w$27")</f>
        <v/>
      </c>
      <c r="C66" s="122" t="str">
        <f ca="1">INDIRECT("'"&amp;C$12&amp;"'!w$27")</f>
        <v/>
      </c>
      <c r="D66" s="123"/>
      <c r="E66" s="123"/>
      <c r="F66" s="108">
        <f ca="1">+SUM(B66:C66)</f>
        <v>0</v>
      </c>
      <c r="G66" s="124"/>
      <c r="H66" s="124"/>
      <c r="I66" s="124"/>
      <c r="J66" s="125"/>
    </row>
    <row r="67" spans="1:10">
      <c r="A67" s="126"/>
      <c r="B67" s="114"/>
      <c r="C67" s="114"/>
      <c r="D67" s="115"/>
      <c r="E67" s="115"/>
      <c r="F67" s="115"/>
      <c r="G67" s="118"/>
      <c r="H67" s="118"/>
      <c r="I67" s="118"/>
      <c r="J67" s="118"/>
    </row>
    <row r="68" spans="1:10">
      <c r="A68" s="126"/>
      <c r="B68" s="114"/>
      <c r="C68" s="114"/>
      <c r="D68" s="115"/>
      <c r="E68" s="115"/>
      <c r="F68" s="115"/>
      <c r="G68" s="118"/>
      <c r="H68" s="118"/>
      <c r="I68" s="118"/>
      <c r="J68" s="118"/>
    </row>
    <row r="69" spans="1:10">
      <c r="A69" s="95" t="s">
        <v>41</v>
      </c>
      <c r="B69" s="96" t="str">
        <f ca="1">IF((B62+B54+B71)&lt;B73,"Oui","Non")</f>
        <v>Oui</v>
      </c>
      <c r="C69" s="96" t="str">
        <f ca="1">IF((C62+C54+C71)&lt;C73,"Oui","Non")</f>
        <v>Non</v>
      </c>
      <c r="D69" s="127">
        <f ca="1">SUM(B69:C69)</f>
        <v>0</v>
      </c>
      <c r="E69" s="127"/>
      <c r="F69" s="127"/>
      <c r="G69" s="98"/>
      <c r="H69" s="98"/>
      <c r="I69" s="98"/>
      <c r="J69" s="99"/>
    </row>
    <row r="70" spans="1:10">
      <c r="A70" s="100" t="s">
        <v>89</v>
      </c>
      <c r="B70" s="101">
        <f ca="1">+IF(B72&gt;151.67,1,B72/151.67)</f>
        <v>0.99997802246104484</v>
      </c>
      <c r="C70" s="101">
        <f ca="1">+IF(C72&gt;151.67,1,C72/151.67)</f>
        <v>0.99997802246104484</v>
      </c>
      <c r="D70" s="115">
        <f ca="1">SUM(B70:C70)</f>
        <v>1.9999560449220897</v>
      </c>
      <c r="E70" s="115">
        <f ca="1">+SUMIF(B69:C69,"oui",B70:C70)</f>
        <v>0.99997802246104484</v>
      </c>
      <c r="F70" s="115"/>
      <c r="G70" s="112"/>
      <c r="H70" s="112"/>
      <c r="I70" s="112"/>
      <c r="J70" s="113"/>
    </row>
    <row r="71" spans="1:10">
      <c r="A71" s="106" t="s">
        <v>90</v>
      </c>
      <c r="B71" s="107">
        <f ca="1">INDIRECT("'"&amp;B$12&amp;"'!d$28")</f>
        <v>3006</v>
      </c>
      <c r="C71" s="107">
        <f ca="1">INDIRECT("'"&amp;C$12&amp;"'!d$28")</f>
        <v>5006</v>
      </c>
      <c r="D71" s="108">
        <f ca="1">SUM(B71:C71)</f>
        <v>8012</v>
      </c>
      <c r="E71" s="108">
        <f ca="1">+SUMIF(B69:C69,"OUI",B77:C77)</f>
        <v>0</v>
      </c>
      <c r="F71" s="108"/>
      <c r="G71" s="109">
        <f ca="1">+SUMIF(B11:C11,"cadre",B71:C71)</f>
        <v>0</v>
      </c>
      <c r="H71" s="109">
        <f ca="1">+SUMIF(B11:C11,"non cadre",C71:D71)</f>
        <v>8012</v>
      </c>
      <c r="I71" s="109">
        <f ca="1">+SUMIF(B11:C11,"dirigeant",D71:E71)</f>
        <v>0</v>
      </c>
      <c r="J71" s="110">
        <f ca="1">+SUMIF(B11:C11,"apprenti",E71:F71)</f>
        <v>0</v>
      </c>
    </row>
    <row r="72" spans="1:10" s="120" customFormat="1">
      <c r="A72" s="106" t="s">
        <v>91</v>
      </c>
      <c r="B72" s="111">
        <f ca="1">INDIRECT("'"&amp;B$12&amp;"'!g28")*52/12</f>
        <v>151.66666666666666</v>
      </c>
      <c r="C72" s="111">
        <f ca="1">INDIRECT("'"&amp;C$12&amp;"'!g28")*52/12</f>
        <v>151.66666666666666</v>
      </c>
      <c r="D72" s="108">
        <f ca="1">SUM(B72:C72)</f>
        <v>303.33333333333331</v>
      </c>
      <c r="E72" s="108">
        <f ca="1">+SUMIF(B69:C69,"OUI",B72:C72)</f>
        <v>151.66666666666666</v>
      </c>
      <c r="F72" s="108"/>
      <c r="G72" s="112"/>
      <c r="H72" s="112"/>
      <c r="I72" s="112"/>
      <c r="J72" s="113"/>
    </row>
    <row r="73" spans="1:10" s="120" customFormat="1" hidden="1">
      <c r="A73" s="106" t="s">
        <v>92</v>
      </c>
      <c r="B73" s="114">
        <f ca="1">B72*$B$2*2.5+B64</f>
        <v>10840.375</v>
      </c>
      <c r="C73" s="114">
        <f ca="1">C72*$B$2*2.5+C64</f>
        <v>10840.375</v>
      </c>
      <c r="D73" s="115"/>
      <c r="E73" s="115"/>
      <c r="F73" s="115"/>
      <c r="G73" s="112"/>
      <c r="H73" s="112"/>
      <c r="I73" s="112"/>
      <c r="J73" s="113"/>
    </row>
    <row r="74" spans="1:10" s="120" customFormat="1">
      <c r="A74" s="116" t="s">
        <v>156</v>
      </c>
      <c r="B74" s="117" t="str">
        <f ca="1">INDIRECT("'"&amp;B$12&amp;"'!v$28")</f>
        <v/>
      </c>
      <c r="C74" s="117" t="str">
        <f ca="1">INDIRECT("'"&amp;C$12&amp;"'!v$28")</f>
        <v/>
      </c>
      <c r="D74" s="108"/>
      <c r="E74" s="108"/>
      <c r="F74" s="108">
        <f ca="1">+SUM(B74:C74)</f>
        <v>0</v>
      </c>
      <c r="G74" s="118"/>
      <c r="H74" s="118"/>
      <c r="I74" s="118"/>
      <c r="J74" s="119"/>
    </row>
    <row r="75" spans="1:10" s="120" customFormat="1">
      <c r="A75" s="121" t="s">
        <v>155</v>
      </c>
      <c r="B75" s="122">
        <f ca="1">INDIRECT("'"&amp;B$12&amp;"'!w$28")</f>
        <v>324.7482</v>
      </c>
      <c r="C75" s="122" t="str">
        <f ca="1">INDIRECT("'"&amp;C$12&amp;"'!w$28")</f>
        <v/>
      </c>
      <c r="D75" s="123"/>
      <c r="E75" s="123"/>
      <c r="F75" s="108">
        <f ca="1">+SUM(B75:C75)</f>
        <v>324.7482</v>
      </c>
      <c r="G75" s="124"/>
      <c r="H75" s="124"/>
      <c r="I75" s="124"/>
      <c r="J75" s="125"/>
    </row>
    <row r="76" spans="1:10" s="120" customFormat="1">
      <c r="A76" s="126"/>
      <c r="B76" s="114"/>
      <c r="C76" s="114"/>
      <c r="D76" s="115"/>
      <c r="E76" s="115"/>
      <c r="F76" s="115"/>
      <c r="G76" s="118"/>
      <c r="H76" s="118"/>
      <c r="I76" s="118"/>
      <c r="J76" s="118"/>
    </row>
    <row r="77" spans="1:10" s="120" customFormat="1">
      <c r="A77" s="128" t="s">
        <v>171</v>
      </c>
      <c r="B77" s="129"/>
      <c r="C77" s="129"/>
      <c r="D77" s="130"/>
      <c r="E77" s="130"/>
      <c r="F77" s="130"/>
      <c r="G77" s="131"/>
      <c r="H77" s="131"/>
      <c r="I77" s="131"/>
      <c r="J77" s="132"/>
    </row>
    <row r="78" spans="1:10" s="120" customFormat="1">
      <c r="A78" s="133" t="s">
        <v>89</v>
      </c>
      <c r="B78" s="114">
        <f ca="1">+(B70+B61+B53)/3</f>
        <v>0.99997802246104472</v>
      </c>
      <c r="C78" s="114">
        <f ca="1">+(C70+C61+C53)/3</f>
        <v>0.99997802246104472</v>
      </c>
      <c r="D78" s="115">
        <f ca="1">SUM(B78:C78)</f>
        <v>1.9999560449220894</v>
      </c>
      <c r="E78" s="115"/>
      <c r="F78" s="115"/>
      <c r="G78" s="118"/>
      <c r="H78" s="118"/>
      <c r="I78" s="118"/>
      <c r="J78" s="119"/>
    </row>
    <row r="79" spans="1:10" s="120" customFormat="1">
      <c r="A79" s="134" t="s">
        <v>90</v>
      </c>
      <c r="B79" s="135">
        <f ca="1">+(B71+B62+B54)</f>
        <v>5015</v>
      </c>
      <c r="C79" s="135">
        <f ca="1">+(C71+C62+C54)</f>
        <v>15015</v>
      </c>
      <c r="D79" s="108">
        <f ca="1">SUM(B79:C79)</f>
        <v>20030</v>
      </c>
      <c r="E79" s="108">
        <f ca="1">+E71</f>
        <v>0</v>
      </c>
      <c r="F79" s="108"/>
      <c r="G79" s="136">
        <f ca="1">+G71+G62+G54</f>
        <v>0</v>
      </c>
      <c r="H79" s="136">
        <f t="shared" ref="H79:J79" ca="1" si="6">+H71+H62+H54</f>
        <v>19026</v>
      </c>
      <c r="I79" s="136">
        <f t="shared" ca="1" si="6"/>
        <v>0</v>
      </c>
      <c r="J79" s="136">
        <f t="shared" ca="1" si="6"/>
        <v>2009</v>
      </c>
    </row>
    <row r="80" spans="1:10" s="120" customFormat="1">
      <c r="A80" s="134" t="s">
        <v>91</v>
      </c>
      <c r="B80" s="135">
        <f ca="1">+(B72+B63+B55)</f>
        <v>455</v>
      </c>
      <c r="C80" s="135">
        <f ca="1">+(C72+C63+C55)</f>
        <v>455</v>
      </c>
      <c r="D80" s="108">
        <f ca="1">SUM(B80:C80)</f>
        <v>910</v>
      </c>
      <c r="E80" s="108">
        <f ca="1">+E72</f>
        <v>151.66666666666666</v>
      </c>
      <c r="F80" s="108"/>
      <c r="G80" s="118"/>
      <c r="H80" s="118"/>
      <c r="I80" s="118"/>
      <c r="J80" s="119"/>
    </row>
    <row r="81" spans="1:10" s="120" customFormat="1">
      <c r="A81" s="126" t="s">
        <v>156</v>
      </c>
      <c r="B81" s="150" t="str">
        <f ca="1">+IF(ISERROR(B74+B65+B57),"",(B74+B65+B57))</f>
        <v/>
      </c>
      <c r="C81" s="150" t="str">
        <f ca="1">+IF(ISERROR(C74+C65+C57),"",(C74+C65+C57))</f>
        <v/>
      </c>
      <c r="D81" s="108"/>
      <c r="E81" s="108"/>
      <c r="F81" s="108">
        <f ca="1">+F74+F65+F57</f>
        <v>1225.6086</v>
      </c>
      <c r="G81" s="118"/>
      <c r="H81" s="118"/>
      <c r="I81" s="118"/>
      <c r="J81" s="119"/>
    </row>
    <row r="82" spans="1:10">
      <c r="A82" s="126" t="s">
        <v>155</v>
      </c>
      <c r="B82" s="150" t="str">
        <f ca="1">+IF(ISERROR(B75+B66+B58),"",(B75+B66+B58))</f>
        <v/>
      </c>
      <c r="C82" s="150" t="str">
        <f ca="1">+IF(ISERROR(C75+C66+C58),"",(C75+C66+C58))</f>
        <v/>
      </c>
      <c r="D82" s="108"/>
      <c r="E82" s="108"/>
      <c r="F82" s="108">
        <f ca="1">+F75+F66+F58</f>
        <v>324.7482</v>
      </c>
      <c r="G82" s="118"/>
      <c r="H82" s="118"/>
      <c r="I82" s="118"/>
      <c r="J82" s="119"/>
    </row>
    <row r="83" spans="1:10" s="105" customFormat="1" ht="15.75" thickBot="1">
      <c r="A83" s="137"/>
      <c r="B83" s="138"/>
      <c r="C83" s="138"/>
      <c r="D83" s="139"/>
      <c r="E83" s="139"/>
      <c r="F83" s="139"/>
      <c r="G83" s="140"/>
      <c r="H83" s="140"/>
      <c r="I83" s="140"/>
      <c r="J83" s="141"/>
    </row>
    <row r="84" spans="1:10" ht="15.75" thickTop="1">
      <c r="A84" s="134"/>
      <c r="B84" s="149"/>
      <c r="C84" s="149"/>
      <c r="D84" s="115"/>
      <c r="E84" s="115"/>
      <c r="F84" s="115"/>
      <c r="G84" s="112"/>
      <c r="H84" s="112"/>
      <c r="I84" s="112"/>
      <c r="J84" s="112"/>
    </row>
    <row r="85" spans="1:10">
      <c r="A85" s="134"/>
      <c r="B85" s="147"/>
      <c r="C85" s="147"/>
      <c r="D85" s="115"/>
      <c r="E85" s="115"/>
      <c r="F85" s="115"/>
      <c r="G85" s="112"/>
      <c r="H85" s="112"/>
      <c r="I85" s="112"/>
      <c r="J85" s="112"/>
    </row>
    <row r="86" spans="1:10">
      <c r="A86" s="126"/>
      <c r="B86" s="114"/>
      <c r="C86" s="114"/>
      <c r="D86" s="115"/>
      <c r="E86" s="115"/>
      <c r="F86" s="115"/>
      <c r="G86" s="118"/>
      <c r="H86" s="118"/>
      <c r="I86" s="118"/>
      <c r="J86" s="118"/>
    </row>
    <row r="87" spans="1:10" s="120" customFormat="1">
      <c r="A87" s="126"/>
      <c r="B87" s="114"/>
      <c r="C87" s="114"/>
      <c r="D87" s="115"/>
      <c r="E87" s="115"/>
      <c r="F87" s="115"/>
      <c r="G87" s="118"/>
      <c r="H87" s="118"/>
      <c r="I87" s="118"/>
      <c r="J87" s="118"/>
    </row>
    <row r="88" spans="1:10" s="120" customFormat="1">
      <c r="A88" s="126"/>
      <c r="B88" s="114"/>
      <c r="C88" s="114"/>
      <c r="D88" s="115"/>
      <c r="E88" s="115"/>
      <c r="F88" s="115"/>
      <c r="G88" s="118"/>
      <c r="H88" s="118"/>
      <c r="I88" s="118"/>
      <c r="J88" s="118"/>
    </row>
    <row r="89" spans="1:10" s="120" customFormat="1">
      <c r="A89" s="95" t="s">
        <v>42</v>
      </c>
      <c r="B89" s="96" t="str">
        <f t="shared" ref="B89:C89" ca="1" si="7">IF(B91&lt;B93,"Oui","Non")</f>
        <v>Oui</v>
      </c>
      <c r="C89" s="96" t="str">
        <f t="shared" ca="1" si="7"/>
        <v>Non</v>
      </c>
      <c r="D89" s="97"/>
      <c r="E89" s="97"/>
      <c r="F89" s="97"/>
      <c r="G89" s="98"/>
      <c r="H89" s="98"/>
      <c r="I89" s="98"/>
      <c r="J89" s="99"/>
    </row>
    <row r="90" spans="1:10" s="120" customFormat="1">
      <c r="A90" s="100" t="s">
        <v>89</v>
      </c>
      <c r="B90" s="101">
        <f ca="1">+IF(B92&gt;151.67,1,B92/151.67)</f>
        <v>0.99997802246104484</v>
      </c>
      <c r="C90" s="101">
        <f t="shared" ref="C90" ca="1" si="8">+IF(C92&gt;151.67,1,C92/151.67)</f>
        <v>0.99997802246104484</v>
      </c>
      <c r="D90" s="102">
        <f ca="1">+SUM(B90:C90)</f>
        <v>1.9999560449220897</v>
      </c>
      <c r="E90" s="102">
        <f ca="1">+SUMIF(B89:C89,"oui",B90:C90)</f>
        <v>0.99997802246104484</v>
      </c>
      <c r="F90" s="102"/>
      <c r="G90" s="103"/>
      <c r="H90" s="103"/>
      <c r="I90" s="103"/>
      <c r="J90" s="104"/>
    </row>
    <row r="91" spans="1:10" s="120" customFormat="1">
      <c r="A91" s="106" t="s">
        <v>90</v>
      </c>
      <c r="B91" s="107">
        <f ca="1">INDIRECT("'"&amp;B$12&amp;"'!d$29")</f>
        <v>1007</v>
      </c>
      <c r="C91" s="107">
        <f ca="1">INDIRECT("'"&amp;C$12&amp;"'!d$29")</f>
        <v>5007</v>
      </c>
      <c r="D91" s="108">
        <f ca="1">SUM(B91:C91)</f>
        <v>6014</v>
      </c>
      <c r="E91" s="108">
        <f ca="1">+SUMIF(B89:C89,"OUI",B91:C91)</f>
        <v>1007</v>
      </c>
      <c r="F91" s="108"/>
      <c r="G91" s="109">
        <f ca="1">+SUMIF(B11:C11,"cadre",B91:C91)</f>
        <v>0</v>
      </c>
      <c r="H91" s="109">
        <f ca="1">+SUMIF(B11:C11,"non cadre",B91:C91)</f>
        <v>5007</v>
      </c>
      <c r="I91" s="109">
        <f ca="1">+SUMIF(B11:C11,"dirigeant",B91:C91)</f>
        <v>0</v>
      </c>
      <c r="J91" s="110">
        <f ca="1">+SUMIF(B11:C11,"apprenti",B91:C91)</f>
        <v>1007</v>
      </c>
    </row>
    <row r="92" spans="1:10">
      <c r="A92" s="106" t="s">
        <v>91</v>
      </c>
      <c r="B92" s="111">
        <f ca="1">INDIRECT("'"&amp;B$12&amp;"'!g29")*52/12</f>
        <v>151.66666666666666</v>
      </c>
      <c r="C92" s="111">
        <f ca="1">INDIRECT("'"&amp;C$12&amp;"'!g29")*52/12</f>
        <v>151.66666666666666</v>
      </c>
      <c r="D92" s="108">
        <f ca="1">+SUM(B92:C92)</f>
        <v>303.33333333333331</v>
      </c>
      <c r="E92" s="108">
        <f ca="1">+SUMIF(B89:C89,"OUI",B92:C92)</f>
        <v>151.66666666666666</v>
      </c>
      <c r="F92" s="108"/>
      <c r="G92" s="112"/>
      <c r="H92" s="112"/>
      <c r="I92" s="112"/>
      <c r="J92" s="113"/>
    </row>
    <row r="93" spans="1:10" s="105" customFormat="1" hidden="1">
      <c r="A93" s="106" t="s">
        <v>92</v>
      </c>
      <c r="B93" s="114">
        <f ca="1">B92*$B$2*2.5</f>
        <v>3613.458333333333</v>
      </c>
      <c r="C93" s="114">
        <f ca="1">C92*$B$2*2.5</f>
        <v>3613.458333333333</v>
      </c>
      <c r="D93" s="115"/>
      <c r="E93" s="115"/>
      <c r="F93" s="115"/>
      <c r="G93" s="112"/>
      <c r="H93" s="112"/>
      <c r="I93" s="112"/>
      <c r="J93" s="113"/>
    </row>
    <row r="94" spans="1:10">
      <c r="A94" s="116" t="s">
        <v>156</v>
      </c>
      <c r="B94" s="117">
        <f ca="1">INDIRECT("'"&amp;B$12&amp;"'!v$29")</f>
        <v>611.72939999999994</v>
      </c>
      <c r="C94" s="117" t="str">
        <f ca="1">INDIRECT("'"&amp;C$12&amp;"'!v$29")</f>
        <v/>
      </c>
      <c r="D94" s="108"/>
      <c r="E94" s="108"/>
      <c r="F94" s="108">
        <f ca="1">+SUM(B94:C94)</f>
        <v>611.72939999999994</v>
      </c>
      <c r="G94" s="118"/>
      <c r="H94" s="118"/>
      <c r="I94" s="118"/>
      <c r="J94" s="119"/>
    </row>
    <row r="95" spans="1:10">
      <c r="A95" s="121" t="s">
        <v>155</v>
      </c>
      <c r="B95" s="122" t="str">
        <f ca="1">INDIRECT("'"&amp;B$12&amp;"'!w$29")</f>
        <v/>
      </c>
      <c r="C95" s="122" t="str">
        <f ca="1">INDIRECT("'"&amp;C$12&amp;"'!w$29")</f>
        <v/>
      </c>
      <c r="D95" s="123"/>
      <c r="E95" s="123"/>
      <c r="F95" s="108">
        <f ca="1">+SUM(B95:C95)</f>
        <v>0</v>
      </c>
      <c r="G95" s="124"/>
      <c r="H95" s="124"/>
      <c r="I95" s="124"/>
      <c r="J95" s="125"/>
    </row>
    <row r="96" spans="1:10">
      <c r="A96" s="126"/>
      <c r="B96" s="114"/>
      <c r="C96" s="114"/>
      <c r="D96" s="115"/>
      <c r="E96" s="115"/>
      <c r="F96" s="115"/>
      <c r="G96" s="118"/>
      <c r="H96" s="118"/>
      <c r="I96" s="118"/>
      <c r="J96" s="118"/>
    </row>
    <row r="97" spans="1:10" s="120" customFormat="1">
      <c r="A97" s="95" t="s">
        <v>172</v>
      </c>
      <c r="B97" s="96" t="str">
        <f t="shared" ref="B97:C97" ca="1" si="9">IF((B99+B91)&lt;(B101),"Oui","Non")</f>
        <v>Oui</v>
      </c>
      <c r="C97" s="96" t="str">
        <f t="shared" ca="1" si="9"/>
        <v>Non</v>
      </c>
      <c r="D97" s="127"/>
      <c r="E97" s="127"/>
      <c r="F97" s="127"/>
      <c r="G97" s="98"/>
      <c r="H97" s="98"/>
      <c r="I97" s="98"/>
      <c r="J97" s="99"/>
    </row>
    <row r="98" spans="1:10" s="120" customFormat="1">
      <c r="A98" s="100" t="s">
        <v>89</v>
      </c>
      <c r="B98" s="101">
        <f ca="1">+IF(B100&gt;151.67,1,B100/151.67)</f>
        <v>0.99997802246104484</v>
      </c>
      <c r="C98" s="101">
        <f ca="1">+IF(C100&gt;151.67,1,C100/151.67)</f>
        <v>0.99997802246104484</v>
      </c>
      <c r="D98" s="115">
        <f ca="1">SUM(B98:C98)</f>
        <v>1.9999560449220897</v>
      </c>
      <c r="E98" s="115">
        <f ca="1">+SUMIF(B97:C97,"oui",B98:C98)</f>
        <v>0.99997802246104484</v>
      </c>
      <c r="F98" s="115"/>
      <c r="G98" s="103"/>
      <c r="H98" s="103"/>
      <c r="I98" s="103"/>
      <c r="J98" s="104"/>
    </row>
    <row r="99" spans="1:10" s="120" customFormat="1">
      <c r="A99" s="106" t="s">
        <v>90</v>
      </c>
      <c r="B99" s="107">
        <f ca="1">INDIRECT("'"&amp;B$12&amp;"'!d$30")</f>
        <v>1008</v>
      </c>
      <c r="C99" s="107">
        <f ca="1">INDIRECT("'"&amp;C$12&amp;"'!d$30")</f>
        <v>5008</v>
      </c>
      <c r="D99" s="108">
        <f ca="1">SUM(B99:C99)</f>
        <v>6016</v>
      </c>
      <c r="E99" s="108">
        <f ca="1">+SUMIF(B97:C97,"OUI",B99:C99)</f>
        <v>1008</v>
      </c>
      <c r="F99" s="108"/>
      <c r="G99" s="109">
        <f ca="1">+SUMIF(B11:C11,"cadre",B99:C99)</f>
        <v>0</v>
      </c>
      <c r="H99" s="109">
        <f ca="1">+SUMIF(B11:C11,"non cadre",C99:D99)</f>
        <v>6016</v>
      </c>
      <c r="I99" s="109">
        <f ca="1">+SUMIF(B11:C11,"dirigeant",D99:E99)</f>
        <v>0</v>
      </c>
      <c r="J99" s="109">
        <f ca="1">+SUMIF(B11:C11,"apprenti",E99:F99)</f>
        <v>1008</v>
      </c>
    </row>
    <row r="100" spans="1:10" s="120" customFormat="1">
      <c r="A100" s="106" t="s">
        <v>91</v>
      </c>
      <c r="B100" s="111">
        <f ca="1">INDIRECT("'"&amp;B$12&amp;"'!g30")*52/12</f>
        <v>151.66666666666666</v>
      </c>
      <c r="C100" s="111">
        <f ca="1">INDIRECT("'"&amp;C$12&amp;"'!g30")*52/12</f>
        <v>151.66666666666666</v>
      </c>
      <c r="D100" s="108">
        <f ca="1">SUM(B100:C100)</f>
        <v>303.33333333333331</v>
      </c>
      <c r="E100" s="108">
        <f ca="1">+SUMIF(B97:C97,"OUI",B100:C100)</f>
        <v>151.66666666666666</v>
      </c>
      <c r="F100" s="108"/>
      <c r="G100" s="112"/>
      <c r="H100" s="112"/>
      <c r="I100" s="112"/>
      <c r="J100" s="113"/>
    </row>
    <row r="101" spans="1:10" s="120" customFormat="1" hidden="1">
      <c r="A101" s="106" t="s">
        <v>92</v>
      </c>
      <c r="B101" s="114">
        <f ca="1">B100*$B$2*2.5+B93</f>
        <v>7226.9166666666661</v>
      </c>
      <c r="C101" s="114">
        <f ca="1">C100*$B$2*2.5+C93</f>
        <v>7226.9166666666661</v>
      </c>
      <c r="D101" s="115"/>
      <c r="E101" s="115"/>
      <c r="F101" s="115"/>
      <c r="G101" s="112"/>
      <c r="H101" s="112"/>
      <c r="I101" s="112"/>
      <c r="J101" s="113"/>
    </row>
    <row r="102" spans="1:10">
      <c r="A102" s="116" t="s">
        <v>156</v>
      </c>
      <c r="B102" s="117">
        <f ca="1">INDIRECT("'"&amp;B$12&amp;"'!v$30")</f>
        <v>610.46510000000012</v>
      </c>
      <c r="C102" s="117" t="str">
        <f ca="1">INDIRECT("'"&amp;C$12&amp;"'!v$30")</f>
        <v/>
      </c>
      <c r="D102" s="108"/>
      <c r="E102" s="108"/>
      <c r="F102" s="108">
        <f ca="1">+SUM(B102:C102)</f>
        <v>610.46510000000012</v>
      </c>
      <c r="G102" s="118"/>
      <c r="H102" s="118"/>
      <c r="I102" s="118"/>
      <c r="J102" s="119"/>
    </row>
    <row r="103" spans="1:10">
      <c r="A103" s="121" t="s">
        <v>155</v>
      </c>
      <c r="B103" s="122" t="str">
        <f ca="1">INDIRECT("'"&amp;B$12&amp;"'!w$30")</f>
        <v/>
      </c>
      <c r="C103" s="122" t="str">
        <f ca="1">INDIRECT("'"&amp;C$12&amp;"'!w$30")</f>
        <v/>
      </c>
      <c r="D103" s="123"/>
      <c r="E103" s="123"/>
      <c r="F103" s="108">
        <f ca="1">+SUM(B103:C103)</f>
        <v>0</v>
      </c>
      <c r="G103" s="124"/>
      <c r="H103" s="124"/>
      <c r="I103" s="124"/>
      <c r="J103" s="125"/>
    </row>
    <row r="104" spans="1:10">
      <c r="A104" s="126"/>
      <c r="B104" s="114"/>
      <c r="C104" s="114"/>
      <c r="D104" s="115"/>
      <c r="E104" s="115"/>
      <c r="F104" s="115"/>
      <c r="G104" s="118"/>
      <c r="H104" s="118"/>
      <c r="I104" s="118"/>
      <c r="J104" s="118"/>
    </row>
    <row r="105" spans="1:10">
      <c r="A105" s="126"/>
      <c r="B105" s="114"/>
      <c r="C105" s="114"/>
      <c r="D105" s="115"/>
      <c r="E105" s="115"/>
      <c r="F105" s="115"/>
      <c r="G105" s="118"/>
      <c r="H105" s="118"/>
      <c r="I105" s="118"/>
      <c r="J105" s="118"/>
    </row>
    <row r="106" spans="1:10">
      <c r="A106" s="95" t="s">
        <v>44</v>
      </c>
      <c r="B106" s="96" t="str">
        <f ca="1">IF((B99+B91+B108)&lt;B110,"Oui","Non")</f>
        <v>Oui</v>
      </c>
      <c r="C106" s="96" t="str">
        <f ca="1">IF((C99+C91+C108)&lt;C110,"Oui","Non")</f>
        <v>Non</v>
      </c>
      <c r="D106" s="127">
        <f ca="1">SUM(B106:C106)</f>
        <v>0</v>
      </c>
      <c r="E106" s="127"/>
      <c r="F106" s="127"/>
      <c r="G106" s="98"/>
      <c r="H106" s="98"/>
      <c r="I106" s="98"/>
      <c r="J106" s="99"/>
    </row>
    <row r="107" spans="1:10" s="120" customFormat="1">
      <c r="A107" s="100" t="s">
        <v>89</v>
      </c>
      <c r="B107" s="101">
        <f ca="1">+IF(B109&gt;151.67,1,B109/151.67)</f>
        <v>0.99997802246104484</v>
      </c>
      <c r="C107" s="101">
        <f ca="1">+IF(C109&gt;151.67,1,C109/151.67)</f>
        <v>0.99997802246104484</v>
      </c>
      <c r="D107" s="115">
        <f ca="1">SUM(B107:C107)</f>
        <v>1.9999560449220897</v>
      </c>
      <c r="E107" s="115">
        <f ca="1">+SUMIF(B106:C106,"oui",B107:C107)</f>
        <v>0.99997802246104484</v>
      </c>
      <c r="F107" s="115"/>
      <c r="G107" s="112"/>
      <c r="H107" s="112"/>
      <c r="I107" s="112"/>
      <c r="J107" s="113"/>
    </row>
    <row r="108" spans="1:10" s="120" customFormat="1">
      <c r="A108" s="106" t="s">
        <v>90</v>
      </c>
      <c r="B108" s="107">
        <f ca="1">INDIRECT("'"&amp;B$12&amp;"'!d$31")</f>
        <v>3009</v>
      </c>
      <c r="C108" s="107">
        <f ca="1">INDIRECT("'"&amp;C$12&amp;"'!d$31")</f>
        <v>5009</v>
      </c>
      <c r="D108" s="108">
        <f ca="1">SUM(B108:C108)</f>
        <v>8018</v>
      </c>
      <c r="E108" s="108">
        <f ca="1">+SUMIF(B106:C106,"OUI",B114:C114)</f>
        <v>0</v>
      </c>
      <c r="F108" s="108"/>
      <c r="G108" s="109">
        <f ca="1">+SUMIF(B11:C11,"cadre",B108:C108)</f>
        <v>0</v>
      </c>
      <c r="H108" s="109">
        <f ca="1">+SUMIF(B11:C11,"non cadre",C108:D108)</f>
        <v>8018</v>
      </c>
      <c r="I108" s="109">
        <f ca="1">+SUMIF(B11:C11,"dirigeant",D108:E108)</f>
        <v>0</v>
      </c>
      <c r="J108" s="110">
        <f ca="1">+SUMIF(B11:C11,"apprenti",E108:F108)</f>
        <v>0</v>
      </c>
    </row>
    <row r="109" spans="1:10" s="120" customFormat="1">
      <c r="A109" s="106" t="s">
        <v>91</v>
      </c>
      <c r="B109" s="111">
        <f ca="1">INDIRECT("'"&amp;B$12&amp;"'!g31")*52/12</f>
        <v>151.66666666666666</v>
      </c>
      <c r="C109" s="111">
        <f ca="1">INDIRECT("'"&amp;C$12&amp;"'!g31")*52/12</f>
        <v>151.66666666666666</v>
      </c>
      <c r="D109" s="108">
        <f ca="1">SUM(B109:C109)</f>
        <v>303.33333333333331</v>
      </c>
      <c r="E109" s="108">
        <f ca="1">+SUMIF(B106:C106,"OUI",B109:C109)</f>
        <v>151.66666666666666</v>
      </c>
      <c r="F109" s="108"/>
      <c r="G109" s="112"/>
      <c r="H109" s="112"/>
      <c r="I109" s="112"/>
      <c r="J109" s="113"/>
    </row>
    <row r="110" spans="1:10" s="120" customFormat="1" hidden="1">
      <c r="A110" s="106" t="s">
        <v>92</v>
      </c>
      <c r="B110" s="114">
        <f ca="1">B109*$B$2*2.5+B101</f>
        <v>10840.375</v>
      </c>
      <c r="C110" s="114">
        <f ca="1">C109*$B$2*2.5+C101</f>
        <v>10840.375</v>
      </c>
      <c r="D110" s="115"/>
      <c r="E110" s="115"/>
      <c r="F110" s="115"/>
      <c r="G110" s="112"/>
      <c r="H110" s="112"/>
      <c r="I110" s="112"/>
      <c r="J110" s="113"/>
    </row>
    <row r="111" spans="1:10" s="120" customFormat="1">
      <c r="A111" s="116" t="s">
        <v>156</v>
      </c>
      <c r="B111" s="117" t="str">
        <f ca="1">INDIRECT("'"&amp;B$12&amp;"'!v$25")</f>
        <v/>
      </c>
      <c r="C111" s="117" t="str">
        <f ca="1">INDIRECT("'"&amp;C$12&amp;"'!v$25")</f>
        <v/>
      </c>
      <c r="D111" s="108"/>
      <c r="E111" s="108"/>
      <c r="F111" s="108">
        <f ca="1">+SUM(B111:C111)</f>
        <v>0</v>
      </c>
      <c r="G111" s="118"/>
      <c r="H111" s="118"/>
      <c r="I111" s="118"/>
      <c r="J111" s="119"/>
    </row>
    <row r="112" spans="1:10" s="120" customFormat="1">
      <c r="A112" s="121" t="s">
        <v>155</v>
      </c>
      <c r="B112" s="122">
        <f ca="1">INDIRECT("'"&amp;B$12&amp;"'!w$31")</f>
        <v>325.5599000000002</v>
      </c>
      <c r="C112" s="122" t="str">
        <f ca="1">INDIRECT("'"&amp;C$12&amp;"'!w$31")</f>
        <v/>
      </c>
      <c r="D112" s="123"/>
      <c r="E112" s="123"/>
      <c r="F112" s="108">
        <f ca="1">+SUM(B112:C112)</f>
        <v>325.5599000000002</v>
      </c>
      <c r="G112" s="124"/>
      <c r="H112" s="124"/>
      <c r="I112" s="124"/>
      <c r="J112" s="125"/>
    </row>
    <row r="113" spans="1:10" s="120" customFormat="1">
      <c r="A113" s="126"/>
      <c r="B113" s="114"/>
      <c r="C113" s="114"/>
      <c r="D113" s="115"/>
      <c r="E113" s="115"/>
      <c r="F113" s="115"/>
      <c r="G113" s="118"/>
      <c r="H113" s="118"/>
      <c r="I113" s="118"/>
      <c r="J113" s="118"/>
    </row>
    <row r="114" spans="1:10" s="120" customFormat="1">
      <c r="A114" s="128" t="s">
        <v>173</v>
      </c>
      <c r="B114" s="129"/>
      <c r="C114" s="129"/>
      <c r="D114" s="130"/>
      <c r="E114" s="130"/>
      <c r="F114" s="130"/>
      <c r="G114" s="131"/>
      <c r="H114" s="131"/>
      <c r="I114" s="131"/>
      <c r="J114" s="132"/>
    </row>
    <row r="115" spans="1:10" s="120" customFormat="1">
      <c r="A115" s="133" t="s">
        <v>89</v>
      </c>
      <c r="B115" s="114">
        <f ca="1">+(B107+B98+B90)/3</f>
        <v>0.99997802246104472</v>
      </c>
      <c r="C115" s="114">
        <f ca="1">+(C107+C98+C90)/3</f>
        <v>0.99997802246104472</v>
      </c>
      <c r="D115" s="115">
        <f ca="1">SUM(B115:C115)</f>
        <v>1.9999560449220894</v>
      </c>
      <c r="E115" s="115"/>
      <c r="F115" s="115"/>
      <c r="G115" s="118"/>
      <c r="H115" s="118"/>
      <c r="I115" s="118"/>
      <c r="J115" s="119"/>
    </row>
    <row r="116" spans="1:10">
      <c r="A116" s="134" t="s">
        <v>90</v>
      </c>
      <c r="B116" s="135">
        <f ca="1">+(B108+B99+B91)</f>
        <v>5024</v>
      </c>
      <c r="C116" s="135">
        <f ca="1">+(C108+C99+C91)</f>
        <v>15024</v>
      </c>
      <c r="D116" s="108">
        <f ca="1">SUM(B116:C116)</f>
        <v>20048</v>
      </c>
      <c r="E116" s="108">
        <f ca="1">+E108</f>
        <v>0</v>
      </c>
      <c r="F116" s="108"/>
      <c r="G116" s="136">
        <f ca="1">+G108+G99+G91</f>
        <v>0</v>
      </c>
      <c r="H116" s="136">
        <f t="shared" ref="H116:J116" ca="1" si="10">+H108+H99+H91</f>
        <v>19041</v>
      </c>
      <c r="I116" s="136">
        <f t="shared" ca="1" si="10"/>
        <v>0</v>
      </c>
      <c r="J116" s="136">
        <f t="shared" ca="1" si="10"/>
        <v>2015</v>
      </c>
    </row>
    <row r="117" spans="1:10" s="105" customFormat="1">
      <c r="A117" s="134" t="s">
        <v>91</v>
      </c>
      <c r="B117" s="135">
        <f ca="1">+(B109+B100+B92)</f>
        <v>455</v>
      </c>
      <c r="C117" s="135">
        <f ca="1">+(C109+C100+C92)</f>
        <v>455</v>
      </c>
      <c r="D117" s="108">
        <f ca="1">SUM(B117:C117)</f>
        <v>910</v>
      </c>
      <c r="E117" s="108">
        <f ca="1">+E109</f>
        <v>151.66666666666666</v>
      </c>
      <c r="F117" s="108"/>
      <c r="G117" s="118"/>
      <c r="H117" s="118"/>
      <c r="I117" s="118"/>
      <c r="J117" s="119"/>
    </row>
    <row r="118" spans="1:10">
      <c r="A118" s="126" t="s">
        <v>156</v>
      </c>
      <c r="B118" s="150" t="str">
        <f ca="1">+IF(ISERROR(B111+B102+B94),"",(B111+B102+B94))</f>
        <v/>
      </c>
      <c r="C118" s="150" t="str">
        <f ca="1">+IF(ISERROR(C111+C102+C94),"",(C111+C102+C94))</f>
        <v/>
      </c>
      <c r="D118" s="108"/>
      <c r="E118" s="108"/>
      <c r="F118" s="108">
        <f ca="1">+F111+F102+F94</f>
        <v>1222.1945000000001</v>
      </c>
      <c r="G118" s="118"/>
      <c r="H118" s="118"/>
      <c r="I118" s="118"/>
      <c r="J118" s="119"/>
    </row>
    <row r="119" spans="1:10">
      <c r="A119" s="126" t="s">
        <v>155</v>
      </c>
      <c r="B119" s="150" t="str">
        <f ca="1">+IF(ISERROR(B112+B103+B95),"",(B112+B103+B95))</f>
        <v/>
      </c>
      <c r="C119" s="150" t="str">
        <f ca="1">+IF(ISERROR(C112+C103+C95),"",(C112+C103+C95))</f>
        <v/>
      </c>
      <c r="D119" s="108"/>
      <c r="E119" s="108"/>
      <c r="F119" s="108">
        <f ca="1">+F112+F103+F95</f>
        <v>325.5599000000002</v>
      </c>
      <c r="G119" s="118"/>
      <c r="H119" s="118"/>
      <c r="I119" s="118"/>
      <c r="J119" s="119"/>
    </row>
    <row r="120" spans="1:10" ht="15.75" thickBot="1">
      <c r="A120" s="137"/>
      <c r="B120" s="138"/>
      <c r="C120" s="138"/>
      <c r="D120" s="139"/>
      <c r="E120" s="139"/>
      <c r="F120" s="139"/>
      <c r="G120" s="140"/>
      <c r="H120" s="140"/>
      <c r="I120" s="140"/>
      <c r="J120" s="141"/>
    </row>
    <row r="121" spans="1:10" s="120" customFormat="1" ht="15.75" thickTop="1">
      <c r="A121" s="126"/>
      <c r="B121" s="114"/>
      <c r="C121" s="114"/>
      <c r="D121" s="115"/>
      <c r="E121" s="115"/>
      <c r="F121" s="115"/>
      <c r="G121" s="118"/>
      <c r="H121" s="118"/>
      <c r="I121" s="118"/>
      <c r="J121" s="118"/>
    </row>
    <row r="122" spans="1:10" s="120" customFormat="1">
      <c r="A122" s="142"/>
      <c r="B122" s="114"/>
      <c r="C122" s="114"/>
      <c r="D122" s="115"/>
      <c r="E122" s="115"/>
      <c r="F122" s="115"/>
      <c r="G122" s="112"/>
      <c r="H122" s="112"/>
      <c r="I122" s="112"/>
      <c r="J122" s="112"/>
    </row>
    <row r="123" spans="1:10" s="120" customFormat="1">
      <c r="A123" s="133"/>
      <c r="B123" s="101"/>
      <c r="C123" s="101"/>
      <c r="D123" s="115"/>
      <c r="E123" s="115"/>
      <c r="F123" s="115"/>
      <c r="G123" s="103"/>
      <c r="H123" s="103"/>
      <c r="I123" s="103"/>
      <c r="J123" s="103"/>
    </row>
    <row r="124" spans="1:10" s="120" customFormat="1">
      <c r="A124" s="134"/>
      <c r="B124" s="114"/>
      <c r="C124" s="114"/>
      <c r="D124" s="115"/>
      <c r="E124" s="115"/>
      <c r="F124" s="115"/>
      <c r="G124" s="112"/>
      <c r="H124" s="112"/>
      <c r="I124" s="112"/>
      <c r="J124" s="112"/>
    </row>
    <row r="125" spans="1:10" s="120" customFormat="1">
      <c r="A125" s="134"/>
      <c r="B125" s="114"/>
      <c r="C125" s="114"/>
      <c r="D125" s="115"/>
      <c r="E125" s="115"/>
      <c r="F125" s="115"/>
      <c r="G125" s="112"/>
      <c r="H125" s="112"/>
      <c r="I125" s="112"/>
      <c r="J125" s="112"/>
    </row>
    <row r="126" spans="1:10">
      <c r="A126" s="95" t="s">
        <v>45</v>
      </c>
      <c r="B126" s="96" t="str">
        <f t="shared" ref="B126:C126" ca="1" si="11">IF(B128&lt;B130,"Oui","Non")</f>
        <v>Oui</v>
      </c>
      <c r="C126" s="96" t="str">
        <f t="shared" ca="1" si="11"/>
        <v>Non</v>
      </c>
      <c r="D126" s="97"/>
      <c r="E126" s="97"/>
      <c r="F126" s="97"/>
      <c r="G126" s="98"/>
      <c r="H126" s="98"/>
      <c r="I126" s="98"/>
      <c r="J126" s="99"/>
    </row>
    <row r="127" spans="1:10" s="105" customFormat="1">
      <c r="A127" s="100" t="s">
        <v>89</v>
      </c>
      <c r="B127" s="101">
        <f ca="1">+IF(B129&gt;151.67,1,B129/151.67)</f>
        <v>0.99997802246104484</v>
      </c>
      <c r="C127" s="101">
        <f t="shared" ref="C127" ca="1" si="12">+IF(C129&gt;151.67,1,C129/151.67)</f>
        <v>0.99997802246104484</v>
      </c>
      <c r="D127" s="102">
        <f ca="1">+SUM(B127:C127)</f>
        <v>1.9999560449220897</v>
      </c>
      <c r="E127" s="102">
        <f ca="1">+SUMIF(B126:C126,"oui",B127:C127)</f>
        <v>0.99997802246104484</v>
      </c>
      <c r="F127" s="102"/>
      <c r="G127" s="103"/>
      <c r="H127" s="103"/>
      <c r="I127" s="103"/>
      <c r="J127" s="104"/>
    </row>
    <row r="128" spans="1:10">
      <c r="A128" s="106" t="s">
        <v>90</v>
      </c>
      <c r="B128" s="107">
        <f ca="1">INDIRECT("'"&amp;B$12&amp;"'!d$32")</f>
        <v>1010</v>
      </c>
      <c r="C128" s="107">
        <f ca="1">INDIRECT("'"&amp;C$12&amp;"'!d$32")</f>
        <v>5010</v>
      </c>
      <c r="D128" s="108">
        <f ca="1">SUM(B128:C128)</f>
        <v>6020</v>
      </c>
      <c r="E128" s="108">
        <f ca="1">+SUMIF(B126:C126,"OUI",B128:C128)</f>
        <v>1010</v>
      </c>
      <c r="F128" s="108"/>
      <c r="G128" s="109">
        <f ca="1">+SUMIF(B11:C11,"cadre",B128:C128)</f>
        <v>0</v>
      </c>
      <c r="H128" s="109">
        <f ca="1">+SUMIF(B11:C11,"non cadre",B128:C128)</f>
        <v>5010</v>
      </c>
      <c r="I128" s="109">
        <f ca="1">+SUMIF(B11:C11,"dirigeant",B128:C128)</f>
        <v>0</v>
      </c>
      <c r="J128" s="110">
        <f ca="1">+SUMIF(B11:C11,"apprenti",B128:C128)</f>
        <v>1010</v>
      </c>
    </row>
    <row r="129" spans="1:10">
      <c r="A129" s="106" t="s">
        <v>91</v>
      </c>
      <c r="B129" s="111">
        <f ca="1">INDIRECT("'"&amp;B$12&amp;"'!g32")*52/12</f>
        <v>151.66666666666666</v>
      </c>
      <c r="C129" s="111">
        <f ca="1">INDIRECT("'"&amp;C$12&amp;"'!g32")*52/12</f>
        <v>151.66666666666666</v>
      </c>
      <c r="D129" s="108">
        <f ca="1">+SUM(B129:C129)</f>
        <v>303.33333333333331</v>
      </c>
      <c r="E129" s="108">
        <f ca="1">+SUMIF(B126:C126,"OUI",B129:C129)</f>
        <v>151.66666666666666</v>
      </c>
      <c r="F129" s="108"/>
      <c r="G129" s="112"/>
      <c r="H129" s="112"/>
      <c r="I129" s="112"/>
      <c r="J129" s="113"/>
    </row>
    <row r="130" spans="1:10" hidden="1">
      <c r="A130" s="106" t="s">
        <v>92</v>
      </c>
      <c r="B130" s="114">
        <f ca="1">B129*$B$2*2.5</f>
        <v>3613.458333333333</v>
      </c>
      <c r="C130" s="114">
        <f ca="1">C129*$B$2*2.5</f>
        <v>3613.458333333333</v>
      </c>
      <c r="D130" s="115"/>
      <c r="E130" s="115"/>
      <c r="F130" s="115"/>
      <c r="G130" s="112"/>
      <c r="H130" s="112"/>
      <c r="I130" s="112"/>
      <c r="J130" s="113"/>
    </row>
    <row r="131" spans="1:10" s="120" customFormat="1">
      <c r="A131" s="116" t="s">
        <v>156</v>
      </c>
      <c r="B131" s="117">
        <f ca="1">INDIRECT("'"&amp;B$12&amp;"'!v$32")</f>
        <v>609.63199999999961</v>
      </c>
      <c r="C131" s="117" t="str">
        <f ca="1">INDIRECT("'"&amp;C$12&amp;"'!v$32")</f>
        <v/>
      </c>
      <c r="D131" s="108"/>
      <c r="E131" s="108"/>
      <c r="F131" s="108">
        <f ca="1">+SUM(B131:C131)</f>
        <v>609.63199999999961</v>
      </c>
      <c r="G131" s="118"/>
      <c r="H131" s="118"/>
      <c r="I131" s="118"/>
      <c r="J131" s="119"/>
    </row>
    <row r="132" spans="1:10" s="120" customFormat="1">
      <c r="A132" s="121" t="s">
        <v>155</v>
      </c>
      <c r="B132" s="122" t="str">
        <f ca="1">INDIRECT("'"&amp;B$12&amp;"'!w$32")</f>
        <v/>
      </c>
      <c r="C132" s="122" t="str">
        <f ca="1">INDIRECT("'"&amp;C$12&amp;"'!w$32")</f>
        <v/>
      </c>
      <c r="D132" s="123"/>
      <c r="E132" s="123"/>
      <c r="F132" s="108">
        <f ca="1">+SUM(B132:C132)</f>
        <v>0</v>
      </c>
      <c r="G132" s="124"/>
      <c r="H132" s="124"/>
      <c r="I132" s="124"/>
      <c r="J132" s="125"/>
    </row>
    <row r="133" spans="1:10" s="120" customFormat="1">
      <c r="A133" s="126"/>
      <c r="B133" s="114"/>
      <c r="C133" s="114"/>
      <c r="D133" s="115"/>
      <c r="E133" s="115"/>
      <c r="F133" s="115"/>
      <c r="G133" s="118"/>
      <c r="H133" s="118"/>
      <c r="I133" s="118"/>
      <c r="J133" s="118"/>
    </row>
    <row r="134" spans="1:10" s="120" customFormat="1">
      <c r="A134" s="95" t="s">
        <v>46</v>
      </c>
      <c r="B134" s="96" t="str">
        <f t="shared" ref="B134:C134" ca="1" si="13">IF((B136+B128)&lt;(B138),"Oui","Non")</f>
        <v>Oui</v>
      </c>
      <c r="C134" s="96" t="str">
        <f t="shared" ca="1" si="13"/>
        <v>Non</v>
      </c>
      <c r="D134" s="127"/>
      <c r="E134" s="127"/>
      <c r="F134" s="127"/>
      <c r="G134" s="98"/>
      <c r="H134" s="98"/>
      <c r="I134" s="98"/>
      <c r="J134" s="99"/>
    </row>
    <row r="135" spans="1:10" s="120" customFormat="1">
      <c r="A135" s="100" t="s">
        <v>89</v>
      </c>
      <c r="B135" s="101">
        <f ca="1">+IF(B137&gt;151.67,1,B137/151.67)</f>
        <v>0.99997802246104484</v>
      </c>
      <c r="C135" s="101">
        <f ca="1">+IF(C137&gt;151.67,1,C137/151.67)</f>
        <v>0.99997802246104484</v>
      </c>
      <c r="D135" s="115">
        <f ca="1">SUM(B135:C135)</f>
        <v>1.9999560449220897</v>
      </c>
      <c r="E135" s="115">
        <f ca="1">+SUMIF(B134:C134,"oui",B135:C135)</f>
        <v>0.99997802246104484</v>
      </c>
      <c r="F135" s="115"/>
      <c r="G135" s="103"/>
      <c r="H135" s="103"/>
      <c r="I135" s="103"/>
      <c r="J135" s="104"/>
    </row>
    <row r="136" spans="1:10">
      <c r="A136" s="106" t="s">
        <v>90</v>
      </c>
      <c r="B136" s="107">
        <f ca="1">INDIRECT("'"&amp;B$12&amp;"'!d$33")</f>
        <v>1011</v>
      </c>
      <c r="C136" s="107">
        <f ca="1">INDIRECT("'"&amp;C$12&amp;"'!d$33")</f>
        <v>5011</v>
      </c>
      <c r="D136" s="108">
        <f ca="1">SUM(B136:C136)</f>
        <v>6022</v>
      </c>
      <c r="E136" s="108">
        <f ca="1">+SUMIF(B134:C134,"OUI",B136:C136)</f>
        <v>1011</v>
      </c>
      <c r="F136" s="108"/>
      <c r="G136" s="109">
        <f ca="1">+SUMIF(B11:C11,"cadre",B136:C136)</f>
        <v>0</v>
      </c>
      <c r="H136" s="109">
        <f ca="1">+SUMIF(B11:C11,"non cadre",C136:D136)</f>
        <v>6022</v>
      </c>
      <c r="I136" s="109">
        <f ca="1">+SUMIF(B11:C11,"dirigeant",D136:E136)</f>
        <v>0</v>
      </c>
      <c r="J136" s="109">
        <f ca="1">+SUMIF(B11:C114,"apprenti",E136:F136)</f>
        <v>1011</v>
      </c>
    </row>
    <row r="137" spans="1:10">
      <c r="A137" s="106" t="s">
        <v>91</v>
      </c>
      <c r="B137" s="111">
        <f ca="1">INDIRECT("'"&amp;B$12&amp;"'!g33")*52/12</f>
        <v>151.66666666666666</v>
      </c>
      <c r="C137" s="111">
        <f ca="1">INDIRECT("'"&amp;C$12&amp;"'!g33")*52/12</f>
        <v>151.66666666666666</v>
      </c>
      <c r="D137" s="108">
        <f ca="1">SUM(B137:C137)</f>
        <v>303.33333333333331</v>
      </c>
      <c r="E137" s="108">
        <f ca="1">+SUMIF(B134:C134,"OUI",B137:C137)</f>
        <v>151.66666666666666</v>
      </c>
      <c r="F137" s="108"/>
      <c r="G137" s="112"/>
      <c r="H137" s="112"/>
      <c r="I137" s="112"/>
      <c r="J137" s="113"/>
    </row>
    <row r="138" spans="1:10" hidden="1">
      <c r="A138" s="106" t="s">
        <v>92</v>
      </c>
      <c r="B138" s="114">
        <f ca="1">B137*$B$2*2.5+B130</f>
        <v>7226.9166666666661</v>
      </c>
      <c r="C138" s="114">
        <f ca="1">C137*$B$2*2.5+C130</f>
        <v>7226.9166666666661</v>
      </c>
      <c r="D138" s="115"/>
      <c r="E138" s="115"/>
      <c r="F138" s="115"/>
      <c r="G138" s="112"/>
      <c r="H138" s="112"/>
      <c r="I138" s="112"/>
      <c r="J138" s="113"/>
    </row>
    <row r="139" spans="1:10">
      <c r="A139" s="116" t="s">
        <v>156</v>
      </c>
      <c r="B139" s="117">
        <f ca="1">INDIRECT("'"&amp;B$12&amp;"'!v$33")</f>
        <v>609.36850000000004</v>
      </c>
      <c r="C139" s="117" t="str">
        <f ca="1">INDIRECT("'"&amp;C$12&amp;"'!v$33")</f>
        <v/>
      </c>
      <c r="D139" s="108"/>
      <c r="E139" s="108"/>
      <c r="F139" s="108">
        <f ca="1">+SUM(B139:C139)</f>
        <v>609.36850000000004</v>
      </c>
      <c r="G139" s="118"/>
      <c r="H139" s="118"/>
      <c r="I139" s="118"/>
      <c r="J139" s="119"/>
    </row>
    <row r="140" spans="1:10">
      <c r="A140" s="121" t="s">
        <v>155</v>
      </c>
      <c r="B140" s="122" t="str">
        <f ca="1">INDIRECT("'"&amp;B$12&amp;"'!w$33")</f>
        <v/>
      </c>
      <c r="C140" s="122" t="str">
        <f ca="1">INDIRECT("'"&amp;C$12&amp;"'!w$33")</f>
        <v/>
      </c>
      <c r="D140" s="123"/>
      <c r="E140" s="123"/>
      <c r="F140" s="108">
        <f ca="1">+SUM(B140:C140)</f>
        <v>0</v>
      </c>
      <c r="G140" s="124"/>
      <c r="H140" s="124"/>
      <c r="I140" s="124"/>
      <c r="J140" s="125"/>
    </row>
    <row r="141" spans="1:10" s="120" customFormat="1">
      <c r="A141" s="126"/>
      <c r="B141" s="114"/>
      <c r="C141" s="114"/>
      <c r="D141" s="115"/>
      <c r="E141" s="115"/>
      <c r="F141" s="115"/>
      <c r="G141" s="118"/>
      <c r="H141" s="118"/>
      <c r="I141" s="118"/>
      <c r="J141" s="118"/>
    </row>
    <row r="142" spans="1:10" s="120" customFormat="1">
      <c r="A142" s="126"/>
      <c r="B142" s="114"/>
      <c r="C142" s="114"/>
      <c r="D142" s="115"/>
      <c r="E142" s="115"/>
      <c r="F142" s="115"/>
      <c r="G142" s="118"/>
      <c r="H142" s="118"/>
      <c r="I142" s="118"/>
      <c r="J142" s="118"/>
    </row>
    <row r="143" spans="1:10" s="120" customFormat="1">
      <c r="A143" s="95" t="s">
        <v>174</v>
      </c>
      <c r="B143" s="96" t="str">
        <f ca="1">IF((B136+B128+B145)&lt;B147,"Oui","Non")</f>
        <v>Oui</v>
      </c>
      <c r="C143" s="96" t="str">
        <f ca="1">IF((C136+C128+C145)&lt;C147,"Oui","Non")</f>
        <v>Non</v>
      </c>
      <c r="D143" s="127">
        <f ca="1">SUM(B143:C143)</f>
        <v>0</v>
      </c>
      <c r="E143" s="127"/>
      <c r="F143" s="127"/>
      <c r="G143" s="98"/>
      <c r="H143" s="98"/>
      <c r="I143" s="98"/>
      <c r="J143" s="99"/>
    </row>
    <row r="144" spans="1:10" s="120" customFormat="1">
      <c r="A144" s="100" t="s">
        <v>89</v>
      </c>
      <c r="B144" s="101">
        <f ca="1">+IF(B146&gt;151.67,1,B146/151.67)</f>
        <v>0.99997802246104484</v>
      </c>
      <c r="C144" s="101">
        <f ca="1">+IF(C146&gt;151.67,1,C146/151.67)</f>
        <v>0.99997802246104484</v>
      </c>
      <c r="D144" s="115">
        <f ca="1">SUM(B144:C144)</f>
        <v>1.9999560449220897</v>
      </c>
      <c r="E144" s="115">
        <f ca="1">+SUMIF(B143:C143,"oui",B144:C144)</f>
        <v>0.99997802246104484</v>
      </c>
      <c r="F144" s="115"/>
      <c r="G144" s="112"/>
      <c r="H144" s="112"/>
      <c r="I144" s="112"/>
      <c r="J144" s="113"/>
    </row>
    <row r="145" spans="1:10" s="120" customFormat="1">
      <c r="A145" s="106" t="s">
        <v>90</v>
      </c>
      <c r="B145" s="107">
        <f ca="1">INDIRECT("'"&amp;B$12&amp;"'!d$34")</f>
        <v>3012</v>
      </c>
      <c r="C145" s="107">
        <f ca="1">INDIRECT("'"&amp;C$12&amp;"'!d$34")</f>
        <v>5012</v>
      </c>
      <c r="D145" s="108">
        <f ca="1">SUM(B145:C145)</f>
        <v>8024</v>
      </c>
      <c r="E145" s="108">
        <f ca="1">+SUMIF(B143:C143,"OUI",B151:C151)</f>
        <v>0</v>
      </c>
      <c r="F145" s="108"/>
      <c r="G145" s="109">
        <f ca="1">+SUMIF(B11:C11,"cadre",B145:C145)</f>
        <v>0</v>
      </c>
      <c r="H145" s="109">
        <f ca="1">+SUMIF(B11:C11,"non cadre",C145:D145)</f>
        <v>8024</v>
      </c>
      <c r="I145" s="109">
        <f ca="1">+SUMIF(B11:C11,"dirigeant",D145:E145)</f>
        <v>0</v>
      </c>
      <c r="J145" s="110">
        <f ca="1">+SUMIF(B11:C11,"apprenti",E145:F145)</f>
        <v>0</v>
      </c>
    </row>
    <row r="146" spans="1:10" s="120" customFormat="1">
      <c r="A146" s="106" t="s">
        <v>91</v>
      </c>
      <c r="B146" s="111">
        <f ca="1">INDIRECT("'"&amp;B$12&amp;"'!g34")*52/12</f>
        <v>151.66666666666666</v>
      </c>
      <c r="C146" s="111">
        <f ca="1">INDIRECT("'"&amp;C$12&amp;"'!g34")*52/12</f>
        <v>151.66666666666666</v>
      </c>
      <c r="D146" s="108">
        <f ca="1">SUM(B146:C146)</f>
        <v>303.33333333333331</v>
      </c>
      <c r="E146" s="108">
        <f ca="1">+SUMIF(B143:C143,"OUI",B146:C146)</f>
        <v>151.66666666666666</v>
      </c>
      <c r="F146" s="108"/>
      <c r="G146" s="112"/>
      <c r="H146" s="112"/>
      <c r="I146" s="112"/>
      <c r="J146" s="113"/>
    </row>
    <row r="147" spans="1:10" s="120" customFormat="1" hidden="1">
      <c r="A147" s="106" t="s">
        <v>92</v>
      </c>
      <c r="B147" s="114">
        <f ca="1">B146*$B$2*2.5+B138</f>
        <v>10840.375</v>
      </c>
      <c r="C147" s="114">
        <f ca="1">C146*$B$2*2.5+C138</f>
        <v>10840.375</v>
      </c>
      <c r="D147" s="115"/>
      <c r="E147" s="115"/>
      <c r="F147" s="115"/>
      <c r="G147" s="112"/>
      <c r="H147" s="112"/>
      <c r="I147" s="112"/>
      <c r="J147" s="113"/>
    </row>
    <row r="148" spans="1:10">
      <c r="A148" s="116" t="s">
        <v>156</v>
      </c>
      <c r="B148" s="117" t="str">
        <f ca="1">INDIRECT("'"&amp;B$12&amp;"'!v$34")</f>
        <v/>
      </c>
      <c r="C148" s="117" t="str">
        <f ca="1">INDIRECT("'"&amp;C$12&amp;"'!v$34")</f>
        <v/>
      </c>
      <c r="D148" s="108"/>
      <c r="E148" s="108"/>
      <c r="F148" s="108">
        <f ca="1">+SUM(B148:C148)</f>
        <v>0</v>
      </c>
      <c r="G148" s="118"/>
      <c r="H148" s="118"/>
      <c r="I148" s="118"/>
      <c r="J148" s="119"/>
    </row>
    <row r="149" spans="1:10">
      <c r="A149" s="121" t="s">
        <v>155</v>
      </c>
      <c r="B149" s="122">
        <f ca="1">INDIRECT("'"&amp;B$12&amp;"'!w$34")</f>
        <v>326.58799999999974</v>
      </c>
      <c r="C149" s="122" t="str">
        <f ca="1">INDIRECT("'"&amp;C$12&amp;"'!w$34")</f>
        <v/>
      </c>
      <c r="D149" s="123"/>
      <c r="E149" s="123"/>
      <c r="F149" s="108">
        <f ca="1">+SUM(B149:C149)</f>
        <v>326.58799999999974</v>
      </c>
      <c r="G149" s="124"/>
      <c r="H149" s="124"/>
      <c r="I149" s="124"/>
      <c r="J149" s="125"/>
    </row>
    <row r="150" spans="1:10">
      <c r="A150" s="126"/>
      <c r="B150" s="114"/>
      <c r="C150" s="114"/>
      <c r="D150" s="115"/>
      <c r="E150" s="115"/>
      <c r="F150" s="115"/>
      <c r="G150" s="118"/>
      <c r="H150" s="118"/>
      <c r="I150" s="118"/>
      <c r="J150" s="118"/>
    </row>
    <row r="151" spans="1:10">
      <c r="A151" s="128" t="s">
        <v>175</v>
      </c>
      <c r="B151" s="129"/>
      <c r="C151" s="129"/>
      <c r="D151" s="130"/>
      <c r="E151" s="130"/>
      <c r="F151" s="130"/>
      <c r="G151" s="131"/>
      <c r="H151" s="131"/>
      <c r="I151" s="131"/>
      <c r="J151" s="132"/>
    </row>
    <row r="152" spans="1:10">
      <c r="A152" s="133" t="s">
        <v>89</v>
      </c>
      <c r="B152" s="114">
        <f ca="1">+(B144+B135+B127)/3</f>
        <v>0.99997802246104472</v>
      </c>
      <c r="C152" s="114">
        <f ca="1">+(C144+C135+C127)/3</f>
        <v>0.99997802246104472</v>
      </c>
      <c r="D152" s="115">
        <f ca="1">SUM(B152:C152)</f>
        <v>1.9999560449220894</v>
      </c>
      <c r="E152" s="115"/>
      <c r="F152" s="115"/>
      <c r="G152" s="118"/>
      <c r="H152" s="118"/>
      <c r="I152" s="118"/>
      <c r="J152" s="119"/>
    </row>
    <row r="153" spans="1:10">
      <c r="A153" s="134" t="s">
        <v>90</v>
      </c>
      <c r="B153" s="135">
        <f ca="1">+(B145+B136+B128)</f>
        <v>5033</v>
      </c>
      <c r="C153" s="135">
        <f ca="1">+(C145+C136+C128)</f>
        <v>15033</v>
      </c>
      <c r="D153" s="108">
        <f ca="1">SUM(B153:C153)</f>
        <v>20066</v>
      </c>
      <c r="E153" s="108">
        <f ca="1">+E145</f>
        <v>0</v>
      </c>
      <c r="F153" s="108"/>
      <c r="G153" s="136">
        <f ca="1">+G145+G136+G128</f>
        <v>0</v>
      </c>
      <c r="H153" s="136">
        <f t="shared" ref="H153:J153" ca="1" si="14">+H145+H136+H128</f>
        <v>19056</v>
      </c>
      <c r="I153" s="136">
        <f t="shared" ca="1" si="14"/>
        <v>0</v>
      </c>
      <c r="J153" s="136">
        <f t="shared" ca="1" si="14"/>
        <v>2021</v>
      </c>
    </row>
    <row r="154" spans="1:10">
      <c r="A154" s="134" t="s">
        <v>91</v>
      </c>
      <c r="B154" s="135">
        <f ca="1">+(B146+B137+B129)</f>
        <v>455</v>
      </c>
      <c r="C154" s="135">
        <f ca="1">+(C146+C137+C129)</f>
        <v>455</v>
      </c>
      <c r="D154" s="108">
        <f ca="1">SUM(B154:C154)</f>
        <v>910</v>
      </c>
      <c r="E154" s="108">
        <f ca="1">+E146</f>
        <v>151.66666666666666</v>
      </c>
      <c r="F154" s="108"/>
      <c r="G154" s="118"/>
      <c r="H154" s="118"/>
      <c r="I154" s="118"/>
      <c r="J154" s="119"/>
    </row>
    <row r="155" spans="1:10">
      <c r="A155" s="126" t="s">
        <v>156</v>
      </c>
      <c r="B155" s="150" t="str">
        <f ca="1">+IF(ISERROR(B148+B139+B131),"",(B148+B139+B131))</f>
        <v/>
      </c>
      <c r="C155" s="150" t="str">
        <f ca="1">+IF(ISERROR(C148+C139+C131),"",(C148+C139+C131))</f>
        <v/>
      </c>
      <c r="D155" s="108"/>
      <c r="E155" s="108"/>
      <c r="F155" s="108">
        <f ca="1">+F148+F139+F131</f>
        <v>1219.0004999999996</v>
      </c>
      <c r="G155" s="118"/>
      <c r="H155" s="118"/>
      <c r="I155" s="118"/>
      <c r="J155" s="119"/>
    </row>
    <row r="156" spans="1:10">
      <c r="A156" s="126" t="s">
        <v>155</v>
      </c>
      <c r="B156" s="150" t="str">
        <f ca="1">+IF(ISERROR(B149+B140+B132),"",(B149+B140+B132))</f>
        <v/>
      </c>
      <c r="C156" s="150" t="str">
        <f ca="1">+IF(ISERROR(C149+C140+C132),"",(C149+C140+C132))</f>
        <v/>
      </c>
      <c r="D156" s="108"/>
      <c r="E156" s="108"/>
      <c r="F156" s="108">
        <f ca="1">+F149+F140+F132</f>
        <v>326.58799999999974</v>
      </c>
      <c r="G156" s="118"/>
      <c r="H156" s="118"/>
      <c r="I156" s="118"/>
      <c r="J156" s="119"/>
    </row>
    <row r="157" spans="1:10" ht="15.75" thickBot="1">
      <c r="A157" s="137"/>
      <c r="B157" s="138"/>
      <c r="C157" s="138"/>
      <c r="D157" s="139"/>
      <c r="E157" s="139"/>
      <c r="F157" s="139"/>
      <c r="G157" s="140"/>
      <c r="H157" s="140"/>
      <c r="I157" s="140"/>
      <c r="J157" s="141"/>
    </row>
    <row r="158" spans="1:10" ht="15.75" thickTop="1">
      <c r="A158" s="134"/>
      <c r="B158" s="114"/>
      <c r="C158" s="114"/>
      <c r="D158" s="115"/>
      <c r="E158" s="115"/>
      <c r="F158" s="115"/>
      <c r="G158" s="112"/>
      <c r="H158" s="112"/>
      <c r="I158" s="112"/>
      <c r="J158" s="112"/>
    </row>
    <row r="159" spans="1:10">
      <c r="A159" s="126"/>
      <c r="B159" s="114"/>
      <c r="C159" s="114"/>
      <c r="D159" s="115"/>
      <c r="E159" s="115"/>
      <c r="F159" s="115"/>
      <c r="G159" s="118"/>
      <c r="H159" s="118"/>
      <c r="I159" s="118"/>
      <c r="J159" s="118"/>
    </row>
    <row r="160" spans="1:10">
      <c r="A160" s="126"/>
      <c r="B160" s="114"/>
      <c r="C160" s="114"/>
      <c r="D160" s="115"/>
      <c r="E160" s="115"/>
      <c r="F160" s="115"/>
      <c r="G160" s="118"/>
      <c r="H160" s="118"/>
      <c r="I160" s="118"/>
      <c r="J160" s="118"/>
    </row>
    <row r="161" spans="1:10">
      <c r="A161" s="126"/>
      <c r="B161" s="114"/>
      <c r="C161" s="114"/>
      <c r="D161" s="115"/>
      <c r="E161" s="115"/>
      <c r="F161" s="115"/>
      <c r="G161" s="118"/>
      <c r="H161" s="118"/>
      <c r="I161" s="118"/>
      <c r="J161" s="118"/>
    </row>
    <row r="162" spans="1:10">
      <c r="A162" s="128" t="s">
        <v>176</v>
      </c>
      <c r="B162" s="129"/>
      <c r="C162" s="129"/>
      <c r="D162" s="130"/>
      <c r="E162" s="130"/>
      <c r="F162" s="130"/>
      <c r="G162" s="131"/>
      <c r="H162" s="131"/>
      <c r="I162" s="131"/>
      <c r="J162" s="132"/>
    </row>
    <row r="163" spans="1:10">
      <c r="A163" s="133" t="s">
        <v>89</v>
      </c>
      <c r="B163" s="114">
        <f ca="1">+(B152+B115+B78+B41)/4</f>
        <v>0.99997802246104472</v>
      </c>
      <c r="C163" s="114">
        <f ca="1">+(C152+C115+C78+C41)/4</f>
        <v>0.99997802246104472</v>
      </c>
      <c r="D163" s="114">
        <f ca="1">+(D152+D115+D78+D41)/4</f>
        <v>1.9999560449220894</v>
      </c>
      <c r="E163" s="115"/>
      <c r="F163" s="115"/>
      <c r="G163" s="118"/>
      <c r="H163" s="118"/>
      <c r="I163" s="118"/>
      <c r="J163" s="119"/>
    </row>
    <row r="164" spans="1:10">
      <c r="A164" s="134" t="s">
        <v>90</v>
      </c>
      <c r="B164" s="135">
        <f ca="1">+B153+B116+B79+B42</f>
        <v>21079</v>
      </c>
      <c r="C164" s="135">
        <f ca="1">+C153+C116+C79+C42</f>
        <v>60078</v>
      </c>
      <c r="D164" s="108">
        <f ca="1">SUM(B164:C164)</f>
        <v>81157</v>
      </c>
      <c r="E164" s="108">
        <f>+E156</f>
        <v>0</v>
      </c>
      <c r="F164" s="108"/>
      <c r="G164" s="136">
        <f ca="1">+G153+G116+G79+G42</f>
        <v>0</v>
      </c>
      <c r="H164" s="136">
        <f t="shared" ref="H164:J164" ca="1" si="15">+H153+H116+H79+H42</f>
        <v>72129</v>
      </c>
      <c r="I164" s="136">
        <f t="shared" ca="1" si="15"/>
        <v>0</v>
      </c>
      <c r="J164" s="136">
        <f t="shared" ca="1" si="15"/>
        <v>12052</v>
      </c>
    </row>
    <row r="165" spans="1:10">
      <c r="A165" s="134" t="s">
        <v>91</v>
      </c>
      <c r="B165" s="135">
        <f t="shared" ref="B165:C165" ca="1" si="16">+B154+B117+B80+B43</f>
        <v>1820</v>
      </c>
      <c r="C165" s="135">
        <f t="shared" ca="1" si="16"/>
        <v>1820</v>
      </c>
      <c r="D165" s="108">
        <f ca="1">SUM(B165:C165)</f>
        <v>3640</v>
      </c>
      <c r="E165" s="108">
        <f>+E157</f>
        <v>0</v>
      </c>
      <c r="F165" s="108"/>
      <c r="G165" s="118"/>
      <c r="H165" s="118"/>
      <c r="I165" s="118"/>
      <c r="J165" s="119"/>
    </row>
    <row r="166" spans="1:10">
      <c r="A166" s="126" t="s">
        <v>156</v>
      </c>
      <c r="B166" s="117" t="str">
        <f ca="1">IF(ISERROR(B155+B118+B81+B44),"",(B155+B118+B81+B44))</f>
        <v/>
      </c>
      <c r="C166" s="117" t="str">
        <f ca="1">IF(ISERROR(C155+C118+C81+C44),"",(C155+C118+C81+C44))</f>
        <v/>
      </c>
      <c r="D166" s="108"/>
      <c r="E166" s="108"/>
      <c r="F166" s="108">
        <f ca="1">+IF(ISERROR(F155+F118+F81+F44),"",F155+F118+F81+F44)</f>
        <v>4229.6466</v>
      </c>
      <c r="G166" s="118"/>
      <c r="H166" s="118"/>
      <c r="I166" s="118"/>
      <c r="J166" s="119"/>
    </row>
    <row r="167" spans="1:10">
      <c r="A167" s="126" t="s">
        <v>155</v>
      </c>
      <c r="B167" s="117" t="str">
        <f ca="1">IF(ISERROR(B156+B119+B82+B45),"",(B156+B119+B82+B45))</f>
        <v/>
      </c>
      <c r="C167" s="117" t="str">
        <f ca="1">IF(ISERROR(C156+C119+C82+C45),"",(C156+C119+C82+C45))</f>
        <v/>
      </c>
      <c r="D167" s="108"/>
      <c r="E167" s="108"/>
      <c r="F167" s="108">
        <f ca="1">+IF(ISERROR(F156+F119+F82+F45),"",F156+F119+F82+F45)</f>
        <v>1103.6309000000001</v>
      </c>
      <c r="G167" s="118"/>
      <c r="H167" s="118"/>
      <c r="I167" s="118"/>
      <c r="J167" s="119"/>
    </row>
    <row r="168" spans="1:10" ht="15.75" thickBot="1">
      <c r="A168" s="137"/>
      <c r="B168" s="138"/>
      <c r="C168" s="138"/>
      <c r="D168" s="139"/>
      <c r="E168" s="139"/>
      <c r="F168" s="139"/>
      <c r="G168" s="140"/>
      <c r="H168" s="140"/>
      <c r="I168" s="140"/>
      <c r="J168" s="141"/>
    </row>
    <row r="169" spans="1:10" ht="15.75" thickTop="1">
      <c r="A169" s="126"/>
      <c r="B169" s="114"/>
      <c r="C169" s="114"/>
      <c r="D169" s="115"/>
      <c r="E169" s="115"/>
      <c r="F169" s="115"/>
      <c r="G169" s="118"/>
      <c r="H169" s="118"/>
      <c r="I169" s="118"/>
      <c r="J169" s="118"/>
    </row>
    <row r="170" spans="1:10">
      <c r="A170" s="142"/>
      <c r="B170" s="114"/>
      <c r="C170" s="114"/>
      <c r="D170" s="115"/>
      <c r="E170" s="115"/>
      <c r="F170" s="115"/>
      <c r="G170" s="112"/>
      <c r="H170" s="112"/>
      <c r="I170" s="112"/>
      <c r="J170" s="112"/>
    </row>
    <row r="171" spans="1:10">
      <c r="A171" s="133"/>
      <c r="B171" s="101"/>
      <c r="C171" s="101"/>
      <c r="D171" s="115"/>
      <c r="E171" s="115"/>
      <c r="F171" s="115"/>
      <c r="G171" s="112"/>
      <c r="H171" s="112"/>
      <c r="I171" s="112"/>
      <c r="J171" s="112"/>
    </row>
    <row r="172" spans="1:10">
      <c r="A172" s="134"/>
      <c r="B172" s="114"/>
      <c r="C172" s="114"/>
      <c r="D172" s="115"/>
      <c r="E172" s="115"/>
      <c r="F172" s="115"/>
      <c r="G172" s="112"/>
      <c r="H172" s="112"/>
      <c r="I172" s="112"/>
      <c r="J172" s="112"/>
    </row>
    <row r="173" spans="1:10">
      <c r="A173" s="134"/>
      <c r="B173" s="114"/>
      <c r="C173" s="114"/>
      <c r="D173" s="115"/>
      <c r="E173" s="115"/>
      <c r="F173" s="115"/>
      <c r="G173" s="112"/>
      <c r="H173" s="112"/>
      <c r="I173" s="112"/>
      <c r="J173" s="112"/>
    </row>
    <row r="174" spans="1:10">
      <c r="A174" s="134"/>
      <c r="B174" s="114"/>
      <c r="C174" s="114"/>
      <c r="D174" s="115"/>
      <c r="E174" s="115"/>
      <c r="F174" s="115"/>
      <c r="G174" s="112"/>
      <c r="H174" s="112"/>
      <c r="I174" s="112"/>
      <c r="J174" s="112"/>
    </row>
    <row r="175" spans="1:10">
      <c r="A175" s="126"/>
      <c r="B175" s="114"/>
      <c r="C175" s="114"/>
      <c r="D175" s="115"/>
      <c r="E175" s="115"/>
      <c r="F175" s="115"/>
      <c r="G175" s="118"/>
      <c r="H175" s="118"/>
      <c r="I175" s="118"/>
      <c r="J175" s="118"/>
    </row>
    <row r="176" spans="1:10">
      <c r="A176" s="126"/>
      <c r="B176" s="114"/>
      <c r="C176" s="114"/>
      <c r="D176" s="115"/>
      <c r="E176" s="115"/>
      <c r="F176" s="115"/>
      <c r="G176" s="118"/>
      <c r="H176" s="118"/>
      <c r="I176" s="118"/>
      <c r="J176" s="118"/>
    </row>
    <row r="177" spans="1:10">
      <c r="A177" s="126"/>
      <c r="B177" s="114"/>
      <c r="C177" s="114"/>
      <c r="D177" s="115"/>
      <c r="E177" s="115"/>
      <c r="F177" s="115"/>
      <c r="G177" s="118"/>
      <c r="H177" s="118"/>
      <c r="I177" s="118"/>
      <c r="J177" s="118"/>
    </row>
    <row r="178" spans="1:10">
      <c r="A178" s="126"/>
      <c r="B178" s="114"/>
      <c r="C178" s="114"/>
      <c r="D178" s="115"/>
      <c r="E178" s="115"/>
      <c r="F178" s="115"/>
      <c r="G178" s="118"/>
      <c r="H178" s="118"/>
      <c r="I178" s="118"/>
      <c r="J178" s="118"/>
    </row>
    <row r="179" spans="1:10">
      <c r="A179" s="126"/>
      <c r="B179" s="114"/>
      <c r="C179" s="114"/>
      <c r="D179" s="115"/>
      <c r="E179" s="115"/>
      <c r="F179" s="115"/>
      <c r="G179" s="118"/>
      <c r="H179" s="118"/>
      <c r="I179" s="118"/>
      <c r="J179" s="118"/>
    </row>
    <row r="180" spans="1:10">
      <c r="A180" s="126"/>
      <c r="B180" s="114"/>
      <c r="C180" s="114"/>
      <c r="D180" s="115"/>
      <c r="E180" s="115"/>
      <c r="F180" s="115"/>
      <c r="G180" s="118"/>
      <c r="H180" s="118"/>
      <c r="I180" s="118"/>
      <c r="J180" s="118"/>
    </row>
    <row r="181" spans="1:10">
      <c r="A181" s="126"/>
      <c r="B181" s="114"/>
      <c r="C181" s="114"/>
      <c r="D181" s="115"/>
      <c r="E181" s="115"/>
      <c r="F181" s="115"/>
      <c r="G181" s="118"/>
      <c r="H181" s="118"/>
      <c r="I181" s="118"/>
      <c r="J181" s="118"/>
    </row>
    <row r="182" spans="1:10">
      <c r="A182" s="126"/>
      <c r="B182" s="114"/>
      <c r="C182" s="114"/>
      <c r="D182" s="115"/>
      <c r="E182" s="115"/>
      <c r="F182" s="115"/>
      <c r="G182" s="118"/>
      <c r="H182" s="118"/>
      <c r="I182" s="118"/>
      <c r="J182" s="118"/>
    </row>
    <row r="183" spans="1:10">
      <c r="A183" s="126"/>
      <c r="B183" s="114"/>
      <c r="C183" s="114"/>
      <c r="D183" s="115"/>
      <c r="E183" s="115"/>
      <c r="F183" s="115"/>
      <c r="G183" s="118"/>
      <c r="H183" s="118"/>
      <c r="I183" s="118"/>
      <c r="J183" s="118"/>
    </row>
    <row r="184" spans="1:10">
      <c r="A184" s="126"/>
      <c r="B184" s="114"/>
      <c r="C184" s="114"/>
      <c r="D184" s="115"/>
      <c r="E184" s="115"/>
      <c r="F184" s="115"/>
      <c r="G184" s="118"/>
      <c r="H184" s="118"/>
      <c r="I184" s="118"/>
      <c r="J184" s="118"/>
    </row>
    <row r="185" spans="1:10">
      <c r="A185" s="142"/>
      <c r="B185" s="114"/>
      <c r="C185" s="114"/>
      <c r="D185" s="102"/>
      <c r="E185" s="102"/>
      <c r="F185" s="102"/>
      <c r="G185" s="112"/>
      <c r="H185" s="112"/>
      <c r="I185" s="112"/>
      <c r="J185" s="112"/>
    </row>
    <row r="186" spans="1:10">
      <c r="A186" s="133"/>
      <c r="B186" s="101"/>
      <c r="C186" s="101"/>
      <c r="D186" s="102"/>
      <c r="E186" s="102"/>
      <c r="F186" s="102"/>
      <c r="G186" s="103"/>
      <c r="H186" s="103"/>
      <c r="I186" s="103"/>
      <c r="J186" s="103"/>
    </row>
    <row r="187" spans="1:10">
      <c r="A187" s="134"/>
      <c r="B187" s="114"/>
      <c r="C187" s="114"/>
      <c r="D187" s="115"/>
      <c r="E187" s="115"/>
      <c r="F187" s="115"/>
      <c r="G187" s="112"/>
      <c r="H187" s="112"/>
      <c r="I187" s="112"/>
      <c r="J187" s="112"/>
    </row>
    <row r="188" spans="1:10">
      <c r="A188" s="134"/>
      <c r="B188" s="114"/>
      <c r="C188" s="114"/>
      <c r="D188" s="115"/>
      <c r="E188" s="115"/>
      <c r="F188" s="115"/>
      <c r="G188" s="112"/>
      <c r="H188" s="112"/>
      <c r="I188" s="112"/>
      <c r="J188" s="112"/>
    </row>
    <row r="189" spans="1:10">
      <c r="A189" s="134"/>
      <c r="B189" s="114"/>
      <c r="C189" s="114"/>
      <c r="D189" s="115"/>
      <c r="E189" s="115"/>
      <c r="F189" s="115"/>
      <c r="G189" s="112"/>
      <c r="H189" s="112"/>
      <c r="I189" s="112"/>
      <c r="J189" s="112"/>
    </row>
    <row r="190" spans="1:10">
      <c r="A190" s="126"/>
      <c r="B190" s="114"/>
      <c r="C190" s="114"/>
      <c r="D190" s="115"/>
      <c r="E190" s="115"/>
      <c r="F190" s="115"/>
      <c r="G190" s="118"/>
      <c r="H190" s="118"/>
      <c r="I190" s="118"/>
      <c r="J190" s="118"/>
    </row>
    <row r="191" spans="1:10">
      <c r="A191" s="126"/>
      <c r="B191" s="114"/>
      <c r="C191" s="114"/>
      <c r="D191" s="115"/>
      <c r="E191" s="115"/>
      <c r="F191" s="115"/>
      <c r="G191" s="118"/>
      <c r="H191" s="118"/>
      <c r="I191" s="118"/>
      <c r="J191" s="118"/>
    </row>
    <row r="192" spans="1:10">
      <c r="A192" s="126"/>
      <c r="B192" s="114"/>
      <c r="C192" s="114"/>
      <c r="D192" s="115"/>
      <c r="E192" s="115"/>
      <c r="F192" s="115"/>
      <c r="G192" s="118"/>
      <c r="H192" s="118"/>
      <c r="I192" s="118"/>
      <c r="J192" s="118"/>
    </row>
    <row r="193" spans="1:10">
      <c r="A193" s="126"/>
      <c r="B193" s="114"/>
      <c r="C193" s="114"/>
      <c r="D193" s="115"/>
      <c r="E193" s="115"/>
      <c r="F193" s="115"/>
      <c r="G193" s="118"/>
      <c r="H193" s="118"/>
      <c r="I193" s="118"/>
      <c r="J193" s="118"/>
    </row>
    <row r="194" spans="1:10">
      <c r="A194" s="126"/>
      <c r="B194" s="114"/>
      <c r="C194" s="114"/>
      <c r="D194" s="115"/>
      <c r="E194" s="115"/>
      <c r="F194" s="115"/>
      <c r="G194" s="118"/>
      <c r="H194" s="118"/>
      <c r="I194" s="118"/>
      <c r="J194" s="118"/>
    </row>
    <row r="195" spans="1:10">
      <c r="A195" s="142"/>
      <c r="B195" s="114"/>
      <c r="C195" s="114"/>
      <c r="D195" s="115"/>
      <c r="E195" s="115"/>
      <c r="F195" s="115"/>
      <c r="G195" s="112"/>
      <c r="H195" s="112"/>
      <c r="I195" s="112"/>
      <c r="J195" s="112"/>
    </row>
    <row r="196" spans="1:10">
      <c r="A196" s="133"/>
      <c r="B196" s="101"/>
      <c r="C196" s="101"/>
      <c r="D196" s="115"/>
      <c r="E196" s="115"/>
      <c r="F196" s="115"/>
      <c r="G196" s="103"/>
      <c r="H196" s="103"/>
      <c r="I196" s="103"/>
      <c r="J196" s="103"/>
    </row>
    <row r="197" spans="1:10">
      <c r="A197" s="134"/>
      <c r="B197" s="114"/>
      <c r="C197" s="114"/>
      <c r="D197" s="115"/>
      <c r="E197" s="115"/>
      <c r="F197" s="115"/>
      <c r="G197" s="112"/>
      <c r="H197" s="112"/>
      <c r="I197" s="112"/>
      <c r="J197" s="112"/>
    </row>
    <row r="198" spans="1:10">
      <c r="A198" s="134"/>
      <c r="B198" s="114"/>
      <c r="C198" s="114"/>
      <c r="D198" s="115"/>
      <c r="E198" s="115"/>
      <c r="F198" s="115"/>
      <c r="G198" s="112"/>
      <c r="H198" s="112"/>
      <c r="I198" s="112"/>
      <c r="J198" s="112"/>
    </row>
    <row r="199" spans="1:10">
      <c r="A199" s="134"/>
      <c r="B199" s="114"/>
      <c r="C199" s="114"/>
      <c r="D199" s="115"/>
      <c r="E199" s="115"/>
      <c r="F199" s="115"/>
      <c r="G199" s="112"/>
      <c r="H199" s="112"/>
      <c r="I199" s="112"/>
      <c r="J199" s="112"/>
    </row>
    <row r="200" spans="1:10">
      <c r="A200" s="126"/>
      <c r="B200" s="114"/>
      <c r="C200" s="114"/>
      <c r="D200" s="115"/>
      <c r="E200" s="115"/>
      <c r="F200" s="115"/>
      <c r="G200" s="118"/>
      <c r="H200" s="118"/>
      <c r="I200" s="118"/>
      <c r="J200" s="118"/>
    </row>
    <row r="201" spans="1:10">
      <c r="A201" s="126"/>
      <c r="B201" s="114"/>
      <c r="C201" s="114"/>
      <c r="D201" s="115"/>
      <c r="E201" s="115"/>
      <c r="F201" s="115"/>
      <c r="G201" s="118"/>
      <c r="H201" s="118"/>
      <c r="I201" s="118"/>
      <c r="J201" s="118"/>
    </row>
    <row r="202" spans="1:10">
      <c r="A202" s="126"/>
      <c r="B202" s="114"/>
      <c r="C202" s="114"/>
      <c r="D202" s="115"/>
      <c r="E202" s="115"/>
      <c r="F202" s="115"/>
      <c r="G202" s="118"/>
      <c r="H202" s="118"/>
      <c r="I202" s="118"/>
      <c r="J202" s="118"/>
    </row>
    <row r="203" spans="1:10">
      <c r="A203" s="126"/>
      <c r="B203" s="114"/>
      <c r="C203" s="114"/>
      <c r="D203" s="115"/>
      <c r="E203" s="115"/>
      <c r="F203" s="115"/>
      <c r="G203" s="118"/>
      <c r="H203" s="118"/>
      <c r="I203" s="118"/>
      <c r="J203" s="118"/>
    </row>
    <row r="204" spans="1:10">
      <c r="A204" s="126"/>
      <c r="B204" s="114"/>
      <c r="C204" s="114"/>
      <c r="D204" s="115"/>
      <c r="E204" s="115"/>
      <c r="F204" s="115"/>
      <c r="G204" s="118"/>
      <c r="H204" s="118"/>
      <c r="I204" s="118"/>
      <c r="J204" s="118"/>
    </row>
    <row r="205" spans="1:10">
      <c r="A205" s="142"/>
      <c r="B205" s="114"/>
      <c r="C205" s="114"/>
      <c r="D205" s="115"/>
      <c r="E205" s="115"/>
      <c r="F205" s="115"/>
      <c r="G205" s="112"/>
      <c r="H205" s="112"/>
      <c r="I205" s="112"/>
      <c r="J205" s="112"/>
    </row>
    <row r="206" spans="1:10">
      <c r="A206" s="133"/>
      <c r="B206" s="101"/>
      <c r="C206" s="101"/>
      <c r="D206" s="115"/>
      <c r="E206" s="115"/>
      <c r="F206" s="115"/>
      <c r="G206" s="112"/>
      <c r="H206" s="112"/>
      <c r="I206" s="112"/>
      <c r="J206" s="112"/>
    </row>
    <row r="207" spans="1:10">
      <c r="A207" s="134"/>
      <c r="B207" s="114"/>
      <c r="C207" s="114"/>
      <c r="D207" s="115"/>
      <c r="E207" s="115"/>
      <c r="F207" s="115"/>
      <c r="G207" s="112"/>
      <c r="H207" s="112"/>
      <c r="I207" s="112"/>
      <c r="J207" s="112"/>
    </row>
    <row r="208" spans="1:10">
      <c r="A208" s="134"/>
      <c r="B208" s="114"/>
      <c r="C208" s="114"/>
      <c r="D208" s="115"/>
      <c r="E208" s="115"/>
      <c r="F208" s="115"/>
      <c r="G208" s="112"/>
      <c r="H208" s="112"/>
      <c r="I208" s="112"/>
      <c r="J208" s="112"/>
    </row>
    <row r="209" spans="1:10">
      <c r="A209" s="134"/>
      <c r="B209" s="114"/>
      <c r="C209" s="114"/>
      <c r="D209" s="115"/>
      <c r="E209" s="115"/>
      <c r="F209" s="115"/>
      <c r="G209" s="112"/>
      <c r="H209" s="112"/>
      <c r="I209" s="112"/>
      <c r="J209" s="112"/>
    </row>
    <row r="210" spans="1:10">
      <c r="A210" s="126"/>
      <c r="B210" s="114"/>
      <c r="C210" s="114"/>
      <c r="D210" s="115"/>
      <c r="E210" s="115"/>
      <c r="F210" s="115"/>
      <c r="G210" s="118"/>
      <c r="H210" s="118"/>
      <c r="I210" s="118"/>
      <c r="J210" s="118"/>
    </row>
    <row r="211" spans="1:10">
      <c r="A211" s="126"/>
      <c r="B211" s="114"/>
      <c r="C211" s="114"/>
      <c r="D211" s="115"/>
      <c r="E211" s="115"/>
      <c r="F211" s="115"/>
      <c r="G211" s="118"/>
      <c r="H211" s="118"/>
      <c r="I211" s="118"/>
      <c r="J211" s="118"/>
    </row>
    <row r="212" spans="1:10">
      <c r="A212" s="126"/>
      <c r="B212" s="114"/>
      <c r="C212" s="114"/>
      <c r="D212" s="115"/>
      <c r="E212" s="115"/>
      <c r="F212" s="115"/>
      <c r="G212" s="118"/>
      <c r="H212" s="118"/>
      <c r="I212" s="118"/>
      <c r="J212" s="118"/>
    </row>
    <row r="213" spans="1:10">
      <c r="A213" s="126"/>
      <c r="B213" s="114"/>
      <c r="C213" s="114"/>
      <c r="D213" s="115"/>
      <c r="E213" s="115"/>
      <c r="F213" s="115"/>
      <c r="G213" s="118"/>
      <c r="H213" s="118"/>
      <c r="I213" s="118"/>
      <c r="J213" s="118"/>
    </row>
    <row r="214" spans="1:10">
      <c r="A214" s="126"/>
      <c r="B214" s="114"/>
      <c r="C214" s="114"/>
      <c r="D214" s="115"/>
      <c r="E214" s="115"/>
      <c r="F214" s="115"/>
      <c r="G214" s="118"/>
      <c r="H214" s="118"/>
      <c r="I214" s="118"/>
      <c r="J214" s="118"/>
    </row>
    <row r="215" spans="1:10">
      <c r="A215" s="126"/>
      <c r="B215" s="114"/>
      <c r="C215" s="114"/>
      <c r="D215" s="115"/>
      <c r="E215" s="115"/>
      <c r="F215" s="115"/>
      <c r="G215" s="118"/>
      <c r="H215" s="118"/>
      <c r="I215" s="118"/>
      <c r="J215" s="118"/>
    </row>
    <row r="216" spans="1:10">
      <c r="A216" s="126"/>
      <c r="B216" s="114"/>
      <c r="C216" s="114"/>
      <c r="D216" s="115"/>
      <c r="E216" s="115"/>
      <c r="F216" s="115"/>
      <c r="G216" s="118"/>
      <c r="H216" s="118"/>
      <c r="I216" s="118"/>
      <c r="J216" s="118"/>
    </row>
    <row r="217" spans="1:10">
      <c r="A217" s="126"/>
      <c r="B217" s="114"/>
      <c r="C217" s="114"/>
      <c r="D217" s="115"/>
      <c r="E217" s="115"/>
      <c r="F217" s="115"/>
      <c r="G217" s="118"/>
      <c r="H217" s="118"/>
      <c r="I217" s="118"/>
      <c r="J217" s="118"/>
    </row>
    <row r="218" spans="1:10">
      <c r="A218" s="126"/>
      <c r="B218" s="114"/>
      <c r="C218" s="114"/>
      <c r="D218" s="115"/>
      <c r="E218" s="115"/>
      <c r="F218" s="115"/>
      <c r="G218" s="118"/>
      <c r="H218" s="118"/>
      <c r="I218" s="118"/>
      <c r="J218" s="118"/>
    </row>
    <row r="219" spans="1:10">
      <c r="A219" s="142"/>
      <c r="B219" s="114"/>
      <c r="C219" s="114"/>
      <c r="D219" s="102"/>
      <c r="E219" s="102"/>
      <c r="F219" s="102"/>
      <c r="G219" s="112"/>
      <c r="H219" s="112"/>
      <c r="I219" s="112"/>
      <c r="J219" s="112"/>
    </row>
    <row r="220" spans="1:10">
      <c r="A220" s="133"/>
      <c r="B220" s="101"/>
      <c r="C220" s="101"/>
      <c r="D220" s="102"/>
      <c r="E220" s="102"/>
      <c r="F220" s="102"/>
      <c r="G220" s="103"/>
      <c r="H220" s="103"/>
      <c r="I220" s="103"/>
      <c r="J220" s="103"/>
    </row>
    <row r="221" spans="1:10">
      <c r="A221" s="134"/>
      <c r="B221" s="114"/>
      <c r="C221" s="114"/>
      <c r="D221" s="115"/>
      <c r="E221" s="115"/>
      <c r="F221" s="115"/>
      <c r="G221" s="112"/>
      <c r="H221" s="112"/>
      <c r="I221" s="112"/>
      <c r="J221" s="112"/>
    </row>
    <row r="222" spans="1:10">
      <c r="A222" s="134"/>
      <c r="B222" s="114"/>
      <c r="C222" s="114"/>
      <c r="D222" s="115"/>
      <c r="E222" s="115"/>
      <c r="F222" s="115"/>
      <c r="G222" s="112"/>
      <c r="H222" s="112"/>
      <c r="I222" s="112"/>
      <c r="J222" s="112"/>
    </row>
    <row r="223" spans="1:10">
      <c r="A223" s="134"/>
      <c r="B223" s="114"/>
      <c r="C223" s="114"/>
      <c r="D223" s="115"/>
      <c r="E223" s="115"/>
      <c r="F223" s="115"/>
      <c r="G223" s="112"/>
      <c r="H223" s="112"/>
      <c r="I223" s="112"/>
      <c r="J223" s="112"/>
    </row>
    <row r="224" spans="1:10">
      <c r="A224" s="126"/>
      <c r="B224" s="114"/>
      <c r="C224" s="114"/>
      <c r="D224" s="115"/>
      <c r="E224" s="115"/>
      <c r="F224" s="115"/>
      <c r="G224" s="118"/>
      <c r="H224" s="118"/>
      <c r="I224" s="118"/>
      <c r="J224" s="118"/>
    </row>
    <row r="225" spans="1:10">
      <c r="A225" s="126"/>
      <c r="B225" s="114"/>
      <c r="C225" s="114"/>
      <c r="D225" s="115"/>
      <c r="E225" s="115"/>
      <c r="F225" s="115"/>
      <c r="G225" s="118"/>
      <c r="H225" s="118"/>
      <c r="I225" s="118"/>
      <c r="J225" s="118"/>
    </row>
    <row r="226" spans="1:10">
      <c r="A226" s="126"/>
      <c r="B226" s="114"/>
      <c r="C226" s="114"/>
      <c r="D226" s="115"/>
      <c r="E226" s="115"/>
      <c r="F226" s="115"/>
      <c r="G226" s="118"/>
      <c r="H226" s="118"/>
      <c r="I226" s="118"/>
      <c r="J226" s="118"/>
    </row>
    <row r="227" spans="1:10">
      <c r="A227" s="126"/>
      <c r="B227" s="114"/>
      <c r="C227" s="114"/>
      <c r="D227" s="115"/>
      <c r="E227" s="115"/>
      <c r="F227" s="115"/>
      <c r="G227" s="118"/>
      <c r="H227" s="118"/>
      <c r="I227" s="118"/>
      <c r="J227" s="118"/>
    </row>
    <row r="228" spans="1:10">
      <c r="A228" s="126"/>
      <c r="B228" s="114"/>
      <c r="C228" s="114"/>
      <c r="D228" s="115"/>
      <c r="E228" s="115"/>
      <c r="F228" s="115"/>
      <c r="G228" s="118"/>
      <c r="H228" s="118"/>
      <c r="I228" s="118"/>
      <c r="J228" s="118"/>
    </row>
    <row r="229" spans="1:10">
      <c r="A229" s="142"/>
      <c r="B229" s="114"/>
      <c r="C229" s="114"/>
      <c r="D229" s="115"/>
      <c r="E229" s="115"/>
      <c r="F229" s="115"/>
      <c r="G229" s="112"/>
      <c r="H229" s="112"/>
      <c r="I229" s="112"/>
      <c r="J229" s="112"/>
    </row>
    <row r="230" spans="1:10">
      <c r="A230" s="133"/>
      <c r="B230" s="101"/>
      <c r="C230" s="101"/>
      <c r="D230" s="115"/>
      <c r="E230" s="115"/>
      <c r="F230" s="115"/>
      <c r="G230" s="103"/>
      <c r="H230" s="103"/>
      <c r="I230" s="103"/>
      <c r="J230" s="103"/>
    </row>
    <row r="231" spans="1:10">
      <c r="A231" s="134"/>
      <c r="B231" s="114"/>
      <c r="C231" s="114"/>
      <c r="D231" s="115"/>
      <c r="E231" s="115"/>
      <c r="F231" s="115"/>
      <c r="G231" s="112"/>
      <c r="H231" s="112"/>
      <c r="I231" s="112"/>
      <c r="J231" s="112"/>
    </row>
    <row r="232" spans="1:10">
      <c r="A232" s="134"/>
      <c r="B232" s="114"/>
      <c r="C232" s="114"/>
      <c r="D232" s="115"/>
      <c r="E232" s="115"/>
      <c r="F232" s="115"/>
      <c r="G232" s="112"/>
      <c r="H232" s="112"/>
      <c r="I232" s="112"/>
      <c r="J232" s="112"/>
    </row>
    <row r="233" spans="1:10">
      <c r="A233" s="134"/>
      <c r="B233" s="114"/>
      <c r="C233" s="114"/>
      <c r="D233" s="115"/>
      <c r="E233" s="115"/>
      <c r="F233" s="115"/>
      <c r="G233" s="112"/>
      <c r="H233" s="112"/>
      <c r="I233" s="112"/>
      <c r="J233" s="112"/>
    </row>
    <row r="234" spans="1:10">
      <c r="A234" s="126"/>
      <c r="B234" s="114"/>
      <c r="C234" s="114"/>
      <c r="D234" s="115"/>
      <c r="E234" s="115"/>
      <c r="F234" s="115"/>
      <c r="G234" s="118"/>
      <c r="H234" s="118"/>
      <c r="I234" s="118"/>
      <c r="J234" s="118"/>
    </row>
    <row r="235" spans="1:10">
      <c r="A235" s="126"/>
      <c r="B235" s="114"/>
      <c r="C235" s="114"/>
      <c r="D235" s="115"/>
      <c r="E235" s="115"/>
      <c r="F235" s="115"/>
      <c r="G235" s="118"/>
      <c r="H235" s="118"/>
      <c r="I235" s="118"/>
      <c r="J235" s="118"/>
    </row>
    <row r="236" spans="1:10">
      <c r="A236" s="126"/>
      <c r="B236" s="114"/>
      <c r="C236" s="114"/>
      <c r="D236" s="115"/>
      <c r="E236" s="115"/>
      <c r="F236" s="115"/>
      <c r="G236" s="118"/>
      <c r="H236" s="118"/>
      <c r="I236" s="118"/>
      <c r="J236" s="118"/>
    </row>
    <row r="237" spans="1:10">
      <c r="A237" s="126"/>
      <c r="B237" s="114"/>
      <c r="C237" s="114"/>
      <c r="D237" s="115"/>
      <c r="E237" s="115"/>
      <c r="F237" s="115"/>
      <c r="G237" s="118"/>
      <c r="H237" s="118"/>
      <c r="I237" s="118"/>
      <c r="J237" s="118"/>
    </row>
    <row r="238" spans="1:10">
      <c r="A238" s="126"/>
      <c r="B238" s="114"/>
      <c r="C238" s="114"/>
      <c r="D238" s="115"/>
      <c r="E238" s="115"/>
      <c r="F238" s="115"/>
      <c r="G238" s="118"/>
      <c r="H238" s="118"/>
      <c r="I238" s="118"/>
      <c r="J238" s="118"/>
    </row>
    <row r="239" spans="1:10">
      <c r="A239" s="142"/>
      <c r="B239" s="114"/>
      <c r="C239" s="114"/>
      <c r="D239" s="115"/>
      <c r="E239" s="115"/>
      <c r="F239" s="115"/>
      <c r="G239" s="112"/>
      <c r="H239" s="112"/>
      <c r="I239" s="112"/>
      <c r="J239" s="112"/>
    </row>
    <row r="240" spans="1:10">
      <c r="A240" s="133"/>
      <c r="B240" s="101"/>
      <c r="C240" s="101"/>
      <c r="D240" s="115"/>
      <c r="E240" s="115"/>
      <c r="F240" s="115"/>
      <c r="G240" s="112"/>
      <c r="H240" s="112"/>
      <c r="I240" s="112"/>
      <c r="J240" s="112"/>
    </row>
    <row r="241" spans="1:10">
      <c r="A241" s="134"/>
      <c r="B241" s="114"/>
      <c r="C241" s="114"/>
      <c r="D241" s="115"/>
      <c r="E241" s="115"/>
      <c r="F241" s="115"/>
      <c r="G241" s="112"/>
      <c r="H241" s="112"/>
      <c r="I241" s="112"/>
      <c r="J241" s="112"/>
    </row>
    <row r="242" spans="1:10">
      <c r="A242" s="134"/>
      <c r="B242" s="114"/>
      <c r="C242" s="114"/>
      <c r="D242" s="115"/>
      <c r="E242" s="115"/>
      <c r="F242" s="115"/>
      <c r="G242" s="112"/>
      <c r="H242" s="112"/>
      <c r="I242" s="112"/>
      <c r="J242" s="112"/>
    </row>
    <row r="243" spans="1:10">
      <c r="A243" s="134"/>
      <c r="B243" s="114"/>
      <c r="C243" s="114"/>
      <c r="D243" s="115"/>
      <c r="E243" s="115"/>
      <c r="F243" s="115"/>
      <c r="G243" s="112"/>
      <c r="H243" s="112"/>
      <c r="I243" s="112"/>
      <c r="J243" s="112"/>
    </row>
    <row r="244" spans="1:10">
      <c r="A244" s="126"/>
      <c r="B244" s="114"/>
      <c r="C244" s="114"/>
      <c r="D244" s="115"/>
      <c r="E244" s="115"/>
      <c r="F244" s="115"/>
      <c r="G244" s="118"/>
      <c r="H244" s="118"/>
      <c r="I244" s="118"/>
      <c r="J244" s="118"/>
    </row>
    <row r="245" spans="1:10">
      <c r="A245" s="126"/>
      <c r="B245" s="114"/>
      <c r="C245" s="114"/>
      <c r="D245" s="115"/>
      <c r="E245" s="115"/>
      <c r="F245" s="115"/>
      <c r="G245" s="118"/>
      <c r="H245" s="118"/>
      <c r="I245" s="118"/>
      <c r="J245" s="118"/>
    </row>
    <row r="246" spans="1:10">
      <c r="A246" s="126"/>
      <c r="B246" s="114"/>
      <c r="C246" s="114"/>
      <c r="D246" s="115"/>
      <c r="E246" s="115"/>
      <c r="F246" s="115"/>
      <c r="G246" s="118"/>
      <c r="H246" s="118"/>
      <c r="I246" s="118"/>
      <c r="J246" s="118"/>
    </row>
    <row r="247" spans="1:10">
      <c r="A247" s="126"/>
      <c r="B247" s="114"/>
      <c r="C247" s="114"/>
      <c r="D247" s="115"/>
      <c r="E247" s="115"/>
      <c r="F247" s="115"/>
      <c r="G247" s="118"/>
      <c r="H247" s="118"/>
      <c r="I247" s="118"/>
      <c r="J247" s="118"/>
    </row>
    <row r="248" spans="1:10">
      <c r="A248" s="126"/>
      <c r="B248" s="114"/>
      <c r="C248" s="114"/>
      <c r="D248" s="115"/>
      <c r="E248" s="115"/>
      <c r="F248" s="115"/>
      <c r="G248" s="118"/>
      <c r="H248" s="118"/>
      <c r="I248" s="118"/>
      <c r="J248" s="118"/>
    </row>
    <row r="249" spans="1:10">
      <c r="A249" s="126"/>
      <c r="B249" s="114"/>
      <c r="C249" s="114"/>
      <c r="D249" s="115"/>
      <c r="E249" s="115"/>
      <c r="F249" s="115"/>
      <c r="G249" s="118"/>
      <c r="H249" s="118"/>
      <c r="I249" s="118"/>
      <c r="J249" s="118"/>
    </row>
    <row r="250" spans="1:10">
      <c r="A250" s="126"/>
      <c r="B250" s="114"/>
      <c r="C250" s="114"/>
      <c r="D250" s="115"/>
      <c r="E250" s="115"/>
      <c r="F250" s="115"/>
      <c r="G250" s="118"/>
      <c r="H250" s="118"/>
      <c r="I250" s="118"/>
      <c r="J250" s="118"/>
    </row>
    <row r="251" spans="1:10">
      <c r="A251" s="143"/>
      <c r="B251" s="118"/>
      <c r="C251" s="118"/>
      <c r="D251" s="115"/>
      <c r="E251" s="144"/>
      <c r="F251" s="144"/>
      <c r="G251" s="112"/>
      <c r="H251" s="112"/>
      <c r="I251" s="112"/>
      <c r="J251" s="112"/>
    </row>
    <row r="252" spans="1:10">
      <c r="B252" s="145"/>
      <c r="C252" s="145"/>
      <c r="D252" s="146"/>
      <c r="E252" s="146"/>
      <c r="F252" s="146"/>
      <c r="G252" s="146"/>
      <c r="H252" s="146"/>
      <c r="I252" s="146"/>
      <c r="J252" s="146"/>
    </row>
  </sheetData>
  <mergeCells count="1">
    <mergeCell ref="B1:C1"/>
  </mergeCells>
  <printOptions horizontalCentered="1"/>
  <pageMargins left="0.11811023622047245" right="0.11811023622047245" top="0.74803149606299213" bottom="0.74803149606299213" header="0.31496062992125984" footer="0.31496062992125984"/>
  <pageSetup paperSize="256" scale="63" orientation="portrait" verticalDpi="0" r:id="rId1"/>
  <ignoredErrors>
    <ignoredError sqref="D15" formula="1"/>
    <ignoredError sqref="B11:C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32</vt:i4>
      </vt:variant>
    </vt:vector>
  </HeadingPairs>
  <TitlesOfParts>
    <vt:vector size="38" baseType="lpstr">
      <vt:lpstr>Base de données sociale</vt:lpstr>
      <vt:lpstr>suivi bulletins</vt:lpstr>
      <vt:lpstr>SMIC</vt:lpstr>
      <vt:lpstr>DUBREUIL JEAN</vt:lpstr>
      <vt:lpstr>ROBERT DUVERGNE</vt:lpstr>
      <vt:lpstr>Controle des charges</vt:lpstr>
      <vt:lpstr>'DUBREUIL JEAN'!Coeff.effectif</vt:lpstr>
      <vt:lpstr>'ROBERT DUVERGNE'!Coeff.effectif</vt:lpstr>
      <vt:lpstr>'DUBREUIL JEAN'!Horaire_collectif_mensuel</vt:lpstr>
      <vt:lpstr>'ROBERT DUVERGNE'!Horaire_collectif_mensuel</vt:lpstr>
      <vt:lpstr>'ROBERT DUVERGNE'!Mode_calcul</vt:lpstr>
      <vt:lpstr>Mode_calcul</vt:lpstr>
      <vt:lpstr>'ROBERT DUVERGNE'!Salaire_brut_août</vt:lpstr>
      <vt:lpstr>Salaire_brut_août</vt:lpstr>
      <vt:lpstr>'ROBERT DUVERGNE'!Salaire_brut_avril</vt:lpstr>
      <vt:lpstr>Salaire_brut_avril</vt:lpstr>
      <vt:lpstr>'ROBERT DUVERGNE'!Salaire_brut_décembre</vt:lpstr>
      <vt:lpstr>Salaire_brut_décembre</vt:lpstr>
      <vt:lpstr>'ROBERT DUVERGNE'!Salaire_brut_février</vt:lpstr>
      <vt:lpstr>Salaire_brut_février</vt:lpstr>
      <vt:lpstr>'ROBERT DUVERGNE'!Salaire_brut_janvier</vt:lpstr>
      <vt:lpstr>Salaire_brut_janvier</vt:lpstr>
      <vt:lpstr>'ROBERT DUVERGNE'!Salaire_brut_juillet</vt:lpstr>
      <vt:lpstr>Salaire_brut_juillet</vt:lpstr>
      <vt:lpstr>'ROBERT DUVERGNE'!Salaire_brut_juin</vt:lpstr>
      <vt:lpstr>Salaire_brut_juin</vt:lpstr>
      <vt:lpstr>'ROBERT DUVERGNE'!Salaire_brut_mai</vt:lpstr>
      <vt:lpstr>Salaire_brut_mai</vt:lpstr>
      <vt:lpstr>'ROBERT DUVERGNE'!Salaire_brut_mars</vt:lpstr>
      <vt:lpstr>Salaire_brut_mars</vt:lpstr>
      <vt:lpstr>'ROBERT DUVERGNE'!Salaire_brut_novembre</vt:lpstr>
      <vt:lpstr>Salaire_brut_novembre</vt:lpstr>
      <vt:lpstr>'ROBERT DUVERGNE'!Salaire_brut_octobre</vt:lpstr>
      <vt:lpstr>Salaire_brut_octobre</vt:lpstr>
      <vt:lpstr>'ROBERT DUVERGNE'!Salaire_brut_septembre</vt:lpstr>
      <vt:lpstr>Salaire_brut_septembre</vt:lpstr>
      <vt:lpstr>'DUBREUIL JEAN'!Zone_d_impression</vt:lpstr>
      <vt:lpstr>'ROBERT DUVERGNE'!Zone_d_impression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 </cp:lastModifiedBy>
  <dcterms:created xsi:type="dcterms:W3CDTF">2014-07-03T21:35:31Z</dcterms:created>
  <dcterms:modified xsi:type="dcterms:W3CDTF">2014-07-06T21:47:29Z</dcterms:modified>
</cp:coreProperties>
</file>