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230" yWindow="165" windowWidth="5130" windowHeight="6570"/>
  </bookViews>
  <sheets>
    <sheet name=" Datas BITOOL" sheetId="7" r:id="rId1"/>
    <sheet name="Claims" sheetId="15" r:id="rId2"/>
    <sheet name="Légendes" sheetId="2" r:id="rId3"/>
  </sheets>
  <externalReferences>
    <externalReference r:id="rId4"/>
  </externalReferences>
  <definedNames>
    <definedName name="_xlnm._FilterDatabase" localSheetId="0" hidden="1">' Datas BITOOL'!$A$1:$AM$28</definedName>
    <definedName name="_xlnm._FilterDatabase" localSheetId="2" hidden="1">Légendes!$E$1:$H$56</definedName>
  </definedNames>
  <calcPr calcId="145621"/>
</workbook>
</file>

<file path=xl/calcChain.xml><?xml version="1.0" encoding="utf-8"?>
<calcChain xmlns="http://schemas.openxmlformats.org/spreadsheetml/2006/main">
  <c r="C6" i="7" l="1"/>
  <c r="M4" i="15" l="1"/>
  <c r="K4" i="15"/>
  <c r="L4" i="15" s="1"/>
  <c r="L1" i="15" s="1"/>
  <c r="J4" i="15"/>
  <c r="I4" i="15"/>
  <c r="M1" i="15"/>
  <c r="K1" i="15"/>
  <c r="B28" i="7" l="1"/>
  <c r="B27" i="7"/>
  <c r="B26" i="7"/>
  <c r="B25" i="7"/>
  <c r="B24" i="7"/>
  <c r="B23" i="7"/>
  <c r="B22" i="7"/>
  <c r="B21" i="7"/>
  <c r="B20" i="7"/>
  <c r="B19" i="7"/>
  <c r="B18" i="7"/>
  <c r="B17" i="7"/>
  <c r="B16" i="7"/>
  <c r="B15" i="7"/>
  <c r="B14" i="7"/>
  <c r="B13" i="7"/>
  <c r="B12" i="7"/>
  <c r="B11" i="7"/>
  <c r="B10" i="7"/>
  <c r="B9" i="7"/>
  <c r="B8" i="7"/>
  <c r="B7" i="7"/>
  <c r="B6" i="7"/>
  <c r="B5" i="7"/>
  <c r="B4" i="7"/>
  <c r="B3" i="7"/>
  <c r="B2" i="7"/>
  <c r="A13" i="7" l="1"/>
  <c r="C13" i="7"/>
  <c r="E13" i="7"/>
  <c r="G13" i="7"/>
  <c r="F13" i="7" s="1"/>
  <c r="H13" i="7"/>
  <c r="A14" i="7"/>
  <c r="C14" i="7"/>
  <c r="E14" i="7"/>
  <c r="G14" i="7"/>
  <c r="F14" i="7" s="1"/>
  <c r="H14" i="7"/>
  <c r="A15" i="7"/>
  <c r="C15" i="7"/>
  <c r="E15" i="7"/>
  <c r="G15" i="7"/>
  <c r="F15" i="7" s="1"/>
  <c r="H15" i="7"/>
  <c r="A16" i="7"/>
  <c r="C16" i="7"/>
  <c r="E16" i="7"/>
  <c r="G16" i="7"/>
  <c r="F16" i="7" s="1"/>
  <c r="H16" i="7"/>
  <c r="A17" i="7"/>
  <c r="C17" i="7"/>
  <c r="E17" i="7"/>
  <c r="G17" i="7"/>
  <c r="F17" i="7" s="1"/>
  <c r="H17" i="7"/>
  <c r="A18" i="7"/>
  <c r="C18" i="7"/>
  <c r="E18" i="7"/>
  <c r="G18" i="7"/>
  <c r="F18" i="7" s="1"/>
  <c r="H18" i="7"/>
  <c r="A19" i="7"/>
  <c r="C19" i="7"/>
  <c r="E19" i="7"/>
  <c r="G19" i="7"/>
  <c r="F19" i="7" s="1"/>
  <c r="H19" i="7"/>
  <c r="A20" i="7"/>
  <c r="C20" i="7"/>
  <c r="E20" i="7"/>
  <c r="G20" i="7"/>
  <c r="F20" i="7" s="1"/>
  <c r="H20" i="7"/>
  <c r="A21" i="7"/>
  <c r="C21" i="7"/>
  <c r="E21" i="7"/>
  <c r="G21" i="7"/>
  <c r="F21" i="7" s="1"/>
  <c r="H21" i="7"/>
  <c r="A22" i="7"/>
  <c r="C22" i="7"/>
  <c r="E22" i="7"/>
  <c r="G22" i="7"/>
  <c r="F22" i="7" s="1"/>
  <c r="H22" i="7"/>
  <c r="A23" i="7"/>
  <c r="C23" i="7"/>
  <c r="E23" i="7"/>
  <c r="G23" i="7"/>
  <c r="F23" i="7" s="1"/>
  <c r="H23" i="7"/>
  <c r="A24" i="7"/>
  <c r="C24" i="7"/>
  <c r="E24" i="7"/>
  <c r="G24" i="7"/>
  <c r="F24" i="7" s="1"/>
  <c r="H24" i="7"/>
  <c r="A25" i="7"/>
  <c r="C25" i="7"/>
  <c r="E25" i="7"/>
  <c r="G25" i="7"/>
  <c r="F25" i="7" s="1"/>
  <c r="H25" i="7"/>
  <c r="A26" i="7"/>
  <c r="C26" i="7"/>
  <c r="E26" i="7"/>
  <c r="G26" i="7"/>
  <c r="F26" i="7" s="1"/>
  <c r="H26" i="7"/>
  <c r="A27" i="7"/>
  <c r="C27" i="7"/>
  <c r="E27" i="7"/>
  <c r="G27" i="7"/>
  <c r="F27" i="7" s="1"/>
  <c r="H27" i="7"/>
  <c r="A28" i="7"/>
  <c r="C28" i="7"/>
  <c r="E28" i="7"/>
  <c r="G28" i="7"/>
  <c r="F28" i="7" s="1"/>
  <c r="H28" i="7"/>
  <c r="A3" i="7" l="1"/>
  <c r="C3" i="7"/>
  <c r="E3" i="7"/>
  <c r="G3" i="7"/>
  <c r="F3" i="7" s="1"/>
  <c r="H3" i="7"/>
  <c r="A4" i="7"/>
  <c r="C4" i="7"/>
  <c r="E4" i="7"/>
  <c r="G4" i="7"/>
  <c r="F4" i="7" s="1"/>
  <c r="H4" i="7"/>
  <c r="A5" i="7"/>
  <c r="C5" i="7"/>
  <c r="E5" i="7"/>
  <c r="G5" i="7"/>
  <c r="F5" i="7" s="1"/>
  <c r="H5" i="7"/>
  <c r="A6" i="7"/>
  <c r="E6" i="7"/>
  <c r="G6" i="7"/>
  <c r="F6" i="7" s="1"/>
  <c r="H6" i="7"/>
  <c r="A7" i="7"/>
  <c r="C7" i="7"/>
  <c r="E7" i="7"/>
  <c r="G7" i="7"/>
  <c r="F7" i="7" s="1"/>
  <c r="H7" i="7"/>
  <c r="A8" i="7"/>
  <c r="C8" i="7"/>
  <c r="E8" i="7"/>
  <c r="G8" i="7"/>
  <c r="F8" i="7" s="1"/>
  <c r="H8" i="7"/>
  <c r="A9" i="7"/>
  <c r="C9" i="7"/>
  <c r="E9" i="7"/>
  <c r="G9" i="7"/>
  <c r="F9" i="7" s="1"/>
  <c r="H9" i="7"/>
  <c r="A10" i="7"/>
  <c r="C10" i="7"/>
  <c r="E10" i="7"/>
  <c r="G10" i="7"/>
  <c r="F10" i="7" s="1"/>
  <c r="H10" i="7"/>
  <c r="A11" i="7"/>
  <c r="C11" i="7"/>
  <c r="E11" i="7"/>
  <c r="G11" i="7"/>
  <c r="F11" i="7" s="1"/>
  <c r="H11" i="7"/>
  <c r="A12" i="7"/>
  <c r="C12" i="7"/>
  <c r="E12" i="7"/>
  <c r="G12" i="7"/>
  <c r="F12" i="7" s="1"/>
  <c r="H12" i="7"/>
  <c r="G2" i="7"/>
  <c r="F2" i="7" s="1"/>
  <c r="H2" i="7"/>
  <c r="E2" i="7"/>
  <c r="C2" i="7"/>
  <c r="A2" i="7"/>
  <c r="N2" i="2" l="1"/>
  <c r="P2" i="2" s="1"/>
  <c r="N3" i="2"/>
  <c r="P3" i="2" s="1"/>
  <c r="N4" i="2"/>
  <c r="P4" i="2" s="1"/>
  <c r="N5" i="2"/>
  <c r="P5" i="2" s="1"/>
  <c r="N6" i="2"/>
  <c r="P6" i="2" s="1"/>
  <c r="N8" i="2"/>
  <c r="P8" i="2" s="1"/>
  <c r="N9" i="2"/>
  <c r="P9" i="2" s="1"/>
  <c r="N10" i="2"/>
  <c r="P10" i="2" s="1"/>
  <c r="N11" i="2"/>
  <c r="P11" i="2" s="1"/>
  <c r="N12" i="2"/>
  <c r="P12" i="2" s="1"/>
  <c r="N13" i="2"/>
  <c r="P13" i="2" s="1"/>
  <c r="N14" i="2"/>
  <c r="P14" i="2" s="1"/>
  <c r="N15" i="2"/>
  <c r="P15" i="2" s="1"/>
  <c r="N16" i="2"/>
  <c r="P16" i="2" s="1"/>
  <c r="N17" i="2"/>
  <c r="P17" i="2" s="1"/>
</calcChain>
</file>

<file path=xl/sharedStrings.xml><?xml version="1.0" encoding="utf-8"?>
<sst xmlns="http://schemas.openxmlformats.org/spreadsheetml/2006/main" count="966" uniqueCount="418">
  <si>
    <t>Terminée</t>
  </si>
  <si>
    <t>Echec</t>
  </si>
  <si>
    <t>PAR</t>
  </si>
  <si>
    <t>RAR</t>
  </si>
  <si>
    <t>GRANIOU</t>
  </si>
  <si>
    <t>Approuvée</t>
  </si>
  <si>
    <t>R13-026</t>
  </si>
  <si>
    <t>Succès</t>
  </si>
  <si>
    <t>R13-031</t>
  </si>
  <si>
    <t>R13-010</t>
  </si>
  <si>
    <t>LYO</t>
  </si>
  <si>
    <t>BSS</t>
  </si>
  <si>
    <t>R13-020</t>
  </si>
  <si>
    <t>UTRAN</t>
  </si>
  <si>
    <t>AIX</t>
  </si>
  <si>
    <t>R13-022</t>
  </si>
  <si>
    <t>Abandonnée</t>
  </si>
  <si>
    <t>INTEGRATION_BTS</t>
  </si>
  <si>
    <t>INTEGRATION_NODEB</t>
  </si>
  <si>
    <t>CREATION_MUTATION_SUR_SUPPORT_IP_OU_ATM_AVEC_COUPURE</t>
  </si>
  <si>
    <t>CHANGEMENT_FOURNISSEUR_BTS</t>
  </si>
  <si>
    <t>NAN</t>
  </si>
  <si>
    <t>R13-049</t>
  </si>
  <si>
    <t>R13-039</t>
  </si>
  <si>
    <t>AJOUT_DIMINUTION_CAPA_IUB</t>
  </si>
  <si>
    <t>TOU</t>
  </si>
  <si>
    <t>R13-048</t>
  </si>
  <si>
    <t>R13-046</t>
  </si>
  <si>
    <t>R13-009</t>
  </si>
  <si>
    <t>MES_NODEB</t>
  </si>
  <si>
    <t>R13-049 </t>
  </si>
  <si>
    <t>R13-006</t>
  </si>
  <si>
    <t>R13-049_140356</t>
  </si>
  <si>
    <t>R13-049_140420</t>
  </si>
  <si>
    <t>AJOUT_CHANGEMENT_CARTE_NODEB</t>
  </si>
  <si>
    <t>R13-049_290172</t>
  </si>
  <si>
    <t>R13-049_290060</t>
  </si>
  <si>
    <t>CHANGEMENT_FOURNISSEUR_NB</t>
  </si>
  <si>
    <t>R13-O018</t>
  </si>
  <si>
    <t>R13-049_350120</t>
  </si>
  <si>
    <t>R13-049_290464</t>
  </si>
  <si>
    <t>MUTATION_NODEB_SUPPORT_TRANSMISSION</t>
  </si>
  <si>
    <t>R13-049_291264</t>
  </si>
  <si>
    <t>MUTATION_BTS_SUPPORT_TRANSMISSION</t>
  </si>
  <si>
    <t>R13-007</t>
  </si>
  <si>
    <t>R13-018</t>
  </si>
  <si>
    <t>R13-049_220024</t>
  </si>
  <si>
    <t>Etat administratif intervention</t>
  </si>
  <si>
    <t>Etat technique intervention</t>
  </si>
  <si>
    <t>Region SFR</t>
  </si>
  <si>
    <t>N° site de l'équipement</t>
  </si>
  <si>
    <t>Nom de site</t>
  </si>
  <si>
    <t>Famille gamme intervention</t>
  </si>
  <si>
    <t>Gamme intervention</t>
  </si>
  <si>
    <t>Type de réseau</t>
  </si>
  <si>
    <t>Date création intervention (hs)</t>
  </si>
  <si>
    <t>Date début objectif intervention</t>
  </si>
  <si>
    <t>Date fin objectif intervention</t>
  </si>
  <si>
    <t>Date début réelle intervention</t>
  </si>
  <si>
    <t>Date fin réelle intervention</t>
  </si>
  <si>
    <t>Etat approbation intervention</t>
  </si>
  <si>
    <t>Référence projet</t>
  </si>
  <si>
    <t>Clé De Regroupement</t>
  </si>
  <si>
    <t>ENTREPRISE</t>
  </si>
  <si>
    <t>LOT</t>
  </si>
  <si>
    <t>Réf projet</t>
  </si>
  <si>
    <t>MEDITERR.</t>
  </si>
  <si>
    <t>MOBILCOM</t>
  </si>
  <si>
    <t>INFRACOM</t>
  </si>
  <si>
    <t>TOULOUSE</t>
  </si>
  <si>
    <t>NICE</t>
  </si>
  <si>
    <t>BORDEAUX</t>
  </si>
  <si>
    <t>OUEST</t>
  </si>
  <si>
    <t>INFRANORD</t>
  </si>
  <si>
    <t>Mois</t>
  </si>
  <si>
    <t>R13-131</t>
  </si>
  <si>
    <t>R13-130</t>
  </si>
  <si>
    <t>R13-010/751324</t>
  </si>
  <si>
    <t>R13-089</t>
  </si>
  <si>
    <t>R13-049_350075</t>
  </si>
  <si>
    <t>FONTANIL CORNILLON</t>
  </si>
  <si>
    <t>R13-010/750137</t>
  </si>
  <si>
    <t>Référence contrat</t>
  </si>
  <si>
    <t>Projet spider</t>
  </si>
  <si>
    <t>Nom-prénom demandeur</t>
  </si>
  <si>
    <t>Chef de projet SFR</t>
  </si>
  <si>
    <t>Caractéristiques de l'intervention</t>
  </si>
  <si>
    <t>Durée coupure de service</t>
  </si>
  <si>
    <t>Durée réelle intervention HH</t>
  </si>
  <si>
    <t>Entité intervenant</t>
  </si>
  <si>
    <t>Identifiant tâche</t>
  </si>
  <si>
    <t>OMC équipement</t>
  </si>
  <si>
    <t>Tâche</t>
  </si>
  <si>
    <t>Tâches-Nom-prénom Intervenants</t>
  </si>
  <si>
    <t>Compte rendu à chaud</t>
  </si>
  <si>
    <t>Cause</t>
  </si>
  <si>
    <t>TERRAIN</t>
  </si>
  <si>
    <t>Replanification</t>
  </si>
  <si>
    <t>RAR/MOE/DPL/C-E/VINCI ENERGIE</t>
  </si>
  <si>
    <t>RC3-2G</t>
  </si>
  <si>
    <t>Terminée par le pilote Replanification</t>
  </si>
  <si>
    <t>Abandon</t>
  </si>
  <si>
    <t>ADM</t>
  </si>
  <si>
    <t>RC3-3G</t>
  </si>
  <si>
    <t>GNAN_LEGONIDEC</t>
  </si>
  <si>
    <t>NTSomcA4</t>
  </si>
  <si>
    <t>Défaut Pré-requis / Terrain</t>
  </si>
  <si>
    <t>urcmsal1</t>
  </si>
  <si>
    <t>OMCHwaSingleRan1</t>
  </si>
  <si>
    <t>Demande d'information</t>
  </si>
  <si>
    <t>Défaut de planification / Gel réseau</t>
  </si>
  <si>
    <t>NON RENSEIGNE</t>
  </si>
  <si>
    <t>Annulé par SFR</t>
  </si>
  <si>
    <t>christophe.guillemot@sfr.com</t>
  </si>
  <si>
    <t>taous.mezdad.prestataire@sfr.com</t>
  </si>
  <si>
    <t>Terminé via SVI</t>
  </si>
  <si>
    <t>RC2-2G</t>
  </si>
  <si>
    <t>RC1-3G</t>
  </si>
  <si>
    <t>RAR/MOE/DPL/VINCI</t>
  </si>
  <si>
    <t>GRANIOU_CA</t>
  </si>
  <si>
    <t>Terminée par pilote : Défaut Pré-requis / Ingénieries</t>
  </si>
  <si>
    <t>Défaut Pré-requis / Ingénieries</t>
  </si>
  <si>
    <t>stephane.wallois@sfr.com</t>
  </si>
  <si>
    <t>Défaut matériel / Configuration</t>
  </si>
  <si>
    <t>Défaut d'accès / Intempéries</t>
  </si>
  <si>
    <t>Défaut Outils</t>
  </si>
  <si>
    <t>herve.ruellan@sfr.com</t>
  </si>
  <si>
    <t>Terminée par pilote : Défaut Pré-requis / Terrain</t>
  </si>
  <si>
    <t>Terminée par pilote : Défaut de lien / Resp SFR</t>
  </si>
  <si>
    <t>Défaut de lien / Resp SFR</t>
  </si>
  <si>
    <t>Pb technique / exploitation</t>
  </si>
  <si>
    <t>Défaut matériel / Panne resp réalisateur</t>
  </si>
  <si>
    <t>Défaut matériel / Panne resp SFR</t>
  </si>
  <si>
    <t>Création-Mutation sur support IP ou ATM avec coupure</t>
  </si>
  <si>
    <t>GINF_SPERVEAUX</t>
  </si>
  <si>
    <t>RC4</t>
  </si>
  <si>
    <t>Terminée par pilote : Défaut Outils</t>
  </si>
  <si>
    <t>Terminée par pilote : Défaut de planification / Synchronisation client CA</t>
  </si>
  <si>
    <t>Défaut de planification / Synchronisation client CA</t>
  </si>
  <si>
    <t>Intégration d'un nouveau Node</t>
  </si>
  <si>
    <t>Défaut de ressource / CA</t>
  </si>
  <si>
    <t>Qualif Matériel</t>
  </si>
  <si>
    <t>Ajout ou Remplacement de carte</t>
  </si>
  <si>
    <t>Défaut de ressource / Terrain</t>
  </si>
  <si>
    <t>Terminée par pilote : Défaut matériel / Panne resp réalisateur</t>
  </si>
  <si>
    <t>Terminée par pilote : Défaut de ressource / Terrain</t>
  </si>
  <si>
    <t>Pb logistique / accès site</t>
  </si>
  <si>
    <t>Défaut matériel / Absent</t>
  </si>
  <si>
    <t>Défaut Pré-requis / Pb Ingénierie</t>
  </si>
  <si>
    <t>Terminée par pilote : Défaut de lien / Resp réalisateur</t>
  </si>
  <si>
    <t>Défaut de lien / Resp réalisateur</t>
  </si>
  <si>
    <t>Pb test / tests post mep NOK</t>
  </si>
  <si>
    <t>Mutation de support de transmission pour une NODE B</t>
  </si>
  <si>
    <t>Qualif Administration</t>
  </si>
  <si>
    <t>PARIS(RUE DU SERGENT)</t>
  </si>
  <si>
    <t>Mutation de support transmission UMTS</t>
  </si>
  <si>
    <t>Défaut d'accès / Bailleur</t>
  </si>
  <si>
    <t>Annulé par le réalisateur</t>
  </si>
  <si>
    <t>Défaut de planification / Opération déjà réalisée</t>
  </si>
  <si>
    <t>GBAS_CFERRASSE</t>
  </si>
  <si>
    <t>Terminée par pilote : Défaut d'accès / Matériel</t>
  </si>
  <si>
    <t>Défaut d'accès / Matériel</t>
  </si>
  <si>
    <t>GMOB_GMENU</t>
  </si>
  <si>
    <t>didier.chapuis@sfr.fr</t>
  </si>
  <si>
    <t>Qualif Ingénierie</t>
  </si>
  <si>
    <t>GVDL_VJODET</t>
  </si>
  <si>
    <t>Défaut matériel / Aériens</t>
  </si>
  <si>
    <t>Défaut Pré-requis / Pb exploitation</t>
  </si>
  <si>
    <t>Mutation de support transmission DCS1</t>
  </si>
  <si>
    <t>GMOB-PGIROUD</t>
  </si>
  <si>
    <t>GMOB-EBOURGIN</t>
  </si>
  <si>
    <t>Changement de fournisseur BTS</t>
  </si>
  <si>
    <t xml:space="preserve">Changement de fournisse NB </t>
  </si>
  <si>
    <t>NEANT SUR YVEL</t>
  </si>
  <si>
    <t>xavier.christophe.prestataire@sfr.com</t>
  </si>
  <si>
    <t>Type intervention</t>
  </si>
  <si>
    <t>ADM2</t>
  </si>
  <si>
    <t>TIBCO</t>
  </si>
  <si>
    <t>ADM_CC</t>
  </si>
  <si>
    <t>INTEGRATION_MES_4_EME_PORTEUSE_NSN</t>
  </si>
  <si>
    <t>INTEGRATION_RNC</t>
  </si>
  <si>
    <t>NSN</t>
  </si>
  <si>
    <t>MUTATION_BTS_SUPPORT_TRANS_FH_FHP</t>
  </si>
  <si>
    <t>MUTATION_NODEB_SUPPORT_TRANS_FH_FHP</t>
  </si>
  <si>
    <t>TDF</t>
  </si>
  <si>
    <t>380149</t>
  </si>
  <si>
    <t>NATURE OPERATION EN ECHEC</t>
  </si>
  <si>
    <t>Nbre personne</t>
  </si>
  <si>
    <t>Durée</t>
  </si>
  <si>
    <t>Part Terrain</t>
  </si>
  <si>
    <t>Part CA</t>
  </si>
  <si>
    <t>Montant Total</t>
  </si>
  <si>
    <t>VISITE</t>
  </si>
  <si>
    <t>1ère visite terrain (brique négo, IT)</t>
  </si>
  <si>
    <t>autre visite aériens</t>
  </si>
  <si>
    <t>autre visite local</t>
  </si>
  <si>
    <t>TX INFRAS</t>
  </si>
  <si>
    <t>travaux avec coupure 1J max</t>
  </si>
  <si>
    <t>travaux sans coupure</t>
  </si>
  <si>
    <t>cout nacelle/grue/tiers</t>
  </si>
  <si>
    <t>SUR DEVIS</t>
  </si>
  <si>
    <t>SWAP RADIO</t>
  </si>
  <si>
    <t>SWAP FH</t>
  </si>
  <si>
    <t>mode "à la place de"</t>
  </si>
  <si>
    <t>IMES FH</t>
  </si>
  <si>
    <t>optim / RAN " à cote de"</t>
  </si>
  <si>
    <t>INTEGRATION BAIE</t>
  </si>
  <si>
    <t>Tout type de syst</t>
  </si>
  <si>
    <t>AJOUT CAPA RADIO/TRANS</t>
  </si>
  <si>
    <t>QUALIF IP / mutation FTTS</t>
  </si>
  <si>
    <t>MUTATION FH</t>
  </si>
  <si>
    <t>MISE EN SUPERVISION FH</t>
  </si>
  <si>
    <t xml:space="preserve">RECETTE </t>
  </si>
  <si>
    <t>1 site</t>
  </si>
  <si>
    <t>2 sites (bond FH)</t>
  </si>
  <si>
    <t>jour</t>
  </si>
  <si>
    <t>Resp échec</t>
  </si>
  <si>
    <t>Cause ECHEC</t>
  </si>
  <si>
    <t>RESPONSABILITE</t>
  </si>
  <si>
    <t>MOE</t>
  </si>
  <si>
    <t>SFR</t>
  </si>
  <si>
    <t>Commentaires entreprise si échec MOE</t>
  </si>
  <si>
    <t>CONTRAT/NSN</t>
  </si>
  <si>
    <t>358428</t>
  </si>
  <si>
    <t>FOSSES_TDF</t>
  </si>
  <si>
    <t>habib.tahir@sfr.com</t>
  </si>
  <si>
    <t>951567</t>
  </si>
  <si>
    <t xml:space="preserve">Intégration d'une nouvelle BTS  </t>
  </si>
  <si>
    <t>04353591</t>
  </si>
  <si>
    <t>0170617868,0170617868�,</t>
  </si>
  <si>
    <t>Erreur planification</t>
  </si>
  <si>
    <t>04353592</t>
  </si>
  <si>
    <t>erreur planification</t>
  </si>
  <si>
    <t>Défaut de planification / Incompatibilité autre TP</t>
  </si>
  <si>
    <t>remi berot</t>
  </si>
  <si>
    <t>VALENTON-3</t>
  </si>
  <si>
    <t>940311</t>
  </si>
  <si>
    <t>ceeckman777@beijaflore.com</t>
  </si>
  <si>
    <t>Integration IuCS du RNC_Val3D</t>
  </si>
  <si>
    <t>04357711</t>
  </si>
  <si>
    <t>0170617868�,610402888,</t>
  </si>
  <si>
    <t>Couche RANAP ne remonte pas au RNC</t>
  </si>
  <si>
    <t>MTZ</t>
  </si>
  <si>
    <t>Terminée par pilote : Replanification</t>
  </si>
  <si>
    <t>MOZART/MCO/DON/IDF/TDF</t>
  </si>
  <si>
    <t>0472614811,</t>
  </si>
  <si>
    <t>04 72 61 48 17,</t>
  </si>
  <si>
    <t>MOZART/MCO/DON/N-E/TDF</t>
  </si>
  <si>
    <t>GNOR_VDAUBRESSE</t>
  </si>
  <si>
    <t>BRUAY NORD</t>
  </si>
  <si>
    <t>620201</t>
  </si>
  <si>
    <t>04346464</t>
  </si>
  <si>
    <t>Lien shynchro en défaut  ticket C13048264</t>
  </si>
  <si>
    <t>AUTRES</t>
  </si>
  <si>
    <t>Autre</t>
  </si>
  <si>
    <t>DALKIA</t>
  </si>
  <si>
    <t>0437422035,</t>
  </si>
  <si>
    <t>christophe.martin@davidson.fr</t>
  </si>
  <si>
    <t>GNIC_PCUVELIER</t>
  </si>
  <si>
    <t>MOZART/MCO/DOS/S-O/DALKIA</t>
  </si>
  <si>
    <t>404546</t>
  </si>
  <si>
    <t xml:space="preserve">SFR-404546-14042288                                                  </t>
  </si>
  <si>
    <t>BALMA ZI 2</t>
  </si>
  <si>
    <t>GTOU Vincent Boizard</t>
  </si>
  <si>
    <t>pierre.moulager@sfr.com</t>
  </si>
  <si>
    <t>312208</t>
  </si>
  <si>
    <t>MES NodeB U2100 312208</t>
  </si>
  <si>
    <t>04357683</t>
  </si>
  <si>
    <t>Pas de CI sur les bases de données.</t>
  </si>
  <si>
    <t>404547</t>
  </si>
  <si>
    <t xml:space="preserve">SFR-404547-14042287                                                  </t>
  </si>
  <si>
    <t>MES NodeB U900 312208</t>
  </si>
  <si>
    <t>04357682</t>
  </si>
  <si>
    <t>Pas CI sur les bases de données.</t>
  </si>
  <si>
    <t>,</t>
  </si>
  <si>
    <t>0611934116,</t>
  </si>
  <si>
    <t>R13-139</t>
  </si>
  <si>
    <t>R13-068</t>
  </si>
  <si>
    <t>0624029209,</t>
  </si>
  <si>
    <t>Terminée par pilote : Défaut matériel / Panne resp SFR</t>
  </si>
  <si>
    <t>955439</t>
  </si>
  <si>
    <t xml:space="preserve">SFR-955439-14041687                                                  </t>
  </si>
  <si>
    <t>04345341</t>
  </si>
  <si>
    <t>Trans :NOK (lien remote alarm )</t>
  </si>
  <si>
    <t>04345342</t>
  </si>
  <si>
    <t>Retour arrière cause trans Tibco NOK. Pb sur OMC NSN RC3 =&gt; impossible de vérifier l'état de la baie 3G post retour arrière (baie probablement lockée)</t>
  </si>
  <si>
    <t>966038</t>
  </si>
  <si>
    <t>MELLECEY</t>
  </si>
  <si>
    <t>710291</t>
  </si>
  <si>
    <t xml:space="preserve">SFR-966038-14041654                                                  </t>
  </si>
  <si>
    <t>04345102</t>
  </si>
  <si>
    <t>Boucle RSTP non conforme sur le site 710018. Ports LAN fermés sur 2 éléments de la boucle. Ticket Clarify C13053181</t>
  </si>
  <si>
    <t>R13-151</t>
  </si>
  <si>
    <t>BFA-039</t>
  </si>
  <si>
    <t>VERNET LA VARENNE</t>
  </si>
  <si>
    <t>630817</t>
  </si>
  <si>
    <t>Mutation LTS 124009-001/002/003 =&gt; LTS 158879-007/008/009</t>
  </si>
  <si>
    <t>Terminée par pilote : Défaut matériel / Configuration</t>
  </si>
  <si>
    <t>Terminée par pilote : Défaut de planification / Incompatibilité autre TP</t>
  </si>
  <si>
    <t>(LTE) U2100 - Intégration et mise en service d'une 4ème porteuse 3G</t>
  </si>
  <si>
    <t>Terminée par pilote : Décision Managériale</t>
  </si>
  <si>
    <t>R13-138</t>
  </si>
  <si>
    <t>R13-034</t>
  </si>
  <si>
    <t>R13-108</t>
  </si>
  <si>
    <t>R13-094</t>
  </si>
  <si>
    <t>R13-94</t>
  </si>
  <si>
    <t>Terminée par pilote : Défaut Pré-requis / Pb Ingénierie</t>
  </si>
  <si>
    <t>Terminée par pilote : Défaut de ressource / CA</t>
  </si>
  <si>
    <t>0426489286,</t>
  </si>
  <si>
    <t>0427401057,</t>
  </si>
  <si>
    <t>Décision Managériale</t>
  </si>
  <si>
    <t>0427401054,</t>
  </si>
  <si>
    <t>TRANS/MOE/DPL/TIBCO</t>
  </si>
  <si>
    <t>HOTLINE,</t>
  </si>
  <si>
    <t>0472095928,</t>
  </si>
  <si>
    <t>0472095937,</t>
  </si>
  <si>
    <t>Intervention</t>
  </si>
  <si>
    <t>750474</t>
  </si>
  <si>
    <t>560041</t>
  </si>
  <si>
    <t>PLEURTUIT</t>
  </si>
  <si>
    <t>350106</t>
  </si>
  <si>
    <t>ST-COULOMB TDF</t>
  </si>
  <si>
    <t>350630</t>
  </si>
  <si>
    <t>Mutation BTS sur FH paquet</t>
  </si>
  <si>
    <t>Mutation NodeB sur FH paquet</t>
  </si>
  <si>
    <t>SISCO VILLAGE</t>
  </si>
  <si>
    <t>200620</t>
  </si>
  <si>
    <t>BFA-139</t>
  </si>
  <si>
    <t>Terminée par pilote : Défaut d'accès / Bailleur</t>
  </si>
  <si>
    <t>Terminée par pilote : Qualif Ingénierie</t>
  </si>
  <si>
    <t>Terminée par pilote : Défaut d'accès / Intempéries</t>
  </si>
  <si>
    <t>Semaine</t>
  </si>
  <si>
    <t>Commentaires</t>
  </si>
  <si>
    <t>Périmètre d'utilisation</t>
  </si>
  <si>
    <t>Cas des annulations si intervention précédente plus longue</t>
  </si>
  <si>
    <t>A EVITER car confusion : à passer en abandon ?</t>
  </si>
  <si>
    <t>A UTILISER seulement pour les resp GRANIOU</t>
  </si>
  <si>
    <t>Ex clef ou badge oublié, convoc nok…</t>
  </si>
  <si>
    <t>A utiliser si on a des défauts ingénierie réalisée par GRANIOU</t>
  </si>
  <si>
    <t>Cause échec incohérent : NE PAS UTILISER</t>
  </si>
  <si>
    <t>A UTILISER systématiquement pour les pbs aléas climatiques</t>
  </si>
  <si>
    <t>A UTILISER pour les pbs trans non resp GRANIOU</t>
  </si>
  <si>
    <t>Pour toute opération en échec cause gel SFR</t>
  </si>
  <si>
    <t>A UTILISER pour les pb site HS, équipement fourni HS</t>
  </si>
  <si>
    <t>Pour pb accès base SFR mais également pour pb licence si non obtenu équipementier..</t>
  </si>
  <si>
    <t>A utiliser uniquement si ingénierie réalisée par tiers (non GRANIOU)</t>
  </si>
  <si>
    <t>A EVITER car confusion : choisir autre codification</t>
  </si>
  <si>
    <t>R13-108-M1-BCN</t>
  </si>
  <si>
    <t>R13-072</t>
  </si>
  <si>
    <t>R13-146</t>
  </si>
  <si>
    <t>R13-073</t>
  </si>
  <si>
    <t xml:space="preserve">SFR-389987-14052317                                                  </t>
  </si>
  <si>
    <t>04424174</t>
  </si>
  <si>
    <t>04424175</t>
  </si>
  <si>
    <t xml:space="preserve">SFR-375526-14052148                                                  </t>
  </si>
  <si>
    <t>MENTON CAREI</t>
  </si>
  <si>
    <t>060603</t>
  </si>
  <si>
    <t>04420265</t>
  </si>
  <si>
    <t>MENTON CENTRE</t>
  </si>
  <si>
    <t>060042</t>
  </si>
  <si>
    <t>04420256</t>
  </si>
  <si>
    <t>MENTON CENTRE PORT</t>
  </si>
  <si>
    <t>060168</t>
  </si>
  <si>
    <t>04420257</t>
  </si>
  <si>
    <t>MENTON RIGAUDI</t>
  </si>
  <si>
    <t>060602</t>
  </si>
  <si>
    <t>04420258</t>
  </si>
  <si>
    <t>04420264</t>
  </si>
  <si>
    <t>309447</t>
  </si>
  <si>
    <t>Mutation de la F3G_200620_2</t>
  </si>
  <si>
    <t>04432452</t>
  </si>
  <si>
    <t xml:space="preserve">SFR-403170-14052625                                                  </t>
  </si>
  <si>
    <t>04429133</t>
  </si>
  <si>
    <t>04429134</t>
  </si>
  <si>
    <t xml:space="preserve">SFR-545789-14052807                                                  </t>
  </si>
  <si>
    <t xml:space="preserve">SFR-LTE-plaque-14052491                                              </t>
  </si>
  <si>
    <t>04427209</t>
  </si>
  <si>
    <t>ALATA CASTAGNOLA</t>
  </si>
  <si>
    <t>200466</t>
  </si>
  <si>
    <t>04432218</t>
  </si>
  <si>
    <t xml:space="preserve">SFR-525976-14052320                                                  </t>
  </si>
  <si>
    <t>04424164</t>
  </si>
  <si>
    <t xml:space="preserve">SFR-568949-14052490                                                  </t>
  </si>
  <si>
    <t>ST VITTE</t>
  </si>
  <si>
    <t>180016</t>
  </si>
  <si>
    <t>Ajout - Diminution de capacité lu B - n° CS 159542</t>
  </si>
  <si>
    <t>04427106</t>
  </si>
  <si>
    <t>0472095918,</t>
  </si>
  <si>
    <t>PB sur l'Aviat Ouest. Ticket FSC C13230459</t>
  </si>
  <si>
    <t xml:space="preserve">PB sur l'Aviat Ouest. Ticket FSC C13230459 </t>
  </si>
  <si>
    <t>Indisponibilité du RM 1354 chez TIBCO pour finir les mutations dans le 06.</t>
  </si>
  <si>
    <t>Indisponibilité du RM 1354 chez TIBCO pour finir les mutations dans le 06. Site n'est pas impacté.</t>
  </si>
  <si>
    <t>Indisponibilité du RM 1354 chez TIBCO pour finir les mutations dans le 06. Le site n'est pas impacté.</t>
  </si>
  <si>
    <t>Défaut ROS --&gt; module FAGB à remplacer.</t>
  </si>
  <si>
    <t>Soft de la carte manquant en local</t>
  </si>
  <si>
    <t>Terminée par pilote : Défaut Pré-requis / Pb exploitation</t>
  </si>
  <si>
    <t>Fax d'accès sur le site intermédiaire 180014 (Chateau d'eau) non envoyé par SFR dans les délais la compagnie des eaux refuse de fournir l'accès.</t>
  </si>
  <si>
    <t>TOTAL</t>
  </si>
  <si>
    <t>=&gt;</t>
  </si>
  <si>
    <t>Entreprise GRANIOU</t>
  </si>
  <si>
    <t>N° G2R</t>
  </si>
  <si>
    <t>Nom G2R</t>
  </si>
  <si>
    <t>N° OT</t>
  </si>
  <si>
    <t>Type et nom du lot</t>
  </si>
  <si>
    <t>Nature opération en échec</t>
  </si>
  <si>
    <t>Date opération</t>
  </si>
  <si>
    <t>Nbre pers.</t>
  </si>
  <si>
    <t>Durée INTER (j)</t>
  </si>
  <si>
    <t>Part Entreprise</t>
  </si>
  <si>
    <t>Impact financier</t>
  </si>
  <si>
    <t>Famille échec</t>
  </si>
  <si>
    <t>Commentaires échec</t>
  </si>
  <si>
    <t>GRANIOU NICE</t>
  </si>
  <si>
    <t>PARIS (GA PER CLICHY)</t>
  </si>
  <si>
    <t xml:space="preserve">GEO IF2 Lot R13-046 </t>
  </si>
  <si>
    <t>DBT/DPT HORS DELAI</t>
  </si>
  <si>
    <t>Défaut ingénierie</t>
  </si>
  <si>
    <t>issu CLAIMS gel réseaux fin d'année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</si>
</sst>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\ &quot;€&quot;"/>
    <numFmt numFmtId="165" formatCode="dd/mm/yy;@"/>
    <numFmt numFmtId="166" formatCode="0.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69">
    <xf numFmtId="0" fontId="0" fillId="0" borderId="0" xfId="0"/>
    <xf numFmtId="22" fontId="0" fillId="0" borderId="0" xfId="0" applyNumberFormat="1"/>
    <xf numFmtId="0" fontId="0" fillId="0" borderId="0" xfId="0"/>
    <xf numFmtId="0" fontId="0" fillId="0" borderId="2" xfId="0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9" fontId="0" fillId="0" borderId="2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9" fontId="0" fillId="0" borderId="3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9" fontId="0" fillId="0" borderId="4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9" fontId="0" fillId="0" borderId="1" xfId="0" applyNumberFormat="1" applyBorder="1" applyAlignment="1">
      <alignment horizontal="center" vertical="center"/>
    </xf>
    <xf numFmtId="165" fontId="0" fillId="2" borderId="0" xfId="0" applyNumberFormat="1" applyFill="1" applyAlignment="1">
      <alignment horizontal="center"/>
    </xf>
    <xf numFmtId="17" fontId="0" fillId="2" borderId="0" xfId="0" applyNumberFormat="1" applyFill="1" applyAlignment="1">
      <alignment horizontal="center"/>
    </xf>
    <xf numFmtId="0" fontId="0" fillId="4" borderId="8" xfId="0" applyFill="1" applyBorder="1" applyAlignment="1">
      <alignment horizontal="center"/>
    </xf>
    <xf numFmtId="0" fontId="0" fillId="0" borderId="1" xfId="0" applyBorder="1"/>
    <xf numFmtId="165" fontId="0" fillId="3" borderId="0" xfId="0" applyNumberFormat="1" applyFill="1" applyAlignment="1">
      <alignment horizontal="center"/>
    </xf>
    <xf numFmtId="17" fontId="0" fillId="3" borderId="0" xfId="0" applyNumberFormat="1" applyFill="1" applyAlignment="1">
      <alignment horizontal="center"/>
    </xf>
    <xf numFmtId="0" fontId="0" fillId="2" borderId="0" xfId="0" applyNumberFormat="1" applyFill="1" applyAlignment="1">
      <alignment horizontal="center"/>
    </xf>
    <xf numFmtId="0" fontId="0" fillId="0" borderId="1" xfId="0" applyFill="1" applyBorder="1"/>
    <xf numFmtId="0" fontId="0" fillId="4" borderId="9" xfId="0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0" fontId="0" fillId="5" borderId="0" xfId="0" applyFill="1"/>
    <xf numFmtId="22" fontId="0" fillId="5" borderId="0" xfId="0" applyNumberFormat="1" applyFill="1"/>
    <xf numFmtId="0" fontId="0" fillId="6" borderId="0" xfId="0" applyFill="1"/>
    <xf numFmtId="22" fontId="0" fillId="6" borderId="0" xfId="0" applyNumberFormat="1" applyFill="1"/>
    <xf numFmtId="0" fontId="4" fillId="5" borderId="0" xfId="0" applyFont="1" applyFill="1" applyBorder="1" applyAlignment="1">
      <alignment horizontal="center" vertical="center"/>
    </xf>
    <xf numFmtId="0" fontId="4" fillId="5" borderId="0" xfId="0" applyFont="1" applyFill="1" applyBorder="1" applyAlignment="1">
      <alignment horizontal="center" vertical="center" wrapText="1"/>
    </xf>
    <xf numFmtId="165" fontId="4" fillId="5" borderId="0" xfId="0" applyNumberFormat="1" applyFont="1" applyFill="1" applyBorder="1" applyAlignment="1">
      <alignment horizontal="center" vertical="center"/>
    </xf>
    <xf numFmtId="1" fontId="5" fillId="5" borderId="0" xfId="0" applyNumberFormat="1" applyFont="1" applyFill="1" applyBorder="1" applyAlignment="1">
      <alignment horizontal="center" vertical="center" wrapText="1"/>
    </xf>
    <xf numFmtId="166" fontId="6" fillId="5" borderId="0" xfId="0" quotePrefix="1" applyNumberFormat="1" applyFont="1" applyFill="1" applyBorder="1" applyAlignment="1">
      <alignment horizontal="center" vertical="center" wrapText="1"/>
    </xf>
    <xf numFmtId="164" fontId="6" fillId="5" borderId="0" xfId="0" applyNumberFormat="1" applyFont="1" applyFill="1" applyBorder="1" applyAlignment="1">
      <alignment horizontal="center" vertical="center" wrapText="1"/>
    </xf>
    <xf numFmtId="1" fontId="0" fillId="5" borderId="11" xfId="0" applyNumberFormat="1" applyFont="1" applyFill="1" applyBorder="1" applyAlignment="1">
      <alignment horizontal="center" vertical="center" wrapText="1"/>
    </xf>
    <xf numFmtId="166" fontId="0" fillId="5" borderId="11" xfId="0" applyNumberFormat="1" applyFont="1" applyFill="1" applyBorder="1" applyAlignment="1">
      <alignment horizontal="center" vertical="center" wrapText="1"/>
    </xf>
    <xf numFmtId="164" fontId="0" fillId="5" borderId="0" xfId="0" applyNumberFormat="1" applyFont="1" applyFill="1" applyBorder="1" applyAlignment="1">
      <alignment horizontal="center" vertical="center" wrapText="1"/>
    </xf>
    <xf numFmtId="0" fontId="0" fillId="7" borderId="12" xfId="0" applyFill="1" applyBorder="1" applyAlignment="1">
      <alignment horizontal="center" vertical="center" wrapText="1"/>
    </xf>
    <xf numFmtId="0" fontId="0" fillId="7" borderId="13" xfId="0" applyFill="1" applyBorder="1" applyAlignment="1">
      <alignment horizontal="center" vertical="center" wrapText="1"/>
    </xf>
    <xf numFmtId="165" fontId="0" fillId="7" borderId="14" xfId="0" applyNumberFormat="1" applyFill="1" applyBorder="1" applyAlignment="1">
      <alignment horizontal="center" vertical="center" wrapText="1"/>
    </xf>
    <xf numFmtId="1" fontId="0" fillId="2" borderId="13" xfId="0" applyNumberFormat="1" applyFill="1" applyBorder="1" applyAlignment="1">
      <alignment horizontal="center" vertical="center" wrapText="1"/>
    </xf>
    <xf numFmtId="166" fontId="0" fillId="2" borderId="14" xfId="0" applyNumberFormat="1" applyFill="1" applyBorder="1" applyAlignment="1">
      <alignment horizontal="center" vertical="center" wrapText="1"/>
    </xf>
    <xf numFmtId="164" fontId="0" fillId="2" borderId="12" xfId="0" applyNumberFormat="1" applyFill="1" applyBorder="1" applyAlignment="1">
      <alignment horizontal="center" vertical="center" wrapText="1"/>
    </xf>
    <xf numFmtId="164" fontId="0" fillId="2" borderId="13" xfId="0" applyNumberFormat="1" applyFill="1" applyBorder="1" applyAlignment="1">
      <alignment horizontal="center" vertical="center" wrapText="1"/>
    </xf>
    <xf numFmtId="164" fontId="0" fillId="7" borderId="13" xfId="0" applyNumberFormat="1" applyFill="1" applyBorder="1" applyAlignment="1">
      <alignment horizontal="center" vertical="center" wrapText="1"/>
    </xf>
    <xf numFmtId="164" fontId="0" fillId="7" borderId="14" xfId="0" applyNumberForma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  <xf numFmtId="165" fontId="7" fillId="0" borderId="14" xfId="0" applyNumberFormat="1" applyFont="1" applyFill="1" applyBorder="1" applyAlignment="1">
      <alignment horizontal="center" vertical="center"/>
    </xf>
    <xf numFmtId="1" fontId="7" fillId="0" borderId="13" xfId="0" applyNumberFormat="1" applyFont="1" applyFill="1" applyBorder="1" applyAlignment="1">
      <alignment horizontal="center" vertical="center"/>
    </xf>
    <xf numFmtId="166" fontId="7" fillId="0" borderId="14" xfId="0" applyNumberFormat="1" applyFont="1" applyFill="1" applyBorder="1" applyAlignment="1">
      <alignment horizontal="center" vertical="center"/>
    </xf>
    <xf numFmtId="164" fontId="7" fillId="0" borderId="12" xfId="0" applyNumberFormat="1" applyFont="1" applyFill="1" applyBorder="1" applyAlignment="1">
      <alignment horizontal="center" vertical="center"/>
    </xf>
    <xf numFmtId="164" fontId="7" fillId="0" borderId="13" xfId="0" applyNumberFormat="1" applyFont="1" applyFill="1" applyBorder="1" applyAlignment="1">
      <alignment horizontal="center" vertical="center"/>
    </xf>
    <xf numFmtId="0" fontId="3" fillId="0" borderId="14" xfId="0" applyFont="1" applyFill="1" applyBorder="1"/>
    <xf numFmtId="0" fontId="0" fillId="0" borderId="15" xfId="0" applyBorder="1"/>
    <xf numFmtId="0" fontId="0" fillId="0" borderId="0" xfId="0" applyBorder="1"/>
    <xf numFmtId="0" fontId="0" fillId="0" borderId="0" xfId="0" applyBorder="1" applyAlignment="1">
      <alignment horizontal="left"/>
    </xf>
    <xf numFmtId="165" fontId="0" fillId="0" borderId="0" xfId="0" applyNumberFormat="1" applyBorder="1"/>
    <xf numFmtId="1" fontId="0" fillId="0" borderId="0" xfId="0" applyNumberFormat="1" applyBorder="1" applyAlignment="1">
      <alignment horizontal="center"/>
    </xf>
    <xf numFmtId="166" fontId="0" fillId="0" borderId="0" xfId="0" applyNumberFormat="1" applyBorder="1" applyAlignment="1">
      <alignment horizontal="center"/>
    </xf>
    <xf numFmtId="164" fontId="0" fillId="0" borderId="0" xfId="0" applyNumberFormat="1" applyBorder="1"/>
    <xf numFmtId="17" fontId="0" fillId="0" borderId="15" xfId="0" applyNumberFormat="1" applyBorder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3">
    <cellStyle name="Normal" xfId="0" builtinId="0"/>
    <cellStyle name="Normal 2 2" xfId="1"/>
    <cellStyle name="Normal 3" xfId="2"/>
  </cellStyles>
  <dxfs count="0"/>
  <tableStyles count="0" defaultTableStyle="TableStyleMedium2" defaultPivotStyle="PivotStyleLight16"/>
  <colors>
    <mruColors>
      <color rgb="FFCC99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795619</xdr:colOff>
      <xdr:row>0</xdr:row>
      <xdr:rowOff>100852</xdr:rowOff>
    </xdr:from>
    <xdr:to>
      <xdr:col>3</xdr:col>
      <xdr:colOff>974912</xdr:colOff>
      <xdr:row>1</xdr:row>
      <xdr:rowOff>123265</xdr:rowOff>
    </xdr:to>
    <xdr:sp macro="" textlink="">
      <xdr:nvSpPr>
        <xdr:cNvPr id="2" name="ZoneTexte 1"/>
        <xdr:cNvSpPr txBox="1"/>
      </xdr:nvSpPr>
      <xdr:spPr>
        <a:xfrm>
          <a:off x="795619" y="710452"/>
          <a:ext cx="1646143" cy="336738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Colonnes à renseigner</a:t>
          </a:r>
        </a:p>
      </xdr:txBody>
    </xdr:sp>
    <xdr:clientData/>
  </xdr:twoCellAnchor>
  <xdr:twoCellAnchor>
    <xdr:from>
      <xdr:col>3</xdr:col>
      <xdr:colOff>1277470</xdr:colOff>
      <xdr:row>0</xdr:row>
      <xdr:rowOff>123265</xdr:rowOff>
    </xdr:from>
    <xdr:to>
      <xdr:col>5</xdr:col>
      <xdr:colOff>1042146</xdr:colOff>
      <xdr:row>1</xdr:row>
      <xdr:rowOff>145678</xdr:rowOff>
    </xdr:to>
    <xdr:sp macro="" textlink="">
      <xdr:nvSpPr>
        <xdr:cNvPr id="3" name="ZoneTexte 2"/>
        <xdr:cNvSpPr txBox="1"/>
      </xdr:nvSpPr>
      <xdr:spPr>
        <a:xfrm>
          <a:off x="2744320" y="732865"/>
          <a:ext cx="1641101" cy="336738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Colonnes AUTOMATIQUE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SFR%20PILOTAGE\CLAIMS\CLAIM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claims IF2"/>
      <sheetName val="Légendes"/>
    </sheetNames>
    <sheetDataSet>
      <sheetData sheetId="0"/>
      <sheetData sheetId="1">
        <row r="1">
          <cell r="A1" t="str">
            <v>CLAIMS GRANIOU</v>
          </cell>
        </row>
        <row r="2">
          <cell r="A2" t="str">
            <v>NATURE OPERATION EN ECHEC</v>
          </cell>
          <cell r="B2" t="str">
            <v>Type intervention</v>
          </cell>
          <cell r="C2" t="str">
            <v>Nbre personne</v>
          </cell>
          <cell r="D2" t="str">
            <v>Durée</v>
          </cell>
          <cell r="E2" t="str">
            <v>Part Terrain</v>
          </cell>
          <cell r="F2" t="str">
            <v>Part CA</v>
          </cell>
          <cell r="G2" t="str">
            <v>Montant Total</v>
          </cell>
        </row>
        <row r="3">
          <cell r="A3" t="str">
            <v>VISITE COMPLETE</v>
          </cell>
          <cell r="B3" t="str">
            <v>1ère visite terrain (brique négo, IT)</v>
          </cell>
          <cell r="C3">
            <v>2</v>
          </cell>
          <cell r="D3">
            <v>0.5</v>
          </cell>
          <cell r="E3">
            <v>638</v>
          </cell>
          <cell r="F3">
            <v>0.1</v>
          </cell>
          <cell r="G3">
            <v>701.8</v>
          </cell>
        </row>
        <row r="4">
          <cell r="A4" t="str">
            <v>VISITE AERIEN</v>
          </cell>
          <cell r="B4" t="str">
            <v>autre visite aériens</v>
          </cell>
          <cell r="C4">
            <v>2</v>
          </cell>
          <cell r="D4">
            <v>0.25</v>
          </cell>
          <cell r="E4">
            <v>405</v>
          </cell>
          <cell r="G4">
            <v>405</v>
          </cell>
        </row>
        <row r="5">
          <cell r="A5" t="str">
            <v>VISITE LOCAL</v>
          </cell>
          <cell r="B5" t="str">
            <v>autre visite local</v>
          </cell>
          <cell r="C5">
            <v>1</v>
          </cell>
          <cell r="D5">
            <v>0.25</v>
          </cell>
          <cell r="E5">
            <v>202.5</v>
          </cell>
          <cell r="G5">
            <v>202.5</v>
          </cell>
        </row>
        <row r="6">
          <cell r="A6" t="str">
            <v>TX INFRA AVEC COUPURE</v>
          </cell>
          <cell r="B6" t="str">
            <v>travaux avec coupure 1J max</v>
          </cell>
          <cell r="C6">
            <v>1</v>
          </cell>
          <cell r="D6">
            <v>0.5</v>
          </cell>
          <cell r="E6">
            <v>1005</v>
          </cell>
          <cell r="F6">
            <v>0.05</v>
          </cell>
          <cell r="G6">
            <v>1055.25</v>
          </cell>
        </row>
        <row r="7">
          <cell r="A7" t="str">
            <v>TX INFRA SANS COUPURE</v>
          </cell>
          <cell r="B7" t="str">
            <v>travaux sans coupure</v>
          </cell>
          <cell r="C7">
            <v>2</v>
          </cell>
          <cell r="D7">
            <v>1</v>
          </cell>
          <cell r="E7">
            <v>1005</v>
          </cell>
          <cell r="G7">
            <v>1005</v>
          </cell>
        </row>
        <row r="8">
          <cell r="A8" t="str">
            <v>HB NACELLE/GRUE/TIERS</v>
          </cell>
          <cell r="B8" t="str">
            <v>cout nacelle/grue/tiers</v>
          </cell>
          <cell r="C8" t="str">
            <v>SUR DEVIS</v>
          </cell>
        </row>
        <row r="9">
          <cell r="A9" t="str">
            <v>SWAP RADIO</v>
          </cell>
          <cell r="C9">
            <v>2</v>
          </cell>
          <cell r="D9">
            <v>1</v>
          </cell>
          <cell r="E9">
            <v>1005</v>
          </cell>
          <cell r="F9">
            <v>0.3</v>
          </cell>
          <cell r="G9">
            <v>1306.5</v>
          </cell>
        </row>
        <row r="10">
          <cell r="A10" t="str">
            <v>SWAP FH "à la place de"</v>
          </cell>
          <cell r="B10" t="str">
            <v>mode "à la place de"</v>
          </cell>
          <cell r="C10">
            <v>4</v>
          </cell>
          <cell r="D10">
            <v>1</v>
          </cell>
          <cell r="E10">
            <v>2010</v>
          </cell>
          <cell r="F10">
            <v>0.1</v>
          </cell>
          <cell r="G10">
            <v>2211</v>
          </cell>
        </row>
        <row r="11">
          <cell r="A11" t="str">
            <v>IMES FH "à côté de" / optim</v>
          </cell>
          <cell r="B11" t="str">
            <v>optim / RAN " à cote de"</v>
          </cell>
          <cell r="C11">
            <v>2</v>
          </cell>
          <cell r="D11">
            <v>1</v>
          </cell>
          <cell r="E11">
            <v>1005</v>
          </cell>
          <cell r="F11">
            <v>0.1</v>
          </cell>
          <cell r="G11">
            <v>1105.5</v>
          </cell>
        </row>
        <row r="12">
          <cell r="A12" t="str">
            <v>INTEGRATION BAIE</v>
          </cell>
          <cell r="B12" t="str">
            <v>Tout type de syst</v>
          </cell>
          <cell r="C12">
            <v>1</v>
          </cell>
          <cell r="D12">
            <v>1</v>
          </cell>
          <cell r="E12">
            <v>638</v>
          </cell>
          <cell r="F12">
            <v>0.25</v>
          </cell>
          <cell r="G12">
            <v>797.5</v>
          </cell>
        </row>
        <row r="13">
          <cell r="A13" t="str">
            <v>DBT/DPT HORS DELAI</v>
          </cell>
          <cell r="B13" t="str">
            <v>Génération des scripts en urgence</v>
          </cell>
          <cell r="C13">
            <v>1</v>
          </cell>
          <cell r="D13">
            <v>1</v>
          </cell>
          <cell r="E13">
            <v>80</v>
          </cell>
          <cell r="F13">
            <v>2.25</v>
          </cell>
          <cell r="G13">
            <v>260</v>
          </cell>
        </row>
        <row r="14">
          <cell r="A14" t="str">
            <v>DECALAGE DE PLAQUE</v>
          </cell>
          <cell r="B14" t="str">
            <v>frais de structure</v>
          </cell>
          <cell r="C14">
            <v>10</v>
          </cell>
          <cell r="D14">
            <v>30</v>
          </cell>
          <cell r="E14">
            <v>532</v>
          </cell>
          <cell r="F14">
            <v>0</v>
          </cell>
          <cell r="G14">
            <v>159600</v>
          </cell>
        </row>
        <row r="15">
          <cell r="A15" t="str">
            <v>AJOUT CAPA RADIO/TRANS</v>
          </cell>
          <cell r="C15">
            <v>1</v>
          </cell>
          <cell r="D15">
            <v>0.5</v>
          </cell>
          <cell r="E15">
            <v>462</v>
          </cell>
          <cell r="F15">
            <v>0.3</v>
          </cell>
          <cell r="G15">
            <v>600.6</v>
          </cell>
        </row>
        <row r="16">
          <cell r="A16" t="str">
            <v>QUALIF IP / mutation FTTS</v>
          </cell>
          <cell r="C16">
            <v>1</v>
          </cell>
          <cell r="D16">
            <v>1</v>
          </cell>
          <cell r="E16">
            <v>638</v>
          </cell>
          <cell r="F16">
            <v>0.2</v>
          </cell>
          <cell r="G16">
            <v>765.6</v>
          </cell>
        </row>
        <row r="17">
          <cell r="A17" t="str">
            <v>MUTATION FH</v>
          </cell>
          <cell r="C17">
            <v>2</v>
          </cell>
          <cell r="D17">
            <v>1</v>
          </cell>
          <cell r="E17">
            <v>1005</v>
          </cell>
          <cell r="F17">
            <v>0.15</v>
          </cell>
          <cell r="G17">
            <v>1155.75</v>
          </cell>
        </row>
        <row r="18">
          <cell r="A18" t="str">
            <v>RETOUR SITE</v>
          </cell>
          <cell r="C18">
            <v>1</v>
          </cell>
          <cell r="D18">
            <v>0.5</v>
          </cell>
          <cell r="E18">
            <v>462</v>
          </cell>
          <cell r="F18">
            <v>0.25</v>
          </cell>
          <cell r="G18">
            <v>577.5</v>
          </cell>
        </row>
        <row r="19">
          <cell r="A19" t="str">
            <v>MISE EN SUPERVISION FH</v>
          </cell>
          <cell r="C19">
            <v>1</v>
          </cell>
          <cell r="D19">
            <v>1</v>
          </cell>
          <cell r="E19">
            <v>638</v>
          </cell>
          <cell r="F19">
            <v>0.1</v>
          </cell>
          <cell r="G19">
            <v>701.8</v>
          </cell>
        </row>
        <row r="20">
          <cell r="A20" t="str">
            <v>RECETTE 1 SITE</v>
          </cell>
          <cell r="B20" t="str">
            <v>1 site</v>
          </cell>
          <cell r="C20">
            <v>1</v>
          </cell>
          <cell r="D20">
            <v>0.5</v>
          </cell>
          <cell r="E20">
            <v>462</v>
          </cell>
          <cell r="F20">
            <v>0.2</v>
          </cell>
          <cell r="G20">
            <v>554.4</v>
          </cell>
        </row>
        <row r="21">
          <cell r="A21" t="str">
            <v>RECETTE 2 SITES (FH)</v>
          </cell>
          <cell r="B21" t="str">
            <v>2 sites (bond FH)</v>
          </cell>
          <cell r="C21">
            <v>1</v>
          </cell>
          <cell r="D21">
            <v>1</v>
          </cell>
          <cell r="E21">
            <v>638</v>
          </cell>
          <cell r="F21">
            <v>0.1</v>
          </cell>
          <cell r="G21">
            <v>701.8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filterMode="1"/>
  <dimension ref="A1:AM28"/>
  <sheetViews>
    <sheetView tabSelected="1" zoomScale="85" zoomScaleNormal="85" workbookViewId="0">
      <pane xSplit="8" ySplit="1" topLeftCell="I6" activePane="bottomRight" state="frozen"/>
      <selection pane="topRight" activeCell="H1" sqref="H1"/>
      <selection pane="bottomLeft" activeCell="A2" sqref="A2"/>
      <selection pane="bottomRight" activeCell="D401" sqref="D401"/>
    </sheetView>
  </sheetViews>
  <sheetFormatPr baseColWidth="10" defaultRowHeight="15" x14ac:dyDescent="0.25"/>
  <cols>
    <col min="1" max="3" width="15.7109375" style="15" bestFit="1" customWidth="1"/>
    <col min="4" max="4" width="49.85546875" style="19" customWidth="1"/>
    <col min="5" max="5" width="15.7109375" style="15" bestFit="1" customWidth="1"/>
    <col min="6" max="6" width="15.7109375" style="21" customWidth="1"/>
    <col min="7" max="8" width="15.7109375" style="15" bestFit="1" customWidth="1"/>
    <col min="10" max="10" width="16.140625" customWidth="1"/>
    <col min="19" max="21" width="18" style="1" customWidth="1"/>
    <col min="23" max="24" width="19.140625" style="1" customWidth="1"/>
  </cols>
  <sheetData>
    <row r="1" spans="1:39" x14ac:dyDescent="0.25">
      <c r="A1" s="15" t="s">
        <v>63</v>
      </c>
      <c r="B1" s="15" t="s">
        <v>64</v>
      </c>
      <c r="C1" s="15" t="s">
        <v>216</v>
      </c>
      <c r="D1" s="19" t="s">
        <v>221</v>
      </c>
      <c r="E1" s="15" t="s">
        <v>74</v>
      </c>
      <c r="F1" s="21" t="s">
        <v>331</v>
      </c>
      <c r="G1" s="15" t="s">
        <v>215</v>
      </c>
      <c r="H1" s="15" t="s">
        <v>316</v>
      </c>
      <c r="I1" t="s">
        <v>82</v>
      </c>
      <c r="J1" t="s">
        <v>83</v>
      </c>
      <c r="K1" t="s">
        <v>62</v>
      </c>
      <c r="L1" t="s">
        <v>61</v>
      </c>
      <c r="M1" t="s">
        <v>51</v>
      </c>
      <c r="N1" t="s">
        <v>53</v>
      </c>
      <c r="O1" t="s">
        <v>84</v>
      </c>
      <c r="P1" t="s">
        <v>85</v>
      </c>
      <c r="Q1" t="s">
        <v>50</v>
      </c>
      <c r="R1" t="s">
        <v>86</v>
      </c>
      <c r="S1" s="1" t="s">
        <v>55</v>
      </c>
      <c r="T1" s="1" t="s">
        <v>56</v>
      </c>
      <c r="U1" s="1" t="s">
        <v>57</v>
      </c>
      <c r="V1" t="s">
        <v>87</v>
      </c>
      <c r="W1" s="1" t="s">
        <v>58</v>
      </c>
      <c r="X1" s="1" t="s">
        <v>59</v>
      </c>
      <c r="Y1" t="s">
        <v>88</v>
      </c>
      <c r="Z1" t="s">
        <v>89</v>
      </c>
      <c r="AA1" t="s">
        <v>47</v>
      </c>
      <c r="AB1" t="s">
        <v>60</v>
      </c>
      <c r="AC1" t="s">
        <v>48</v>
      </c>
      <c r="AD1" t="s">
        <v>90</v>
      </c>
      <c r="AE1" t="s">
        <v>91</v>
      </c>
      <c r="AF1" t="s">
        <v>52</v>
      </c>
      <c r="AG1" t="s">
        <v>49</v>
      </c>
      <c r="AH1" t="s">
        <v>89</v>
      </c>
      <c r="AI1" t="s">
        <v>92</v>
      </c>
      <c r="AJ1" t="s">
        <v>93</v>
      </c>
      <c r="AK1" t="s">
        <v>54</v>
      </c>
      <c r="AL1" t="s">
        <v>94</v>
      </c>
      <c r="AM1" t="s">
        <v>95</v>
      </c>
    </row>
    <row r="2" spans="1:39" ht="15" hidden="1" customHeight="1" x14ac:dyDescent="0.25">
      <c r="A2" s="16" t="str">
        <f>IF($B2="2005","Hors PRODEP",IF(LEFT($Q2,2)="20","BASTIA",VLOOKUP($B2,Légendes!$B:$C,2,0)))</f>
        <v>Hors PRODEP</v>
      </c>
      <c r="B2" s="16" t="str">
        <f>IF(ISERROR(VLOOKUP($L2,Légendes!$A:$B,2,0)),"2005",VLOOKUP($L2,Légendes!$A:$B,2,0))</f>
        <v>2005</v>
      </c>
      <c r="C2" s="16" t="str">
        <f>IF($AC2="","état final TP ?",IF($AC2&lt;&gt;"Echec",$AC2,IF(ISERROR(VLOOKUP($AM2,Légendes!$E:$F,2,0)),"A statuer",CONCATENATE("échec resp ",VLOOKUP($AM2,Légendes!$E:$F,2,0)))))</f>
        <v>échec resp MOE</v>
      </c>
      <c r="D2" s="20"/>
      <c r="E2" s="16">
        <f>IF($W2="","",$W2)</f>
        <v>41757.743055555598</v>
      </c>
      <c r="F2" s="21" t="str">
        <f>IF($G2="","",CONCATENATE("S",WEEKNUM($G2)))</f>
        <v>S18</v>
      </c>
      <c r="G2" s="15">
        <f>IF($W2="","",INT($W2))</f>
        <v>41757</v>
      </c>
      <c r="H2" s="15" t="str">
        <f>RIGHT($AD2,7)</f>
        <v>4353591</v>
      </c>
      <c r="I2" s="25" t="s">
        <v>222</v>
      </c>
      <c r="J2" s="25" t="s">
        <v>223</v>
      </c>
      <c r="K2" s="25"/>
      <c r="L2" s="25"/>
      <c r="M2" s="25" t="s">
        <v>224</v>
      </c>
      <c r="N2" s="25" t="s">
        <v>17</v>
      </c>
      <c r="O2" s="25" t="s">
        <v>134</v>
      </c>
      <c r="P2" s="25" t="s">
        <v>225</v>
      </c>
      <c r="Q2" s="25" t="s">
        <v>226</v>
      </c>
      <c r="R2" s="25" t="s">
        <v>227</v>
      </c>
      <c r="S2" s="26">
        <v>41747.415416666699</v>
      </c>
      <c r="T2" s="26">
        <v>41757.375</v>
      </c>
      <c r="U2" s="26">
        <v>41757.541666666701</v>
      </c>
      <c r="V2" s="25">
        <v>0</v>
      </c>
      <c r="W2" s="26">
        <v>41757.743055555598</v>
      </c>
      <c r="X2" s="26">
        <v>41757.744444444397</v>
      </c>
      <c r="Y2" s="25">
        <v>3.3333333333333298E-2</v>
      </c>
      <c r="Z2" s="25" t="s">
        <v>181</v>
      </c>
      <c r="AA2" s="25" t="s">
        <v>0</v>
      </c>
      <c r="AB2" s="25" t="s">
        <v>5</v>
      </c>
      <c r="AC2" s="25" t="s">
        <v>1</v>
      </c>
      <c r="AD2" s="25" t="s">
        <v>228</v>
      </c>
      <c r="AE2" s="25"/>
      <c r="AF2" s="25" t="s">
        <v>3</v>
      </c>
      <c r="AG2" s="25" t="s">
        <v>2</v>
      </c>
      <c r="AH2" s="25" t="s">
        <v>181</v>
      </c>
      <c r="AI2" s="25" t="s">
        <v>102</v>
      </c>
      <c r="AJ2" s="25" t="s">
        <v>229</v>
      </c>
      <c r="AK2" s="25" t="s">
        <v>11</v>
      </c>
      <c r="AL2" s="25" t="s">
        <v>230</v>
      </c>
      <c r="AM2" s="25" t="s">
        <v>138</v>
      </c>
    </row>
    <row r="3" spans="1:39" ht="15" hidden="1" customHeight="1" x14ac:dyDescent="0.25">
      <c r="A3" s="16" t="str">
        <f>IF($B3="2005","Hors PRODEP",IF(LEFT($Q3,2)="20","BASTIA",VLOOKUP($B3,Légendes!$B:$C,2,0)))</f>
        <v>Hors PRODEP</v>
      </c>
      <c r="B3" s="16" t="str">
        <f>IF(ISERROR(VLOOKUP($L3,Légendes!$A:$B,2,0)),"2005",VLOOKUP($L3,Légendes!$A:$B,2,0))</f>
        <v>2005</v>
      </c>
      <c r="C3" s="16" t="str">
        <f>IF($AC3="","état final TP ?",IF($AC3&lt;&gt;"Echec",$AC3,IF(ISERROR(VLOOKUP($AM3,Légendes!$E:$F,2,0)),"A statuer",CONCATENATE("échec resp ",VLOOKUP($AM3,Légendes!$E:$F,2,0)))))</f>
        <v>échec resp MOE</v>
      </c>
      <c r="D3" s="20"/>
      <c r="E3" s="16">
        <f t="shared" ref="E3:E6" si="0">IF($W3="","",$W3)</f>
        <v>41757.375</v>
      </c>
      <c r="F3" s="21" t="str">
        <f t="shared" ref="F3:F6" si="1">IF($G3="","",CONCATENATE("S",WEEKNUM($G3)))</f>
        <v>S18</v>
      </c>
      <c r="G3" s="15">
        <f t="shared" ref="G3:G6" si="2">IF($W3="","",INT($W3))</f>
        <v>41757</v>
      </c>
      <c r="H3" s="15" t="str">
        <f t="shared" ref="H3:H6" si="3">RIGHT($AD3,7)</f>
        <v>4353592</v>
      </c>
      <c r="I3" s="25" t="s">
        <v>222</v>
      </c>
      <c r="J3" s="25" t="s">
        <v>223</v>
      </c>
      <c r="K3" s="25"/>
      <c r="L3" s="25"/>
      <c r="M3" s="25" t="s">
        <v>224</v>
      </c>
      <c r="N3" s="25" t="s">
        <v>18</v>
      </c>
      <c r="O3" s="25" t="s">
        <v>134</v>
      </c>
      <c r="P3" s="25" t="s">
        <v>225</v>
      </c>
      <c r="Q3" s="25" t="s">
        <v>226</v>
      </c>
      <c r="R3" s="25" t="s">
        <v>139</v>
      </c>
      <c r="S3" s="26">
        <v>41747.415439814802</v>
      </c>
      <c r="T3" s="26">
        <v>41757.375</v>
      </c>
      <c r="U3" s="26">
        <v>41757.541666666701</v>
      </c>
      <c r="V3" s="25">
        <v>0</v>
      </c>
      <c r="W3" s="26">
        <v>41757.375</v>
      </c>
      <c r="X3" s="26">
        <v>41757.388888888898</v>
      </c>
      <c r="Y3" s="25">
        <v>0.33333333333333298</v>
      </c>
      <c r="Z3" s="25" t="s">
        <v>181</v>
      </c>
      <c r="AA3" s="25" t="s">
        <v>0</v>
      </c>
      <c r="AB3" s="25" t="s">
        <v>5</v>
      </c>
      <c r="AC3" s="25" t="s">
        <v>1</v>
      </c>
      <c r="AD3" s="25" t="s">
        <v>231</v>
      </c>
      <c r="AE3" s="25"/>
      <c r="AF3" s="25" t="s">
        <v>3</v>
      </c>
      <c r="AG3" s="25" t="s">
        <v>2</v>
      </c>
      <c r="AH3" s="25" t="s">
        <v>181</v>
      </c>
      <c r="AI3" s="25" t="s">
        <v>102</v>
      </c>
      <c r="AJ3" s="25" t="s">
        <v>229</v>
      </c>
      <c r="AK3" s="25" t="s">
        <v>13</v>
      </c>
      <c r="AL3" s="25" t="s">
        <v>232</v>
      </c>
      <c r="AM3" s="25" t="s">
        <v>233</v>
      </c>
    </row>
    <row r="4" spans="1:39" ht="15" hidden="1" customHeight="1" x14ac:dyDescent="0.25">
      <c r="A4" s="16" t="str">
        <f>IF($B4="2005","Hors PRODEP",IF(LEFT($Q4,2)="20","BASTIA",VLOOKUP($B4,Légendes!$B:$C,2,0)))</f>
        <v>Hors PRODEP</v>
      </c>
      <c r="B4" s="16" t="str">
        <f>IF(ISERROR(VLOOKUP($L4,Légendes!$A:$B,2,0)),"2005",VLOOKUP($L4,Légendes!$A:$B,2,0))</f>
        <v>2005</v>
      </c>
      <c r="C4" s="16" t="str">
        <f>IF($AC4="","état final TP ?",IF($AC4&lt;&gt;"Echec",$AC4,IF(ISERROR(VLOOKUP($AM4,Légendes!$E:$F,2,0)),"A statuer",CONCATENATE("échec resp ",VLOOKUP($AM4,Légendes!$E:$F,2,0)))))</f>
        <v>échec resp MOE</v>
      </c>
      <c r="D4" s="20"/>
      <c r="E4" s="16">
        <f t="shared" si="0"/>
        <v>41759.375</v>
      </c>
      <c r="F4" s="21" t="str">
        <f t="shared" si="1"/>
        <v>S18</v>
      </c>
      <c r="G4" s="15">
        <f t="shared" si="2"/>
        <v>41759</v>
      </c>
      <c r="H4" s="15" t="str">
        <f t="shared" si="3"/>
        <v>4357711</v>
      </c>
      <c r="I4" s="25" t="s">
        <v>222</v>
      </c>
      <c r="J4" s="25"/>
      <c r="K4" s="25"/>
      <c r="L4" s="25"/>
      <c r="M4" s="25" t="s">
        <v>235</v>
      </c>
      <c r="N4" s="25" t="s">
        <v>180</v>
      </c>
      <c r="O4" s="25" t="s">
        <v>234</v>
      </c>
      <c r="P4" s="25" t="s">
        <v>237</v>
      </c>
      <c r="Q4" s="25" t="s">
        <v>236</v>
      </c>
      <c r="R4" s="25" t="s">
        <v>238</v>
      </c>
      <c r="S4" s="26">
        <v>41751.6723263889</v>
      </c>
      <c r="T4" s="26">
        <v>41759.375</v>
      </c>
      <c r="U4" s="26">
        <v>41759.75</v>
      </c>
      <c r="V4" s="25">
        <v>0</v>
      </c>
      <c r="W4" s="26">
        <v>41759.375</v>
      </c>
      <c r="X4" s="26">
        <v>41759.75</v>
      </c>
      <c r="Y4" s="25">
        <v>9</v>
      </c>
      <c r="Z4" s="25" t="s">
        <v>181</v>
      </c>
      <c r="AA4" s="25" t="s">
        <v>0</v>
      </c>
      <c r="AB4" s="25" t="s">
        <v>5</v>
      </c>
      <c r="AC4" s="25" t="s">
        <v>1</v>
      </c>
      <c r="AD4" s="25" t="s">
        <v>239</v>
      </c>
      <c r="AE4" s="25"/>
      <c r="AF4" s="25" t="s">
        <v>3</v>
      </c>
      <c r="AG4" s="25" t="s">
        <v>2</v>
      </c>
      <c r="AH4" s="25" t="s">
        <v>181</v>
      </c>
      <c r="AI4" s="25" t="s">
        <v>178</v>
      </c>
      <c r="AJ4" s="25" t="s">
        <v>240</v>
      </c>
      <c r="AK4" s="25" t="s">
        <v>13</v>
      </c>
      <c r="AL4" s="25" t="s">
        <v>241</v>
      </c>
      <c r="AM4" s="25" t="s">
        <v>127</v>
      </c>
    </row>
    <row r="5" spans="1:39" ht="15" hidden="1" customHeight="1" x14ac:dyDescent="0.25">
      <c r="A5" s="16" t="str">
        <f>IF($B5="2005","Hors PRODEP",IF(LEFT($Q5,2)="20","BASTIA",VLOOKUP($B5,Légendes!$B:$C,2,0)))</f>
        <v>Hors PRODEP</v>
      </c>
      <c r="B5" s="16" t="str">
        <f>IF(ISERROR(VLOOKUP($L5,Légendes!$A:$B,2,0)),"2005",VLOOKUP($L5,Légendes!$A:$B,2,0))</f>
        <v>2005</v>
      </c>
      <c r="C5" s="16" t="str">
        <f>IF($AC5="","état final TP ?",IF($AC5&lt;&gt;"Echec",$AC5,IF(ISERROR(VLOOKUP($AM5,Légendes!$E:$F,2,0)),"A statuer",CONCATENATE("échec resp ",VLOOKUP($AM5,Légendes!$E:$F,2,0)))))</f>
        <v>échec resp MOE</v>
      </c>
      <c r="D5" s="20"/>
      <c r="E5" s="16">
        <f t="shared" si="0"/>
        <v>41759.375</v>
      </c>
      <c r="F5" s="21" t="str">
        <f t="shared" si="1"/>
        <v>S18</v>
      </c>
      <c r="G5" s="15">
        <f t="shared" si="2"/>
        <v>41759</v>
      </c>
      <c r="H5" s="15" t="str">
        <f t="shared" si="3"/>
        <v>4357711</v>
      </c>
      <c r="I5" s="25" t="s">
        <v>244</v>
      </c>
      <c r="J5" s="25"/>
      <c r="K5" s="25"/>
      <c r="L5" s="25"/>
      <c r="M5" s="25" t="s">
        <v>235</v>
      </c>
      <c r="N5" s="25" t="s">
        <v>180</v>
      </c>
      <c r="O5" s="25" t="s">
        <v>234</v>
      </c>
      <c r="P5" s="25" t="s">
        <v>237</v>
      </c>
      <c r="Q5" s="25" t="s">
        <v>236</v>
      </c>
      <c r="R5" s="25" t="s">
        <v>238</v>
      </c>
      <c r="S5" s="26">
        <v>41751.6723263889</v>
      </c>
      <c r="T5" s="26">
        <v>41759.375</v>
      </c>
      <c r="U5" s="26">
        <v>41759.75</v>
      </c>
      <c r="V5" s="25">
        <v>0</v>
      </c>
      <c r="W5" s="26">
        <v>41759.375</v>
      </c>
      <c r="X5" s="26">
        <v>41759.75</v>
      </c>
      <c r="Y5" s="25">
        <v>9</v>
      </c>
      <c r="Z5" s="25" t="s">
        <v>184</v>
      </c>
      <c r="AA5" s="25" t="s">
        <v>0</v>
      </c>
      <c r="AB5" s="25" t="s">
        <v>5</v>
      </c>
      <c r="AC5" s="25" t="s">
        <v>1</v>
      </c>
      <c r="AD5" s="25" t="s">
        <v>239</v>
      </c>
      <c r="AE5" s="25"/>
      <c r="AF5" s="25" t="s">
        <v>3</v>
      </c>
      <c r="AG5" s="25" t="s">
        <v>2</v>
      </c>
      <c r="AH5" s="25" t="s">
        <v>184</v>
      </c>
      <c r="AI5" s="25" t="s">
        <v>102</v>
      </c>
      <c r="AJ5" s="25" t="s">
        <v>246</v>
      </c>
      <c r="AK5" s="25" t="s">
        <v>13</v>
      </c>
      <c r="AL5" s="25" t="s">
        <v>241</v>
      </c>
      <c r="AM5" s="25" t="s">
        <v>106</v>
      </c>
    </row>
    <row r="6" spans="1:39" ht="15" customHeight="1" x14ac:dyDescent="0.25">
      <c r="A6" s="16" t="str">
        <f>IF($B6="2005","Hors PRODEP",IF(LEFT($Q6,2)="20","BASTIA",VLOOKUP($B6,Légendes!$B:$C,2,0)))</f>
        <v>Hors PRODEP</v>
      </c>
      <c r="B6" s="16" t="str">
        <f>IF(ISERROR(VLOOKUP($L6,Légendes!$A:$B,2,0)),"2005",VLOOKUP($L6,Légendes!$A:$B,2,0))</f>
        <v>2005</v>
      </c>
      <c r="C6" s="16" t="str">
        <f>IF($AC6="","état final TP ?",IF($AC6&lt;&gt;"Echec",$AC6,IF(ISERROR(VLOOKUP($AM6,Légendes!$E:$F,2,0)),"A statuer",CONCATENATE("échec resp ",VLOOKUP($AM6,Légendes!$E:$F,2,0)))))</f>
        <v>échec resp SFR</v>
      </c>
      <c r="D6" s="20"/>
      <c r="E6" s="16">
        <f t="shared" si="0"/>
        <v>41753.628043981502</v>
      </c>
      <c r="F6" s="21" t="str">
        <f t="shared" si="1"/>
        <v>S17</v>
      </c>
      <c r="G6" s="15">
        <f t="shared" si="2"/>
        <v>41753</v>
      </c>
      <c r="H6" s="15" t="str">
        <f t="shared" si="3"/>
        <v>4346464</v>
      </c>
      <c r="I6" s="25" t="s">
        <v>247</v>
      </c>
      <c r="J6" s="25"/>
      <c r="K6" s="25"/>
      <c r="L6" s="25"/>
      <c r="M6" s="25" t="s">
        <v>249</v>
      </c>
      <c r="N6" s="25" t="s">
        <v>41</v>
      </c>
      <c r="O6" s="25" t="s">
        <v>248</v>
      </c>
      <c r="P6" s="25" t="s">
        <v>114</v>
      </c>
      <c r="Q6" s="25" t="s">
        <v>250</v>
      </c>
      <c r="R6" s="25" t="s">
        <v>152</v>
      </c>
      <c r="S6" s="26">
        <v>41744.721608796302</v>
      </c>
      <c r="T6" s="26">
        <v>41753.375</v>
      </c>
      <c r="U6" s="26">
        <v>41753.708333333299</v>
      </c>
      <c r="V6" s="25">
        <v>0.5</v>
      </c>
      <c r="W6" s="26">
        <v>41753.628043981502</v>
      </c>
      <c r="X6" s="26">
        <v>41753.708333333299</v>
      </c>
      <c r="Y6" s="25">
        <v>1.9269444444444399</v>
      </c>
      <c r="Z6" s="25" t="s">
        <v>184</v>
      </c>
      <c r="AA6" s="25" t="s">
        <v>0</v>
      </c>
      <c r="AB6" s="25" t="s">
        <v>5</v>
      </c>
      <c r="AC6" s="25" t="s">
        <v>1</v>
      </c>
      <c r="AD6" s="25" t="s">
        <v>251</v>
      </c>
      <c r="AE6" s="25" t="s">
        <v>111</v>
      </c>
      <c r="AF6" s="25" t="s">
        <v>3</v>
      </c>
      <c r="AG6" s="25" t="s">
        <v>242</v>
      </c>
      <c r="AH6" s="25" t="s">
        <v>184</v>
      </c>
      <c r="AI6" s="25" t="s">
        <v>102</v>
      </c>
      <c r="AJ6" s="25" t="s">
        <v>245</v>
      </c>
      <c r="AK6" s="25" t="s">
        <v>13</v>
      </c>
      <c r="AL6" s="25" t="s">
        <v>252</v>
      </c>
      <c r="AM6" s="25" t="s">
        <v>132</v>
      </c>
    </row>
    <row r="7" spans="1:39" ht="15" customHeight="1" x14ac:dyDescent="0.25">
      <c r="A7" s="16" t="str">
        <f>IF($B7="2005","Hors PRODEP",IF(LEFT($Q7,2)="20","BASTIA",VLOOKUP($B7,Légendes!$B:$C,2,0)))</f>
        <v>Hors PRODEP</v>
      </c>
      <c r="B7" s="16" t="str">
        <f>IF(ISERROR(VLOOKUP($L7,Légendes!$A:$B,2,0)),"2005",VLOOKUP($L7,Légendes!$A:$B,2,0))</f>
        <v>2005</v>
      </c>
      <c r="C7" s="16" t="str">
        <f>IF($AC7="","état final TP ?",IF($AC7&lt;&gt;"Echec",$AC7,IF(ISERROR(VLOOKUP($AM7,Légendes!$E:$F,2,0)),"A statuer",CONCATENATE("échec resp ",VLOOKUP($AM7,Légendes!$E:$F,2,0)))))</f>
        <v>échec resp SFR</v>
      </c>
      <c r="D7" s="20"/>
      <c r="E7" s="16">
        <f t="shared" ref="E7:E8" si="4">IF($W7="","",$W7)</f>
        <v>41757.3760763889</v>
      </c>
      <c r="F7" s="21" t="str">
        <f t="shared" ref="F7:F8" si="5">IF($G7="","",CONCATENATE("S",WEEKNUM($G7)))</f>
        <v>S18</v>
      </c>
      <c r="G7" s="15">
        <f t="shared" ref="G7:G8" si="6">IF($W7="","",INT($W7))</f>
        <v>41757</v>
      </c>
      <c r="H7" s="15" t="str">
        <f t="shared" ref="H7:H8" si="7">RIGHT($AD7,7)</f>
        <v>4357683</v>
      </c>
      <c r="I7" s="25" t="s">
        <v>259</v>
      </c>
      <c r="J7" s="25" t="s">
        <v>260</v>
      </c>
      <c r="K7" s="25" t="s">
        <v>261</v>
      </c>
      <c r="L7" s="25"/>
      <c r="M7" s="25" t="s">
        <v>262</v>
      </c>
      <c r="N7" s="25" t="s">
        <v>29</v>
      </c>
      <c r="O7" s="25" t="s">
        <v>263</v>
      </c>
      <c r="P7" s="25" t="s">
        <v>264</v>
      </c>
      <c r="Q7" s="25" t="s">
        <v>265</v>
      </c>
      <c r="R7" s="25" t="s">
        <v>266</v>
      </c>
      <c r="S7" s="26">
        <v>41751.6645601852</v>
      </c>
      <c r="T7" s="26">
        <v>41757.333333333299</v>
      </c>
      <c r="U7" s="26">
        <v>41757.583333333299</v>
      </c>
      <c r="V7" s="25">
        <v>0</v>
      </c>
      <c r="W7" s="26">
        <v>41757.3760763889</v>
      </c>
      <c r="X7" s="26">
        <v>41757.667893518497</v>
      </c>
      <c r="Y7" s="25">
        <v>7.0036111111111099</v>
      </c>
      <c r="Z7" s="25" t="s">
        <v>255</v>
      </c>
      <c r="AA7" s="25" t="s">
        <v>0</v>
      </c>
      <c r="AB7" s="25" t="s">
        <v>5</v>
      </c>
      <c r="AC7" s="25" t="s">
        <v>1</v>
      </c>
      <c r="AD7" s="25" t="s">
        <v>267</v>
      </c>
      <c r="AE7" s="25" t="s">
        <v>108</v>
      </c>
      <c r="AF7" s="25" t="s">
        <v>3</v>
      </c>
      <c r="AG7" s="25" t="s">
        <v>25</v>
      </c>
      <c r="AH7" s="25" t="s">
        <v>255</v>
      </c>
      <c r="AI7" s="25" t="s">
        <v>102</v>
      </c>
      <c r="AJ7" s="25" t="s">
        <v>256</v>
      </c>
      <c r="AK7" s="25" t="s">
        <v>13</v>
      </c>
      <c r="AL7" s="25" t="s">
        <v>268</v>
      </c>
      <c r="AM7" s="25" t="s">
        <v>125</v>
      </c>
    </row>
    <row r="8" spans="1:39" ht="15" customHeight="1" x14ac:dyDescent="0.25">
      <c r="A8" s="16" t="str">
        <f>IF($B8="2005","Hors PRODEP",IF(LEFT($Q8,2)="20","BASTIA",VLOOKUP($B8,Légendes!$B:$C,2,0)))</f>
        <v>Hors PRODEP</v>
      </c>
      <c r="B8" s="16" t="str">
        <f>IF(ISERROR(VLOOKUP($L8,Légendes!$A:$B,2,0)),"2005",VLOOKUP($L8,Légendes!$A:$B,2,0))</f>
        <v>2005</v>
      </c>
      <c r="C8" s="16" t="str">
        <f>IF($AC8="","état final TP ?",IF($AC8&lt;&gt;"Echec",$AC8,IF(ISERROR(VLOOKUP($AM8,Légendes!$E:$F,2,0)),"A statuer",CONCATENATE("échec resp ",VLOOKUP($AM8,Légendes!$E:$F,2,0)))))</f>
        <v>échec resp SFR</v>
      </c>
      <c r="D8" s="20"/>
      <c r="E8" s="16">
        <f t="shared" si="4"/>
        <v>41757.375011574099</v>
      </c>
      <c r="F8" s="21" t="str">
        <f t="shared" si="5"/>
        <v>S18</v>
      </c>
      <c r="G8" s="15">
        <f t="shared" si="6"/>
        <v>41757</v>
      </c>
      <c r="H8" s="15" t="str">
        <f t="shared" si="7"/>
        <v>4357682</v>
      </c>
      <c r="I8" s="25" t="s">
        <v>259</v>
      </c>
      <c r="J8" s="25" t="s">
        <v>269</v>
      </c>
      <c r="K8" s="25" t="s">
        <v>270</v>
      </c>
      <c r="L8" s="25"/>
      <c r="M8" s="25" t="s">
        <v>262</v>
      </c>
      <c r="N8" s="25" t="s">
        <v>29</v>
      </c>
      <c r="O8" s="25" t="s">
        <v>263</v>
      </c>
      <c r="P8" s="25" t="s">
        <v>264</v>
      </c>
      <c r="Q8" s="25" t="s">
        <v>265</v>
      </c>
      <c r="R8" s="25" t="s">
        <v>271</v>
      </c>
      <c r="S8" s="26">
        <v>41751.664548611101</v>
      </c>
      <c r="T8" s="26">
        <v>41757.333333333299</v>
      </c>
      <c r="U8" s="26">
        <v>41757.583333333299</v>
      </c>
      <c r="V8" s="25">
        <v>0</v>
      </c>
      <c r="W8" s="26">
        <v>41757.375011574099</v>
      </c>
      <c r="X8" s="26">
        <v>41757.666932870401</v>
      </c>
      <c r="Y8" s="25">
        <v>7.0061111111111103</v>
      </c>
      <c r="Z8" s="25" t="s">
        <v>255</v>
      </c>
      <c r="AA8" s="25" t="s">
        <v>0</v>
      </c>
      <c r="AB8" s="25" t="s">
        <v>5</v>
      </c>
      <c r="AC8" s="25" t="s">
        <v>1</v>
      </c>
      <c r="AD8" s="25" t="s">
        <v>272</v>
      </c>
      <c r="AE8" s="25" t="s">
        <v>108</v>
      </c>
      <c r="AF8" s="25" t="s">
        <v>3</v>
      </c>
      <c r="AG8" s="25" t="s">
        <v>25</v>
      </c>
      <c r="AH8" s="25" t="s">
        <v>255</v>
      </c>
      <c r="AI8" s="25" t="s">
        <v>102</v>
      </c>
      <c r="AJ8" s="25" t="s">
        <v>256</v>
      </c>
      <c r="AK8" s="25" t="s">
        <v>13</v>
      </c>
      <c r="AL8" s="25" t="s">
        <v>273</v>
      </c>
      <c r="AM8" s="25" t="s">
        <v>125</v>
      </c>
    </row>
    <row r="9" spans="1:39" ht="15" customHeight="1" x14ac:dyDescent="0.25">
      <c r="A9" s="16" t="str">
        <f>IF($B9="2005","Hors PRODEP",IF(LEFT($Q9,2)="20","BASTIA",VLOOKUP($B9,Légendes!$B:$C,2,0)))</f>
        <v>MOBILCOM</v>
      </c>
      <c r="B9" s="16" t="str">
        <f>IF(ISERROR(VLOOKUP($L9,Légendes!$A:$B,2,0)),"2005",VLOOKUP($L9,Légendes!$A:$B,2,0))</f>
        <v>R13-020</v>
      </c>
      <c r="C9" s="16" t="str">
        <f>IF($AC9="","état final TP ?",IF($AC9&lt;&gt;"Echec",$AC9,IF(ISERROR(VLOOKUP($AM9,Légendes!$E:$F,2,0)),"A statuer",CONCATENATE("échec resp ",VLOOKUP($AM9,Légendes!$E:$F,2,0)))))</f>
        <v>échec resp SFR</v>
      </c>
      <c r="D9" s="20"/>
      <c r="E9" s="16">
        <f t="shared" ref="E9" si="8">IF($W9="","",$W9)</f>
        <v>41751.451793981498</v>
      </c>
      <c r="F9" s="21" t="str">
        <f t="shared" ref="F9" si="9">IF($G9="","",CONCATENATE("S",WEEKNUM($G9)))</f>
        <v>S17</v>
      </c>
      <c r="G9" s="15">
        <f t="shared" ref="G9" si="10">IF($W9="","",INT($W9))</f>
        <v>41751</v>
      </c>
      <c r="H9" s="15" t="str">
        <f t="shared" ref="H9" si="11">RIGHT($AD9,7)</f>
        <v>4345341</v>
      </c>
      <c r="I9" s="25" t="s">
        <v>98</v>
      </c>
      <c r="J9" s="25" t="s">
        <v>280</v>
      </c>
      <c r="K9" s="25" t="s">
        <v>281</v>
      </c>
      <c r="L9" s="25" t="s">
        <v>12</v>
      </c>
      <c r="M9" s="25" t="s">
        <v>80</v>
      </c>
      <c r="N9" s="25" t="s">
        <v>20</v>
      </c>
      <c r="O9" s="25" t="s">
        <v>162</v>
      </c>
      <c r="P9" s="25" t="s">
        <v>163</v>
      </c>
      <c r="Q9" s="25" t="s">
        <v>185</v>
      </c>
      <c r="R9" s="25" t="s">
        <v>171</v>
      </c>
      <c r="S9" s="26">
        <v>41744.617037037002</v>
      </c>
      <c r="T9" s="26">
        <v>41751.375</v>
      </c>
      <c r="U9" s="26">
        <v>41751.5</v>
      </c>
      <c r="V9" s="25">
        <v>5</v>
      </c>
      <c r="W9" s="26">
        <v>41751.451793981498</v>
      </c>
      <c r="X9" s="26">
        <v>41751.671284722201</v>
      </c>
      <c r="Y9" s="25">
        <v>5.2677777777777797</v>
      </c>
      <c r="Z9" s="25" t="s">
        <v>4</v>
      </c>
      <c r="AA9" s="25" t="s">
        <v>0</v>
      </c>
      <c r="AB9" s="25" t="s">
        <v>5</v>
      </c>
      <c r="AC9" s="25" t="s">
        <v>1</v>
      </c>
      <c r="AD9" s="25" t="s">
        <v>282</v>
      </c>
      <c r="AE9" s="25" t="s">
        <v>99</v>
      </c>
      <c r="AF9" s="25" t="s">
        <v>3</v>
      </c>
      <c r="AG9" s="25" t="s">
        <v>10</v>
      </c>
      <c r="AH9" s="25" t="s">
        <v>4</v>
      </c>
      <c r="AI9" s="25" t="s">
        <v>96</v>
      </c>
      <c r="AJ9" s="25" t="s">
        <v>278</v>
      </c>
      <c r="AK9" s="25" t="s">
        <v>11</v>
      </c>
      <c r="AL9" s="25" t="s">
        <v>283</v>
      </c>
      <c r="AM9" s="25" t="s">
        <v>128</v>
      </c>
    </row>
    <row r="10" spans="1:39" ht="15" customHeight="1" x14ac:dyDescent="0.25">
      <c r="A10" s="16" t="str">
        <f>IF($B10="2005","Hors PRODEP",IF(LEFT($Q10,2)="20","BASTIA",VLOOKUP($B10,Légendes!$B:$C,2,0)))</f>
        <v>MOBILCOM</v>
      </c>
      <c r="B10" s="16" t="str">
        <f>IF(ISERROR(VLOOKUP($L10,Légendes!$A:$B,2,0)),"2005",VLOOKUP($L10,Légendes!$A:$B,2,0))</f>
        <v>R13-020</v>
      </c>
      <c r="C10" s="16" t="str">
        <f>IF($AC10="","état final TP ?",IF($AC10&lt;&gt;"Echec",$AC10,IF(ISERROR(VLOOKUP($AM10,Légendes!$E:$F,2,0)),"A statuer",CONCATENATE("échec resp ",VLOOKUP($AM10,Légendes!$E:$F,2,0)))))</f>
        <v>échec resp SFR</v>
      </c>
      <c r="D10" s="20"/>
      <c r="E10" s="16">
        <f t="shared" ref="E10:E11" si="12">IF($W10="","",$W10)</f>
        <v>41751.451793981498</v>
      </c>
      <c r="F10" s="21" t="str">
        <f t="shared" ref="F10:F11" si="13">IF($G10="","",CONCATENATE("S",WEEKNUM($G10)))</f>
        <v>S17</v>
      </c>
      <c r="G10" s="15">
        <f t="shared" ref="G10:G11" si="14">IF($W10="","",INT($W10))</f>
        <v>41751</v>
      </c>
      <c r="H10" s="15" t="str">
        <f t="shared" ref="H10:H11" si="15">RIGHT($AD10,7)</f>
        <v>4345342</v>
      </c>
      <c r="I10" s="25" t="s">
        <v>98</v>
      </c>
      <c r="J10" s="25" t="s">
        <v>280</v>
      </c>
      <c r="K10" s="25" t="s">
        <v>281</v>
      </c>
      <c r="L10" s="25" t="s">
        <v>12</v>
      </c>
      <c r="M10" s="25" t="s">
        <v>80</v>
      </c>
      <c r="N10" s="25" t="s">
        <v>37</v>
      </c>
      <c r="O10" s="25" t="s">
        <v>162</v>
      </c>
      <c r="P10" s="25" t="s">
        <v>163</v>
      </c>
      <c r="Q10" s="25" t="s">
        <v>185</v>
      </c>
      <c r="R10" s="25" t="s">
        <v>172</v>
      </c>
      <c r="S10" s="26">
        <v>41744.617060185199</v>
      </c>
      <c r="T10" s="26">
        <v>41752.375</v>
      </c>
      <c r="U10" s="26">
        <v>41752.5</v>
      </c>
      <c r="V10" s="25">
        <v>5</v>
      </c>
      <c r="W10" s="26">
        <v>41751.451793981498</v>
      </c>
      <c r="X10" s="26">
        <v>41752.870393518497</v>
      </c>
      <c r="Y10" s="25">
        <v>34.046388888888899</v>
      </c>
      <c r="Z10" s="25" t="s">
        <v>4</v>
      </c>
      <c r="AA10" s="25" t="s">
        <v>0</v>
      </c>
      <c r="AB10" s="25" t="s">
        <v>5</v>
      </c>
      <c r="AC10" s="25" t="s">
        <v>1</v>
      </c>
      <c r="AD10" s="25" t="s">
        <v>284</v>
      </c>
      <c r="AE10" s="25" t="s">
        <v>103</v>
      </c>
      <c r="AF10" s="25" t="s">
        <v>3</v>
      </c>
      <c r="AG10" s="25" t="s">
        <v>10</v>
      </c>
      <c r="AH10" s="25" t="s">
        <v>4</v>
      </c>
      <c r="AI10" s="25" t="s">
        <v>96</v>
      </c>
      <c r="AJ10" s="25" t="s">
        <v>278</v>
      </c>
      <c r="AK10" s="25" t="s">
        <v>13</v>
      </c>
      <c r="AL10" s="25" t="s">
        <v>285</v>
      </c>
      <c r="AM10" s="25" t="s">
        <v>129</v>
      </c>
    </row>
    <row r="11" spans="1:39" ht="15" customHeight="1" x14ac:dyDescent="0.25">
      <c r="A11" s="16" t="str">
        <f>IF($B11="2005","Hors PRODEP",IF(LEFT($Q11,2)="20","BASTIA",VLOOKUP($B11,Légendes!$B:$C,2,0)))</f>
        <v>MOBILCOM</v>
      </c>
      <c r="B11" s="16" t="str">
        <f>IF(ISERROR(VLOOKUP($L11,Légendes!$A:$B,2,0)),"2005",VLOOKUP($L11,Légendes!$A:$B,2,0))</f>
        <v>R13-020</v>
      </c>
      <c r="C11" s="16" t="str">
        <f>IF($AC11="","état final TP ?",IF($AC11&lt;&gt;"Echec",$AC11,IF(ISERROR(VLOOKUP($AM11,Légendes!$E:$F,2,0)),"A statuer",CONCATENATE("échec resp ",VLOOKUP($AM11,Légendes!$E:$F,2,0)))))</f>
        <v>échec resp SFR</v>
      </c>
      <c r="D11" s="20"/>
      <c r="E11" s="16">
        <f t="shared" si="12"/>
        <v>41751.451793981498</v>
      </c>
      <c r="F11" s="21" t="str">
        <f t="shared" si="13"/>
        <v>S17</v>
      </c>
      <c r="G11" s="15">
        <f t="shared" si="14"/>
        <v>41751</v>
      </c>
      <c r="H11" s="15" t="str">
        <f t="shared" si="15"/>
        <v>4345342</v>
      </c>
      <c r="I11" s="25" t="s">
        <v>98</v>
      </c>
      <c r="J11" s="25" t="s">
        <v>280</v>
      </c>
      <c r="K11" s="25" t="s">
        <v>281</v>
      </c>
      <c r="L11" s="25" t="s">
        <v>12</v>
      </c>
      <c r="M11" s="25" t="s">
        <v>80</v>
      </c>
      <c r="N11" s="25" t="s">
        <v>37</v>
      </c>
      <c r="O11" s="25" t="s">
        <v>162</v>
      </c>
      <c r="P11" s="25" t="s">
        <v>163</v>
      </c>
      <c r="Q11" s="25" t="s">
        <v>185</v>
      </c>
      <c r="R11" s="25" t="s">
        <v>172</v>
      </c>
      <c r="S11" s="26">
        <v>41744.617060185199</v>
      </c>
      <c r="T11" s="26">
        <v>41752.375</v>
      </c>
      <c r="U11" s="26">
        <v>41752.5</v>
      </c>
      <c r="V11" s="25">
        <v>5</v>
      </c>
      <c r="W11" s="26">
        <v>41751.451793981498</v>
      </c>
      <c r="X11" s="26">
        <v>41752.870393518497</v>
      </c>
      <c r="Y11" s="25">
        <v>34.046388888888899</v>
      </c>
      <c r="Z11" s="25" t="s">
        <v>4</v>
      </c>
      <c r="AA11" s="25" t="s">
        <v>0</v>
      </c>
      <c r="AB11" s="25" t="s">
        <v>5</v>
      </c>
      <c r="AC11" s="25" t="s">
        <v>1</v>
      </c>
      <c r="AD11" s="25" t="s">
        <v>284</v>
      </c>
      <c r="AE11" s="25" t="s">
        <v>103</v>
      </c>
      <c r="AF11" s="25" t="s">
        <v>3</v>
      </c>
      <c r="AG11" s="25" t="s">
        <v>10</v>
      </c>
      <c r="AH11" s="25" t="s">
        <v>4</v>
      </c>
      <c r="AI11" s="25" t="s">
        <v>96</v>
      </c>
      <c r="AJ11" s="25" t="s">
        <v>278</v>
      </c>
      <c r="AK11" s="25" t="s">
        <v>13</v>
      </c>
      <c r="AL11" s="25" t="s">
        <v>285</v>
      </c>
      <c r="AM11" s="25" t="s">
        <v>279</v>
      </c>
    </row>
    <row r="12" spans="1:39" ht="15" customHeight="1" x14ac:dyDescent="0.25">
      <c r="A12" s="16" t="str">
        <f>IF($B12="2005","Hors PRODEP",IF(LEFT($Q12,2)="20","BASTIA",VLOOKUP($B12,Légendes!$B:$C,2,0)))</f>
        <v>MOBILCOM</v>
      </c>
      <c r="B12" s="16" t="str">
        <f>IF(ISERROR(VLOOKUP($L12,Légendes!$A:$B,2,0)),"2005",VLOOKUP($L12,Légendes!$A:$B,2,0))</f>
        <v>R13-131</v>
      </c>
      <c r="C12" s="16" t="str">
        <f>IF($AC12="","état final TP ?",IF($AC12&lt;&gt;"Echec",$AC12,IF(ISERROR(VLOOKUP($AM12,Légendes!$E:$F,2,0)),"A statuer",CONCATENATE("échec resp ",VLOOKUP($AM12,Légendes!$E:$F,2,0)))))</f>
        <v>échec resp SFR</v>
      </c>
      <c r="D12" s="20"/>
      <c r="E12" s="16">
        <f t="shared" ref="E12" si="16">IF($W12="","",$W12)</f>
        <v>41754.453900462999</v>
      </c>
      <c r="F12" s="21" t="str">
        <f t="shared" ref="F12" si="17">IF($G12="","",CONCATENATE("S",WEEKNUM($G12)))</f>
        <v>S17</v>
      </c>
      <c r="G12" s="15">
        <f t="shared" ref="G12" si="18">IF($W12="","",INT($W12))</f>
        <v>41754</v>
      </c>
      <c r="H12" s="15" t="str">
        <f t="shared" ref="H12" si="19">RIGHT($AD12,7)</f>
        <v>4345102</v>
      </c>
      <c r="I12" s="25" t="s">
        <v>98</v>
      </c>
      <c r="J12" s="25" t="s">
        <v>286</v>
      </c>
      <c r="K12" s="25" t="s">
        <v>289</v>
      </c>
      <c r="L12" s="25" t="s">
        <v>75</v>
      </c>
      <c r="M12" s="25" t="s">
        <v>287</v>
      </c>
      <c r="N12" s="25" t="s">
        <v>19</v>
      </c>
      <c r="O12" s="25" t="s">
        <v>169</v>
      </c>
      <c r="P12" s="25" t="s">
        <v>122</v>
      </c>
      <c r="Q12" s="25" t="s">
        <v>288</v>
      </c>
      <c r="R12" s="25" t="s">
        <v>133</v>
      </c>
      <c r="S12" s="26">
        <v>41744.595648148199</v>
      </c>
      <c r="T12" s="26">
        <v>41754.416666666701</v>
      </c>
      <c r="U12" s="26">
        <v>41754.583333333299</v>
      </c>
      <c r="V12" s="25">
        <v>4</v>
      </c>
      <c r="W12" s="26">
        <v>41754.453900462999</v>
      </c>
      <c r="X12" s="26">
        <v>41754.5387962963</v>
      </c>
      <c r="Y12" s="25">
        <v>2.0375000000000001</v>
      </c>
      <c r="Z12" s="25" t="s">
        <v>4</v>
      </c>
      <c r="AA12" s="25" t="s">
        <v>0</v>
      </c>
      <c r="AB12" s="25" t="s">
        <v>5</v>
      </c>
      <c r="AC12" s="25" t="s">
        <v>1</v>
      </c>
      <c r="AD12" s="25" t="s">
        <v>290</v>
      </c>
      <c r="AE12" s="25" t="s">
        <v>108</v>
      </c>
      <c r="AF12" s="25" t="s">
        <v>3</v>
      </c>
      <c r="AG12" s="25" t="s">
        <v>10</v>
      </c>
      <c r="AH12" s="25" t="s">
        <v>4</v>
      </c>
      <c r="AI12" s="25" t="s">
        <v>96</v>
      </c>
      <c r="AJ12" s="25" t="s">
        <v>275</v>
      </c>
      <c r="AK12" s="25" t="s">
        <v>11</v>
      </c>
      <c r="AL12" s="25" t="s">
        <v>291</v>
      </c>
      <c r="AM12" s="25" t="s">
        <v>279</v>
      </c>
    </row>
    <row r="13" spans="1:39" hidden="1" x14ac:dyDescent="0.25">
      <c r="A13" s="16" t="str">
        <f>IF($B13="2005","Hors PRODEP",IF(LEFT($Q13,2)="20","BASTIA",VLOOKUP($B13,Légendes!$B:$C,2,0)))</f>
        <v>BASTIA</v>
      </c>
      <c r="B13" s="16" t="str">
        <f>IF(ISERROR(VLOOKUP($L13,Légendes!$A:$B,2,0)),"2005",VLOOKUP($L13,Légendes!$A:$B,2,0))</f>
        <v>R13-073</v>
      </c>
      <c r="C13" s="16" t="str">
        <f>IF($AC13="","état final TP ?",IF($AC13&lt;&gt;"Echec",$AC13,IF(ISERROR(VLOOKUP($AM13,Légendes!$E:$F,2,0)),"A statuer",CONCATENATE("échec resp ",VLOOKUP($AM13,Légendes!$E:$F,2,0)))))</f>
        <v>échec resp MOE</v>
      </c>
      <c r="D13" s="20"/>
      <c r="E13" s="16">
        <f t="shared" ref="E13:E16" si="20">IF($W13="","",$W13)</f>
        <v>41795.479953703703</v>
      </c>
      <c r="F13" s="21" t="str">
        <f t="shared" ref="F13:F16" si="21">IF($G13="","",CONCATENATE("S",WEEKNUM($G13)))</f>
        <v>S23</v>
      </c>
      <c r="G13" s="15">
        <f t="shared" ref="G13:G16" si="22">IF($W13="","",INT($W13))</f>
        <v>41795</v>
      </c>
      <c r="H13" s="15" t="str">
        <f t="shared" ref="H13:H16" si="23">RIGHT($AD13,7)</f>
        <v>4432218</v>
      </c>
      <c r="I13" s="27" t="s">
        <v>118</v>
      </c>
      <c r="J13" s="27"/>
      <c r="K13" s="27" t="s">
        <v>374</v>
      </c>
      <c r="L13" s="27" t="s">
        <v>350</v>
      </c>
      <c r="M13" s="27" t="s">
        <v>377</v>
      </c>
      <c r="N13" s="27" t="s">
        <v>34</v>
      </c>
      <c r="O13" s="27" t="s">
        <v>159</v>
      </c>
      <c r="P13" s="27" t="s">
        <v>126</v>
      </c>
      <c r="Q13" s="27" t="s">
        <v>378</v>
      </c>
      <c r="R13" s="27" t="s">
        <v>142</v>
      </c>
      <c r="S13" s="28">
        <v>41787.723356481503</v>
      </c>
      <c r="T13" s="28">
        <v>41795.333333333299</v>
      </c>
      <c r="U13" s="28">
        <v>41795.583333333299</v>
      </c>
      <c r="V13" s="27">
        <v>1</v>
      </c>
      <c r="W13" s="28">
        <v>41795.479953703703</v>
      </c>
      <c r="X13" s="28">
        <v>41795.5144097222</v>
      </c>
      <c r="Y13" s="27">
        <v>0.82694444444444404</v>
      </c>
      <c r="Z13" s="27" t="s">
        <v>119</v>
      </c>
      <c r="AA13" s="27" t="s">
        <v>0</v>
      </c>
      <c r="AB13" s="27" t="s">
        <v>5</v>
      </c>
      <c r="AC13" s="27" t="s">
        <v>1</v>
      </c>
      <c r="AD13" s="27" t="s">
        <v>379</v>
      </c>
      <c r="AE13" s="27" t="s">
        <v>117</v>
      </c>
      <c r="AF13" s="27" t="s">
        <v>3</v>
      </c>
      <c r="AG13" s="27" t="s">
        <v>14</v>
      </c>
      <c r="AH13" s="27" t="s">
        <v>119</v>
      </c>
      <c r="AI13" s="27" t="s">
        <v>102</v>
      </c>
      <c r="AJ13" s="27" t="s">
        <v>308</v>
      </c>
      <c r="AK13" s="27" t="s">
        <v>13</v>
      </c>
      <c r="AL13" s="27" t="s">
        <v>394</v>
      </c>
      <c r="AM13" s="27" t="s">
        <v>147</v>
      </c>
    </row>
    <row r="14" spans="1:39" hidden="1" x14ac:dyDescent="0.25">
      <c r="A14" s="16" t="str">
        <f>IF($B14="2005","Hors PRODEP",IF(LEFT($Q14,2)="20","BASTIA",VLOOKUP($B14,Légendes!$B:$C,2,0)))</f>
        <v>BASTIA</v>
      </c>
      <c r="B14" s="16" t="str">
        <f>IF(ISERROR(VLOOKUP($L14,Légendes!$A:$B,2,0)),"2005",VLOOKUP($L14,Légendes!$A:$B,2,0))</f>
        <v>R13-073</v>
      </c>
      <c r="C14" s="16" t="str">
        <f>IF($AC14="","état final TP ?",IF($AC14&lt;&gt;"Echec",$AC14,IF(ISERROR(VLOOKUP($AM14,Légendes!$E:$F,2,0)),"A statuer",CONCATENATE("échec resp ",VLOOKUP($AM14,Légendes!$E:$F,2,0)))))</f>
        <v>échec resp MOE</v>
      </c>
      <c r="D14" s="20"/>
      <c r="E14" s="16">
        <f t="shared" si="20"/>
        <v>41795.479953703703</v>
      </c>
      <c r="F14" s="21" t="str">
        <f t="shared" si="21"/>
        <v>S23</v>
      </c>
      <c r="G14" s="15">
        <f t="shared" si="22"/>
        <v>41795</v>
      </c>
      <c r="H14" s="15" t="str">
        <f t="shared" si="23"/>
        <v>4432218</v>
      </c>
      <c r="I14" s="27" t="s">
        <v>118</v>
      </c>
      <c r="J14" s="27"/>
      <c r="K14" s="27" t="s">
        <v>374</v>
      </c>
      <c r="L14" s="27" t="s">
        <v>350</v>
      </c>
      <c r="M14" s="27" t="s">
        <v>377</v>
      </c>
      <c r="N14" s="27" t="s">
        <v>34</v>
      </c>
      <c r="O14" s="27" t="s">
        <v>159</v>
      </c>
      <c r="P14" s="27" t="s">
        <v>126</v>
      </c>
      <c r="Q14" s="27" t="s">
        <v>378</v>
      </c>
      <c r="R14" s="27" t="s">
        <v>142</v>
      </c>
      <c r="S14" s="28">
        <v>41787.723356481503</v>
      </c>
      <c r="T14" s="28">
        <v>41795.333333333299</v>
      </c>
      <c r="U14" s="28">
        <v>41795.583333333299</v>
      </c>
      <c r="V14" s="27">
        <v>1</v>
      </c>
      <c r="W14" s="28">
        <v>41795.479953703703</v>
      </c>
      <c r="X14" s="28">
        <v>41795.5144097222</v>
      </c>
      <c r="Y14" s="27">
        <v>0.82694444444444404</v>
      </c>
      <c r="Z14" s="27" t="s">
        <v>119</v>
      </c>
      <c r="AA14" s="27" t="s">
        <v>0</v>
      </c>
      <c r="AB14" s="27" t="s">
        <v>5</v>
      </c>
      <c r="AC14" s="27" t="s">
        <v>1</v>
      </c>
      <c r="AD14" s="27" t="s">
        <v>379</v>
      </c>
      <c r="AE14" s="27" t="s">
        <v>117</v>
      </c>
      <c r="AF14" s="27" t="s">
        <v>3</v>
      </c>
      <c r="AG14" s="27" t="s">
        <v>14</v>
      </c>
      <c r="AH14" s="27" t="s">
        <v>119</v>
      </c>
      <c r="AI14" s="27" t="s">
        <v>102</v>
      </c>
      <c r="AJ14" s="27" t="s">
        <v>308</v>
      </c>
      <c r="AK14" s="27" t="s">
        <v>13</v>
      </c>
      <c r="AL14" s="27" t="s">
        <v>394</v>
      </c>
      <c r="AM14" s="27" t="s">
        <v>97</v>
      </c>
    </row>
    <row r="15" spans="1:39" hidden="1" x14ac:dyDescent="0.25">
      <c r="A15" s="16" t="str">
        <f>IF($B15="2005","Hors PRODEP",IF(LEFT($Q15,2)="20","BASTIA",VLOOKUP($B15,Légendes!$B:$C,2,0)))</f>
        <v>OUEST</v>
      </c>
      <c r="B15" s="16" t="str">
        <f>IF(ISERROR(VLOOKUP($L15,Légendes!$A:$B,2,0)),"2005",VLOOKUP($L15,Légendes!$A:$B,2,0))</f>
        <v>R13-072</v>
      </c>
      <c r="C15" s="16" t="str">
        <f>IF($AC15="","état final TP ?",IF($AC15&lt;&gt;"Echec",$AC15,IF(ISERROR(VLOOKUP($AM15,Légendes!$E:$F,2,0)),"A statuer",CONCATENATE("échec resp ",VLOOKUP($AM15,Légendes!$E:$F,2,0)))))</f>
        <v>échec resp MOE</v>
      </c>
      <c r="D15" s="20"/>
      <c r="E15" s="16">
        <f t="shared" si="20"/>
        <v>41795.541689814803</v>
      </c>
      <c r="F15" s="21" t="str">
        <f t="shared" si="21"/>
        <v>S23</v>
      </c>
      <c r="G15" s="15">
        <f t="shared" si="22"/>
        <v>41795</v>
      </c>
      <c r="H15" s="15" t="str">
        <f t="shared" si="23"/>
        <v>4427106</v>
      </c>
      <c r="I15" s="27" t="s">
        <v>118</v>
      </c>
      <c r="J15" s="27"/>
      <c r="K15" s="27" t="s">
        <v>382</v>
      </c>
      <c r="L15" s="27" t="s">
        <v>348</v>
      </c>
      <c r="M15" s="27" t="s">
        <v>383</v>
      </c>
      <c r="N15" s="27" t="s">
        <v>24</v>
      </c>
      <c r="O15" s="27" t="s">
        <v>165</v>
      </c>
      <c r="P15" s="27" t="s">
        <v>113</v>
      </c>
      <c r="Q15" s="27" t="s">
        <v>384</v>
      </c>
      <c r="R15" s="27" t="s">
        <v>385</v>
      </c>
      <c r="S15" s="28">
        <v>41786.658356481501</v>
      </c>
      <c r="T15" s="28">
        <v>41795.583333333299</v>
      </c>
      <c r="U15" s="28">
        <v>41795.75</v>
      </c>
      <c r="V15" s="27">
        <v>2</v>
      </c>
      <c r="W15" s="28">
        <v>41795.541689814803</v>
      </c>
      <c r="X15" s="28">
        <v>41795.731111111098</v>
      </c>
      <c r="Y15" s="27">
        <v>4.5461111111111103</v>
      </c>
      <c r="Z15" s="27" t="s">
        <v>119</v>
      </c>
      <c r="AA15" s="27" t="s">
        <v>0</v>
      </c>
      <c r="AB15" s="27" t="s">
        <v>5</v>
      </c>
      <c r="AC15" s="27" t="s">
        <v>1</v>
      </c>
      <c r="AD15" s="27" t="s">
        <v>386</v>
      </c>
      <c r="AE15" s="27" t="s">
        <v>107</v>
      </c>
      <c r="AF15" s="27" t="s">
        <v>3</v>
      </c>
      <c r="AG15" s="27" t="s">
        <v>21</v>
      </c>
      <c r="AH15" s="27" t="s">
        <v>119</v>
      </c>
      <c r="AI15" s="27" t="s">
        <v>102</v>
      </c>
      <c r="AJ15" s="27" t="s">
        <v>311</v>
      </c>
      <c r="AK15" s="27" t="s">
        <v>13</v>
      </c>
      <c r="AL15" s="27" t="s">
        <v>396</v>
      </c>
      <c r="AM15" s="27" t="s">
        <v>156</v>
      </c>
    </row>
    <row r="16" spans="1:39" hidden="1" x14ac:dyDescent="0.25">
      <c r="A16" s="16" t="str">
        <f>IF($B16="2005","Hors PRODEP",IF(LEFT($Q16,2)="20","BASTIA",VLOOKUP($B16,Légendes!$B:$C,2,0)))</f>
        <v>INFRACOM</v>
      </c>
      <c r="B16" s="16" t="str">
        <f>IF(ISERROR(VLOOKUP($L16,Légendes!$A:$B,2,0)),"2005",VLOOKUP($L16,Légendes!$A:$B,2,0))</f>
        <v>R13-010</v>
      </c>
      <c r="C16" s="16" t="str">
        <f>IF($AC16="","état final TP ?",IF($AC16&lt;&gt;"Echec",$AC16,IF(ISERROR(VLOOKUP($AM16,Légendes!$E:$F,2,0)),"A statuer",CONCATENATE("échec resp ",VLOOKUP($AM16,Légendes!$E:$F,2,0)))))</f>
        <v>échec resp MOE</v>
      </c>
      <c r="D16" s="20"/>
      <c r="E16" s="16">
        <f t="shared" si="20"/>
        <v>41792.503900463002</v>
      </c>
      <c r="F16" s="21" t="str">
        <f t="shared" si="21"/>
        <v>S23</v>
      </c>
      <c r="G16" s="15">
        <f t="shared" si="22"/>
        <v>41792</v>
      </c>
      <c r="H16" s="15" t="str">
        <f t="shared" si="23"/>
        <v>4427209</v>
      </c>
      <c r="I16" s="27" t="s">
        <v>118</v>
      </c>
      <c r="J16" s="27"/>
      <c r="K16" s="27" t="s">
        <v>375</v>
      </c>
      <c r="L16" s="27" t="s">
        <v>9</v>
      </c>
      <c r="M16" s="27" t="s">
        <v>154</v>
      </c>
      <c r="N16" s="27" t="s">
        <v>179</v>
      </c>
      <c r="O16" s="27" t="s">
        <v>134</v>
      </c>
      <c r="P16" s="27" t="s">
        <v>174</v>
      </c>
      <c r="Q16" s="27" t="s">
        <v>317</v>
      </c>
      <c r="R16" s="27" t="s">
        <v>299</v>
      </c>
      <c r="S16" s="28">
        <v>41786.661157407398</v>
      </c>
      <c r="T16" s="28">
        <v>41792.375</v>
      </c>
      <c r="U16" s="28">
        <v>41792.666666666701</v>
      </c>
      <c r="V16" s="27">
        <v>4</v>
      </c>
      <c r="W16" s="28">
        <v>41792.503900463002</v>
      </c>
      <c r="X16" s="28">
        <v>41792.704097222202</v>
      </c>
      <c r="Y16" s="27">
        <v>4.8047222222222201</v>
      </c>
      <c r="Z16" s="27" t="s">
        <v>119</v>
      </c>
      <c r="AA16" s="27" t="s">
        <v>0</v>
      </c>
      <c r="AB16" s="27" t="s">
        <v>5</v>
      </c>
      <c r="AC16" s="27" t="s">
        <v>1</v>
      </c>
      <c r="AD16" s="27" t="s">
        <v>376</v>
      </c>
      <c r="AE16" s="27" t="s">
        <v>135</v>
      </c>
      <c r="AF16" s="27" t="s">
        <v>3</v>
      </c>
      <c r="AG16" s="27" t="s">
        <v>2</v>
      </c>
      <c r="AH16" s="27" t="s">
        <v>119</v>
      </c>
      <c r="AI16" s="27" t="s">
        <v>102</v>
      </c>
      <c r="AJ16" s="27" t="s">
        <v>309</v>
      </c>
      <c r="AK16" s="27" t="s">
        <v>13</v>
      </c>
      <c r="AL16" s="27" t="s">
        <v>393</v>
      </c>
      <c r="AM16" s="27" t="s">
        <v>166</v>
      </c>
    </row>
    <row r="17" spans="1:39" x14ac:dyDescent="0.25">
      <c r="A17" s="16" t="str">
        <f>IF($B17="2005","Hors PRODEP",IF(LEFT($Q17,2)="20","BASTIA",VLOOKUP($B17,Légendes!$B:$C,2,0)))</f>
        <v>Hors PRODEP</v>
      </c>
      <c r="B17" s="16" t="str">
        <f>IF(ISERROR(VLOOKUP($L17,Légendes!$A:$B,2,0)),"2005",VLOOKUP($L17,Légendes!$A:$B,2,0))</f>
        <v>2005</v>
      </c>
      <c r="C17" s="16" t="str">
        <f>IF($AC17="","état final TP ?",IF($AC17&lt;&gt;"Echec",$AC17,IF(ISERROR(VLOOKUP($AM17,Légendes!$E:$F,2,0)),"A statuer",CONCATENATE("échec resp ",VLOOKUP($AM17,Légendes!$E:$F,2,0)))))</f>
        <v>échec resp SFR</v>
      </c>
      <c r="D17" s="20"/>
      <c r="E17" s="16">
        <f t="shared" ref="E17:E23" si="24">IF($W17="","",$W17)</f>
        <v>41794.731851851902</v>
      </c>
      <c r="F17" s="21" t="str">
        <f t="shared" ref="F17:F23" si="25">IF($G17="","",CONCATENATE("S",WEEKNUM($G17)))</f>
        <v>S23</v>
      </c>
      <c r="G17" s="15">
        <f t="shared" ref="G17:G23" si="26">IF($W17="","",INT($W17))</f>
        <v>41794</v>
      </c>
      <c r="H17" s="15" t="str">
        <f t="shared" ref="H17:H23" si="27">RIGHT($AD17,7)</f>
        <v>4420265</v>
      </c>
      <c r="I17" s="27" t="s">
        <v>312</v>
      </c>
      <c r="J17" s="27"/>
      <c r="K17" s="27" t="s">
        <v>354</v>
      </c>
      <c r="L17" s="27" t="s">
        <v>253</v>
      </c>
      <c r="M17" s="27" t="s">
        <v>355</v>
      </c>
      <c r="N17" s="27" t="s">
        <v>183</v>
      </c>
      <c r="O17" s="27" t="s">
        <v>258</v>
      </c>
      <c r="P17" s="27" t="s">
        <v>257</v>
      </c>
      <c r="Q17" s="27" t="s">
        <v>356</v>
      </c>
      <c r="R17" s="27" t="s">
        <v>324</v>
      </c>
      <c r="S17" s="28">
        <v>41785.428402777798</v>
      </c>
      <c r="T17" s="28">
        <v>41794.458333333299</v>
      </c>
      <c r="U17" s="28">
        <v>41794.5</v>
      </c>
      <c r="V17" s="27">
        <v>0.5</v>
      </c>
      <c r="W17" s="28">
        <v>41794.731851851902</v>
      </c>
      <c r="X17" s="28">
        <v>41794.731909722199</v>
      </c>
      <c r="Y17" s="27">
        <v>1.38888888888889E-3</v>
      </c>
      <c r="Z17" s="27" t="s">
        <v>177</v>
      </c>
      <c r="AA17" s="27" t="s">
        <v>0</v>
      </c>
      <c r="AB17" s="27" t="s">
        <v>5</v>
      </c>
      <c r="AC17" s="27" t="s">
        <v>1</v>
      </c>
      <c r="AD17" s="27" t="s">
        <v>357</v>
      </c>
      <c r="AE17" s="27" t="s">
        <v>117</v>
      </c>
      <c r="AF17" s="27" t="s">
        <v>3</v>
      </c>
      <c r="AG17" s="27" t="s">
        <v>14</v>
      </c>
      <c r="AH17" s="27" t="s">
        <v>177</v>
      </c>
      <c r="AI17" s="27" t="s">
        <v>176</v>
      </c>
      <c r="AJ17" s="27" t="s">
        <v>315</v>
      </c>
      <c r="AK17" s="27" t="s">
        <v>13</v>
      </c>
      <c r="AL17" s="27" t="s">
        <v>391</v>
      </c>
      <c r="AM17" s="27" t="s">
        <v>136</v>
      </c>
    </row>
    <row r="18" spans="1:39" x14ac:dyDescent="0.25">
      <c r="A18" s="16" t="str">
        <f>IF($B18="2005","Hors PRODEP",IF(LEFT($Q18,2)="20","BASTIA",VLOOKUP($B18,Légendes!$B:$C,2,0)))</f>
        <v>Hors PRODEP</v>
      </c>
      <c r="B18" s="16" t="str">
        <f>IF(ISERROR(VLOOKUP($L18,Légendes!$A:$B,2,0)),"2005",VLOOKUP($L18,Légendes!$A:$B,2,0))</f>
        <v>2005</v>
      </c>
      <c r="C18" s="16" t="str">
        <f>IF($AC18="","état final TP ?",IF($AC18&lt;&gt;"Echec",$AC18,IF(ISERROR(VLOOKUP($AM18,Légendes!$E:$F,2,0)),"A statuer",CONCATENATE("échec resp ",VLOOKUP($AM18,Légendes!$E:$F,2,0)))))</f>
        <v>échec resp SFR</v>
      </c>
      <c r="D18" s="20"/>
      <c r="E18" s="16">
        <f t="shared" si="24"/>
        <v>41794.733414351896</v>
      </c>
      <c r="F18" s="21" t="str">
        <f t="shared" si="25"/>
        <v>S23</v>
      </c>
      <c r="G18" s="15">
        <f t="shared" si="26"/>
        <v>41794</v>
      </c>
      <c r="H18" s="15" t="str">
        <f t="shared" si="27"/>
        <v>4420256</v>
      </c>
      <c r="I18" s="27" t="s">
        <v>312</v>
      </c>
      <c r="J18" s="27"/>
      <c r="K18" s="27" t="s">
        <v>354</v>
      </c>
      <c r="L18" s="27" t="s">
        <v>253</v>
      </c>
      <c r="M18" s="27" t="s">
        <v>358</v>
      </c>
      <c r="N18" s="27" t="s">
        <v>182</v>
      </c>
      <c r="O18" s="27" t="s">
        <v>258</v>
      </c>
      <c r="P18" s="27" t="s">
        <v>257</v>
      </c>
      <c r="Q18" s="27" t="s">
        <v>359</v>
      </c>
      <c r="R18" s="27" t="s">
        <v>323</v>
      </c>
      <c r="S18" s="28">
        <v>41785.428275462997</v>
      </c>
      <c r="T18" s="28">
        <v>41794.458333333299</v>
      </c>
      <c r="U18" s="28">
        <v>41794.5</v>
      </c>
      <c r="V18" s="27">
        <v>0.5</v>
      </c>
      <c r="W18" s="28">
        <v>41794.733414351896</v>
      </c>
      <c r="X18" s="28">
        <v>41794.733460648102</v>
      </c>
      <c r="Y18" s="27">
        <v>1.11111111111111E-3</v>
      </c>
      <c r="Z18" s="27" t="s">
        <v>177</v>
      </c>
      <c r="AA18" s="27" t="s">
        <v>0</v>
      </c>
      <c r="AB18" s="27" t="s">
        <v>5</v>
      </c>
      <c r="AC18" s="27" t="s">
        <v>1</v>
      </c>
      <c r="AD18" s="27" t="s">
        <v>360</v>
      </c>
      <c r="AE18" s="27" t="s">
        <v>116</v>
      </c>
      <c r="AF18" s="27" t="s">
        <v>3</v>
      </c>
      <c r="AG18" s="27" t="s">
        <v>14</v>
      </c>
      <c r="AH18" s="27" t="s">
        <v>177</v>
      </c>
      <c r="AI18" s="27" t="s">
        <v>176</v>
      </c>
      <c r="AJ18" s="27" t="s">
        <v>315</v>
      </c>
      <c r="AK18" s="27" t="s">
        <v>11</v>
      </c>
      <c r="AL18" s="27" t="s">
        <v>390</v>
      </c>
      <c r="AM18" s="27" t="s">
        <v>136</v>
      </c>
    </row>
    <row r="19" spans="1:39" x14ac:dyDescent="0.25">
      <c r="A19" s="16" t="str">
        <f>IF($B19="2005","Hors PRODEP",IF(LEFT($Q19,2)="20","BASTIA",VLOOKUP($B19,Légendes!$B:$C,2,0)))</f>
        <v>Hors PRODEP</v>
      </c>
      <c r="B19" s="16" t="str">
        <f>IF(ISERROR(VLOOKUP($L19,Légendes!$A:$B,2,0)),"2005",VLOOKUP($L19,Légendes!$A:$B,2,0))</f>
        <v>2005</v>
      </c>
      <c r="C19" s="16" t="str">
        <f>IF($AC19="","état final TP ?",IF($AC19&lt;&gt;"Echec",$AC19,IF(ISERROR(VLOOKUP($AM19,Légendes!$E:$F,2,0)),"A statuer",CONCATENATE("échec resp ",VLOOKUP($AM19,Légendes!$E:$F,2,0)))))</f>
        <v>échec resp SFR</v>
      </c>
      <c r="D19" s="20"/>
      <c r="E19" s="16">
        <f t="shared" si="24"/>
        <v>41794.733888888899</v>
      </c>
      <c r="F19" s="21" t="str">
        <f t="shared" si="25"/>
        <v>S23</v>
      </c>
      <c r="G19" s="15">
        <f t="shared" si="26"/>
        <v>41794</v>
      </c>
      <c r="H19" s="15" t="str">
        <f t="shared" si="27"/>
        <v>4420257</v>
      </c>
      <c r="I19" s="27" t="s">
        <v>312</v>
      </c>
      <c r="J19" s="27"/>
      <c r="K19" s="27" t="s">
        <v>354</v>
      </c>
      <c r="L19" s="27" t="s">
        <v>253</v>
      </c>
      <c r="M19" s="27" t="s">
        <v>361</v>
      </c>
      <c r="N19" s="27" t="s">
        <v>182</v>
      </c>
      <c r="O19" s="27" t="s">
        <v>258</v>
      </c>
      <c r="P19" s="27" t="s">
        <v>257</v>
      </c>
      <c r="Q19" s="27" t="s">
        <v>362</v>
      </c>
      <c r="R19" s="27" t="s">
        <v>323</v>
      </c>
      <c r="S19" s="28">
        <v>41785.428287037001</v>
      </c>
      <c r="T19" s="28">
        <v>41794.458333333299</v>
      </c>
      <c r="U19" s="28">
        <v>41794.5</v>
      </c>
      <c r="V19" s="27">
        <v>0.5</v>
      </c>
      <c r="W19" s="28">
        <v>41794.733888888899</v>
      </c>
      <c r="X19" s="28">
        <v>41794.733935185199</v>
      </c>
      <c r="Y19" s="27">
        <v>1.11111111111111E-3</v>
      </c>
      <c r="Z19" s="27" t="s">
        <v>177</v>
      </c>
      <c r="AA19" s="27" t="s">
        <v>0</v>
      </c>
      <c r="AB19" s="27" t="s">
        <v>5</v>
      </c>
      <c r="AC19" s="27" t="s">
        <v>1</v>
      </c>
      <c r="AD19" s="27" t="s">
        <v>363</v>
      </c>
      <c r="AE19" s="27" t="s">
        <v>116</v>
      </c>
      <c r="AF19" s="27" t="s">
        <v>3</v>
      </c>
      <c r="AG19" s="27" t="s">
        <v>14</v>
      </c>
      <c r="AH19" s="27" t="s">
        <v>177</v>
      </c>
      <c r="AI19" s="27" t="s">
        <v>176</v>
      </c>
      <c r="AJ19" s="27" t="s">
        <v>315</v>
      </c>
      <c r="AK19" s="27" t="s">
        <v>11</v>
      </c>
      <c r="AL19" s="27" t="s">
        <v>392</v>
      </c>
      <c r="AM19" s="27" t="s">
        <v>136</v>
      </c>
    </row>
    <row r="20" spans="1:39" x14ac:dyDescent="0.25">
      <c r="A20" s="16" t="str">
        <f>IF($B20="2005","Hors PRODEP",IF(LEFT($Q20,2)="20","BASTIA",VLOOKUP($B20,Légendes!$B:$C,2,0)))</f>
        <v>Hors PRODEP</v>
      </c>
      <c r="B20" s="16" t="str">
        <f>IF(ISERROR(VLOOKUP($L20,Légendes!$A:$B,2,0)),"2005",VLOOKUP($L20,Légendes!$A:$B,2,0))</f>
        <v>2005</v>
      </c>
      <c r="C20" s="16" t="str">
        <f>IF($AC20="","état final TP ?",IF($AC20&lt;&gt;"Echec",$AC20,IF(ISERROR(VLOOKUP($AM20,Légendes!$E:$F,2,0)),"A statuer",CONCATENATE("échec resp ",VLOOKUP($AM20,Légendes!$E:$F,2,0)))))</f>
        <v>échec resp SFR</v>
      </c>
      <c r="D20" s="20"/>
      <c r="E20" s="16">
        <f t="shared" si="24"/>
        <v>41794.676238425898</v>
      </c>
      <c r="F20" s="21" t="str">
        <f t="shared" si="25"/>
        <v>S23</v>
      </c>
      <c r="G20" s="15">
        <f t="shared" si="26"/>
        <v>41794</v>
      </c>
      <c r="H20" s="15" t="str">
        <f t="shared" si="27"/>
        <v>4420258</v>
      </c>
      <c r="I20" s="27" t="s">
        <v>312</v>
      </c>
      <c r="J20" s="27"/>
      <c r="K20" s="27" t="s">
        <v>354</v>
      </c>
      <c r="L20" s="27" t="s">
        <v>253</v>
      </c>
      <c r="M20" s="27" t="s">
        <v>364</v>
      </c>
      <c r="N20" s="27" t="s">
        <v>182</v>
      </c>
      <c r="O20" s="27" t="s">
        <v>258</v>
      </c>
      <c r="P20" s="27" t="s">
        <v>257</v>
      </c>
      <c r="Q20" s="27" t="s">
        <v>365</v>
      </c>
      <c r="R20" s="27" t="s">
        <v>323</v>
      </c>
      <c r="S20" s="28">
        <v>41785.428298611099</v>
      </c>
      <c r="T20" s="28">
        <v>41794.458333333299</v>
      </c>
      <c r="U20" s="28">
        <v>41794.5</v>
      </c>
      <c r="V20" s="27">
        <v>0.5</v>
      </c>
      <c r="W20" s="28">
        <v>41794.676238425898</v>
      </c>
      <c r="X20" s="28">
        <v>41794.719131944497</v>
      </c>
      <c r="Y20" s="27">
        <v>1.0294444444444399</v>
      </c>
      <c r="Z20" s="27" t="s">
        <v>177</v>
      </c>
      <c r="AA20" s="27" t="s">
        <v>0</v>
      </c>
      <c r="AB20" s="27" t="s">
        <v>5</v>
      </c>
      <c r="AC20" s="27" t="s">
        <v>1</v>
      </c>
      <c r="AD20" s="27" t="s">
        <v>366</v>
      </c>
      <c r="AE20" s="27" t="s">
        <v>116</v>
      </c>
      <c r="AF20" s="27" t="s">
        <v>3</v>
      </c>
      <c r="AG20" s="27" t="s">
        <v>14</v>
      </c>
      <c r="AH20" s="27" t="s">
        <v>177</v>
      </c>
      <c r="AI20" s="27" t="s">
        <v>176</v>
      </c>
      <c r="AJ20" s="27" t="s">
        <v>315</v>
      </c>
      <c r="AK20" s="27" t="s">
        <v>11</v>
      </c>
      <c r="AL20" s="27" t="s">
        <v>390</v>
      </c>
      <c r="AM20" s="27" t="s">
        <v>136</v>
      </c>
    </row>
    <row r="21" spans="1:39" x14ac:dyDescent="0.25">
      <c r="A21" s="16" t="str">
        <f>IF($B21="2005","Hors PRODEP",IF(LEFT($Q21,2)="20","BASTIA",VLOOKUP($B21,Légendes!$B:$C,2,0)))</f>
        <v>Hors PRODEP</v>
      </c>
      <c r="B21" s="16" t="str">
        <f>IF(ISERROR(VLOOKUP($L21,Légendes!$A:$B,2,0)),"2005",VLOOKUP($L21,Légendes!$A:$B,2,0))</f>
        <v>2005</v>
      </c>
      <c r="C21" s="16" t="str">
        <f>IF($AC21="","état final TP ?",IF($AC21&lt;&gt;"Echec",$AC21,IF(ISERROR(VLOOKUP($AM21,Légendes!$E:$F,2,0)),"A statuer",CONCATENATE("échec resp ",VLOOKUP($AM21,Légendes!$E:$F,2,0)))))</f>
        <v>échec resp SFR</v>
      </c>
      <c r="D21" s="20"/>
      <c r="E21" s="16">
        <f t="shared" si="24"/>
        <v>41794.732557870397</v>
      </c>
      <c r="F21" s="21" t="str">
        <f t="shared" si="25"/>
        <v>S23</v>
      </c>
      <c r="G21" s="15">
        <f t="shared" si="26"/>
        <v>41794</v>
      </c>
      <c r="H21" s="15" t="str">
        <f t="shared" si="27"/>
        <v>4420264</v>
      </c>
      <c r="I21" s="27" t="s">
        <v>312</v>
      </c>
      <c r="J21" s="27"/>
      <c r="K21" s="27" t="s">
        <v>354</v>
      </c>
      <c r="L21" s="27" t="s">
        <v>253</v>
      </c>
      <c r="M21" s="27" t="s">
        <v>364</v>
      </c>
      <c r="N21" s="27" t="s">
        <v>183</v>
      </c>
      <c r="O21" s="27" t="s">
        <v>258</v>
      </c>
      <c r="P21" s="27" t="s">
        <v>257</v>
      </c>
      <c r="Q21" s="27" t="s">
        <v>365</v>
      </c>
      <c r="R21" s="27" t="s">
        <v>324</v>
      </c>
      <c r="S21" s="28">
        <v>41785.428391203699</v>
      </c>
      <c r="T21" s="28">
        <v>41794.458333333299</v>
      </c>
      <c r="U21" s="28">
        <v>41794.5</v>
      </c>
      <c r="V21" s="27">
        <v>0.5</v>
      </c>
      <c r="W21" s="28">
        <v>41794.732557870397</v>
      </c>
      <c r="X21" s="28">
        <v>41794.732615740701</v>
      </c>
      <c r="Y21" s="27">
        <v>1.38888888888889E-3</v>
      </c>
      <c r="Z21" s="27" t="s">
        <v>177</v>
      </c>
      <c r="AA21" s="27" t="s">
        <v>0</v>
      </c>
      <c r="AB21" s="27" t="s">
        <v>5</v>
      </c>
      <c r="AC21" s="27" t="s">
        <v>1</v>
      </c>
      <c r="AD21" s="27" t="s">
        <v>367</v>
      </c>
      <c r="AE21" s="27" t="s">
        <v>117</v>
      </c>
      <c r="AF21" s="27" t="s">
        <v>3</v>
      </c>
      <c r="AG21" s="27" t="s">
        <v>14</v>
      </c>
      <c r="AH21" s="27" t="s">
        <v>177</v>
      </c>
      <c r="AI21" s="27" t="s">
        <v>176</v>
      </c>
      <c r="AJ21" s="27" t="s">
        <v>315</v>
      </c>
      <c r="AK21" s="27" t="s">
        <v>13</v>
      </c>
      <c r="AL21" s="27" t="s">
        <v>390</v>
      </c>
      <c r="AM21" s="27" t="s">
        <v>136</v>
      </c>
    </row>
    <row r="22" spans="1:39" x14ac:dyDescent="0.25">
      <c r="A22" s="16" t="str">
        <f>IF($B22="2005","Hors PRODEP",IF(LEFT($Q22,2)="20","BASTIA",VLOOKUP($B22,Légendes!$B:$C,2,0)))</f>
        <v>Hors PRODEP</v>
      </c>
      <c r="B22" s="16" t="str">
        <f>IF(ISERROR(VLOOKUP($L22,Légendes!$A:$B,2,0)),"2005",VLOOKUP($L22,Légendes!$A:$B,2,0))</f>
        <v>2005</v>
      </c>
      <c r="C22" s="16" t="str">
        <f>IF($AC22="","état final TP ?",IF($AC22&lt;&gt;"Echec",$AC22,IF(ISERROR(VLOOKUP($AM22,Légendes!$E:$F,2,0)),"A statuer",CONCATENATE("échec resp ",VLOOKUP($AM22,Légendes!$E:$F,2,0)))))</f>
        <v>échec resp SFR</v>
      </c>
      <c r="D22" s="20"/>
      <c r="E22" s="16">
        <f t="shared" si="24"/>
        <v>41792.375</v>
      </c>
      <c r="F22" s="21" t="str">
        <f t="shared" si="25"/>
        <v>S23</v>
      </c>
      <c r="G22" s="15">
        <f t="shared" si="26"/>
        <v>41792</v>
      </c>
      <c r="H22" s="15" t="str">
        <f t="shared" si="27"/>
        <v>4424174</v>
      </c>
      <c r="I22" s="27" t="s">
        <v>312</v>
      </c>
      <c r="J22" s="27"/>
      <c r="K22" s="27" t="s">
        <v>351</v>
      </c>
      <c r="L22" s="27" t="s">
        <v>254</v>
      </c>
      <c r="M22" s="27" t="s">
        <v>319</v>
      </c>
      <c r="N22" s="27" t="s">
        <v>41</v>
      </c>
      <c r="O22" s="27" t="s">
        <v>104</v>
      </c>
      <c r="P22" s="27" t="s">
        <v>114</v>
      </c>
      <c r="Q22" s="27" t="s">
        <v>320</v>
      </c>
      <c r="R22" s="27" t="s">
        <v>155</v>
      </c>
      <c r="S22" s="28">
        <v>41786.428148148101</v>
      </c>
      <c r="T22" s="28">
        <v>41792.375</v>
      </c>
      <c r="U22" s="28">
        <v>41792.708333333299</v>
      </c>
      <c r="V22" s="27">
        <v>0.5</v>
      </c>
      <c r="W22" s="28">
        <v>41792.375</v>
      </c>
      <c r="X22" s="28">
        <v>41792.708333333299</v>
      </c>
      <c r="Y22" s="27">
        <v>8</v>
      </c>
      <c r="Z22" s="27" t="s">
        <v>177</v>
      </c>
      <c r="AA22" s="27" t="s">
        <v>0</v>
      </c>
      <c r="AB22" s="27" t="s">
        <v>5</v>
      </c>
      <c r="AC22" s="27" t="s">
        <v>1</v>
      </c>
      <c r="AD22" s="27" t="s">
        <v>352</v>
      </c>
      <c r="AE22" s="27" t="s">
        <v>107</v>
      </c>
      <c r="AF22" s="27" t="s">
        <v>3</v>
      </c>
      <c r="AG22" s="27" t="s">
        <v>21</v>
      </c>
      <c r="AH22" s="27" t="s">
        <v>177</v>
      </c>
      <c r="AI22" s="27" t="s">
        <v>176</v>
      </c>
      <c r="AJ22" s="27" t="s">
        <v>314</v>
      </c>
      <c r="AK22" s="27" t="s">
        <v>13</v>
      </c>
      <c r="AL22" s="27" t="s">
        <v>388</v>
      </c>
      <c r="AM22" s="27" t="s">
        <v>136</v>
      </c>
    </row>
    <row r="23" spans="1:39" x14ac:dyDescent="0.25">
      <c r="A23" s="16" t="str">
        <f>IF($B23="2005","Hors PRODEP",IF(LEFT($Q23,2)="20","BASTIA",VLOOKUP($B23,Légendes!$B:$C,2,0)))</f>
        <v>Hors PRODEP</v>
      </c>
      <c r="B23" s="16" t="str">
        <f>IF(ISERROR(VLOOKUP($L23,Légendes!$A:$B,2,0)),"2005",VLOOKUP($L23,Légendes!$A:$B,2,0))</f>
        <v>2005</v>
      </c>
      <c r="C23" s="16" t="str">
        <f>IF($AC23="","état final TP ?",IF($AC23&lt;&gt;"Echec",$AC23,IF(ISERROR(VLOOKUP($AM23,Légendes!$E:$F,2,0)),"A statuer",CONCATENATE("échec resp ",VLOOKUP($AM23,Légendes!$E:$F,2,0)))))</f>
        <v>échec resp SFR</v>
      </c>
      <c r="D23" s="20"/>
      <c r="E23" s="16">
        <f t="shared" si="24"/>
        <v>41792.375</v>
      </c>
      <c r="F23" s="21" t="str">
        <f t="shared" si="25"/>
        <v>S23</v>
      </c>
      <c r="G23" s="15">
        <f t="shared" si="26"/>
        <v>41792</v>
      </c>
      <c r="H23" s="15" t="str">
        <f t="shared" si="27"/>
        <v>4424175</v>
      </c>
      <c r="I23" s="27" t="s">
        <v>312</v>
      </c>
      <c r="J23" s="27"/>
      <c r="K23" s="27" t="s">
        <v>351</v>
      </c>
      <c r="L23" s="27" t="s">
        <v>254</v>
      </c>
      <c r="M23" s="27" t="s">
        <v>321</v>
      </c>
      <c r="N23" s="27" t="s">
        <v>41</v>
      </c>
      <c r="O23" s="27" t="s">
        <v>104</v>
      </c>
      <c r="P23" s="27" t="s">
        <v>114</v>
      </c>
      <c r="Q23" s="27" t="s">
        <v>322</v>
      </c>
      <c r="R23" s="27" t="s">
        <v>155</v>
      </c>
      <c r="S23" s="28">
        <v>41786.428171296298</v>
      </c>
      <c r="T23" s="28">
        <v>41792.375</v>
      </c>
      <c r="U23" s="28">
        <v>41792.708333333299</v>
      </c>
      <c r="V23" s="27">
        <v>0.5</v>
      </c>
      <c r="W23" s="28">
        <v>41792.375</v>
      </c>
      <c r="X23" s="28">
        <v>41792.708333333299</v>
      </c>
      <c r="Y23" s="27">
        <v>8</v>
      </c>
      <c r="Z23" s="27" t="s">
        <v>177</v>
      </c>
      <c r="AA23" s="27" t="s">
        <v>0</v>
      </c>
      <c r="AB23" s="27" t="s">
        <v>5</v>
      </c>
      <c r="AC23" s="27" t="s">
        <v>1</v>
      </c>
      <c r="AD23" s="27" t="s">
        <v>353</v>
      </c>
      <c r="AE23" s="27" t="s">
        <v>107</v>
      </c>
      <c r="AF23" s="27" t="s">
        <v>3</v>
      </c>
      <c r="AG23" s="27" t="s">
        <v>21</v>
      </c>
      <c r="AH23" s="27" t="s">
        <v>177</v>
      </c>
      <c r="AI23" s="27" t="s">
        <v>176</v>
      </c>
      <c r="AJ23" s="27" t="s">
        <v>314</v>
      </c>
      <c r="AK23" s="27" t="s">
        <v>13</v>
      </c>
      <c r="AL23" s="27" t="s">
        <v>389</v>
      </c>
      <c r="AM23" s="27" t="s">
        <v>136</v>
      </c>
    </row>
    <row r="24" spans="1:39" hidden="1" x14ac:dyDescent="0.25">
      <c r="A24" s="16" t="str">
        <f>IF($B24="2005","Hors PRODEP",IF(LEFT($Q24,2)="20","BASTIA",VLOOKUP($B24,Légendes!$B:$C,2,0)))</f>
        <v>MOBILCOM</v>
      </c>
      <c r="B24" s="16" t="str">
        <f>IF(ISERROR(VLOOKUP($L24,Légendes!$A:$B,2,0)),"2005",VLOOKUP($L24,Légendes!$A:$B,2,0))</f>
        <v>R13-039</v>
      </c>
      <c r="C24" s="16" t="str">
        <f>IF($AC24="","état final TP ?",IF($AC24&lt;&gt;"Echec",$AC24,IF(ISERROR(VLOOKUP($AM24,Légendes!$E:$F,2,0)),"A statuer",CONCATENATE("échec resp ",VLOOKUP($AM24,Légendes!$E:$F,2,0)))))</f>
        <v>Abandonnée</v>
      </c>
      <c r="D24" s="20"/>
      <c r="E24" s="16" t="str">
        <f t="shared" ref="E24:E28" si="28">IF($W24="","",$W24)</f>
        <v/>
      </c>
      <c r="F24" s="21" t="str">
        <f t="shared" ref="F24:F28" si="29">IF($G24="","",CONCATENATE("S",WEEKNUM($G24)))</f>
        <v/>
      </c>
      <c r="G24" s="15" t="str">
        <f t="shared" ref="G24:G28" si="30">IF($W24="","",INT($W24))</f>
        <v/>
      </c>
      <c r="H24" s="15" t="str">
        <f t="shared" ref="H24:H28" si="31">RIGHT($AD24,7)</f>
        <v>4429133</v>
      </c>
      <c r="I24" s="27" t="s">
        <v>312</v>
      </c>
      <c r="J24" s="27"/>
      <c r="K24" s="27" t="s">
        <v>371</v>
      </c>
      <c r="L24" s="27" t="s">
        <v>293</v>
      </c>
      <c r="M24" s="27" t="s">
        <v>294</v>
      </c>
      <c r="N24" s="27" t="s">
        <v>43</v>
      </c>
      <c r="O24" s="27" t="s">
        <v>170</v>
      </c>
      <c r="P24" s="27" t="s">
        <v>122</v>
      </c>
      <c r="Q24" s="27" t="s">
        <v>295</v>
      </c>
      <c r="R24" s="27" t="s">
        <v>296</v>
      </c>
      <c r="S24" s="28">
        <v>41787.364050925898</v>
      </c>
      <c r="T24" s="28">
        <v>41793.583333333299</v>
      </c>
      <c r="U24" s="28">
        <v>41793.604166666701</v>
      </c>
      <c r="V24" s="27">
        <v>0.5</v>
      </c>
      <c r="W24" s="28"/>
      <c r="X24" s="28"/>
      <c r="Y24" s="27"/>
      <c r="Z24" s="27" t="s">
        <v>177</v>
      </c>
      <c r="AA24" s="27" t="s">
        <v>0</v>
      </c>
      <c r="AB24" s="27"/>
      <c r="AC24" s="27" t="s">
        <v>16</v>
      </c>
      <c r="AD24" s="27" t="s">
        <v>372</v>
      </c>
      <c r="AE24" s="27" t="s">
        <v>108</v>
      </c>
      <c r="AF24" s="27" t="s">
        <v>3</v>
      </c>
      <c r="AG24" s="27" t="s">
        <v>10</v>
      </c>
      <c r="AH24" s="27" t="s">
        <v>177</v>
      </c>
      <c r="AI24" s="27" t="s">
        <v>176</v>
      </c>
      <c r="AJ24" s="27" t="s">
        <v>315</v>
      </c>
      <c r="AK24" s="27" t="s">
        <v>11</v>
      </c>
      <c r="AL24" s="27"/>
      <c r="AM24" s="27" t="s">
        <v>101</v>
      </c>
    </row>
    <row r="25" spans="1:39" hidden="1" x14ac:dyDescent="0.25">
      <c r="A25" s="16" t="str">
        <f>IF($B25="2005","Hors PRODEP",IF(LEFT($Q25,2)="20","BASTIA",VLOOKUP($B25,Légendes!$B:$C,2,0)))</f>
        <v>MOBILCOM</v>
      </c>
      <c r="B25" s="16" t="str">
        <f>IF(ISERROR(VLOOKUP($L25,Légendes!$A:$B,2,0)),"2005",VLOOKUP($L25,Légendes!$A:$B,2,0))</f>
        <v>R13-039</v>
      </c>
      <c r="C25" s="16" t="str">
        <f>IF($AC25="","état final TP ?",IF($AC25&lt;&gt;"Echec",$AC25,IF(ISERROR(VLOOKUP($AM25,Légendes!$E:$F,2,0)),"A statuer",CONCATENATE("échec resp ",VLOOKUP($AM25,Légendes!$E:$F,2,0)))))</f>
        <v>Abandonnée</v>
      </c>
      <c r="D25" s="20"/>
      <c r="E25" s="16" t="str">
        <f t="shared" si="28"/>
        <v/>
      </c>
      <c r="F25" s="21" t="str">
        <f t="shared" si="29"/>
        <v/>
      </c>
      <c r="G25" s="15" t="str">
        <f t="shared" si="30"/>
        <v/>
      </c>
      <c r="H25" s="15" t="str">
        <f t="shared" si="31"/>
        <v>4429134</v>
      </c>
      <c r="I25" s="27" t="s">
        <v>312</v>
      </c>
      <c r="J25" s="27"/>
      <c r="K25" s="27" t="s">
        <v>371</v>
      </c>
      <c r="L25" s="27" t="s">
        <v>293</v>
      </c>
      <c r="M25" s="27" t="s">
        <v>294</v>
      </c>
      <c r="N25" s="27" t="s">
        <v>41</v>
      </c>
      <c r="O25" s="27" t="s">
        <v>170</v>
      </c>
      <c r="P25" s="27" t="s">
        <v>122</v>
      </c>
      <c r="Q25" s="27" t="s">
        <v>295</v>
      </c>
      <c r="R25" s="27" t="s">
        <v>296</v>
      </c>
      <c r="S25" s="28">
        <v>41787.364074074103</v>
      </c>
      <c r="T25" s="28">
        <v>41793.604166666701</v>
      </c>
      <c r="U25" s="28">
        <v>41793.625</v>
      </c>
      <c r="V25" s="27">
        <v>0.5</v>
      </c>
      <c r="W25" s="28"/>
      <c r="X25" s="28"/>
      <c r="Y25" s="27"/>
      <c r="Z25" s="27" t="s">
        <v>177</v>
      </c>
      <c r="AA25" s="27" t="s">
        <v>0</v>
      </c>
      <c r="AB25" s="27"/>
      <c r="AC25" s="27" t="s">
        <v>16</v>
      </c>
      <c r="AD25" s="27" t="s">
        <v>373</v>
      </c>
      <c r="AE25" s="27" t="s">
        <v>108</v>
      </c>
      <c r="AF25" s="27" t="s">
        <v>3</v>
      </c>
      <c r="AG25" s="27" t="s">
        <v>10</v>
      </c>
      <c r="AH25" s="27" t="s">
        <v>177</v>
      </c>
      <c r="AI25" s="27" t="s">
        <v>176</v>
      </c>
      <c r="AJ25" s="27" t="s">
        <v>315</v>
      </c>
      <c r="AK25" s="27" t="s">
        <v>13</v>
      </c>
      <c r="AL25" s="27"/>
      <c r="AM25" s="27" t="s">
        <v>101</v>
      </c>
    </row>
    <row r="26" spans="1:39" hidden="1" x14ac:dyDescent="0.25">
      <c r="A26" s="16" t="str">
        <f>IF($B26="2005","Hors PRODEP",IF(LEFT($Q26,2)="20","BASTIA",VLOOKUP($B26,Légendes!$B:$C,2,0)))</f>
        <v>OUEST</v>
      </c>
      <c r="B26" s="16" t="str">
        <f>IF(ISERROR(VLOOKUP($L26,Légendes!$A:$B,2,0)),"2005",VLOOKUP($L26,Légendes!$A:$B,2,0))</f>
        <v>R13-049</v>
      </c>
      <c r="C26" s="16" t="str">
        <f>IF($AC26="","état final TP ?",IF($AC26&lt;&gt;"Echec",$AC26,IF(ISERROR(VLOOKUP($AM26,Légendes!$E:$F,2,0)),"A statuer",CONCATENATE("échec resp ",VLOOKUP($AM26,Légendes!$E:$F,2,0)))))</f>
        <v>A statuer</v>
      </c>
      <c r="D26" s="20"/>
      <c r="E26" s="16">
        <f t="shared" si="28"/>
        <v>41792.465185185203</v>
      </c>
      <c r="F26" s="21" t="str">
        <f t="shared" si="29"/>
        <v>S23</v>
      </c>
      <c r="G26" s="15">
        <f t="shared" si="30"/>
        <v>41792</v>
      </c>
      <c r="H26" s="15" t="str">
        <f t="shared" si="31"/>
        <v>4424164</v>
      </c>
      <c r="I26" s="27" t="s">
        <v>312</v>
      </c>
      <c r="J26" s="27"/>
      <c r="K26" s="27" t="s">
        <v>380</v>
      </c>
      <c r="L26" s="27" t="s">
        <v>22</v>
      </c>
      <c r="M26" s="27" t="s">
        <v>173</v>
      </c>
      <c r="N26" s="27" t="s">
        <v>43</v>
      </c>
      <c r="O26" s="27" t="s">
        <v>104</v>
      </c>
      <c r="P26" s="27" t="s">
        <v>113</v>
      </c>
      <c r="Q26" s="27" t="s">
        <v>318</v>
      </c>
      <c r="R26" s="27" t="s">
        <v>168</v>
      </c>
      <c r="S26" s="28">
        <v>41786.428043981497</v>
      </c>
      <c r="T26" s="28">
        <v>41792.375</v>
      </c>
      <c r="U26" s="28">
        <v>41792.708333333299</v>
      </c>
      <c r="V26" s="27">
        <v>0.5</v>
      </c>
      <c r="W26" s="28">
        <v>41792.465185185203</v>
      </c>
      <c r="X26" s="28">
        <v>41792.697002314802</v>
      </c>
      <c r="Y26" s="27">
        <v>5.5636111111111104</v>
      </c>
      <c r="Z26" s="27" t="s">
        <v>177</v>
      </c>
      <c r="AA26" s="27" t="s">
        <v>0</v>
      </c>
      <c r="AB26" s="27" t="s">
        <v>5</v>
      </c>
      <c r="AC26" s="27" t="s">
        <v>1</v>
      </c>
      <c r="AD26" s="27" t="s">
        <v>381</v>
      </c>
      <c r="AE26" s="27" t="s">
        <v>105</v>
      </c>
      <c r="AF26" s="27" t="s">
        <v>3</v>
      </c>
      <c r="AG26" s="27" t="s">
        <v>21</v>
      </c>
      <c r="AH26" s="27" t="s">
        <v>177</v>
      </c>
      <c r="AI26" s="27" t="s">
        <v>176</v>
      </c>
      <c r="AJ26" s="27" t="s">
        <v>387</v>
      </c>
      <c r="AK26" s="27" t="s">
        <v>11</v>
      </c>
      <c r="AL26" s="27"/>
      <c r="AM26" s="27" t="s">
        <v>395</v>
      </c>
    </row>
    <row r="27" spans="1:39" hidden="1" x14ac:dyDescent="0.25">
      <c r="A27" s="16" t="str">
        <f>IF($B27="2005","Hors PRODEP",IF(LEFT($Q27,2)="20","BASTIA",VLOOKUP($B27,Légendes!$B:$C,2,0)))</f>
        <v>OUEST</v>
      </c>
      <c r="B27" s="16" t="str">
        <f>IF(ISERROR(VLOOKUP($L27,Légendes!$A:$B,2,0)),"2005",VLOOKUP($L27,Légendes!$A:$B,2,0))</f>
        <v>R13-072</v>
      </c>
      <c r="C27" s="16" t="str">
        <f>IF($AC27="","état final TP ?",IF($AC27&lt;&gt;"Echec",$AC27,IF(ISERROR(VLOOKUP($AM27,Légendes!$E:$F,2,0)),"A statuer",CONCATENATE("échec resp ",VLOOKUP($AM27,Légendes!$E:$F,2,0)))))</f>
        <v>échec resp MOE</v>
      </c>
      <c r="D27" s="20"/>
      <c r="E27" s="16">
        <f t="shared" si="28"/>
        <v>41795.541689814803</v>
      </c>
      <c r="F27" s="21" t="str">
        <f t="shared" si="29"/>
        <v>S23</v>
      </c>
      <c r="G27" s="15">
        <f t="shared" si="30"/>
        <v>41795</v>
      </c>
      <c r="H27" s="15" t="str">
        <f t="shared" si="31"/>
        <v>4427106</v>
      </c>
      <c r="I27" s="27" t="s">
        <v>312</v>
      </c>
      <c r="J27" s="27"/>
      <c r="K27" s="27" t="s">
        <v>382</v>
      </c>
      <c r="L27" s="27" t="s">
        <v>348</v>
      </c>
      <c r="M27" s="27" t="s">
        <v>383</v>
      </c>
      <c r="N27" s="27" t="s">
        <v>24</v>
      </c>
      <c r="O27" s="27" t="s">
        <v>165</v>
      </c>
      <c r="P27" s="27" t="s">
        <v>113</v>
      </c>
      <c r="Q27" s="27" t="s">
        <v>384</v>
      </c>
      <c r="R27" s="27" t="s">
        <v>385</v>
      </c>
      <c r="S27" s="28">
        <v>41786.658356481501</v>
      </c>
      <c r="T27" s="28">
        <v>41795.583333333299</v>
      </c>
      <c r="U27" s="28">
        <v>41795.75</v>
      </c>
      <c r="V27" s="27">
        <v>2</v>
      </c>
      <c r="W27" s="28">
        <v>41795.541689814803</v>
      </c>
      <c r="X27" s="28">
        <v>41795.731111111098</v>
      </c>
      <c r="Y27" s="27">
        <v>4.5461111111111103</v>
      </c>
      <c r="Z27" s="27" t="s">
        <v>177</v>
      </c>
      <c r="AA27" s="27" t="s">
        <v>0</v>
      </c>
      <c r="AB27" s="27" t="s">
        <v>5</v>
      </c>
      <c r="AC27" s="27" t="s">
        <v>1</v>
      </c>
      <c r="AD27" s="27" t="s">
        <v>386</v>
      </c>
      <c r="AE27" s="27" t="s">
        <v>107</v>
      </c>
      <c r="AF27" s="27" t="s">
        <v>3</v>
      </c>
      <c r="AG27" s="27" t="s">
        <v>21</v>
      </c>
      <c r="AH27" s="27" t="s">
        <v>177</v>
      </c>
      <c r="AI27" s="27" t="s">
        <v>176</v>
      </c>
      <c r="AJ27" s="27" t="s">
        <v>313</v>
      </c>
      <c r="AK27" s="27" t="s">
        <v>13</v>
      </c>
      <c r="AL27" s="27" t="s">
        <v>396</v>
      </c>
      <c r="AM27" s="27" t="s">
        <v>328</v>
      </c>
    </row>
    <row r="28" spans="1:39" x14ac:dyDescent="0.25">
      <c r="A28" s="16" t="str">
        <f>IF($B28="2005","Hors PRODEP",IF(LEFT($Q28,2)="20","BASTIA",VLOOKUP($B28,Légendes!$B:$C,2,0)))</f>
        <v>Hors PRODEP</v>
      </c>
      <c r="B28" s="16" t="str">
        <f>IF(ISERROR(VLOOKUP($L28,Légendes!$A:$B,2,0)),"2005",VLOOKUP($L28,Légendes!$A:$B,2,0))</f>
        <v>2005</v>
      </c>
      <c r="C28" s="16" t="str">
        <f>IF($AC28="","état final TP ?",IF($AC28&lt;&gt;"Echec",$AC28,IF(ISERROR(VLOOKUP($AM28,Légendes!$E:$F,2,0)),"A statuer",CONCATENATE("échec resp ",VLOOKUP($AM28,Légendes!$E:$F,2,0)))))</f>
        <v>échec resp SFR</v>
      </c>
      <c r="D28" s="20"/>
      <c r="E28" s="16">
        <f t="shared" si="28"/>
        <v>41794.403437499997</v>
      </c>
      <c r="F28" s="21" t="str">
        <f t="shared" si="29"/>
        <v>S23</v>
      </c>
      <c r="G28" s="15">
        <f t="shared" si="30"/>
        <v>41794</v>
      </c>
      <c r="H28" s="15" t="str">
        <f t="shared" si="31"/>
        <v>4432452</v>
      </c>
      <c r="I28" s="27" t="s">
        <v>312</v>
      </c>
      <c r="J28" s="27"/>
      <c r="K28" s="27"/>
      <c r="L28" s="27" t="s">
        <v>368</v>
      </c>
      <c r="M28" s="27" t="s">
        <v>325</v>
      </c>
      <c r="N28" s="27" t="s">
        <v>43</v>
      </c>
      <c r="O28" s="27" t="s">
        <v>159</v>
      </c>
      <c r="P28" s="27" t="s">
        <v>257</v>
      </c>
      <c r="Q28" s="27" t="s">
        <v>326</v>
      </c>
      <c r="R28" s="27" t="s">
        <v>369</v>
      </c>
      <c r="S28" s="28">
        <v>41787.762916666703</v>
      </c>
      <c r="T28" s="28">
        <v>41794.416666666701</v>
      </c>
      <c r="U28" s="28">
        <v>41794.625</v>
      </c>
      <c r="V28" s="27">
        <v>0.5</v>
      </c>
      <c r="W28" s="28">
        <v>41794.403437499997</v>
      </c>
      <c r="X28" s="28">
        <v>41794.5000462963</v>
      </c>
      <c r="Y28" s="27">
        <v>2.3186111111111098</v>
      </c>
      <c r="Z28" s="27" t="s">
        <v>177</v>
      </c>
      <c r="AA28" s="27" t="s">
        <v>0</v>
      </c>
      <c r="AB28" s="27" t="s">
        <v>5</v>
      </c>
      <c r="AC28" s="27" t="s">
        <v>1</v>
      </c>
      <c r="AD28" s="27" t="s">
        <v>370</v>
      </c>
      <c r="AE28" s="27" t="s">
        <v>117</v>
      </c>
      <c r="AF28" s="27" t="s">
        <v>3</v>
      </c>
      <c r="AG28" s="27" t="s">
        <v>14</v>
      </c>
      <c r="AH28" s="27" t="s">
        <v>177</v>
      </c>
      <c r="AI28" s="27" t="s">
        <v>176</v>
      </c>
      <c r="AJ28" s="27" t="s">
        <v>274</v>
      </c>
      <c r="AK28" s="27" t="s">
        <v>13</v>
      </c>
      <c r="AL28" s="27"/>
      <c r="AM28" s="27" t="s">
        <v>279</v>
      </c>
    </row>
  </sheetData>
  <autoFilter ref="A1:AM28">
    <filterColumn colId="2">
      <filters>
        <filter val="échec resp SFR"/>
      </filters>
    </filterColumn>
  </autoFilter>
  <sortState ref="H2:AM25804">
    <sortCondition ref="H2:H25804"/>
    <sortCondition descending="1" ref="Z2:Z25804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O51"/>
  <sheetViews>
    <sheetView workbookViewId="0">
      <selection activeCell="B5" sqref="B5:B6"/>
    </sheetView>
  </sheetViews>
  <sheetFormatPr baseColWidth="10" defaultRowHeight="15" x14ac:dyDescent="0.25"/>
  <cols>
    <col min="1" max="1" width="2.28515625" style="2" customWidth="1"/>
    <col min="2" max="2" width="21" customWidth="1"/>
    <col min="4" max="4" width="25.5703125" customWidth="1"/>
    <col min="6" max="6" width="23.42578125" customWidth="1"/>
    <col min="7" max="7" width="42.85546875" customWidth="1"/>
    <col min="14" max="14" width="26.140625" customWidth="1"/>
    <col min="15" max="15" width="34.7109375" customWidth="1"/>
  </cols>
  <sheetData>
    <row r="1" spans="2:15" x14ac:dyDescent="0.25">
      <c r="B1" s="29"/>
      <c r="C1" s="29"/>
      <c r="D1" s="29"/>
      <c r="E1" s="29"/>
      <c r="F1" s="30"/>
      <c r="G1" s="29"/>
      <c r="H1" s="31"/>
      <c r="I1" s="32" t="s">
        <v>397</v>
      </c>
      <c r="J1" s="33" t="s">
        <v>398</v>
      </c>
      <c r="K1" s="34">
        <f>SUBTOTAL(109,K4:K4)</f>
        <v>80</v>
      </c>
      <c r="L1" s="34">
        <f>SUBTOTAL(109,L4:L4)</f>
        <v>180</v>
      </c>
      <c r="M1" s="34">
        <f>SUBTOTAL(109,M4:M4)</f>
        <v>260</v>
      </c>
      <c r="N1" s="34"/>
      <c r="O1" s="29"/>
    </row>
    <row r="2" spans="2:15" x14ac:dyDescent="0.25">
      <c r="B2" s="29"/>
      <c r="C2" s="29"/>
      <c r="D2" s="29"/>
      <c r="E2" s="29"/>
      <c r="F2" s="30"/>
      <c r="G2" s="29"/>
      <c r="H2" s="31"/>
      <c r="I2" s="35"/>
      <c r="J2" s="36"/>
      <c r="K2" s="37"/>
      <c r="L2" s="37"/>
      <c r="M2" s="37"/>
      <c r="N2" s="37"/>
      <c r="O2" s="29"/>
    </row>
    <row r="3" spans="2:15" ht="30" x14ac:dyDescent="0.25">
      <c r="B3" s="38" t="s">
        <v>399</v>
      </c>
      <c r="C3" s="39" t="s">
        <v>400</v>
      </c>
      <c r="D3" s="39" t="s">
        <v>401</v>
      </c>
      <c r="E3" s="39" t="s">
        <v>402</v>
      </c>
      <c r="F3" s="39" t="s">
        <v>403</v>
      </c>
      <c r="G3" s="39" t="s">
        <v>404</v>
      </c>
      <c r="H3" s="40" t="s">
        <v>405</v>
      </c>
      <c r="I3" s="41" t="s">
        <v>406</v>
      </c>
      <c r="J3" s="42" t="s">
        <v>407</v>
      </c>
      <c r="K3" s="43" t="s">
        <v>408</v>
      </c>
      <c r="L3" s="44" t="s">
        <v>190</v>
      </c>
      <c r="M3" s="44" t="s">
        <v>409</v>
      </c>
      <c r="N3" s="45" t="s">
        <v>410</v>
      </c>
      <c r="O3" s="46" t="s">
        <v>411</v>
      </c>
    </row>
    <row r="4" spans="2:15" x14ac:dyDescent="0.25">
      <c r="B4" s="47" t="s">
        <v>412</v>
      </c>
      <c r="C4" s="48">
        <v>750199</v>
      </c>
      <c r="D4" s="48" t="s">
        <v>413</v>
      </c>
      <c r="E4" s="48">
        <v>526576</v>
      </c>
      <c r="F4" s="48" t="s">
        <v>414</v>
      </c>
      <c r="G4" s="48" t="s">
        <v>415</v>
      </c>
      <c r="H4" s="49">
        <v>41628</v>
      </c>
      <c r="I4" s="50">
        <f>IF(ISERROR(VLOOKUP($G4,[1]Légendes!$A:$G,3,0)),"",IF($G4=[1]Légendes!$A$8,"",VLOOKUP($G4,[1]Légendes!$A:$G,3,0)))</f>
        <v>1</v>
      </c>
      <c r="J4" s="51">
        <f>IF(ISERROR(VLOOKUP($G4,[1]Légendes!$A:$G,4,0)),"",IF($G4=[1]Légendes!$A$8,"",VLOOKUP($G4,[1]Légendes!$A:$G,4,0)))</f>
        <v>1</v>
      </c>
      <c r="K4" s="52">
        <f>IF(ISERROR(VLOOKUP($G4,[1]Légendes!$A:$G,5,0)),"",IF($G4=[1]Légendes!$A$8,"",VLOOKUP($G4,[1]Légendes!$A:$G,5,0)))</f>
        <v>80</v>
      </c>
      <c r="L4" s="53">
        <f>IF(ISERROR(VLOOKUP($G4,[1]Légendes!$A:$G,6,0)),"",IF($G4=[1]Légendes!$A$8,"",VLOOKUP($G4,[1]Légendes!$A:$G,6,0)*K4))</f>
        <v>180</v>
      </c>
      <c r="M4" s="53">
        <f>IF(ISERROR(VLOOKUP($G4,[1]Légendes!$A:$G,7,0)),"",IF($G4=[1]Légendes!$A$8,"",VLOOKUP($G4,[1]Légendes!$A:$G,7,0)))</f>
        <v>260</v>
      </c>
      <c r="N4" s="53" t="s">
        <v>416</v>
      </c>
      <c r="O4" s="54" t="s">
        <v>417</v>
      </c>
    </row>
    <row r="5" spans="2:15" x14ac:dyDescent="0.25">
      <c r="B5" s="62"/>
      <c r="C5" s="56"/>
      <c r="D5" s="56"/>
      <c r="E5" s="56"/>
      <c r="F5" s="57"/>
      <c r="G5" s="56"/>
      <c r="H5" s="58"/>
      <c r="I5" s="59"/>
      <c r="J5" s="60"/>
      <c r="K5" s="61"/>
      <c r="L5" s="61"/>
      <c r="M5" s="61"/>
      <c r="N5" s="61"/>
      <c r="O5" s="2"/>
    </row>
    <row r="6" spans="2:15" x14ac:dyDescent="0.25">
      <c r="B6" s="62"/>
      <c r="C6" s="56"/>
      <c r="D6" s="56"/>
      <c r="E6" s="56"/>
      <c r="F6" s="57"/>
      <c r="G6" s="56"/>
      <c r="H6" s="58"/>
      <c r="I6" s="59"/>
      <c r="J6" s="60"/>
      <c r="K6" s="61"/>
      <c r="L6" s="61"/>
      <c r="M6" s="61"/>
      <c r="N6" s="61"/>
      <c r="O6" s="2"/>
    </row>
    <row r="7" spans="2:15" x14ac:dyDescent="0.25">
      <c r="B7" s="55"/>
      <c r="C7" s="56"/>
      <c r="D7" s="56"/>
      <c r="E7" s="56"/>
      <c r="F7" s="57"/>
      <c r="G7" s="56"/>
      <c r="H7" s="58"/>
      <c r="I7" s="59"/>
      <c r="J7" s="60"/>
      <c r="K7" s="61"/>
      <c r="L7" s="61"/>
      <c r="M7" s="61"/>
      <c r="N7" s="61"/>
      <c r="O7" s="2"/>
    </row>
    <row r="8" spans="2:15" x14ac:dyDescent="0.25">
      <c r="B8" s="55"/>
      <c r="C8" s="56"/>
      <c r="D8" s="56"/>
      <c r="E8" s="56"/>
      <c r="F8" s="57"/>
      <c r="G8" s="56"/>
      <c r="H8" s="58"/>
      <c r="I8" s="59"/>
      <c r="J8" s="60"/>
      <c r="K8" s="61"/>
      <c r="L8" s="61"/>
      <c r="M8" s="61"/>
      <c r="N8" s="61"/>
      <c r="O8" s="2"/>
    </row>
    <row r="9" spans="2:15" x14ac:dyDescent="0.25">
      <c r="B9" s="55"/>
      <c r="C9" s="56"/>
      <c r="D9" s="56"/>
      <c r="E9" s="56"/>
      <c r="F9" s="57"/>
      <c r="G9" s="56"/>
      <c r="H9" s="58"/>
      <c r="I9" s="59"/>
      <c r="J9" s="60"/>
      <c r="K9" s="61"/>
      <c r="L9" s="61"/>
      <c r="M9" s="61"/>
      <c r="N9" s="61"/>
      <c r="O9" s="2"/>
    </row>
    <row r="10" spans="2:15" x14ac:dyDescent="0.25">
      <c r="B10" s="55"/>
      <c r="C10" s="56"/>
      <c r="D10" s="56"/>
      <c r="E10" s="56"/>
      <c r="F10" s="57"/>
      <c r="G10" s="56"/>
      <c r="H10" s="58"/>
      <c r="I10" s="59"/>
      <c r="J10" s="60"/>
      <c r="K10" s="61"/>
      <c r="L10" s="61"/>
      <c r="M10" s="61"/>
      <c r="N10" s="61"/>
      <c r="O10" s="2"/>
    </row>
    <row r="11" spans="2:15" x14ac:dyDescent="0.25">
      <c r="B11" s="55"/>
      <c r="C11" s="56"/>
      <c r="D11" s="56"/>
      <c r="E11" s="56"/>
      <c r="F11" s="57"/>
      <c r="G11" s="56"/>
      <c r="H11" s="58"/>
      <c r="I11" s="59"/>
      <c r="J11" s="60"/>
      <c r="K11" s="61"/>
      <c r="L11" s="61"/>
      <c r="M11" s="61"/>
      <c r="N11" s="61"/>
      <c r="O11" s="2"/>
    </row>
    <row r="12" spans="2:15" x14ac:dyDescent="0.25">
      <c r="B12" s="55"/>
      <c r="C12" s="56"/>
      <c r="D12" s="56"/>
      <c r="E12" s="56"/>
      <c r="F12" s="57"/>
      <c r="G12" s="56"/>
      <c r="H12" s="58"/>
      <c r="I12" s="59"/>
      <c r="J12" s="60"/>
      <c r="K12" s="61"/>
      <c r="L12" s="61"/>
      <c r="M12" s="61"/>
      <c r="N12" s="61"/>
      <c r="O12" s="2"/>
    </row>
    <row r="13" spans="2:15" x14ac:dyDescent="0.25">
      <c r="B13" s="55"/>
      <c r="C13" s="56"/>
      <c r="D13" s="56"/>
      <c r="E13" s="56"/>
      <c r="F13" s="57"/>
      <c r="G13" s="56"/>
      <c r="H13" s="58"/>
      <c r="I13" s="59"/>
      <c r="J13" s="60"/>
      <c r="K13" s="61"/>
      <c r="L13" s="61"/>
      <c r="M13" s="61"/>
      <c r="N13" s="61"/>
      <c r="O13" s="2"/>
    </row>
    <row r="14" spans="2:15" x14ac:dyDescent="0.25">
      <c r="B14" s="55"/>
      <c r="C14" s="56"/>
      <c r="D14" s="56"/>
      <c r="E14" s="56"/>
      <c r="F14" s="57"/>
      <c r="G14" s="56"/>
      <c r="H14" s="58"/>
      <c r="I14" s="59"/>
      <c r="J14" s="60"/>
      <c r="K14" s="61"/>
      <c r="L14" s="61"/>
      <c r="M14" s="61"/>
      <c r="N14" s="61"/>
      <c r="O14" s="2"/>
    </row>
    <row r="15" spans="2:15" x14ac:dyDescent="0.25">
      <c r="B15" s="55"/>
      <c r="C15" s="56"/>
      <c r="D15" s="56"/>
      <c r="E15" s="56"/>
      <c r="F15" s="57"/>
      <c r="G15" s="56"/>
      <c r="H15" s="58"/>
      <c r="I15" s="59"/>
      <c r="J15" s="60"/>
      <c r="K15" s="61"/>
      <c r="L15" s="61"/>
      <c r="M15" s="61"/>
      <c r="N15" s="61"/>
      <c r="O15" s="2"/>
    </row>
    <row r="16" spans="2:15" x14ac:dyDescent="0.25">
      <c r="B16" s="55"/>
      <c r="C16" s="56"/>
      <c r="D16" s="56"/>
      <c r="E16" s="56"/>
      <c r="F16" s="57"/>
      <c r="G16" s="56"/>
      <c r="H16" s="58"/>
      <c r="I16" s="59"/>
      <c r="J16" s="60"/>
      <c r="K16" s="61"/>
      <c r="L16" s="61"/>
      <c r="M16" s="61"/>
      <c r="N16" s="61"/>
      <c r="O16" s="2"/>
    </row>
    <row r="17" spans="2:15" x14ac:dyDescent="0.25">
      <c r="B17" s="55"/>
      <c r="C17" s="56"/>
      <c r="D17" s="56"/>
      <c r="E17" s="56"/>
      <c r="F17" s="57"/>
      <c r="G17" s="56"/>
      <c r="H17" s="58"/>
      <c r="I17" s="59"/>
      <c r="J17" s="60"/>
      <c r="K17" s="61"/>
      <c r="L17" s="61"/>
      <c r="M17" s="61"/>
      <c r="N17" s="61"/>
      <c r="O17" s="2"/>
    </row>
    <row r="18" spans="2:15" x14ac:dyDescent="0.25">
      <c r="B18" s="55"/>
      <c r="C18" s="56"/>
      <c r="D18" s="56"/>
      <c r="E18" s="56"/>
      <c r="F18" s="57"/>
      <c r="G18" s="56"/>
      <c r="H18" s="58"/>
      <c r="I18" s="59"/>
      <c r="J18" s="60"/>
      <c r="K18" s="61"/>
      <c r="L18" s="61"/>
      <c r="M18" s="61"/>
      <c r="N18" s="61"/>
      <c r="O18" s="2"/>
    </row>
    <row r="19" spans="2:15" x14ac:dyDescent="0.25">
      <c r="B19" s="55"/>
      <c r="C19" s="56"/>
      <c r="D19" s="56"/>
      <c r="E19" s="56"/>
      <c r="F19" s="57"/>
      <c r="G19" s="56"/>
      <c r="H19" s="58"/>
      <c r="I19" s="59"/>
      <c r="J19" s="60"/>
      <c r="K19" s="61"/>
      <c r="L19" s="61"/>
      <c r="M19" s="61"/>
      <c r="N19" s="61"/>
      <c r="O19" s="2"/>
    </row>
    <row r="20" spans="2:15" x14ac:dyDescent="0.25">
      <c r="B20" s="55"/>
      <c r="C20" s="56"/>
      <c r="D20" s="56"/>
      <c r="E20" s="56"/>
      <c r="F20" s="57"/>
      <c r="G20" s="56"/>
      <c r="H20" s="58"/>
      <c r="I20" s="59"/>
      <c r="J20" s="60"/>
      <c r="K20" s="61"/>
      <c r="L20" s="61"/>
      <c r="M20" s="61"/>
      <c r="N20" s="61"/>
      <c r="O20" s="2"/>
    </row>
    <row r="21" spans="2:15" x14ac:dyDescent="0.25">
      <c r="B21" s="55"/>
      <c r="C21" s="56"/>
      <c r="D21" s="56"/>
      <c r="E21" s="56"/>
      <c r="F21" s="57"/>
      <c r="G21" s="56"/>
      <c r="H21" s="58"/>
      <c r="I21" s="59"/>
      <c r="J21" s="60"/>
      <c r="K21" s="61"/>
      <c r="L21" s="61"/>
      <c r="M21" s="61"/>
      <c r="N21" s="61"/>
      <c r="O21" s="2"/>
    </row>
    <row r="22" spans="2:15" x14ac:dyDescent="0.25">
      <c r="B22" s="55"/>
      <c r="C22" s="56"/>
      <c r="D22" s="56"/>
      <c r="E22" s="56"/>
      <c r="F22" s="57"/>
      <c r="G22" s="56"/>
      <c r="H22" s="58"/>
      <c r="I22" s="59"/>
      <c r="J22" s="60"/>
      <c r="K22" s="61"/>
      <c r="L22" s="61"/>
      <c r="M22" s="61"/>
      <c r="N22" s="61"/>
      <c r="O22" s="2"/>
    </row>
    <row r="23" spans="2:15" x14ac:dyDescent="0.25">
      <c r="B23" s="55"/>
      <c r="C23" s="56"/>
      <c r="D23" s="56"/>
      <c r="E23" s="56"/>
      <c r="F23" s="57"/>
      <c r="G23" s="56"/>
      <c r="H23" s="58"/>
      <c r="I23" s="59"/>
      <c r="J23" s="60"/>
      <c r="K23" s="61"/>
      <c r="L23" s="61"/>
      <c r="M23" s="61"/>
      <c r="N23" s="61"/>
      <c r="O23" s="2"/>
    </row>
    <row r="24" spans="2:15" x14ac:dyDescent="0.25">
      <c r="B24" s="55"/>
      <c r="C24" s="56"/>
      <c r="D24" s="56"/>
      <c r="E24" s="56"/>
      <c r="F24" s="57"/>
      <c r="G24" s="56"/>
      <c r="H24" s="58"/>
      <c r="I24" s="59"/>
      <c r="J24" s="60"/>
      <c r="K24" s="61"/>
      <c r="L24" s="61"/>
      <c r="M24" s="61"/>
      <c r="N24" s="61"/>
      <c r="O24" s="2"/>
    </row>
    <row r="25" spans="2:15" x14ac:dyDescent="0.25">
      <c r="B25" s="55"/>
      <c r="C25" s="56"/>
      <c r="D25" s="56"/>
      <c r="E25" s="56"/>
      <c r="F25" s="57"/>
      <c r="G25" s="56"/>
      <c r="H25" s="58"/>
      <c r="I25" s="59"/>
      <c r="J25" s="60"/>
      <c r="K25" s="61"/>
      <c r="L25" s="61"/>
      <c r="M25" s="61"/>
      <c r="N25" s="61"/>
      <c r="O25" s="2"/>
    </row>
    <row r="26" spans="2:15" x14ac:dyDescent="0.25">
      <c r="B26" s="55"/>
      <c r="C26" s="56"/>
      <c r="D26" s="56"/>
      <c r="E26" s="56"/>
      <c r="F26" s="57"/>
      <c r="G26" s="56"/>
      <c r="H26" s="58"/>
      <c r="I26" s="59"/>
      <c r="J26" s="60"/>
      <c r="K26" s="61"/>
      <c r="L26" s="61"/>
      <c r="M26" s="61"/>
      <c r="N26" s="61"/>
      <c r="O26" s="2"/>
    </row>
    <row r="27" spans="2:15" x14ac:dyDescent="0.25">
      <c r="B27" s="55"/>
      <c r="C27" s="56"/>
      <c r="D27" s="56"/>
      <c r="E27" s="56"/>
      <c r="F27" s="57"/>
      <c r="G27" s="56"/>
      <c r="H27" s="58"/>
      <c r="I27" s="59"/>
      <c r="J27" s="60"/>
      <c r="K27" s="61"/>
      <c r="L27" s="61"/>
      <c r="M27" s="61"/>
      <c r="N27" s="61"/>
      <c r="O27" s="2"/>
    </row>
    <row r="28" spans="2:15" x14ac:dyDescent="0.25">
      <c r="B28" s="55"/>
      <c r="C28" s="56"/>
      <c r="D28" s="56"/>
      <c r="E28" s="56"/>
      <c r="F28" s="57"/>
      <c r="G28" s="56"/>
      <c r="H28" s="58"/>
      <c r="I28" s="59"/>
      <c r="J28" s="60"/>
      <c r="K28" s="61"/>
      <c r="L28" s="61"/>
      <c r="M28" s="61"/>
      <c r="N28" s="61"/>
      <c r="O28" s="2"/>
    </row>
    <row r="29" spans="2:15" x14ac:dyDescent="0.25">
      <c r="B29" s="55"/>
      <c r="C29" s="56"/>
      <c r="D29" s="56"/>
      <c r="E29" s="56"/>
      <c r="F29" s="57"/>
      <c r="G29" s="56"/>
      <c r="H29" s="58"/>
      <c r="I29" s="59"/>
      <c r="J29" s="60"/>
      <c r="K29" s="61"/>
      <c r="L29" s="61"/>
      <c r="M29" s="61"/>
      <c r="N29" s="61"/>
      <c r="O29" s="2"/>
    </row>
    <row r="30" spans="2:15" x14ac:dyDescent="0.25">
      <c r="B30" s="55"/>
      <c r="C30" s="56"/>
      <c r="D30" s="56"/>
      <c r="E30" s="56"/>
      <c r="F30" s="57"/>
      <c r="G30" s="56"/>
      <c r="H30" s="58"/>
      <c r="I30" s="59"/>
      <c r="J30" s="60"/>
      <c r="K30" s="61"/>
      <c r="L30" s="61"/>
      <c r="M30" s="61"/>
      <c r="N30" s="61"/>
      <c r="O30" s="2"/>
    </row>
    <row r="31" spans="2:15" x14ac:dyDescent="0.25">
      <c r="B31" s="55"/>
      <c r="C31" s="56"/>
      <c r="D31" s="56"/>
      <c r="E31" s="56"/>
      <c r="F31" s="57"/>
      <c r="G31" s="56"/>
      <c r="H31" s="58"/>
      <c r="I31" s="59"/>
      <c r="J31" s="60"/>
      <c r="K31" s="61"/>
      <c r="L31" s="61"/>
      <c r="M31" s="61"/>
      <c r="N31" s="61"/>
      <c r="O31" s="2"/>
    </row>
    <row r="32" spans="2:15" x14ac:dyDescent="0.25">
      <c r="B32" s="55"/>
      <c r="C32" s="56"/>
      <c r="D32" s="56"/>
      <c r="E32" s="56"/>
      <c r="F32" s="57"/>
      <c r="G32" s="56"/>
      <c r="H32" s="58"/>
      <c r="I32" s="59"/>
      <c r="J32" s="60"/>
      <c r="K32" s="61"/>
      <c r="L32" s="61"/>
      <c r="M32" s="61"/>
      <c r="N32" s="61"/>
      <c r="O32" s="2"/>
    </row>
    <row r="33" spans="2:15" x14ac:dyDescent="0.25">
      <c r="B33" s="55"/>
      <c r="C33" s="56"/>
      <c r="D33" s="56"/>
      <c r="E33" s="56"/>
      <c r="F33" s="57"/>
      <c r="G33" s="56"/>
      <c r="H33" s="58"/>
      <c r="I33" s="59"/>
      <c r="J33" s="60"/>
      <c r="K33" s="61"/>
      <c r="L33" s="61"/>
      <c r="M33" s="61"/>
      <c r="N33" s="61"/>
      <c r="O33" s="2"/>
    </row>
    <row r="34" spans="2:15" x14ac:dyDescent="0.25">
      <c r="B34" s="55"/>
      <c r="C34" s="56"/>
      <c r="D34" s="56"/>
      <c r="E34" s="56"/>
      <c r="F34" s="57"/>
      <c r="G34" s="56"/>
      <c r="H34" s="58"/>
      <c r="I34" s="59"/>
      <c r="J34" s="60"/>
      <c r="K34" s="61"/>
      <c r="L34" s="61"/>
      <c r="M34" s="61"/>
      <c r="N34" s="61"/>
      <c r="O34" s="2"/>
    </row>
    <row r="35" spans="2:15" x14ac:dyDescent="0.25">
      <c r="B35" s="55"/>
      <c r="C35" s="56"/>
      <c r="D35" s="56"/>
      <c r="E35" s="56"/>
      <c r="F35" s="57"/>
      <c r="G35" s="56"/>
      <c r="H35" s="58"/>
      <c r="I35" s="59"/>
      <c r="J35" s="60"/>
      <c r="K35" s="61"/>
      <c r="L35" s="61"/>
      <c r="M35" s="61"/>
      <c r="N35" s="61"/>
      <c r="O35" s="2"/>
    </row>
    <row r="36" spans="2:15" x14ac:dyDescent="0.25">
      <c r="B36" s="55"/>
      <c r="C36" s="56"/>
      <c r="D36" s="56"/>
      <c r="E36" s="56"/>
      <c r="F36" s="57"/>
      <c r="G36" s="56"/>
      <c r="H36" s="58"/>
      <c r="I36" s="59"/>
      <c r="J36" s="60"/>
      <c r="K36" s="61"/>
      <c r="L36" s="61"/>
      <c r="M36" s="61"/>
      <c r="N36" s="61"/>
      <c r="O36" s="2"/>
    </row>
    <row r="37" spans="2:15" x14ac:dyDescent="0.25">
      <c r="B37" s="55"/>
      <c r="C37" s="56"/>
      <c r="D37" s="56"/>
      <c r="E37" s="56"/>
      <c r="F37" s="57"/>
      <c r="G37" s="56"/>
      <c r="H37" s="58"/>
      <c r="I37" s="59"/>
      <c r="J37" s="60"/>
      <c r="K37" s="61"/>
      <c r="L37" s="61"/>
      <c r="M37" s="61"/>
      <c r="N37" s="61"/>
      <c r="O37" s="2"/>
    </row>
    <row r="38" spans="2:15" x14ac:dyDescent="0.25">
      <c r="B38" s="55"/>
      <c r="C38" s="56"/>
      <c r="D38" s="56"/>
      <c r="E38" s="56"/>
      <c r="F38" s="57"/>
      <c r="G38" s="56"/>
      <c r="H38" s="58"/>
      <c r="I38" s="59"/>
      <c r="J38" s="60"/>
      <c r="K38" s="61"/>
      <c r="L38" s="61"/>
      <c r="M38" s="61"/>
      <c r="N38" s="61"/>
      <c r="O38" s="2"/>
    </row>
    <row r="39" spans="2:15" x14ac:dyDescent="0.25">
      <c r="B39" s="55"/>
      <c r="C39" s="56"/>
      <c r="D39" s="56"/>
      <c r="E39" s="56"/>
      <c r="F39" s="57"/>
      <c r="G39" s="56"/>
      <c r="H39" s="58"/>
      <c r="I39" s="59"/>
      <c r="J39" s="60"/>
      <c r="K39" s="61"/>
      <c r="L39" s="61"/>
      <c r="M39" s="61"/>
      <c r="N39" s="61"/>
      <c r="O39" s="2"/>
    </row>
    <row r="40" spans="2:15" x14ac:dyDescent="0.25">
      <c r="B40" s="55"/>
      <c r="C40" s="56"/>
      <c r="D40" s="56"/>
      <c r="E40" s="56"/>
      <c r="F40" s="57"/>
      <c r="G40" s="56"/>
      <c r="H40" s="58"/>
      <c r="I40" s="59"/>
      <c r="J40" s="60"/>
      <c r="K40" s="61"/>
      <c r="L40" s="61"/>
      <c r="M40" s="61"/>
      <c r="N40" s="61"/>
      <c r="O40" s="2"/>
    </row>
    <row r="41" spans="2:15" x14ac:dyDescent="0.25">
      <c r="B41" s="55"/>
      <c r="C41" s="56"/>
      <c r="D41" s="56"/>
      <c r="E41" s="56"/>
      <c r="F41" s="57"/>
      <c r="G41" s="56"/>
      <c r="H41" s="58"/>
      <c r="I41" s="59"/>
      <c r="J41" s="60"/>
      <c r="K41" s="61"/>
      <c r="L41" s="61"/>
      <c r="M41" s="61"/>
      <c r="N41" s="61"/>
      <c r="O41" s="2"/>
    </row>
    <row r="42" spans="2:15" x14ac:dyDescent="0.25">
      <c r="B42" s="55"/>
      <c r="C42" s="56"/>
      <c r="D42" s="56"/>
      <c r="E42" s="56"/>
      <c r="F42" s="57"/>
      <c r="G42" s="56"/>
      <c r="H42" s="58"/>
      <c r="I42" s="59"/>
      <c r="J42" s="60"/>
      <c r="K42" s="61"/>
      <c r="L42" s="61"/>
      <c r="M42" s="61"/>
      <c r="N42" s="61"/>
      <c r="O42" s="2"/>
    </row>
    <row r="43" spans="2:15" x14ac:dyDescent="0.25">
      <c r="B43" s="55"/>
      <c r="C43" s="56"/>
      <c r="D43" s="56"/>
      <c r="E43" s="56"/>
      <c r="F43" s="57"/>
      <c r="G43" s="56"/>
      <c r="H43" s="58"/>
      <c r="I43" s="59"/>
      <c r="J43" s="60"/>
      <c r="K43" s="61"/>
      <c r="L43" s="61"/>
      <c r="M43" s="61"/>
      <c r="N43" s="61"/>
      <c r="O43" s="2"/>
    </row>
    <row r="44" spans="2:15" x14ac:dyDescent="0.25">
      <c r="B44" s="55"/>
      <c r="C44" s="56"/>
      <c r="D44" s="56"/>
      <c r="E44" s="56"/>
      <c r="F44" s="57"/>
      <c r="G44" s="56"/>
      <c r="H44" s="58"/>
      <c r="I44" s="59"/>
      <c r="J44" s="60"/>
      <c r="K44" s="61"/>
      <c r="L44" s="61"/>
      <c r="M44" s="61"/>
      <c r="N44" s="61"/>
      <c r="O44" s="2"/>
    </row>
    <row r="45" spans="2:15" x14ac:dyDescent="0.25">
      <c r="B45" s="55"/>
      <c r="C45" s="56"/>
      <c r="D45" s="56"/>
      <c r="E45" s="56"/>
      <c r="F45" s="57"/>
      <c r="G45" s="56"/>
      <c r="H45" s="58"/>
      <c r="I45" s="59"/>
      <c r="J45" s="60"/>
      <c r="K45" s="61"/>
      <c r="L45" s="61"/>
      <c r="M45" s="61"/>
      <c r="N45" s="61"/>
      <c r="O45" s="2"/>
    </row>
    <row r="46" spans="2:15" x14ac:dyDescent="0.25">
      <c r="B46" s="55"/>
      <c r="C46" s="56"/>
      <c r="D46" s="56"/>
      <c r="E46" s="56"/>
      <c r="F46" s="57"/>
      <c r="G46" s="56"/>
      <c r="H46" s="58"/>
      <c r="I46" s="59"/>
      <c r="J46" s="60"/>
      <c r="K46" s="61"/>
      <c r="L46" s="61"/>
      <c r="M46" s="61"/>
      <c r="N46" s="61"/>
      <c r="O46" s="2"/>
    </row>
    <row r="47" spans="2:15" x14ac:dyDescent="0.25">
      <c r="B47" s="55"/>
      <c r="C47" s="56"/>
      <c r="D47" s="56"/>
      <c r="E47" s="56"/>
      <c r="F47" s="57"/>
      <c r="G47" s="56"/>
      <c r="H47" s="58"/>
      <c r="I47" s="59"/>
      <c r="J47" s="60"/>
      <c r="K47" s="61"/>
      <c r="L47" s="61"/>
      <c r="M47" s="61"/>
      <c r="N47" s="61"/>
      <c r="O47" s="2"/>
    </row>
    <row r="48" spans="2:15" x14ac:dyDescent="0.25">
      <c r="B48" s="55"/>
      <c r="C48" s="56"/>
      <c r="D48" s="56"/>
      <c r="E48" s="56"/>
      <c r="F48" s="57"/>
      <c r="G48" s="56"/>
      <c r="H48" s="58"/>
      <c r="I48" s="59"/>
      <c r="J48" s="60"/>
      <c r="K48" s="61"/>
      <c r="L48" s="61"/>
      <c r="M48" s="61"/>
      <c r="N48" s="61"/>
      <c r="O48" s="2"/>
    </row>
    <row r="49" spans="2:15" x14ac:dyDescent="0.25">
      <c r="B49" s="55"/>
      <c r="C49" s="56"/>
      <c r="D49" s="56"/>
      <c r="E49" s="56"/>
      <c r="F49" s="57"/>
      <c r="G49" s="56"/>
      <c r="H49" s="58"/>
      <c r="I49" s="59"/>
      <c r="J49" s="60"/>
      <c r="K49" s="61"/>
      <c r="L49" s="61"/>
      <c r="M49" s="61"/>
      <c r="N49" s="61"/>
      <c r="O49" s="2"/>
    </row>
    <row r="50" spans="2:15" x14ac:dyDescent="0.25">
      <c r="B50" s="55"/>
      <c r="C50" s="56"/>
      <c r="D50" s="56"/>
      <c r="E50" s="56"/>
      <c r="F50" s="57"/>
      <c r="G50" s="56"/>
      <c r="H50" s="58"/>
      <c r="I50" s="59"/>
      <c r="J50" s="60"/>
      <c r="K50" s="61"/>
      <c r="L50" s="61"/>
      <c r="M50" s="61"/>
      <c r="N50" s="61"/>
      <c r="O50" s="2"/>
    </row>
    <row r="51" spans="2:15" x14ac:dyDescent="0.25">
      <c r="B51" s="55"/>
      <c r="C51" s="56"/>
      <c r="D51" s="56"/>
      <c r="E51" s="56"/>
      <c r="F51" s="57"/>
      <c r="G51" s="56"/>
      <c r="H51" s="58"/>
      <c r="I51" s="59"/>
      <c r="J51" s="60"/>
      <c r="K51" s="61"/>
      <c r="L51" s="61"/>
      <c r="M51" s="61"/>
      <c r="N51" s="61"/>
      <c r="O51" s="2"/>
    </row>
  </sheetData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[1]Légendes!#REF!</xm:f>
          </x14:formula1>
          <xm:sqref>N4</xm:sqref>
        </x14:dataValidation>
        <x14:dataValidation type="list" allowBlank="1" showInputMessage="1" showErrorMessage="1">
          <x14:formula1>
            <xm:f>[1]Légendes!#REF!</xm:f>
          </x14:formula1>
          <xm:sqref>G4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P56"/>
  <sheetViews>
    <sheetView zoomScaleNormal="100" workbookViewId="0">
      <selection activeCell="J1" sqref="J1"/>
    </sheetView>
  </sheetViews>
  <sheetFormatPr baseColWidth="10" defaultRowHeight="15" x14ac:dyDescent="0.25"/>
  <cols>
    <col min="5" max="5" width="69.5703125" customWidth="1"/>
    <col min="6" max="6" width="20.140625" customWidth="1"/>
    <col min="7" max="7" width="59.140625" style="2" customWidth="1"/>
    <col min="8" max="8" width="78.140625" style="2" customWidth="1"/>
    <col min="10" max="10" width="29.5703125" customWidth="1"/>
    <col min="11" max="11" width="23.85546875" customWidth="1"/>
    <col min="12" max="12" width="14.140625" customWidth="1"/>
    <col min="14" max="14" width="13.42578125" customWidth="1"/>
    <col min="16" max="16" width="18" customWidth="1"/>
  </cols>
  <sheetData>
    <row r="1" spans="1:16" x14ac:dyDescent="0.25">
      <c r="A1" s="17" t="s">
        <v>65</v>
      </c>
      <c r="B1" s="17" t="s">
        <v>64</v>
      </c>
      <c r="C1" s="17" t="s">
        <v>63</v>
      </c>
      <c r="E1" s="23" t="s">
        <v>217</v>
      </c>
      <c r="F1" s="23" t="s">
        <v>218</v>
      </c>
      <c r="G1" s="23" t="s">
        <v>332</v>
      </c>
      <c r="H1" s="24" t="s">
        <v>333</v>
      </c>
      <c r="J1" s="17" t="s">
        <v>186</v>
      </c>
      <c r="K1" s="17" t="s">
        <v>175</v>
      </c>
      <c r="L1" s="17" t="s">
        <v>187</v>
      </c>
      <c r="M1" s="17" t="s">
        <v>188</v>
      </c>
      <c r="N1" s="17" t="s">
        <v>189</v>
      </c>
      <c r="O1" s="17" t="s">
        <v>190</v>
      </c>
      <c r="P1" s="17" t="s">
        <v>191</v>
      </c>
    </row>
    <row r="2" spans="1:16" x14ac:dyDescent="0.25">
      <c r="A2" s="18" t="s">
        <v>31</v>
      </c>
      <c r="B2" s="18" t="s">
        <v>31</v>
      </c>
      <c r="C2" s="18" t="s">
        <v>66</v>
      </c>
      <c r="E2" s="18" t="s">
        <v>101</v>
      </c>
      <c r="F2" s="18" t="s">
        <v>219</v>
      </c>
      <c r="G2" s="18"/>
      <c r="H2" s="18"/>
      <c r="J2" s="63" t="s">
        <v>192</v>
      </c>
      <c r="K2" s="3" t="s">
        <v>193</v>
      </c>
      <c r="L2" s="3">
        <v>2</v>
      </c>
      <c r="M2" s="3">
        <v>0.5</v>
      </c>
      <c r="N2" s="4">
        <f>810*M2*L2</f>
        <v>810</v>
      </c>
      <c r="O2" s="5">
        <v>0.1</v>
      </c>
      <c r="P2" s="4">
        <f>IF(O2="",N2,O2*N2+N2)</f>
        <v>891</v>
      </c>
    </row>
    <row r="3" spans="1:16" x14ac:dyDescent="0.25">
      <c r="A3" s="18" t="s">
        <v>44</v>
      </c>
      <c r="B3" s="18" t="s">
        <v>44</v>
      </c>
      <c r="C3" s="18" t="s">
        <v>66</v>
      </c>
      <c r="E3" s="18" t="s">
        <v>157</v>
      </c>
      <c r="F3" s="18" t="s">
        <v>219</v>
      </c>
      <c r="G3" s="18"/>
      <c r="H3" s="18" t="s">
        <v>334</v>
      </c>
      <c r="J3" s="64"/>
      <c r="K3" s="6" t="s">
        <v>194</v>
      </c>
      <c r="L3" s="6">
        <v>2</v>
      </c>
      <c r="M3" s="6">
        <v>0.25</v>
      </c>
      <c r="N3" s="7">
        <f>810*M3*L3</f>
        <v>405</v>
      </c>
      <c r="O3" s="8"/>
      <c r="P3" s="7">
        <f>IF(O3="",N3,O3*N3+N3)</f>
        <v>405</v>
      </c>
    </row>
    <row r="4" spans="1:16" x14ac:dyDescent="0.25">
      <c r="A4" s="18" t="s">
        <v>28</v>
      </c>
      <c r="B4" s="18" t="s">
        <v>28</v>
      </c>
      <c r="C4" s="18" t="s">
        <v>67</v>
      </c>
      <c r="E4" s="18" t="s">
        <v>156</v>
      </c>
      <c r="F4" s="18" t="s">
        <v>219</v>
      </c>
      <c r="G4" s="18"/>
      <c r="H4" s="18"/>
      <c r="J4" s="65"/>
      <c r="K4" s="9" t="s">
        <v>195</v>
      </c>
      <c r="L4" s="9">
        <v>1</v>
      </c>
      <c r="M4" s="9">
        <v>0.25</v>
      </c>
      <c r="N4" s="10">
        <f>810*M4*L4</f>
        <v>202.5</v>
      </c>
      <c r="O4" s="11"/>
      <c r="P4" s="10">
        <f>IF(O4="",N4,O4*N4+N4)</f>
        <v>202.5</v>
      </c>
    </row>
    <row r="5" spans="1:16" x14ac:dyDescent="0.25">
      <c r="A5" s="18" t="s">
        <v>9</v>
      </c>
      <c r="B5" s="18" t="s">
        <v>9</v>
      </c>
      <c r="C5" s="18" t="s">
        <v>68</v>
      </c>
      <c r="E5" s="18" t="s">
        <v>161</v>
      </c>
      <c r="F5" s="18" t="s">
        <v>219</v>
      </c>
      <c r="G5" s="18"/>
      <c r="H5" s="18"/>
      <c r="J5" s="64" t="s">
        <v>196</v>
      </c>
      <c r="K5" s="6" t="s">
        <v>197</v>
      </c>
      <c r="L5" s="6">
        <v>2</v>
      </c>
      <c r="M5" s="6">
        <v>1</v>
      </c>
      <c r="N5" s="7">
        <f>810*M5*L5</f>
        <v>1620</v>
      </c>
      <c r="O5" s="8">
        <v>0.05</v>
      </c>
      <c r="P5" s="7">
        <f>IF(O5="",N5,O5*N5+N5)</f>
        <v>1701</v>
      </c>
    </row>
    <row r="6" spans="1:16" x14ac:dyDescent="0.25">
      <c r="A6" s="18" t="s">
        <v>81</v>
      </c>
      <c r="B6" s="18" t="s">
        <v>9</v>
      </c>
      <c r="C6" s="18" t="s">
        <v>68</v>
      </c>
      <c r="E6" s="18" t="s">
        <v>150</v>
      </c>
      <c r="F6" s="18" t="s">
        <v>219</v>
      </c>
      <c r="G6" s="18"/>
      <c r="H6" s="18"/>
      <c r="J6" s="64"/>
      <c r="K6" s="6" t="s">
        <v>198</v>
      </c>
      <c r="L6" s="6">
        <v>2</v>
      </c>
      <c r="M6" s="6">
        <v>1</v>
      </c>
      <c r="N6" s="7">
        <f>810*M6*L6</f>
        <v>1620</v>
      </c>
      <c r="O6" s="8"/>
      <c r="P6" s="7">
        <f>IF(O6="",N6,O6*N6+N6)</f>
        <v>1620</v>
      </c>
    </row>
    <row r="7" spans="1:16" x14ac:dyDescent="0.25">
      <c r="A7" s="18" t="s">
        <v>77</v>
      </c>
      <c r="B7" s="18" t="s">
        <v>9</v>
      </c>
      <c r="C7" s="18" t="s">
        <v>68</v>
      </c>
      <c r="E7" s="18" t="s">
        <v>158</v>
      </c>
      <c r="F7" s="18" t="s">
        <v>219</v>
      </c>
      <c r="G7" s="18" t="s">
        <v>335</v>
      </c>
      <c r="H7" s="18"/>
      <c r="J7" s="65"/>
      <c r="K7" s="9" t="s">
        <v>199</v>
      </c>
      <c r="L7" s="66" t="s">
        <v>200</v>
      </c>
      <c r="M7" s="67"/>
      <c r="N7" s="67"/>
      <c r="O7" s="67"/>
      <c r="P7" s="68"/>
    </row>
    <row r="8" spans="1:16" x14ac:dyDescent="0.25">
      <c r="A8" s="18" t="s">
        <v>45</v>
      </c>
      <c r="B8" s="18" t="s">
        <v>45</v>
      </c>
      <c r="C8" s="18" t="s">
        <v>69</v>
      </c>
      <c r="E8" s="18" t="s">
        <v>138</v>
      </c>
      <c r="F8" s="18" t="s">
        <v>219</v>
      </c>
      <c r="G8" s="18"/>
      <c r="H8" s="18"/>
      <c r="J8" s="12" t="s">
        <v>201</v>
      </c>
      <c r="K8" s="12"/>
      <c r="L8" s="12">
        <v>2</v>
      </c>
      <c r="M8" s="12">
        <v>1</v>
      </c>
      <c r="N8" s="13">
        <f t="shared" ref="N8:N17" si="0">810*M8*L8</f>
        <v>1620</v>
      </c>
      <c r="O8" s="14">
        <v>0.3</v>
      </c>
      <c r="P8" s="13">
        <f t="shared" ref="P8:P17" si="1">IF(O8="",N8,O8*N8+N8)</f>
        <v>2106</v>
      </c>
    </row>
    <row r="9" spans="1:16" x14ac:dyDescent="0.25">
      <c r="A9" s="18" t="s">
        <v>12</v>
      </c>
      <c r="B9" s="18" t="s">
        <v>12</v>
      </c>
      <c r="C9" s="18" t="s">
        <v>67</v>
      </c>
      <c r="E9" s="18" t="s">
        <v>140</v>
      </c>
      <c r="F9" s="18" t="s">
        <v>219</v>
      </c>
      <c r="G9" s="18"/>
      <c r="H9" s="18"/>
      <c r="J9" s="12" t="s">
        <v>202</v>
      </c>
      <c r="K9" s="12" t="s">
        <v>203</v>
      </c>
      <c r="L9" s="12">
        <v>4</v>
      </c>
      <c r="M9" s="12">
        <v>1</v>
      </c>
      <c r="N9" s="13">
        <f t="shared" si="0"/>
        <v>3240</v>
      </c>
      <c r="O9" s="14">
        <v>0.1</v>
      </c>
      <c r="P9" s="13">
        <f t="shared" si="1"/>
        <v>3564</v>
      </c>
    </row>
    <row r="10" spans="1:16" x14ac:dyDescent="0.25">
      <c r="A10" s="18" t="s">
        <v>6</v>
      </c>
      <c r="B10" s="18" t="s">
        <v>6</v>
      </c>
      <c r="C10" s="18" t="s">
        <v>73</v>
      </c>
      <c r="E10" s="18" t="s">
        <v>143</v>
      </c>
      <c r="F10" s="18" t="s">
        <v>219</v>
      </c>
      <c r="G10" s="18"/>
      <c r="H10" s="18"/>
      <c r="J10" s="12" t="s">
        <v>204</v>
      </c>
      <c r="K10" s="12" t="s">
        <v>205</v>
      </c>
      <c r="L10" s="12">
        <v>2</v>
      </c>
      <c r="M10" s="12">
        <v>1</v>
      </c>
      <c r="N10" s="13">
        <f t="shared" si="0"/>
        <v>1620</v>
      </c>
      <c r="O10" s="14">
        <v>0.1</v>
      </c>
      <c r="P10" s="13">
        <f t="shared" si="1"/>
        <v>1782</v>
      </c>
    </row>
    <row r="11" spans="1:16" x14ac:dyDescent="0.25">
      <c r="A11" s="18" t="s">
        <v>8</v>
      </c>
      <c r="B11" s="18" t="s">
        <v>8</v>
      </c>
      <c r="C11" s="18" t="s">
        <v>73</v>
      </c>
      <c r="E11" s="18" t="s">
        <v>147</v>
      </c>
      <c r="F11" s="18" t="s">
        <v>219</v>
      </c>
      <c r="G11" s="18"/>
      <c r="H11" s="18"/>
      <c r="J11" s="12" t="s">
        <v>206</v>
      </c>
      <c r="K11" s="12" t="s">
        <v>207</v>
      </c>
      <c r="L11" s="12">
        <v>1</v>
      </c>
      <c r="M11" s="12">
        <v>1</v>
      </c>
      <c r="N11" s="13">
        <f t="shared" si="0"/>
        <v>810</v>
      </c>
      <c r="O11" s="14">
        <v>0.25</v>
      </c>
      <c r="P11" s="13">
        <f t="shared" si="1"/>
        <v>1012.5</v>
      </c>
    </row>
    <row r="12" spans="1:16" x14ac:dyDescent="0.25">
      <c r="A12" s="18" t="s">
        <v>23</v>
      </c>
      <c r="B12" s="18" t="s">
        <v>23</v>
      </c>
      <c r="C12" s="18" t="s">
        <v>67</v>
      </c>
      <c r="E12" s="18" t="s">
        <v>166</v>
      </c>
      <c r="F12" s="18" t="s">
        <v>219</v>
      </c>
      <c r="G12" s="18"/>
      <c r="H12" s="18"/>
      <c r="J12" s="12" t="s">
        <v>208</v>
      </c>
      <c r="K12" s="12"/>
      <c r="L12" s="12">
        <v>1</v>
      </c>
      <c r="M12" s="12">
        <v>0.5</v>
      </c>
      <c r="N12" s="13">
        <f t="shared" si="0"/>
        <v>405</v>
      </c>
      <c r="O12" s="14">
        <v>0.3</v>
      </c>
      <c r="P12" s="13">
        <f t="shared" si="1"/>
        <v>526.5</v>
      </c>
    </row>
    <row r="13" spans="1:16" x14ac:dyDescent="0.25">
      <c r="A13" s="18" t="s">
        <v>27</v>
      </c>
      <c r="B13" s="18" t="s">
        <v>27</v>
      </c>
      <c r="C13" s="18" t="s">
        <v>68</v>
      </c>
      <c r="E13" s="18" t="s">
        <v>123</v>
      </c>
      <c r="F13" s="18" t="s">
        <v>219</v>
      </c>
      <c r="G13" s="18"/>
      <c r="H13" s="18"/>
      <c r="J13" s="12" t="s">
        <v>209</v>
      </c>
      <c r="K13" s="12"/>
      <c r="L13" s="12">
        <v>1</v>
      </c>
      <c r="M13" s="12">
        <v>1</v>
      </c>
      <c r="N13" s="13">
        <f t="shared" si="0"/>
        <v>810</v>
      </c>
      <c r="O13" s="14">
        <v>0.2</v>
      </c>
      <c r="P13" s="13">
        <f t="shared" si="1"/>
        <v>972</v>
      </c>
    </row>
    <row r="14" spans="1:16" x14ac:dyDescent="0.25">
      <c r="A14" s="18" t="s">
        <v>26</v>
      </c>
      <c r="B14" s="18" t="s">
        <v>26</v>
      </c>
      <c r="C14" s="18" t="s">
        <v>71</v>
      </c>
      <c r="E14" s="18" t="s">
        <v>131</v>
      </c>
      <c r="F14" s="18" t="s">
        <v>219</v>
      </c>
      <c r="G14" s="18"/>
      <c r="H14" s="18"/>
      <c r="J14" s="12" t="s">
        <v>210</v>
      </c>
      <c r="K14" s="12"/>
      <c r="L14" s="12">
        <v>2</v>
      </c>
      <c r="M14" s="12">
        <v>1</v>
      </c>
      <c r="N14" s="13">
        <f t="shared" si="0"/>
        <v>1620</v>
      </c>
      <c r="O14" s="14">
        <v>0.15</v>
      </c>
      <c r="P14" s="13">
        <f t="shared" si="1"/>
        <v>1863</v>
      </c>
    </row>
    <row r="15" spans="1:16" x14ac:dyDescent="0.25">
      <c r="A15" s="18" t="s">
        <v>22</v>
      </c>
      <c r="B15" s="18" t="s">
        <v>22</v>
      </c>
      <c r="C15" s="18" t="s">
        <v>72</v>
      </c>
      <c r="E15" s="18" t="s">
        <v>167</v>
      </c>
      <c r="F15" s="18" t="s">
        <v>219</v>
      </c>
      <c r="G15" s="18"/>
      <c r="H15" s="18"/>
      <c r="J15" s="12" t="s">
        <v>211</v>
      </c>
      <c r="K15" s="12"/>
      <c r="L15" s="12">
        <v>1</v>
      </c>
      <c r="M15" s="12">
        <v>1</v>
      </c>
      <c r="N15" s="13">
        <f t="shared" si="0"/>
        <v>810</v>
      </c>
      <c r="O15" s="14">
        <v>0.1</v>
      </c>
      <c r="P15" s="13">
        <f t="shared" si="1"/>
        <v>891</v>
      </c>
    </row>
    <row r="16" spans="1:16" x14ac:dyDescent="0.25">
      <c r="A16" s="18" t="s">
        <v>30</v>
      </c>
      <c r="B16" s="18" t="s">
        <v>22</v>
      </c>
      <c r="C16" s="18" t="s">
        <v>72</v>
      </c>
      <c r="E16" s="18" t="s">
        <v>106</v>
      </c>
      <c r="F16" s="18" t="s">
        <v>219</v>
      </c>
      <c r="G16" s="18"/>
      <c r="H16" s="18"/>
      <c r="J16" s="63" t="s">
        <v>212</v>
      </c>
      <c r="K16" s="3" t="s">
        <v>213</v>
      </c>
      <c r="L16" s="3">
        <v>1</v>
      </c>
      <c r="M16" s="3">
        <v>0.5</v>
      </c>
      <c r="N16" s="4">
        <f t="shared" si="0"/>
        <v>405</v>
      </c>
      <c r="O16" s="5">
        <v>0.2</v>
      </c>
      <c r="P16" s="4">
        <f t="shared" si="1"/>
        <v>486</v>
      </c>
    </row>
    <row r="17" spans="1:16" x14ac:dyDescent="0.25">
      <c r="A17" s="18" t="s">
        <v>32</v>
      </c>
      <c r="B17" s="18" t="s">
        <v>22</v>
      </c>
      <c r="C17" s="18" t="s">
        <v>72</v>
      </c>
      <c r="E17" s="18" t="s">
        <v>109</v>
      </c>
      <c r="F17" s="18" t="s">
        <v>219</v>
      </c>
      <c r="G17" s="18"/>
      <c r="H17" s="18"/>
      <c r="J17" s="65"/>
      <c r="K17" s="9" t="s">
        <v>214</v>
      </c>
      <c r="L17" s="9">
        <v>1</v>
      </c>
      <c r="M17" s="9">
        <v>1</v>
      </c>
      <c r="N17" s="10">
        <f t="shared" si="0"/>
        <v>810</v>
      </c>
      <c r="O17" s="11">
        <v>0.1</v>
      </c>
      <c r="P17" s="10">
        <f t="shared" si="1"/>
        <v>891</v>
      </c>
    </row>
    <row r="18" spans="1:16" x14ac:dyDescent="0.25">
      <c r="A18" s="18" t="s">
        <v>33</v>
      </c>
      <c r="B18" s="18" t="s">
        <v>22</v>
      </c>
      <c r="C18" s="18" t="s">
        <v>72</v>
      </c>
      <c r="E18" s="18" t="s">
        <v>146</v>
      </c>
      <c r="F18" s="18" t="s">
        <v>219</v>
      </c>
      <c r="G18" s="18" t="s">
        <v>336</v>
      </c>
      <c r="H18" s="18" t="s">
        <v>337</v>
      </c>
    </row>
    <row r="19" spans="1:16" x14ac:dyDescent="0.25">
      <c r="A19" s="18" t="s">
        <v>46</v>
      </c>
      <c r="B19" s="18" t="s">
        <v>22</v>
      </c>
      <c r="C19" s="18" t="s">
        <v>72</v>
      </c>
      <c r="E19" s="18" t="s">
        <v>130</v>
      </c>
      <c r="F19" s="18" t="s">
        <v>219</v>
      </c>
      <c r="G19" s="18"/>
      <c r="H19" s="18"/>
    </row>
    <row r="20" spans="1:16" x14ac:dyDescent="0.25">
      <c r="A20" s="18" t="s">
        <v>36</v>
      </c>
      <c r="B20" s="18" t="s">
        <v>22</v>
      </c>
      <c r="C20" s="18" t="s">
        <v>72</v>
      </c>
      <c r="E20" s="18" t="s">
        <v>151</v>
      </c>
      <c r="F20" s="18" t="s">
        <v>219</v>
      </c>
      <c r="G20" s="18"/>
      <c r="H20" s="18"/>
    </row>
    <row r="21" spans="1:16" x14ac:dyDescent="0.25">
      <c r="A21" s="18" t="s">
        <v>35</v>
      </c>
      <c r="B21" s="18" t="s">
        <v>22</v>
      </c>
      <c r="C21" s="18" t="s">
        <v>72</v>
      </c>
      <c r="E21" s="18" t="s">
        <v>153</v>
      </c>
      <c r="F21" s="18" t="s">
        <v>219</v>
      </c>
      <c r="G21" s="18"/>
      <c r="H21" s="18"/>
    </row>
    <row r="22" spans="1:16" x14ac:dyDescent="0.25">
      <c r="A22" s="18" t="s">
        <v>40</v>
      </c>
      <c r="B22" s="18" t="s">
        <v>22</v>
      </c>
      <c r="C22" s="18" t="s">
        <v>72</v>
      </c>
      <c r="E22" s="18" t="s">
        <v>164</v>
      </c>
      <c r="F22" s="18" t="s">
        <v>219</v>
      </c>
      <c r="G22" s="18"/>
      <c r="H22" s="18" t="s">
        <v>338</v>
      </c>
    </row>
    <row r="23" spans="1:16" x14ac:dyDescent="0.25">
      <c r="A23" s="18" t="s">
        <v>42</v>
      </c>
      <c r="B23" s="18" t="s">
        <v>22</v>
      </c>
      <c r="C23" s="18" t="s">
        <v>72</v>
      </c>
      <c r="E23" s="18" t="s">
        <v>141</v>
      </c>
      <c r="F23" s="18" t="s">
        <v>219</v>
      </c>
      <c r="G23" s="18"/>
      <c r="H23" s="18"/>
    </row>
    <row r="24" spans="1:16" x14ac:dyDescent="0.25">
      <c r="A24" s="18" t="s">
        <v>79</v>
      </c>
      <c r="B24" s="18" t="s">
        <v>22</v>
      </c>
      <c r="C24" s="18" t="s">
        <v>72</v>
      </c>
      <c r="E24" s="18" t="s">
        <v>97</v>
      </c>
      <c r="F24" s="18" t="s">
        <v>219</v>
      </c>
      <c r="G24" s="18"/>
      <c r="H24" s="18"/>
    </row>
    <row r="25" spans="1:16" x14ac:dyDescent="0.25">
      <c r="A25" s="18" t="s">
        <v>39</v>
      </c>
      <c r="B25" s="18" t="s">
        <v>22</v>
      </c>
      <c r="C25" s="18" t="s">
        <v>72</v>
      </c>
      <c r="E25" s="18" t="s">
        <v>7</v>
      </c>
      <c r="F25" s="18" t="s">
        <v>219</v>
      </c>
      <c r="G25" s="18" t="s">
        <v>339</v>
      </c>
      <c r="H25" s="18"/>
    </row>
    <row r="26" spans="1:16" x14ac:dyDescent="0.25">
      <c r="A26" s="18" t="s">
        <v>78</v>
      </c>
      <c r="B26" s="18" t="s">
        <v>78</v>
      </c>
      <c r="C26" s="18" t="s">
        <v>67</v>
      </c>
      <c r="E26" s="18" t="s">
        <v>115</v>
      </c>
      <c r="F26" s="18" t="s">
        <v>219</v>
      </c>
      <c r="G26" s="18" t="s">
        <v>339</v>
      </c>
      <c r="H26" s="18"/>
    </row>
    <row r="27" spans="1:16" x14ac:dyDescent="0.25">
      <c r="A27" s="18" t="s">
        <v>76</v>
      </c>
      <c r="B27" s="18" t="s">
        <v>76</v>
      </c>
      <c r="C27" s="18" t="s">
        <v>71</v>
      </c>
      <c r="E27" s="18" t="s">
        <v>112</v>
      </c>
      <c r="F27" s="18" t="s">
        <v>220</v>
      </c>
      <c r="G27" s="18"/>
      <c r="H27" s="18"/>
    </row>
    <row r="28" spans="1:16" x14ac:dyDescent="0.25">
      <c r="A28" s="18" t="s">
        <v>75</v>
      </c>
      <c r="B28" s="18" t="s">
        <v>75</v>
      </c>
      <c r="C28" s="18" t="s">
        <v>67</v>
      </c>
      <c r="E28" s="18" t="s">
        <v>124</v>
      </c>
      <c r="F28" s="18" t="s">
        <v>220</v>
      </c>
      <c r="G28" s="18" t="s">
        <v>340</v>
      </c>
      <c r="H28" s="18"/>
    </row>
    <row r="29" spans="1:16" x14ac:dyDescent="0.25">
      <c r="A29" s="18" t="s">
        <v>38</v>
      </c>
      <c r="B29" s="18" t="s">
        <v>45</v>
      </c>
      <c r="C29" s="18" t="s">
        <v>69</v>
      </c>
      <c r="E29" s="18" t="s">
        <v>129</v>
      </c>
      <c r="F29" s="18" t="s">
        <v>220</v>
      </c>
      <c r="G29" s="18" t="s">
        <v>341</v>
      </c>
      <c r="H29" s="18"/>
    </row>
    <row r="30" spans="1:16" x14ac:dyDescent="0.25">
      <c r="A30" s="18" t="s">
        <v>15</v>
      </c>
      <c r="B30" s="18" t="s">
        <v>15</v>
      </c>
      <c r="C30" s="18" t="s">
        <v>70</v>
      </c>
      <c r="E30" s="18" t="s">
        <v>110</v>
      </c>
      <c r="F30" s="18" t="s">
        <v>220</v>
      </c>
      <c r="G30" s="18"/>
      <c r="H30" s="18" t="s">
        <v>342</v>
      </c>
    </row>
    <row r="31" spans="1:16" x14ac:dyDescent="0.25">
      <c r="A31" s="18" t="s">
        <v>293</v>
      </c>
      <c r="B31" s="18" t="s">
        <v>23</v>
      </c>
      <c r="C31" s="18" t="s">
        <v>67</v>
      </c>
      <c r="E31" s="18" t="s">
        <v>132</v>
      </c>
      <c r="F31" s="18" t="s">
        <v>220</v>
      </c>
      <c r="G31" s="18" t="s">
        <v>343</v>
      </c>
      <c r="H31" s="18"/>
    </row>
    <row r="32" spans="1:16" x14ac:dyDescent="0.25">
      <c r="A32" s="18" t="s">
        <v>327</v>
      </c>
      <c r="B32" s="18" t="s">
        <v>276</v>
      </c>
      <c r="C32" s="18" t="s">
        <v>67</v>
      </c>
      <c r="E32" s="18" t="s">
        <v>125</v>
      </c>
      <c r="F32" s="18" t="s">
        <v>220</v>
      </c>
      <c r="G32" s="18"/>
      <c r="H32" s="18" t="s">
        <v>344</v>
      </c>
    </row>
    <row r="33" spans="1:8" x14ac:dyDescent="0.25">
      <c r="A33" s="18" t="s">
        <v>30</v>
      </c>
      <c r="B33" s="18" t="s">
        <v>30</v>
      </c>
      <c r="C33" s="18" t="s">
        <v>72</v>
      </c>
      <c r="E33" s="18" t="s">
        <v>148</v>
      </c>
      <c r="F33" s="18" t="s">
        <v>220</v>
      </c>
      <c r="G33" s="18"/>
      <c r="H33" s="18" t="s">
        <v>345</v>
      </c>
    </row>
    <row r="34" spans="1:8" x14ac:dyDescent="0.25">
      <c r="A34" s="18" t="s">
        <v>276</v>
      </c>
      <c r="B34" s="18" t="s">
        <v>276</v>
      </c>
      <c r="C34" s="18" t="s">
        <v>67</v>
      </c>
      <c r="E34" s="18" t="s">
        <v>121</v>
      </c>
      <c r="F34" s="18" t="s">
        <v>220</v>
      </c>
      <c r="G34" s="18"/>
      <c r="H34" s="18" t="s">
        <v>345</v>
      </c>
    </row>
    <row r="35" spans="1:8" x14ac:dyDescent="0.25">
      <c r="A35" s="18" t="s">
        <v>277</v>
      </c>
      <c r="B35" s="18" t="s">
        <v>277</v>
      </c>
      <c r="C35" s="18" t="s">
        <v>67</v>
      </c>
      <c r="E35" s="18" t="s">
        <v>233</v>
      </c>
      <c r="F35" s="22" t="s">
        <v>219</v>
      </c>
      <c r="G35" s="22"/>
      <c r="H35" s="22"/>
    </row>
    <row r="36" spans="1:8" x14ac:dyDescent="0.25">
      <c r="A36" s="18" t="s">
        <v>292</v>
      </c>
      <c r="B36" s="18" t="s">
        <v>292</v>
      </c>
      <c r="C36" s="18" t="s">
        <v>67</v>
      </c>
      <c r="E36" s="18" t="s">
        <v>127</v>
      </c>
      <c r="F36" s="18" t="s">
        <v>219</v>
      </c>
      <c r="G36" s="18"/>
      <c r="H36" s="18"/>
    </row>
    <row r="37" spans="1:8" x14ac:dyDescent="0.25">
      <c r="A37" s="18" t="s">
        <v>301</v>
      </c>
      <c r="B37" s="18" t="s">
        <v>301</v>
      </c>
      <c r="C37" s="18" t="s">
        <v>71</v>
      </c>
      <c r="E37" s="18" t="s">
        <v>128</v>
      </c>
      <c r="F37" s="18" t="s">
        <v>220</v>
      </c>
      <c r="G37" s="18"/>
      <c r="H37" s="18"/>
    </row>
    <row r="38" spans="1:8" x14ac:dyDescent="0.25">
      <c r="A38" s="18" t="s">
        <v>302</v>
      </c>
      <c r="B38" s="18" t="s">
        <v>302</v>
      </c>
      <c r="C38" s="18" t="s">
        <v>73</v>
      </c>
      <c r="E38" s="18" t="s">
        <v>279</v>
      </c>
      <c r="F38" s="18" t="s">
        <v>220</v>
      </c>
      <c r="G38" s="18"/>
      <c r="H38" s="18"/>
    </row>
    <row r="39" spans="1:8" x14ac:dyDescent="0.25">
      <c r="A39" s="18" t="s">
        <v>350</v>
      </c>
      <c r="B39" s="18" t="s">
        <v>350</v>
      </c>
      <c r="C39" s="18" t="s">
        <v>71</v>
      </c>
      <c r="E39" s="18" t="s">
        <v>297</v>
      </c>
      <c r="F39" s="18" t="s">
        <v>219</v>
      </c>
      <c r="G39" s="18"/>
      <c r="H39" s="18"/>
    </row>
    <row r="40" spans="1:8" x14ac:dyDescent="0.25">
      <c r="A40" s="18" t="s">
        <v>303</v>
      </c>
      <c r="B40" s="18" t="s">
        <v>347</v>
      </c>
      <c r="C40" s="18" t="s">
        <v>72</v>
      </c>
      <c r="E40" s="18" t="s">
        <v>137</v>
      </c>
      <c r="F40" s="18" t="s">
        <v>219</v>
      </c>
      <c r="G40" s="18"/>
      <c r="H40" s="18"/>
    </row>
    <row r="41" spans="1:8" x14ac:dyDescent="0.25">
      <c r="A41" s="18" t="s">
        <v>348</v>
      </c>
      <c r="B41" s="18" t="s">
        <v>348</v>
      </c>
      <c r="C41" s="18" t="s">
        <v>72</v>
      </c>
      <c r="E41" s="18" t="s">
        <v>298</v>
      </c>
      <c r="F41" s="18" t="s">
        <v>219</v>
      </c>
      <c r="G41" s="18"/>
      <c r="H41" s="18"/>
    </row>
    <row r="42" spans="1:8" x14ac:dyDescent="0.25">
      <c r="A42" s="18" t="s">
        <v>349</v>
      </c>
      <c r="B42" s="18" t="s">
        <v>349</v>
      </c>
      <c r="C42" s="18" t="s">
        <v>66</v>
      </c>
      <c r="E42" s="18" t="s">
        <v>145</v>
      </c>
      <c r="F42" s="18" t="s">
        <v>219</v>
      </c>
      <c r="G42" s="18"/>
      <c r="H42" s="18"/>
    </row>
    <row r="43" spans="1:8" x14ac:dyDescent="0.25">
      <c r="A43" s="18" t="s">
        <v>303</v>
      </c>
      <c r="B43" s="18" t="s">
        <v>303</v>
      </c>
      <c r="C43" s="18" t="s">
        <v>72</v>
      </c>
      <c r="E43" s="18" t="s">
        <v>243</v>
      </c>
      <c r="F43" s="18" t="s">
        <v>219</v>
      </c>
      <c r="G43" s="18"/>
      <c r="H43" s="18"/>
    </row>
    <row r="44" spans="1:8" x14ac:dyDescent="0.25">
      <c r="A44" s="18" t="s">
        <v>304</v>
      </c>
      <c r="B44" s="18" t="s">
        <v>304</v>
      </c>
      <c r="C44" s="18" t="s">
        <v>69</v>
      </c>
      <c r="E44" s="18" t="s">
        <v>300</v>
      </c>
      <c r="F44" s="18" t="s">
        <v>219</v>
      </c>
      <c r="G44" s="18" t="s">
        <v>346</v>
      </c>
      <c r="H44" s="18"/>
    </row>
    <row r="45" spans="1:8" x14ac:dyDescent="0.25">
      <c r="A45" s="18" t="s">
        <v>305</v>
      </c>
      <c r="B45" s="18" t="s">
        <v>304</v>
      </c>
      <c r="C45" s="18" t="s">
        <v>69</v>
      </c>
      <c r="E45" s="18" t="s">
        <v>120</v>
      </c>
      <c r="F45" s="18" t="s">
        <v>220</v>
      </c>
      <c r="G45" s="18"/>
      <c r="H45" s="18" t="s">
        <v>345</v>
      </c>
    </row>
    <row r="46" spans="1:8" x14ac:dyDescent="0.25">
      <c r="E46" s="18" t="s">
        <v>306</v>
      </c>
      <c r="F46" s="18" t="s">
        <v>220</v>
      </c>
      <c r="G46" s="18"/>
      <c r="H46" s="18" t="s">
        <v>345</v>
      </c>
    </row>
    <row r="47" spans="1:8" x14ac:dyDescent="0.25">
      <c r="E47" s="18" t="s">
        <v>307</v>
      </c>
      <c r="F47" s="18" t="s">
        <v>219</v>
      </c>
      <c r="G47" s="18"/>
      <c r="H47" s="18"/>
    </row>
    <row r="48" spans="1:8" x14ac:dyDescent="0.25">
      <c r="E48" s="18" t="s">
        <v>310</v>
      </c>
      <c r="F48" s="18" t="s">
        <v>219</v>
      </c>
      <c r="G48" s="18" t="s">
        <v>346</v>
      </c>
      <c r="H48" s="18"/>
    </row>
    <row r="49" spans="5:8" x14ac:dyDescent="0.25">
      <c r="E49" s="18" t="s">
        <v>100</v>
      </c>
      <c r="F49" s="18" t="s">
        <v>219</v>
      </c>
      <c r="G49" s="18"/>
      <c r="H49" s="18"/>
    </row>
    <row r="50" spans="5:8" x14ac:dyDescent="0.25">
      <c r="E50" s="18" t="s">
        <v>160</v>
      </c>
      <c r="F50" s="18" t="s">
        <v>219</v>
      </c>
      <c r="G50" s="18"/>
      <c r="H50" s="18"/>
    </row>
    <row r="51" spans="5:8" x14ac:dyDescent="0.25">
      <c r="E51" s="18" t="s">
        <v>136</v>
      </c>
      <c r="F51" s="18" t="s">
        <v>220</v>
      </c>
      <c r="G51" s="18"/>
      <c r="H51" s="18" t="s">
        <v>344</v>
      </c>
    </row>
    <row r="52" spans="5:8" x14ac:dyDescent="0.25">
      <c r="E52" s="18" t="s">
        <v>144</v>
      </c>
      <c r="F52" s="18" t="s">
        <v>219</v>
      </c>
      <c r="G52" s="18"/>
      <c r="H52" s="18"/>
    </row>
    <row r="53" spans="5:8" x14ac:dyDescent="0.25">
      <c r="E53" s="18" t="s">
        <v>328</v>
      </c>
      <c r="F53" s="18" t="s">
        <v>219</v>
      </c>
      <c r="G53" s="18"/>
      <c r="H53" s="18"/>
    </row>
    <row r="54" spans="5:8" x14ac:dyDescent="0.25">
      <c r="E54" s="18" t="s">
        <v>329</v>
      </c>
      <c r="F54" s="18" t="s">
        <v>219</v>
      </c>
      <c r="G54" s="18"/>
      <c r="H54" s="18" t="s">
        <v>338</v>
      </c>
    </row>
    <row r="55" spans="5:8" x14ac:dyDescent="0.25">
      <c r="E55" s="18" t="s">
        <v>330</v>
      </c>
      <c r="F55" s="18" t="s">
        <v>220</v>
      </c>
      <c r="G55" s="18"/>
      <c r="H55" s="18"/>
    </row>
    <row r="56" spans="5:8" x14ac:dyDescent="0.25">
      <c r="E56" s="18" t="s">
        <v>149</v>
      </c>
      <c r="F56" s="18" t="s">
        <v>219</v>
      </c>
      <c r="G56" s="18"/>
      <c r="H56" s="18"/>
    </row>
  </sheetData>
  <autoFilter ref="E1:H56"/>
  <sortState ref="A2:D64">
    <sortCondition ref="A2:A64"/>
  </sortState>
  <mergeCells count="4">
    <mergeCell ref="J2:J4"/>
    <mergeCell ref="J5:J7"/>
    <mergeCell ref="L7:P7"/>
    <mergeCell ref="J16:J1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 Datas BITOOL</vt:lpstr>
      <vt:lpstr>Claims</vt:lpstr>
      <vt:lpstr>Légendes</vt:lpstr>
    </vt:vector>
  </TitlesOfParts>
  <Company>VINCI Energies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VINCI Energies</dc:creator>
  <cp:lastModifiedBy>RODRIGUES Raphael</cp:lastModifiedBy>
  <dcterms:created xsi:type="dcterms:W3CDTF">2014-03-21T16:23:32Z</dcterms:created>
  <dcterms:modified xsi:type="dcterms:W3CDTF">2014-06-19T10:05:44Z</dcterms:modified>
</cp:coreProperties>
</file>