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slicerCaches/slicerCache11.xml" ContentType="application/vnd.ms-excel.slicerCache+xml"/>
  <Override PartName="/xl/slicerCaches/slicerCache12.xml" ContentType="application/vnd.ms-excel.slicerCache+xml"/>
  <Override PartName="/xl/slicerCaches/slicerCache13.xml" ContentType="application/vnd.ms-excel.slicerCache+xml"/>
  <Override PartName="/xl/slicerCaches/slicerCache14.xml" ContentType="application/vnd.ms-excel.slicerCache+xml"/>
  <Override PartName="/xl/slicerCaches/slicerCache15.xml" ContentType="application/vnd.ms-excel.slicerCache+xml"/>
  <Override PartName="/xl/slicerCaches/slicerCache16.xml" ContentType="application/vnd.ms-excel.slicerCache+xml"/>
  <Override PartName="/xl/slicerCaches/slicerCache17.xml" ContentType="application/vnd.ms-excel.slicerCache+xml"/>
  <Override PartName="/xl/slicerCaches/slicerCache18.xml" ContentType="application/vnd.ms-excel.slicerCache+xml"/>
  <Override PartName="/xl/slicerCaches/slicerCache19.xml" ContentType="application/vnd.ms-excel.slicerCache+xml"/>
  <Override PartName="/xl/slicerCaches/slicerCache20.xml" ContentType="application/vnd.ms-excel.slicerCache+xml"/>
  <Override PartName="/xl/slicerCaches/slicerCache21.xml" ContentType="application/vnd.ms-excel.slicerCache+xml"/>
  <Override PartName="/xl/slicerCaches/slicerCache22.xml" ContentType="application/vnd.ms-excel.slicerCache+xml"/>
  <Override PartName="/xl/slicerCaches/slicerCache23.xml" ContentType="application/vnd.ms-excel.slicerCache+xml"/>
  <Override PartName="/xl/slicerCaches/slicerCache24.xml" ContentType="application/vnd.ms-excel.slicerCache+xml"/>
  <Override PartName="/xl/slicerCaches/slicerCache25.xml" ContentType="application/vnd.ms-excel.slicerCache+xml"/>
  <Override PartName="/xl/slicerCaches/slicerCache26.xml" ContentType="application/vnd.ms-excel.slicerCache+xml"/>
  <Override PartName="/xl/slicerCaches/slicerCache27.xml" ContentType="application/vnd.ms-excel.slicerCache+xml"/>
  <Override PartName="/xl/slicerCaches/slicerCache28.xml" ContentType="application/vnd.ms-excel.slicerCache+xml"/>
  <Override PartName="/xl/slicerCaches/slicerCache29.xml" ContentType="application/vnd.ms-excel.slicerCache+xml"/>
  <Override PartName="/xl/slicerCaches/slicerCache30.xml" ContentType="application/vnd.ms-excel.slicerCache+xml"/>
  <Override PartName="/xl/slicerCaches/slicerCache31.xml" ContentType="application/vnd.ms-excel.slicerCache+xml"/>
  <Override PartName="/xl/slicerCaches/slicerCache32.xml" ContentType="application/vnd.ms-excel.slicerCache+xml"/>
  <Override PartName="/xl/slicerCaches/slicerCache33.xml" ContentType="application/vnd.ms-excel.slicerCache+xml"/>
  <Override PartName="/xl/slicerCaches/slicerCache34.xml" ContentType="application/vnd.ms-excel.slicerCache+xml"/>
  <Override PartName="/xl/slicerCaches/slicerCache35.xml" ContentType="application/vnd.ms-excel.slicerCache+xml"/>
  <Override PartName="/xl/slicerCaches/slicerCache36.xml" ContentType="application/vnd.ms-excel.slicerCache+xml"/>
  <Override PartName="/xl/slicerCaches/slicerCache37.xml" ContentType="application/vnd.ms-excel.slicerCache+xml"/>
  <Override PartName="/xl/slicerCaches/slicerCache38.xml" ContentType="application/vnd.ms-excel.slicerCache+xml"/>
  <Override PartName="/xl/slicerCaches/slicerCache39.xml" ContentType="application/vnd.ms-excel.slicerCache+xml"/>
  <Override PartName="/xl/slicerCaches/slicerCache40.xml" ContentType="application/vnd.ms-excel.slicerCache+xml"/>
  <Override PartName="/xl/slicerCaches/slicerCache41.xml" ContentType="application/vnd.ms-excel.slicerCache+xml"/>
  <Override PartName="/xl/slicerCaches/slicerCache42.xml" ContentType="application/vnd.ms-excel.slicerCache+xml"/>
  <Override PartName="/xl/slicerCaches/slicerCache43.xml" ContentType="application/vnd.ms-excel.slicerCache+xml"/>
  <Override PartName="/xl/slicerCaches/slicerCache44.xml" ContentType="application/vnd.ms-excel.slicerCache+xml"/>
  <Override PartName="/xl/slicerCaches/slicerCache45.xml" ContentType="application/vnd.ms-excel.slicerCache+xml"/>
  <Override PartName="/xl/slicerCaches/slicerCache46.xml" ContentType="application/vnd.ms-excel.slicerCache+xml"/>
  <Override PartName="/xl/slicerCaches/slicerCache47.xml" ContentType="application/vnd.ms-excel.slicerCache+xml"/>
  <Override PartName="/xl/slicerCaches/slicerCache48.xml" ContentType="application/vnd.ms-excel.slicerCache+xml"/>
  <Override PartName="/xl/slicerCaches/slicerCache49.xml" ContentType="application/vnd.ms-excel.slicerCache+xml"/>
  <Override PartName="/xl/slicerCaches/slicerCache50.xml" ContentType="application/vnd.ms-excel.slicerCache+xml"/>
  <Override PartName="/xl/slicerCaches/slicerCache51.xml" ContentType="application/vnd.ms-excel.slicerCache+xml"/>
  <Override PartName="/xl/slicerCaches/slicerCache52.xml" ContentType="application/vnd.ms-excel.slicerCache+xml"/>
  <Override PartName="/xl/slicerCaches/slicerCache53.xml" ContentType="application/vnd.ms-excel.slicerCache+xml"/>
  <Override PartName="/xl/slicerCaches/slicerCache54.xml" ContentType="application/vnd.ms-excel.slicerCache+xml"/>
  <Override PartName="/xl/slicerCaches/slicerCache55.xml" ContentType="application/vnd.ms-excel.slicerCache+xml"/>
  <Override PartName="/xl/slicerCaches/slicerCache56.xml" ContentType="application/vnd.ms-excel.slicerCache+xml"/>
  <Override PartName="/xl/slicerCaches/slicerCache57.xml" ContentType="application/vnd.ms-excel.slicerCache+xml"/>
  <Override PartName="/xl/slicerCaches/slicerCache58.xml" ContentType="application/vnd.ms-excel.slicerCache+xml"/>
  <Override PartName="/xl/slicerCaches/slicerCache59.xml" ContentType="application/vnd.ms-excel.slicerCache+xml"/>
  <Override PartName="/xl/slicerCaches/slicerCache60.xml" ContentType="application/vnd.ms-excel.slicerCache+xml"/>
  <Override PartName="/xl/slicerCaches/slicerCache61.xml" ContentType="application/vnd.ms-excel.slicerCache+xml"/>
  <Override PartName="/xl/slicerCaches/slicerCache62.xml" ContentType="application/vnd.ms-excel.slicerCache+xml"/>
  <Override PartName="/xl/slicerCaches/slicerCache6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3.xml" ContentType="application/vnd.openxmlformats-officedocument.drawing+xml"/>
  <Override PartName="/xl/tables/table12.xml" ContentType="application/vnd.openxmlformats-officedocument.spreadsheetml.table+xml"/>
  <Override PartName="/xl/slicers/slicer1.xml" ContentType="application/vnd.ms-excel.slicer+xml"/>
  <Override PartName="/xl/drawings/drawing4.xml" ContentType="application/vnd.openxmlformats-officedocument.drawing+xml"/>
  <Override PartName="/xl/tables/table13.xml" ContentType="application/vnd.openxmlformats-officedocument.spreadsheetml.table+xml"/>
  <Override PartName="/xl/slicers/slicer2.xml" ContentType="application/vnd.ms-excel.slicer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4.xml" ContentType="application/vnd.openxmlformats-officedocument.spreadsheetml.table+xml"/>
  <Override PartName="/xl/slicers/slicer3.xml" ContentType="application/vnd.ms-excel.slicer+xml"/>
  <Override PartName="/xl/drawings/drawing6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5.xml" ContentType="application/vnd.openxmlformats-officedocument.spreadsheetml.table+xml"/>
  <Override PartName="/xl/slicers/slicer4.xml" ContentType="application/vnd.ms-excel.slicer+xml"/>
  <Override PartName="/xl/drawings/drawing7.xml" ContentType="application/vnd.openxmlformats-officedocument.drawing+xml"/>
  <Override PartName="/xl/tables/table16.xml" ContentType="application/vnd.openxmlformats-officedocument.spreadsheetml.table+xml"/>
  <Override PartName="/xl/slicers/slicer5.xml" ContentType="application/vnd.ms-excel.slicer+xml"/>
  <Override PartName="/xl/drawings/drawing8.xml" ContentType="application/vnd.openxmlformats-officedocument.drawing+xml"/>
  <Override PartName="/xl/tables/table17.xml" ContentType="application/vnd.openxmlformats-officedocument.spreadsheetml.table+xml"/>
  <Override PartName="/xl/slicers/slicer6.xml" ContentType="application/vnd.ms-excel.slicer+xml"/>
  <Override PartName="/xl/drawings/drawing9.xml" ContentType="application/vnd.openxmlformats-officedocument.drawing+xml"/>
  <Override PartName="/xl/tables/table18.xml" ContentType="application/vnd.openxmlformats-officedocument.spreadsheetml.table+xml"/>
  <Override PartName="/xl/slicers/slicer7.xml" ContentType="application/vnd.ms-excel.slicer+xml"/>
  <Override PartName="/xl/drawings/drawing10.xml" ContentType="application/vnd.openxmlformats-officedocument.drawing+xml"/>
  <Override PartName="/xl/tables/table19.xml" ContentType="application/vnd.openxmlformats-officedocument.spreadsheetml.table+xml"/>
  <Override PartName="/xl/slicers/slicer8.xml" ContentType="application/vnd.ms-excel.slicer+xml"/>
  <Override PartName="/xl/drawings/drawing11.xml" ContentType="application/vnd.openxmlformats-officedocument.drawing+xml"/>
  <Override PartName="/xl/tables/table20.xml" ContentType="application/vnd.openxmlformats-officedocument.spreadsheetml.table+xml"/>
  <Override PartName="/xl/slicers/slicer9.xml" ContentType="application/vnd.ms-excel.slicer+xml"/>
  <Override PartName="/xl/drawings/drawing12.xml" ContentType="application/vnd.openxmlformats-officedocument.drawing+xml"/>
  <Override PartName="/xl/tables/table21.xml" ContentType="application/vnd.openxmlformats-officedocument.spreadsheetml.table+xml"/>
  <Override PartName="/xl/slicers/slicer10.xml" ContentType="application/vnd.ms-excel.slicer+xml"/>
  <Override PartName="/xl/drawings/drawing13.xml" ContentType="application/vnd.openxmlformats-officedocument.drawing+xml"/>
  <Override PartName="/xl/tables/table22.xml" ContentType="application/vnd.openxmlformats-officedocument.spreadsheetml.table+xml"/>
  <Override PartName="/xl/slicers/slicer11.xml" ContentType="application/vnd.ms-excel.slicer+xml"/>
  <Override PartName="/xl/drawings/drawing14.xml" ContentType="application/vnd.openxmlformats-officedocument.drawing+xml"/>
  <Override PartName="/xl/tables/table23.xml" ContentType="application/vnd.openxmlformats-officedocument.spreadsheetml.table+xml"/>
  <Override PartName="/xl/slicers/slicer12.xml" ContentType="application/vnd.ms-excel.slicer+xml"/>
  <Override PartName="/xl/drawings/drawing15.xml" ContentType="application/vnd.openxmlformats-officedocument.drawing+xml"/>
  <Override PartName="/xl/tables/table24.xml" ContentType="application/vnd.openxmlformats-officedocument.spreadsheetml.table+xml"/>
  <Override PartName="/xl/slicers/slicer13.xml" ContentType="application/vnd.ms-excel.slicer+xml"/>
  <Override PartName="/xl/drawings/drawing16.xml" ContentType="application/vnd.openxmlformats-officedocument.drawing+xml"/>
  <Override PartName="/xl/tables/table25.xml" ContentType="application/vnd.openxmlformats-officedocument.spreadsheetml.table+xml"/>
  <Override PartName="/xl/slicers/slicer14.xml" ContentType="application/vnd.ms-excel.slicer+xml"/>
  <Override PartName="/xl/drawings/drawing17.xml" ContentType="application/vnd.openxmlformats-officedocument.drawing+xml"/>
  <Override PartName="/xl/tables/table26.xml" ContentType="application/vnd.openxmlformats-officedocument.spreadsheetml.table+xml"/>
  <Override PartName="/xl/slicers/slicer15.xml" ContentType="application/vnd.ms-excel.slicer+xml"/>
  <Override PartName="/xl/drawings/drawing18.xml" ContentType="application/vnd.openxmlformats-officedocument.drawing+xml"/>
  <Override PartName="/xl/tables/table27.xml" ContentType="application/vnd.openxmlformats-officedocument.spreadsheetml.table+xml"/>
  <Override PartName="/xl/slicers/slicer16.xml" ContentType="application/vnd.ms-excel.slicer+xml"/>
  <Override PartName="/xl/drawings/drawing19.xml" ContentType="application/vnd.openxmlformats-officedocument.drawing+xml"/>
  <Override PartName="/xl/tables/table28.xml" ContentType="application/vnd.openxmlformats-officedocument.spreadsheetml.table+xml"/>
  <Override PartName="/xl/slicers/slicer17.xml" ContentType="application/vnd.ms-excel.slicer+xml"/>
  <Override PartName="/xl/drawings/drawing20.xml" ContentType="application/vnd.openxmlformats-officedocument.drawing+xml"/>
  <Override PartName="/xl/tables/table29.xml" ContentType="application/vnd.openxmlformats-officedocument.spreadsheetml.table+xml"/>
  <Override PartName="/xl/slicers/slicer18.xml" ContentType="application/vnd.ms-excel.slicer+xml"/>
  <Override PartName="/xl/drawings/drawing21.xml" ContentType="application/vnd.openxmlformats-officedocument.drawing+xml"/>
  <Override PartName="/xl/tables/table30.xml" ContentType="application/vnd.openxmlformats-officedocument.spreadsheetml.table+xml"/>
  <Override PartName="/xl/slicers/slicer19.xml" ContentType="application/vnd.ms-excel.slicer+xml"/>
  <Override PartName="/xl/drawings/drawing22.xml" ContentType="application/vnd.openxmlformats-officedocument.drawing+xml"/>
  <Override PartName="/xl/tables/table31.xml" ContentType="application/vnd.openxmlformats-officedocument.spreadsheetml.table+xml"/>
  <Override PartName="/xl/slicers/slicer20.xml" ContentType="application/vnd.ms-excel.slicer+xml"/>
  <Override PartName="/xl/drawings/drawing23.xml" ContentType="application/vnd.openxmlformats-officedocument.drawing+xml"/>
  <Override PartName="/xl/tables/table32.xml" ContentType="application/vnd.openxmlformats-officedocument.spreadsheetml.table+xml"/>
  <Override PartName="/xl/slicers/slicer21.xml" ContentType="application/vnd.ms-excel.slicer+xml"/>
  <Override PartName="/xl/drawings/drawing24.xml" ContentType="application/vnd.openxmlformats-officedocument.drawing+xml"/>
  <Override PartName="/xl/tables/table33.xml" ContentType="application/vnd.openxmlformats-officedocument.spreadsheetml.table+xml"/>
  <Override PartName="/xl/slicers/slicer22.xml" ContentType="application/vnd.ms-excel.slicer+xml"/>
  <Override PartName="/xl/drawings/drawing25.xml" ContentType="application/vnd.openxmlformats-officedocument.drawing+xml"/>
  <Override PartName="/xl/tables/table34.xml" ContentType="application/vnd.openxmlformats-officedocument.spreadsheetml.table+xml"/>
  <Override PartName="/xl/slicers/slicer23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Weigel\Desktop\Divers\stcok_matière_ens\"/>
    </mc:Choice>
  </mc:AlternateContent>
  <bookViews>
    <workbookView xWindow="240" yWindow="105" windowWidth="14805" windowHeight="8010" tabRatio="855" activeTab="2"/>
  </bookViews>
  <sheets>
    <sheet name="Accueil" sheetId="6" r:id="rId1"/>
    <sheet name="Paramètre" sheetId="2" r:id="rId2"/>
    <sheet name="Rond" sheetId="5" r:id="rId3"/>
    <sheet name="Carré" sheetId="8" state="hidden" r:id="rId4"/>
    <sheet name="Plaque" sheetId="9" state="hidden" r:id="rId5"/>
    <sheet name="Tole" sheetId="10" state="hidden" r:id="rId6"/>
    <sheet name="Plat" sheetId="11" state="hidden" r:id="rId7"/>
    <sheet name="Disque" sheetId="12" state="hidden" r:id="rId8"/>
    <sheet name="Tube_rond" sheetId="13" state="hidden" r:id="rId9"/>
    <sheet name="Tube_carré" sheetId="14" state="hidden" r:id="rId10"/>
    <sheet name="Tube_rectangulaire" sheetId="15" state="hidden" r:id="rId11"/>
    <sheet name="T" sheetId="17" state="hidden" r:id="rId12"/>
    <sheet name="U" sheetId="18" state="hidden" r:id="rId13"/>
    <sheet name="L" sheetId="16" state="hidden" r:id="rId14"/>
    <sheet name="IPE" sheetId="19" state="hidden" r:id="rId15"/>
    <sheet name="IPN" sheetId="20" state="hidden" r:id="rId16"/>
    <sheet name="IPEA" sheetId="21" state="hidden" r:id="rId17"/>
    <sheet name="HEA" sheetId="22" state="hidden" r:id="rId18"/>
    <sheet name="HEB" sheetId="23" state="hidden" r:id="rId19"/>
    <sheet name="HEM" sheetId="24" state="hidden" r:id="rId20"/>
    <sheet name="UPN" sheetId="25" state="hidden" r:id="rId21"/>
    <sheet name="UPE" sheetId="26" state="hidden" r:id="rId22"/>
    <sheet name="UAP" sheetId="27" state="hidden" r:id="rId23"/>
    <sheet name="Mouvement" sheetId="7" r:id="rId24"/>
    <sheet name="Divers" sheetId="28" state="hidden" r:id="rId25"/>
  </sheets>
  <definedNames>
    <definedName name="plag_emplacement" localSheetId="24">tab_emplacement[]</definedName>
    <definedName name="plag_emplacement">tab_emplacement[]</definedName>
    <definedName name="plag_HEA" localSheetId="24">tab_donnee_hea[HEA]</definedName>
    <definedName name="plag_HEA">tab_donnee_hea[HEA]</definedName>
    <definedName name="plag_HEB" localSheetId="24">tab_donnee_heb[HEB]</definedName>
    <definedName name="plag_HEB">tab_donnee_heb[HEB]</definedName>
    <definedName name="plag_HEM" localSheetId="24">tab_donnee_hem[HEM]</definedName>
    <definedName name="plag_HEM">tab_donnee_hem[HEM]</definedName>
    <definedName name="plag_IPE" localSheetId="24">tab__donnee_ipe[IPE]</definedName>
    <definedName name="plag_IPE">tab__donnee_ipe[IPE]</definedName>
    <definedName name="plag_IPEA" localSheetId="24">tab_donnee_ipea[IPEA]</definedName>
    <definedName name="plag_IPEA">tab_donnee_ipea[IPEA]</definedName>
    <definedName name="plag_IPN" localSheetId="24">tab_donnee_ipn[IPN]</definedName>
    <definedName name="plag_IPN">tab_donnee_ipn[IPN]</definedName>
    <definedName name="plag_matériaux" localSheetId="24">tab_matériaux[Matériaux]</definedName>
    <definedName name="plag_matériaux">tab_matériaux[Matériaux]</definedName>
    <definedName name="plag_UAP" localSheetId="24">tab_donnee_uap[UAP]</definedName>
    <definedName name="plag_UAP">tab_donnee_uap[UAP]</definedName>
    <definedName name="plag_UPE" localSheetId="24">tab_donnee_upe[UPE]</definedName>
    <definedName name="plag_UPE">tab_donnee_upe[UPE]</definedName>
    <definedName name="plag_UPN" localSheetId="24">tab_donnee_upn[UPN]</definedName>
    <definedName name="plag_UPN">tab_donnee_upn[UPN]</definedName>
    <definedName name="seg_famille_rond">#N/A</definedName>
    <definedName name="seg_famille_rond1">#N/A</definedName>
    <definedName name="seg_famille_rond2">#N/A</definedName>
    <definedName name="seg_famille_rond21">#N/A</definedName>
    <definedName name="seg_famille_rond211">#N/A</definedName>
    <definedName name="seg_famille_rond22">#N/A</definedName>
    <definedName name="seg_famille_rond23">#N/A</definedName>
    <definedName name="seg_famille_rond231">#N/A</definedName>
    <definedName name="seg_famille_rond2311">#N/A</definedName>
    <definedName name="seg_famille_rond23111">#N/A</definedName>
    <definedName name="seg_famille_rond231111">#N/A</definedName>
    <definedName name="seg_famille_rond3">#N/A</definedName>
    <definedName name="seg_matériaux_rond">#N/A</definedName>
    <definedName name="seg_matériaux_rond1">#N/A</definedName>
    <definedName name="seg_matériaux_rond2">#N/A</definedName>
    <definedName name="seg_matériaux_rond21">#N/A</definedName>
    <definedName name="seg_matériaux_rond211">#N/A</definedName>
    <definedName name="seg_matériaux_rond22">#N/A</definedName>
    <definedName name="seg_matériaux_rond23">#N/A</definedName>
    <definedName name="seg_matériaux_rond231">#N/A</definedName>
    <definedName name="seg_matériaux_rond2311">#N/A</definedName>
    <definedName name="seg_matériaux_rond23111">#N/A</definedName>
    <definedName name="seg_matériaux_rond231111">#N/A</definedName>
    <definedName name="seg_matériaux_rond2311111">#N/A</definedName>
    <definedName name="seg_matériaux_rond23111111">#N/A</definedName>
    <definedName name="seg_matériaux_rond231111111">#N/A</definedName>
    <definedName name="seg_matériaux_rond2311111111">#N/A</definedName>
    <definedName name="seg_matériaux_rond23111111111">#N/A</definedName>
    <definedName name="seg_matériaux_rond231111111111">#N/A</definedName>
    <definedName name="seg_matériaux_rond2311111111111">#N/A</definedName>
    <definedName name="seg_matériaux_rond23111111111111">#N/A</definedName>
    <definedName name="seg_matériaux_rond231111111111111">#N/A</definedName>
    <definedName name="seg_matériaux_rond2311111111111111">#N/A</definedName>
    <definedName name="seg_matériaux_rond3">#N/A</definedName>
    <definedName name="Segment_date_du_mouvement">#N/A</definedName>
    <definedName name="Segment_épaisseur__mm">#N/A</definedName>
    <definedName name="Segment_épaisseur__mm1">#N/A</definedName>
    <definedName name="Segment_épaisseur__mm2">#N/A</definedName>
    <definedName name="Segment_épaisseur__mm3">#N/A</definedName>
    <definedName name="Segment_épaisseur__mm31">#N/A</definedName>
    <definedName name="Segment_épaisseur__mm311">#N/A</definedName>
    <definedName name="Segment_épaisseur__mm3111">#N/A</definedName>
    <definedName name="Segment_épaisseur__mm31111">#N/A</definedName>
    <definedName name="Segment_Format">#N/A</definedName>
    <definedName name="Segment_Largueur___basse__mm">#N/A</definedName>
    <definedName name="Segment_Largueur___basse__mm1">#N/A</definedName>
    <definedName name="Segment_Largueur___basse__mm2">#N/A</definedName>
    <definedName name="Segment_Largueur___basse__mm21">#N/A</definedName>
    <definedName name="Segment_Largueur___basse__mm211">#N/A</definedName>
    <definedName name="Segment_Largueur___basse__mm2111">#N/A</definedName>
    <definedName name="Segment_Largueur___basse__mm21111">#N/A</definedName>
    <definedName name="Segment_Ø__mm">#N/A</definedName>
    <definedName name="Segment_Ø__mm1">#N/A</definedName>
    <definedName name="Segment_Profils">#N/A</definedName>
    <definedName name="Segment_Profils1">#N/A</definedName>
    <definedName name="Segment_Profils2">#N/A</definedName>
    <definedName name="Segment_Profils3">#N/A</definedName>
    <definedName name="Segment_Profils4">#N/A</definedName>
    <definedName name="Segment_Profils5">#N/A</definedName>
    <definedName name="Segment_Profils6">#N/A</definedName>
    <definedName name="Segment_Profils7">#N/A</definedName>
    <definedName name="Segment_Profils8">#N/A</definedName>
    <definedName name="Segment_Profils81">#N/A</definedName>
    <definedName name="_xlnm.Print_Area" localSheetId="1">tab_matériaux[#All]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6"/>
        <x14:slicerCache r:id="rId27"/>
        <x14:slicerCache r:id="rId28"/>
        <x14:slicerCache r:id="rId29"/>
        <x14:slicerCache r:id="rId30"/>
        <x14:slicerCache r:id="rId31"/>
        <x14:slicerCache r:id="rId32"/>
        <x14:slicerCache r:id="rId33"/>
        <x14:slicerCache r:id="rId34"/>
        <x14:slicerCache r:id="rId35"/>
        <x14:slicerCache r:id="rId36"/>
        <x14:slicerCache r:id="rId37"/>
        <x14:slicerCache r:id="rId38"/>
        <x14:slicerCache r:id="rId39"/>
        <x14:slicerCache r:id="rId40"/>
        <x14:slicerCache r:id="rId41"/>
        <x14:slicerCache r:id="rId42"/>
        <x14:slicerCache r:id="rId43"/>
        <x14:slicerCache r:id="rId44"/>
        <x14:slicerCache r:id="rId45"/>
        <x14:slicerCache r:id="rId46"/>
        <x14:slicerCache r:id="rId47"/>
        <x14:slicerCache r:id="rId48"/>
        <x14:slicerCache r:id="rId49"/>
        <x14:slicerCache r:id="rId50"/>
        <x14:slicerCache r:id="rId51"/>
        <x14:slicerCache r:id="rId52"/>
        <x14:slicerCache r:id="rId53"/>
        <x14:slicerCache r:id="rId54"/>
        <x14:slicerCache r:id="rId55"/>
        <x14:slicerCache r:id="rId56"/>
        <x14:slicerCache r:id="rId57"/>
        <x14:slicerCache r:id="rId58"/>
        <x14:slicerCache r:id="rId59"/>
        <x14:slicerCache r:id="rId60"/>
        <x14:slicerCache r:id="rId61"/>
        <x14:slicerCache r:id="rId62"/>
        <x14:slicerCache r:id="rId63"/>
        <x14:slicerCache r:id="rId64"/>
        <x14:slicerCache r:id="rId65"/>
        <x14:slicerCache r:id="rId66"/>
        <x14:slicerCache r:id="rId67"/>
        <x14:slicerCache r:id="rId68"/>
        <x14:slicerCache r:id="rId69"/>
        <x14:slicerCache r:id="rId70"/>
        <x14:slicerCache r:id="rId71"/>
        <x14:slicerCache r:id="rId72"/>
        <x14:slicerCache r:id="rId73"/>
        <x14:slicerCache r:id="rId74"/>
        <x14:slicerCache r:id="rId75"/>
        <x14:slicerCache r:id="rId76"/>
        <x14:slicerCache r:id="rId77"/>
        <x14:slicerCache r:id="rId78"/>
        <x14:slicerCache r:id="rId79"/>
        <x14:slicerCache r:id="rId80"/>
        <x14:slicerCache r:id="rId81"/>
        <x14:slicerCache r:id="rId82"/>
        <x14:slicerCache r:id="rId83"/>
        <x14:slicerCache r:id="rId84"/>
        <x14:slicerCache r:id="rId85"/>
        <x14:slicerCache r:id="rId86"/>
        <x14:slicerCache r:id="rId87"/>
        <x14:slicerCache r:id="rId88"/>
      </x15:slicerCaches>
    </ext>
  </extLst>
</workbook>
</file>

<file path=xl/calcChain.xml><?xml version="1.0" encoding="utf-8"?>
<calcChain xmlns="http://schemas.openxmlformats.org/spreadsheetml/2006/main">
  <c r="D10" i="5" l="1"/>
  <c r="D11" i="5"/>
  <c r="D12" i="5"/>
  <c r="D13" i="5"/>
  <c r="F10" i="5"/>
  <c r="F11" i="5"/>
  <c r="F12" i="5"/>
  <c r="F13" i="5"/>
  <c r="K10" i="5"/>
  <c r="L10" i="5" s="1"/>
  <c r="O10" i="5" s="1"/>
  <c r="P10" i="5" s="1"/>
  <c r="K11" i="5"/>
  <c r="L11" i="5" s="1"/>
  <c r="O11" i="5" s="1"/>
  <c r="P11" i="5" s="1"/>
  <c r="K12" i="5"/>
  <c r="L12" i="5" s="1"/>
  <c r="O12" i="5" s="1"/>
  <c r="P12" i="5" s="1"/>
  <c r="K13" i="5"/>
  <c r="L13" i="5"/>
  <c r="O13" i="5" s="1"/>
  <c r="P13" i="5" s="1"/>
  <c r="D9" i="5"/>
  <c r="F9" i="5"/>
  <c r="K9" i="5"/>
  <c r="L9" i="5" s="1"/>
  <c r="O9" i="5" s="1"/>
  <c r="P9" i="5" s="1"/>
  <c r="D5" i="5" l="1"/>
  <c r="D6" i="5"/>
  <c r="D7" i="5"/>
  <c r="D8" i="5"/>
  <c r="F5" i="5"/>
  <c r="F6" i="5"/>
  <c r="F7" i="5"/>
  <c r="F8" i="5"/>
  <c r="K5" i="5"/>
  <c r="L5" i="5" s="1"/>
  <c r="O5" i="5" s="1"/>
  <c r="P5" i="5" s="1"/>
  <c r="K6" i="5"/>
  <c r="L6" i="5" s="1"/>
  <c r="O6" i="5" s="1"/>
  <c r="P6" i="5" s="1"/>
  <c r="K7" i="5"/>
  <c r="L7" i="5" s="1"/>
  <c r="O7" i="5" s="1"/>
  <c r="P7" i="5" s="1"/>
  <c r="K8" i="5"/>
  <c r="L8" i="5" s="1"/>
  <c r="O8" i="5" s="1"/>
  <c r="P8" i="5" s="1"/>
  <c r="K3" i="7" l="1"/>
  <c r="L3" i="26" l="1"/>
  <c r="D4" i="18" l="1"/>
  <c r="D3" i="18"/>
  <c r="D4" i="19" l="1"/>
  <c r="F4" i="19"/>
  <c r="L4" i="19"/>
  <c r="O4" i="19" s="1"/>
  <c r="P4" i="19" s="1"/>
  <c r="D3" i="27"/>
  <c r="D4" i="27"/>
  <c r="D3" i="26"/>
  <c r="D4" i="26"/>
  <c r="D3" i="25"/>
  <c r="D4" i="25"/>
  <c r="D3" i="24"/>
  <c r="D4" i="24"/>
  <c r="D3" i="22"/>
  <c r="D4" i="22"/>
  <c r="D3" i="23"/>
  <c r="D4" i="23"/>
  <c r="D3" i="21"/>
  <c r="D4" i="21"/>
  <c r="D3" i="20"/>
  <c r="D4" i="20"/>
  <c r="D3" i="19"/>
  <c r="D3" i="17"/>
  <c r="D4" i="17"/>
  <c r="D3" i="16"/>
  <c r="D4" i="16"/>
  <c r="D3" i="15"/>
  <c r="D4" i="15"/>
  <c r="D3" i="14"/>
  <c r="D4" i="14"/>
  <c r="D3" i="13"/>
  <c r="D4" i="13"/>
  <c r="D3" i="12"/>
  <c r="D4" i="12"/>
  <c r="D3" i="11"/>
  <c r="D4" i="11"/>
  <c r="D3" i="10"/>
  <c r="D4" i="10"/>
  <c r="D3" i="9"/>
  <c r="D4" i="9"/>
  <c r="D3" i="8"/>
  <c r="D4" i="8"/>
  <c r="D3" i="5"/>
  <c r="D4" i="5"/>
  <c r="O3" i="27"/>
  <c r="P3" i="27" s="1"/>
  <c r="L4" i="27"/>
  <c r="O4" i="27" s="1"/>
  <c r="P4" i="27" s="1"/>
  <c r="F4" i="27"/>
  <c r="F3" i="27"/>
  <c r="O3" i="26"/>
  <c r="P3" i="26" s="1"/>
  <c r="L4" i="26"/>
  <c r="O4" i="26" s="1"/>
  <c r="P4" i="26" s="1"/>
  <c r="F4" i="26"/>
  <c r="F3" i="26"/>
  <c r="L3" i="25"/>
  <c r="O3" i="25" s="1"/>
  <c r="P3" i="25" s="1"/>
  <c r="L4" i="25"/>
  <c r="O4" i="25" s="1"/>
  <c r="P4" i="25" s="1"/>
  <c r="F4" i="25"/>
  <c r="F3" i="25"/>
  <c r="O3" i="24"/>
  <c r="P3" i="24" s="1"/>
  <c r="L4" i="24"/>
  <c r="O4" i="24" s="1"/>
  <c r="P4" i="24" s="1"/>
  <c r="L3" i="23"/>
  <c r="O3" i="23" s="1"/>
  <c r="P3" i="23" s="1"/>
  <c r="L4" i="23"/>
  <c r="O4" i="23" s="1"/>
  <c r="P4" i="23" s="1"/>
  <c r="F4" i="24"/>
  <c r="F3" i="24"/>
  <c r="F4" i="23"/>
  <c r="F4" i="22"/>
  <c r="L4" i="22"/>
  <c r="O4" i="22" s="1"/>
  <c r="P4" i="22" s="1"/>
  <c r="F4" i="21"/>
  <c r="L4" i="21"/>
  <c r="O4" i="21" s="1"/>
  <c r="P4" i="21" s="1"/>
  <c r="F4" i="20"/>
  <c r="L4" i="20"/>
  <c r="O4" i="20" s="1"/>
  <c r="P4" i="20" s="1"/>
  <c r="F3" i="23"/>
  <c r="L3" i="22"/>
  <c r="O3" i="22" s="1"/>
  <c r="P3" i="22" s="1"/>
  <c r="F3" i="22"/>
  <c r="L3" i="21"/>
  <c r="O3" i="21" s="1"/>
  <c r="P3" i="21" s="1"/>
  <c r="F3" i="21"/>
  <c r="L3" i="20"/>
  <c r="O3" i="20" s="1"/>
  <c r="P3" i="20" s="1"/>
  <c r="F3" i="20"/>
  <c r="U2" i="22" l="1"/>
  <c r="U2" i="21"/>
  <c r="U2" i="27"/>
  <c r="U2" i="26"/>
  <c r="U2" i="25"/>
  <c r="U2" i="24"/>
  <c r="U2" i="23"/>
  <c r="U2" i="20"/>
  <c r="L3" i="19"/>
  <c r="O3" i="19" s="1"/>
  <c r="P3" i="19" s="1"/>
  <c r="F3" i="19"/>
  <c r="U2" i="19" l="1"/>
  <c r="K4" i="18"/>
  <c r="L4" i="18" s="1"/>
  <c r="K3" i="18"/>
  <c r="L3" i="18" s="1"/>
  <c r="F4" i="18"/>
  <c r="F3" i="18"/>
  <c r="K4" i="17"/>
  <c r="L4" i="17" s="1"/>
  <c r="O4" i="17" s="1"/>
  <c r="P4" i="17" s="1"/>
  <c r="F4" i="17"/>
  <c r="K3" i="17"/>
  <c r="L3" i="17" s="1"/>
  <c r="O3" i="17" s="1"/>
  <c r="P3" i="17" s="1"/>
  <c r="F3" i="17"/>
  <c r="K3" i="16"/>
  <c r="L3" i="16" s="1"/>
  <c r="O3" i="16" s="1"/>
  <c r="P3" i="16" s="1"/>
  <c r="K4" i="16"/>
  <c r="L4" i="16" s="1"/>
  <c r="O4" i="16" s="1"/>
  <c r="P4" i="16" s="1"/>
  <c r="F4" i="16"/>
  <c r="F3" i="16"/>
  <c r="K3" i="15"/>
  <c r="L3" i="15" s="1"/>
  <c r="O3" i="15" s="1"/>
  <c r="P3" i="15" s="1"/>
  <c r="K4" i="15"/>
  <c r="L4" i="15" s="1"/>
  <c r="F4" i="15"/>
  <c r="F3" i="15"/>
  <c r="K3" i="14"/>
  <c r="L3" i="14" s="1"/>
  <c r="O3" i="14" s="1"/>
  <c r="P3" i="14" s="1"/>
  <c r="K4" i="14"/>
  <c r="L4" i="14" s="1"/>
  <c r="O4" i="14" s="1"/>
  <c r="P4" i="14" s="1"/>
  <c r="F4" i="14"/>
  <c r="F3" i="14"/>
  <c r="K3" i="13"/>
  <c r="L3" i="13" s="1"/>
  <c r="O3" i="13" s="1"/>
  <c r="P3" i="13" s="1"/>
  <c r="K4" i="13"/>
  <c r="L4" i="13" s="1"/>
  <c r="O4" i="13" s="1"/>
  <c r="P4" i="13" s="1"/>
  <c r="F4" i="13"/>
  <c r="F3" i="13"/>
  <c r="F4" i="12"/>
  <c r="K4" i="12"/>
  <c r="L4" i="12"/>
  <c r="O4" i="12" s="1"/>
  <c r="P4" i="12" s="1"/>
  <c r="F3" i="12"/>
  <c r="K3" i="12"/>
  <c r="L3" i="12" s="1"/>
  <c r="O3" i="12" s="1"/>
  <c r="P3" i="12" s="1"/>
  <c r="K3" i="11"/>
  <c r="L3" i="11" s="1"/>
  <c r="O3" i="11" s="1"/>
  <c r="P3" i="11" s="1"/>
  <c r="K4" i="11"/>
  <c r="L4" i="11" s="1"/>
  <c r="O4" i="11" s="1"/>
  <c r="P4" i="11" s="1"/>
  <c r="F4" i="11"/>
  <c r="F3" i="11"/>
  <c r="K4" i="10"/>
  <c r="L4" i="10" s="1"/>
  <c r="O4" i="10" s="1"/>
  <c r="P4" i="10" s="1"/>
  <c r="F4" i="10"/>
  <c r="K3" i="10"/>
  <c r="L3" i="10" s="1"/>
  <c r="O3" i="10" s="1"/>
  <c r="P3" i="10" s="1"/>
  <c r="F3" i="10"/>
  <c r="K3" i="9"/>
  <c r="L3" i="9" s="1"/>
  <c r="O3" i="9" s="1"/>
  <c r="K4" i="9"/>
  <c r="L4" i="9" s="1"/>
  <c r="F4" i="9"/>
  <c r="F3" i="9"/>
  <c r="O4" i="15" l="1"/>
  <c r="P4" i="15" s="1"/>
  <c r="U2" i="17"/>
  <c r="U2" i="16"/>
  <c r="U2" i="14"/>
  <c r="U2" i="13"/>
  <c r="U2" i="12"/>
  <c r="U2" i="11"/>
  <c r="U2" i="10"/>
  <c r="P3" i="9"/>
  <c r="O4" i="9"/>
  <c r="P4" i="9" s="1"/>
  <c r="U2" i="15" l="1"/>
  <c r="U2" i="9"/>
  <c r="K3" i="8" l="1"/>
  <c r="L3" i="8" s="1"/>
  <c r="O3" i="8" s="1"/>
  <c r="P3" i="8" s="1"/>
  <c r="K4" i="8"/>
  <c r="L4" i="8" s="1"/>
  <c r="O4" i="8" s="1"/>
  <c r="P4" i="8" s="1"/>
  <c r="F4" i="8"/>
  <c r="F3" i="8"/>
  <c r="U2" i="8" l="1"/>
  <c r="K3" i="5"/>
  <c r="L3" i="5" s="1"/>
  <c r="O3" i="5" s="1"/>
  <c r="P3" i="5" s="1"/>
  <c r="K4" i="5"/>
  <c r="L4" i="5" s="1"/>
  <c r="O4" i="5" s="1"/>
  <c r="P4" i="5" s="1"/>
  <c r="E3" i="7"/>
  <c r="U2" i="5" l="1"/>
  <c r="F4" i="5" l="1"/>
  <c r="F3" i="5"/>
  <c r="O4" i="18"/>
  <c r="P4" i="18" s="1"/>
  <c r="O3" i="18"/>
  <c r="P3" i="18" s="1"/>
  <c r="U2" i="18" l="1"/>
  <c r="K1" i="6" s="1"/>
</calcChain>
</file>

<file path=xl/sharedStrings.xml><?xml version="1.0" encoding="utf-8"?>
<sst xmlns="http://schemas.openxmlformats.org/spreadsheetml/2006/main" count="541" uniqueCount="78">
  <si>
    <t>Code Article</t>
  </si>
  <si>
    <t>Stock théorqiue Juillet 2016 (kg)</t>
  </si>
  <si>
    <t>Poids au mètre(kg)</t>
  </si>
  <si>
    <t xml:space="preserve">Valeur marchande du stock réel </t>
  </si>
  <si>
    <t>Lieu de stockage</t>
  </si>
  <si>
    <t>Emplacement</t>
  </si>
  <si>
    <t>Format</t>
  </si>
  <si>
    <t>Famille</t>
  </si>
  <si>
    <t>Matériaux</t>
  </si>
  <si>
    <t>Inox</t>
  </si>
  <si>
    <t>Inox 304L</t>
  </si>
  <si>
    <t>Acier</t>
  </si>
  <si>
    <t>Plastique</t>
  </si>
  <si>
    <t>Cuivreux</t>
  </si>
  <si>
    <t>Alu</t>
  </si>
  <si>
    <t>UPN</t>
  </si>
  <si>
    <t>IPN</t>
  </si>
  <si>
    <t>HEA</t>
  </si>
  <si>
    <t>HEB</t>
  </si>
  <si>
    <t>7075 Fortal</t>
  </si>
  <si>
    <t>S300 Pb</t>
  </si>
  <si>
    <t>NCD</t>
  </si>
  <si>
    <t>XC18</t>
  </si>
  <si>
    <t>XC48</t>
  </si>
  <si>
    <t>Inox 316L</t>
  </si>
  <si>
    <t>PVC</t>
  </si>
  <si>
    <t>POM C</t>
  </si>
  <si>
    <t>Lexan PC</t>
  </si>
  <si>
    <t>PP</t>
  </si>
  <si>
    <t>AGS</t>
  </si>
  <si>
    <t>CD4</t>
  </si>
  <si>
    <t>PE</t>
  </si>
  <si>
    <t>7049A Zircal</t>
  </si>
  <si>
    <t>PTFE</t>
  </si>
  <si>
    <t>Cuivre</t>
  </si>
  <si>
    <t>Laiton</t>
  </si>
  <si>
    <t>35NCD16</t>
  </si>
  <si>
    <t>Tôle bleue</t>
  </si>
  <si>
    <t>PC</t>
  </si>
  <si>
    <t>PMMA</t>
  </si>
  <si>
    <t>PMMA blanc</t>
  </si>
  <si>
    <t>S235</t>
  </si>
  <si>
    <t>Galva</t>
  </si>
  <si>
    <t>Etire</t>
  </si>
  <si>
    <t>ALU 6060</t>
  </si>
  <si>
    <t>Bronze</t>
  </si>
  <si>
    <t>Surface m²</t>
  </si>
  <si>
    <t>Largueur/basse (mm)</t>
  </si>
  <si>
    <t>hauteur (mm)</t>
  </si>
  <si>
    <t>épaisseur (mm)</t>
  </si>
  <si>
    <t>Densité
(Kg/m3)</t>
  </si>
  <si>
    <t>Ø (mm)</t>
  </si>
  <si>
    <t>nbr</t>
  </si>
  <si>
    <t>Poids du stock réel (Kg)</t>
  </si>
  <si>
    <t>IPE</t>
  </si>
  <si>
    <t>IPEA</t>
  </si>
  <si>
    <t>HEM</t>
  </si>
  <si>
    <t>UPE</t>
  </si>
  <si>
    <t>UAP</t>
  </si>
  <si>
    <t>date du mouvement</t>
  </si>
  <si>
    <t>Stock avant ajustement</t>
  </si>
  <si>
    <t>Stock après ajustement</t>
  </si>
  <si>
    <t>Largueur /
basse (mm)</t>
  </si>
  <si>
    <t>Stock réel (mm)</t>
  </si>
  <si>
    <t>Stock réel (m²)</t>
  </si>
  <si>
    <t>Profils</t>
  </si>
  <si>
    <t>Commentaire</t>
  </si>
  <si>
    <r>
      <t xml:space="preserve">Sortie (mm)
</t>
    </r>
    <r>
      <rPr>
        <b/>
        <sz val="16"/>
        <rFont val="Arial"/>
        <family val="2"/>
      </rPr>
      <t>-</t>
    </r>
  </si>
  <si>
    <r>
      <t xml:space="preserve">Sortie
</t>
    </r>
    <r>
      <rPr>
        <sz val="16"/>
        <rFont val="Arial"/>
        <family val="2"/>
      </rPr>
      <t>-</t>
    </r>
  </si>
  <si>
    <r>
      <t xml:space="preserve">Entrée
</t>
    </r>
    <r>
      <rPr>
        <sz val="16"/>
        <rFont val="Arial"/>
        <family val="2"/>
      </rPr>
      <t>+</t>
    </r>
  </si>
  <si>
    <r>
      <t xml:space="preserve">Entree (mm)
</t>
    </r>
    <r>
      <rPr>
        <b/>
        <sz val="16"/>
        <rFont val="Arial"/>
        <family val="2"/>
      </rPr>
      <t>+</t>
    </r>
  </si>
  <si>
    <r>
      <t xml:space="preserve">Entree (m²)
</t>
    </r>
    <r>
      <rPr>
        <b/>
        <sz val="16"/>
        <rFont val="Arial"/>
        <family val="2"/>
      </rPr>
      <t>+</t>
    </r>
  </si>
  <si>
    <r>
      <t xml:space="preserve">Sortie (m²)
</t>
    </r>
    <r>
      <rPr>
        <b/>
        <sz val="16"/>
        <rFont val="Arial"/>
        <family val="2"/>
      </rPr>
      <t>-</t>
    </r>
  </si>
  <si>
    <t>Estimation valeur totale du stock:</t>
  </si>
  <si>
    <t>Dimensions</t>
  </si>
  <si>
    <t>Prix HT/Kg</t>
  </si>
  <si>
    <t>AU4G</t>
  </si>
  <si>
    <t>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</si>
</sst>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0;[Red]0.00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8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name val="Arial"/>
      <family val="2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1454817346722"/>
      </left>
      <right/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45066682943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</borders>
  <cellStyleXfs count="2">
    <xf numFmtId="0" fontId="0" fillId="0" borderId="0"/>
    <xf numFmtId="0" fontId="2" fillId="0" borderId="0"/>
  </cellStyleXfs>
  <cellXfs count="92">
    <xf numFmtId="0" fontId="0" fillId="0" borderId="0" xfId="0"/>
    <xf numFmtId="0" fontId="1" fillId="0" borderId="0" xfId="0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2" fontId="1" fillId="0" borderId="0" xfId="0" applyNumberFormat="1" applyFont="1" applyBorder="1" applyAlignment="1" applyProtection="1">
      <alignment horizontal="center"/>
      <protection locked="0"/>
    </xf>
    <xf numFmtId="2" fontId="4" fillId="0" borderId="0" xfId="0" applyNumberFormat="1" applyFont="1" applyBorder="1" applyAlignment="1" applyProtection="1">
      <alignment horizontal="center"/>
      <protection locked="0"/>
    </xf>
    <xf numFmtId="2" fontId="1" fillId="0" borderId="0" xfId="0" applyNumberFormat="1" applyFont="1" applyAlignment="1" applyProtection="1">
      <alignment horizontal="center"/>
      <protection locked="0"/>
    </xf>
    <xf numFmtId="2" fontId="4" fillId="0" borderId="0" xfId="0" applyNumberFormat="1" applyFont="1" applyAlignment="1" applyProtection="1">
      <alignment horizontal="center"/>
      <protection locked="0"/>
    </xf>
    <xf numFmtId="165" fontId="1" fillId="0" borderId="0" xfId="0" applyNumberFormat="1" applyFont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2" fontId="1" fillId="4" borderId="1" xfId="0" applyNumberFormat="1" applyFont="1" applyFill="1" applyBorder="1" applyAlignment="1" applyProtection="1">
      <alignment horizontal="center"/>
      <protection locked="0"/>
    </xf>
    <xf numFmtId="2" fontId="1" fillId="4" borderId="2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hidden="1"/>
    </xf>
    <xf numFmtId="2" fontId="1" fillId="0" borderId="0" xfId="0" applyNumberFormat="1" applyFont="1" applyBorder="1" applyAlignment="1" applyProtection="1">
      <alignment horizontal="center"/>
      <protection hidden="1"/>
    </xf>
    <xf numFmtId="2" fontId="4" fillId="0" borderId="0" xfId="0" applyNumberFormat="1" applyFont="1" applyBorder="1" applyAlignment="1" applyProtection="1">
      <alignment horizontal="center"/>
      <protection hidden="1"/>
    </xf>
    <xf numFmtId="2" fontId="4" fillId="0" borderId="0" xfId="0" applyNumberFormat="1" applyFont="1" applyAlignment="1" applyProtection="1">
      <alignment horizontal="center"/>
      <protection hidden="1"/>
    </xf>
    <xf numFmtId="164" fontId="1" fillId="0" borderId="0" xfId="0" applyNumberFormat="1" applyFont="1" applyBorder="1" applyAlignment="1" applyProtection="1">
      <alignment horizontal="center"/>
      <protection hidden="1"/>
    </xf>
    <xf numFmtId="164" fontId="1" fillId="0" borderId="0" xfId="0" applyNumberFormat="1" applyFont="1" applyAlignment="1" applyProtection="1">
      <alignment horizontal="center"/>
      <protection hidden="1"/>
    </xf>
    <xf numFmtId="0" fontId="0" fillId="4" borderId="0" xfId="0" applyFill="1"/>
    <xf numFmtId="0" fontId="4" fillId="0" borderId="0" xfId="0" applyFont="1" applyProtection="1">
      <protection hidden="1"/>
    </xf>
    <xf numFmtId="2" fontId="4" fillId="0" borderId="0" xfId="0" applyNumberFormat="1" applyFont="1" applyProtection="1">
      <protection hidden="1"/>
    </xf>
    <xf numFmtId="0" fontId="4" fillId="0" borderId="0" xfId="0" applyNumberFormat="1" applyFont="1" applyProtection="1"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4" fillId="0" borderId="0" xfId="0" applyFont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2" fontId="1" fillId="0" borderId="0" xfId="0" applyNumberFormat="1" applyFont="1" applyAlignment="1" applyProtection="1">
      <alignment horizontal="center" vertical="center" wrapText="1"/>
      <protection hidden="1"/>
    </xf>
    <xf numFmtId="164" fontId="0" fillId="0" borderId="0" xfId="0" applyNumberFormat="1" applyProtection="1">
      <protection hidden="1"/>
    </xf>
    <xf numFmtId="0" fontId="0" fillId="0" borderId="0" xfId="0" applyFill="1" applyBorder="1" applyProtection="1">
      <protection hidden="1"/>
    </xf>
    <xf numFmtId="49" fontId="1" fillId="0" borderId="0" xfId="0" applyNumberFormat="1" applyFont="1" applyFill="1" applyBorder="1" applyAlignment="1" applyProtection="1">
      <alignment horizontal="center"/>
      <protection hidden="1"/>
    </xf>
    <xf numFmtId="2" fontId="1" fillId="0" borderId="0" xfId="0" applyNumberFormat="1" applyFont="1" applyAlignment="1" applyProtection="1">
      <alignment horizontal="center"/>
      <protection hidden="1"/>
    </xf>
    <xf numFmtId="0" fontId="0" fillId="0" borderId="0" xfId="0" applyProtection="1"/>
    <xf numFmtId="0" fontId="6" fillId="2" borderId="0" xfId="0" applyFont="1" applyFill="1" applyAlignment="1" applyProtection="1">
      <alignment horizontal="left" vertical="top"/>
    </xf>
    <xf numFmtId="0" fontId="5" fillId="2" borderId="0" xfId="0" applyFont="1" applyFill="1" applyProtection="1"/>
    <xf numFmtId="0" fontId="1" fillId="0" borderId="0" xfId="0" applyFont="1" applyAlignment="1" applyProtection="1">
      <alignment horizontal="center"/>
    </xf>
    <xf numFmtId="0" fontId="0" fillId="0" borderId="4" xfId="0" applyFont="1" applyFill="1" applyBorder="1" applyAlignment="1" applyProtection="1">
      <alignment horizontal="center" vertical="center"/>
    </xf>
    <xf numFmtId="0" fontId="0" fillId="0" borderId="4" xfId="0" applyFont="1" applyFill="1" applyBorder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Protection="1"/>
    <xf numFmtId="0" fontId="0" fillId="0" borderId="3" xfId="0" applyFont="1" applyFill="1" applyBorder="1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0" fillId="0" borderId="5" xfId="0" applyFont="1" applyFill="1" applyBorder="1" applyAlignment="1" applyProtection="1">
      <alignment horizontal="left"/>
    </xf>
    <xf numFmtId="0" fontId="0" fillId="0" borderId="0" xfId="0" applyAlignment="1" applyProtection="1">
      <alignment horizontal="center" vertical="center"/>
      <protection hidden="1"/>
    </xf>
    <xf numFmtId="0" fontId="3" fillId="3" borderId="0" xfId="0" applyFont="1" applyFill="1" applyAlignment="1" applyProtection="1">
      <alignment horizontal="center" vertical="center" wrapText="1"/>
      <protection hidden="1"/>
    </xf>
    <xf numFmtId="0" fontId="4" fillId="0" borderId="0" xfId="0" applyFont="1" applyFill="1" applyBorder="1" applyProtection="1">
      <protection hidden="1"/>
    </xf>
    <xf numFmtId="0" fontId="4" fillId="0" borderId="0" xfId="0" applyFont="1" applyFill="1" applyProtection="1">
      <protection hidden="1"/>
    </xf>
    <xf numFmtId="49" fontId="7" fillId="0" borderId="0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hidden="1"/>
    </xf>
    <xf numFmtId="0" fontId="8" fillId="0" borderId="0" xfId="0" applyFont="1" applyBorder="1" applyAlignment="1" applyProtection="1">
      <alignment horizontal="center"/>
      <protection locked="0"/>
    </xf>
    <xf numFmtId="2" fontId="8" fillId="0" borderId="0" xfId="0" applyNumberFormat="1" applyFont="1" applyBorder="1" applyAlignment="1" applyProtection="1">
      <alignment horizontal="center"/>
      <protection hidden="1"/>
    </xf>
    <xf numFmtId="164" fontId="7" fillId="0" borderId="0" xfId="0" applyNumberFormat="1" applyFont="1" applyBorder="1" applyAlignment="1" applyProtection="1">
      <alignment horizontal="center"/>
      <protection hidden="1"/>
    </xf>
    <xf numFmtId="164" fontId="5" fillId="0" borderId="0" xfId="0" applyNumberFormat="1" applyFont="1" applyProtection="1"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1" fillId="0" borderId="0" xfId="0" applyNumberFormat="1" applyFont="1" applyBorder="1" applyAlignment="1" applyProtection="1">
      <alignment horizontal="center"/>
      <protection hidden="1"/>
    </xf>
    <xf numFmtId="0" fontId="7" fillId="0" borderId="0" xfId="0" applyNumberFormat="1" applyFont="1" applyBorder="1" applyAlignment="1" applyProtection="1">
      <alignment horizontal="center"/>
      <protection hidden="1"/>
    </xf>
    <xf numFmtId="0" fontId="7" fillId="0" borderId="0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165" fontId="1" fillId="0" borderId="0" xfId="0" applyNumberFormat="1" applyFont="1" applyAlignment="1" applyProtection="1">
      <alignment horizontal="center"/>
      <protection locked="0"/>
    </xf>
    <xf numFmtId="0" fontId="4" fillId="0" borderId="0" xfId="0" applyNumberFormat="1" applyFont="1" applyAlignment="1" applyProtection="1">
      <alignment horizontal="center"/>
      <protection locked="0"/>
    </xf>
    <xf numFmtId="2" fontId="1" fillId="0" borderId="0" xfId="0" applyNumberFormat="1" applyFont="1" applyAlignment="1">
      <alignment horizontal="center"/>
    </xf>
    <xf numFmtId="164" fontId="9" fillId="4" borderId="0" xfId="0" applyNumberFormat="1" applyFont="1" applyFill="1" applyAlignment="1" applyProtection="1">
      <protection hidden="1"/>
    </xf>
    <xf numFmtId="0" fontId="9" fillId="4" borderId="0" xfId="0" applyFont="1" applyFill="1" applyAlignment="1">
      <alignment horizontal="center" wrapText="1"/>
    </xf>
    <xf numFmtId="0" fontId="11" fillId="0" borderId="0" xfId="0" applyFont="1" applyAlignment="1" applyProtection="1">
      <alignment horizontal="center" vertical="center" wrapText="1"/>
      <protection hidden="1"/>
    </xf>
    <xf numFmtId="0" fontId="10" fillId="0" borderId="0" xfId="0" applyFont="1" applyAlignment="1" applyProtection="1">
      <alignment horizontal="center"/>
      <protection locked="0"/>
    </xf>
    <xf numFmtId="0" fontId="12" fillId="0" borderId="3" xfId="0" applyFont="1" applyFill="1" applyBorder="1" applyAlignment="1" applyProtection="1">
      <alignment horizontal="left"/>
    </xf>
    <xf numFmtId="0" fontId="3" fillId="0" borderId="0" xfId="0" applyFont="1" applyAlignment="1" applyProtection="1">
      <alignment wrapText="1"/>
      <protection hidden="1"/>
    </xf>
    <xf numFmtId="2" fontId="1" fillId="4" borderId="6" xfId="0" applyNumberFormat="1" applyFont="1" applyFill="1" applyBorder="1" applyAlignment="1" applyProtection="1">
      <alignment horizontal="center"/>
      <protection locked="0"/>
    </xf>
    <xf numFmtId="0" fontId="3" fillId="3" borderId="7" xfId="0" applyFont="1" applyFill="1" applyBorder="1" applyAlignment="1" applyProtection="1">
      <alignment horizontal="center" vertical="center" wrapText="1"/>
      <protection hidden="1"/>
    </xf>
    <xf numFmtId="0" fontId="3" fillId="3" borderId="8" xfId="0" applyFont="1" applyFill="1" applyBorder="1" applyAlignment="1" applyProtection="1">
      <alignment horizontal="center" vertical="center" wrapText="1"/>
      <protection hidden="1"/>
    </xf>
    <xf numFmtId="0" fontId="3" fillId="3" borderId="9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Protection="1">
      <protection locked="0"/>
    </xf>
    <xf numFmtId="2" fontId="4" fillId="0" borderId="0" xfId="0" applyNumberFormat="1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2" fontId="1" fillId="0" borderId="0" xfId="0" applyNumberFormat="1" applyFont="1" applyAlignment="1" applyProtection="1">
      <alignment horizontal="center" vertical="center" wrapText="1"/>
      <protection locked="0"/>
    </xf>
    <xf numFmtId="164" fontId="5" fillId="0" borderId="0" xfId="0" applyNumberFormat="1" applyFont="1" applyProtection="1">
      <protection locked="0"/>
    </xf>
    <xf numFmtId="0" fontId="0" fillId="0" borderId="0" xfId="0" applyFill="1" applyBorder="1" applyProtection="1">
      <protection locked="0"/>
    </xf>
    <xf numFmtId="164" fontId="1" fillId="0" borderId="0" xfId="0" applyNumberFormat="1" applyFont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0" fontId="1" fillId="0" borderId="0" xfId="0" applyNumberFormat="1" applyFont="1" applyBorder="1" applyAlignment="1" applyProtection="1">
      <alignment horizontal="center"/>
      <protection locked="0"/>
    </xf>
    <xf numFmtId="0" fontId="4" fillId="0" borderId="0" xfId="0" applyFont="1" applyFill="1" applyProtection="1">
      <protection locked="0"/>
    </xf>
    <xf numFmtId="0" fontId="1" fillId="0" borderId="0" xfId="0" applyNumberFormat="1" applyFont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4" fillId="0" borderId="0" xfId="0" applyFont="1" applyFill="1" applyAlignment="1" applyProtection="1">
      <alignment horizontal="center" vertical="center" wrapText="1"/>
      <protection hidden="1"/>
    </xf>
    <xf numFmtId="0" fontId="1" fillId="0" borderId="0" xfId="0" applyNumberFormat="1" applyFont="1" applyAlignment="1" applyProtection="1">
      <alignment horizontal="center"/>
      <protection hidden="1"/>
    </xf>
  </cellXfs>
  <cellStyles count="2">
    <cellStyle name="Normal" xfId="0" builtinId="0"/>
    <cellStyle name="Normal 2" xfId="1"/>
  </cellStyles>
  <dxfs count="937"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 style="thin">
          <color theme="9"/>
        </bottom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  <protection locked="1" hidden="0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numFmt numFmtId="164" formatCode="#,##0.00\ &quot;€&quot;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protection locked="0" hidden="0"/>
    </dxf>
    <dxf>
      <protection locked="1" hidden="0"/>
    </dxf>
    <dxf>
      <protection locked="0" hidden="0"/>
    </dxf>
    <dxf>
      <font>
        <b/>
      </font>
      <fill>
        <patternFill patternType="solid">
          <fgColor indexed="64"/>
          <bgColor rgb="FFFF0000"/>
        </patternFill>
      </fill>
      <alignment horizontal="left" vertical="top" textRotation="0" wrapText="0" indent="0" justifyLastLine="0" shrinkToFit="0" readingOrder="0"/>
      <protection locked="1" hidden="0"/>
    </dxf>
  </dxfs>
  <tableStyles count="0" defaultTableStyle="TableStyleMedium2" defaultPivotStyle="PivotStyleMedium9"/>
  <colors>
    <mruColors>
      <color rgb="FFF34B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7/relationships/slicerCache" Target="slicerCaches/slicerCache1.xml"/><Relationship Id="rId39" Type="http://schemas.microsoft.com/office/2007/relationships/slicerCache" Target="slicerCaches/slicerCache14.xml"/><Relationship Id="rId21" Type="http://schemas.openxmlformats.org/officeDocument/2006/relationships/worksheet" Target="worksheets/sheet21.xml"/><Relationship Id="rId34" Type="http://schemas.microsoft.com/office/2007/relationships/slicerCache" Target="slicerCaches/slicerCache9.xml"/><Relationship Id="rId42" Type="http://schemas.microsoft.com/office/2007/relationships/slicerCache" Target="slicerCaches/slicerCache17.xml"/><Relationship Id="rId47" Type="http://schemas.microsoft.com/office/2007/relationships/slicerCache" Target="slicerCaches/slicerCache22.xml"/><Relationship Id="rId50" Type="http://schemas.microsoft.com/office/2007/relationships/slicerCache" Target="slicerCaches/slicerCache25.xml"/><Relationship Id="rId55" Type="http://schemas.microsoft.com/office/2007/relationships/slicerCache" Target="slicerCaches/slicerCache30.xml"/><Relationship Id="rId63" Type="http://schemas.microsoft.com/office/2007/relationships/slicerCache" Target="slicerCaches/slicerCache38.xml"/><Relationship Id="rId68" Type="http://schemas.microsoft.com/office/2007/relationships/slicerCache" Target="slicerCaches/slicerCache43.xml"/><Relationship Id="rId76" Type="http://schemas.microsoft.com/office/2007/relationships/slicerCache" Target="slicerCaches/slicerCache51.xml"/><Relationship Id="rId84" Type="http://schemas.microsoft.com/office/2007/relationships/slicerCache" Target="slicerCaches/slicerCache59.xml"/><Relationship Id="rId89" Type="http://schemas.openxmlformats.org/officeDocument/2006/relationships/theme" Target="theme/theme1.xml"/><Relationship Id="rId7" Type="http://schemas.openxmlformats.org/officeDocument/2006/relationships/worksheet" Target="worksheets/sheet7.xml"/><Relationship Id="rId71" Type="http://schemas.microsoft.com/office/2007/relationships/slicerCache" Target="slicerCaches/slicerCache46.xml"/><Relationship Id="rId9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microsoft.com/office/2007/relationships/slicerCache" Target="slicerCaches/slicerCache4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7/relationships/slicerCache" Target="slicerCaches/slicerCache7.xml"/><Relationship Id="rId37" Type="http://schemas.microsoft.com/office/2007/relationships/slicerCache" Target="slicerCaches/slicerCache12.xml"/><Relationship Id="rId40" Type="http://schemas.microsoft.com/office/2007/relationships/slicerCache" Target="slicerCaches/slicerCache15.xml"/><Relationship Id="rId45" Type="http://schemas.microsoft.com/office/2007/relationships/slicerCache" Target="slicerCaches/slicerCache20.xml"/><Relationship Id="rId53" Type="http://schemas.microsoft.com/office/2007/relationships/slicerCache" Target="slicerCaches/slicerCache28.xml"/><Relationship Id="rId58" Type="http://schemas.microsoft.com/office/2007/relationships/slicerCache" Target="slicerCaches/slicerCache33.xml"/><Relationship Id="rId66" Type="http://schemas.microsoft.com/office/2007/relationships/slicerCache" Target="slicerCaches/slicerCache41.xml"/><Relationship Id="rId74" Type="http://schemas.microsoft.com/office/2007/relationships/slicerCache" Target="slicerCaches/slicerCache49.xml"/><Relationship Id="rId79" Type="http://schemas.microsoft.com/office/2007/relationships/slicerCache" Target="slicerCaches/slicerCache54.xml"/><Relationship Id="rId87" Type="http://schemas.microsoft.com/office/2007/relationships/slicerCache" Target="slicerCaches/slicerCache62.xml"/><Relationship Id="rId5" Type="http://schemas.openxmlformats.org/officeDocument/2006/relationships/worksheet" Target="worksheets/sheet5.xml"/><Relationship Id="rId61" Type="http://schemas.microsoft.com/office/2007/relationships/slicerCache" Target="slicerCaches/slicerCache36.xml"/><Relationship Id="rId82" Type="http://schemas.microsoft.com/office/2007/relationships/slicerCache" Target="slicerCaches/slicerCache57.xml"/><Relationship Id="rId90" Type="http://schemas.openxmlformats.org/officeDocument/2006/relationships/styles" Target="styles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7/relationships/slicerCache" Target="slicerCaches/slicerCache2.xml"/><Relationship Id="rId30" Type="http://schemas.microsoft.com/office/2007/relationships/slicerCache" Target="slicerCaches/slicerCache5.xml"/><Relationship Id="rId35" Type="http://schemas.microsoft.com/office/2007/relationships/slicerCache" Target="slicerCaches/slicerCache10.xml"/><Relationship Id="rId43" Type="http://schemas.microsoft.com/office/2007/relationships/slicerCache" Target="slicerCaches/slicerCache18.xml"/><Relationship Id="rId48" Type="http://schemas.microsoft.com/office/2007/relationships/slicerCache" Target="slicerCaches/slicerCache23.xml"/><Relationship Id="rId56" Type="http://schemas.microsoft.com/office/2007/relationships/slicerCache" Target="slicerCaches/slicerCache31.xml"/><Relationship Id="rId64" Type="http://schemas.microsoft.com/office/2007/relationships/slicerCache" Target="slicerCaches/slicerCache39.xml"/><Relationship Id="rId69" Type="http://schemas.microsoft.com/office/2007/relationships/slicerCache" Target="slicerCaches/slicerCache44.xml"/><Relationship Id="rId77" Type="http://schemas.microsoft.com/office/2007/relationships/slicerCache" Target="slicerCaches/slicerCache52.xml"/><Relationship Id="rId8" Type="http://schemas.openxmlformats.org/officeDocument/2006/relationships/worksheet" Target="worksheets/sheet8.xml"/><Relationship Id="rId51" Type="http://schemas.microsoft.com/office/2007/relationships/slicerCache" Target="slicerCaches/slicerCache26.xml"/><Relationship Id="rId72" Type="http://schemas.microsoft.com/office/2007/relationships/slicerCache" Target="slicerCaches/slicerCache47.xml"/><Relationship Id="rId80" Type="http://schemas.microsoft.com/office/2007/relationships/slicerCache" Target="slicerCaches/slicerCache55.xml"/><Relationship Id="rId85" Type="http://schemas.microsoft.com/office/2007/relationships/slicerCache" Target="slicerCaches/slicerCache60.xml"/><Relationship Id="rId93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7/relationships/slicerCache" Target="slicerCaches/slicerCache8.xml"/><Relationship Id="rId38" Type="http://schemas.microsoft.com/office/2007/relationships/slicerCache" Target="slicerCaches/slicerCache13.xml"/><Relationship Id="rId46" Type="http://schemas.microsoft.com/office/2007/relationships/slicerCache" Target="slicerCaches/slicerCache21.xml"/><Relationship Id="rId59" Type="http://schemas.microsoft.com/office/2007/relationships/slicerCache" Target="slicerCaches/slicerCache34.xml"/><Relationship Id="rId67" Type="http://schemas.microsoft.com/office/2007/relationships/slicerCache" Target="slicerCaches/slicerCache42.xml"/><Relationship Id="rId20" Type="http://schemas.openxmlformats.org/officeDocument/2006/relationships/worksheet" Target="worksheets/sheet20.xml"/><Relationship Id="rId41" Type="http://schemas.microsoft.com/office/2007/relationships/slicerCache" Target="slicerCaches/slicerCache16.xml"/><Relationship Id="rId54" Type="http://schemas.microsoft.com/office/2007/relationships/slicerCache" Target="slicerCaches/slicerCache29.xml"/><Relationship Id="rId62" Type="http://schemas.microsoft.com/office/2007/relationships/slicerCache" Target="slicerCaches/slicerCache37.xml"/><Relationship Id="rId70" Type="http://schemas.microsoft.com/office/2007/relationships/slicerCache" Target="slicerCaches/slicerCache45.xml"/><Relationship Id="rId75" Type="http://schemas.microsoft.com/office/2007/relationships/slicerCache" Target="slicerCaches/slicerCache50.xml"/><Relationship Id="rId83" Type="http://schemas.microsoft.com/office/2007/relationships/slicerCache" Target="slicerCaches/slicerCache58.xml"/><Relationship Id="rId88" Type="http://schemas.microsoft.com/office/2007/relationships/slicerCache" Target="slicerCaches/slicerCache63.xml"/><Relationship Id="rId9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7/relationships/slicerCache" Target="slicerCaches/slicerCache3.xml"/><Relationship Id="rId36" Type="http://schemas.microsoft.com/office/2007/relationships/slicerCache" Target="slicerCaches/slicerCache11.xml"/><Relationship Id="rId49" Type="http://schemas.microsoft.com/office/2007/relationships/slicerCache" Target="slicerCaches/slicerCache24.xml"/><Relationship Id="rId57" Type="http://schemas.microsoft.com/office/2007/relationships/slicerCache" Target="slicerCaches/slicerCache32.xml"/><Relationship Id="rId10" Type="http://schemas.openxmlformats.org/officeDocument/2006/relationships/worksheet" Target="worksheets/sheet10.xml"/><Relationship Id="rId31" Type="http://schemas.microsoft.com/office/2007/relationships/slicerCache" Target="slicerCaches/slicerCache6.xml"/><Relationship Id="rId44" Type="http://schemas.microsoft.com/office/2007/relationships/slicerCache" Target="slicerCaches/slicerCache19.xml"/><Relationship Id="rId52" Type="http://schemas.microsoft.com/office/2007/relationships/slicerCache" Target="slicerCaches/slicerCache27.xml"/><Relationship Id="rId60" Type="http://schemas.microsoft.com/office/2007/relationships/slicerCache" Target="slicerCaches/slicerCache35.xml"/><Relationship Id="rId65" Type="http://schemas.microsoft.com/office/2007/relationships/slicerCache" Target="slicerCaches/slicerCache40.xml"/><Relationship Id="rId73" Type="http://schemas.microsoft.com/office/2007/relationships/slicerCache" Target="slicerCaches/slicerCache48.xml"/><Relationship Id="rId78" Type="http://schemas.microsoft.com/office/2007/relationships/slicerCache" Target="slicerCaches/slicerCache53.xml"/><Relationship Id="rId81" Type="http://schemas.microsoft.com/office/2007/relationships/slicerCache" Target="slicerCaches/slicerCache56.xml"/><Relationship Id="rId86" Type="http://schemas.microsoft.com/office/2007/relationships/slicerCache" Target="slicerCaches/slicerCache6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Label" lockText="1"/>
</file>

<file path=xl/ctrlProps/ctrlProp2.xml><?xml version="1.0" encoding="utf-8"?>
<formControlPr xmlns="http://schemas.microsoft.com/office/spreadsheetml/2009/9/main" objectType="Label" lockText="1"/>
</file>

<file path=xl/ctrlProps/ctrlProp3.xml><?xml version="1.0" encoding="utf-8"?>
<formControlPr xmlns="http://schemas.microsoft.com/office/spreadsheetml/2009/9/main" objectType="Label" lockText="1"/>
</file>

<file path=xl/ctrlProps/ctrlProp4.xml><?xml version="1.0" encoding="utf-8"?>
<formControlPr xmlns="http://schemas.microsoft.com/office/spreadsheetml/2009/9/main" objectType="Label" lockText="1"/>
</file>

<file path=xl/ctrlProps/ctrlProp5.xml><?xml version="1.0" encoding="utf-8"?>
<formControlPr xmlns="http://schemas.microsoft.com/office/spreadsheetml/2009/9/main" objectType="Label" lockText="1"/>
</file>

<file path=xl/ctrlProps/ctrlProp6.xml><?xml version="1.0" encoding="utf-8"?>
<formControlPr xmlns="http://schemas.microsoft.com/office/spreadsheetml/2009/9/main" objectType="Label" lockText="1"/>
</file>

<file path=xl/ctrlProps/ctrlProp7.xml><?xml version="1.0" encoding="utf-8"?>
<formControlPr xmlns="http://schemas.microsoft.com/office/spreadsheetml/2009/9/main" objectType="Label" lockText="1"/>
</file>

<file path=xl/ctrlProps/ctrlProp8.xml><?xml version="1.0" encoding="utf-8"?>
<formControlPr xmlns="http://schemas.microsoft.com/office/spreadsheetml/2009/9/main" objectType="Label" lockText="1"/>
</file>

<file path=xl/ctrlProps/ctrlProp9.xml><?xml version="1.0" encoding="utf-8"?>
<formControlPr xmlns="http://schemas.microsoft.com/office/spreadsheetml/2009/9/main" objectType="Label" lockText="1"/>
</file>

<file path=xl/ctrlProps/ctrlProp10.xml><?xml version="1.0" encoding="utf-8"?>
<formControlPr xmlns="http://schemas.microsoft.com/office/spreadsheetml/2009/9/main" objectType="Label" lockText="1"/>
</file>

<file path=xl/ctrlProps/ctrlProp11.xml><?xml version="1.0" encoding="utf-8"?>
<formControlPr xmlns="http://schemas.microsoft.com/office/spreadsheetml/2009/9/main" objectType="Label" lockText="1"/>
</file>

<file path=xl/ctrlProps/ctrlProp12.xml><?xml version="1.0" encoding="utf-8"?>
<formControlPr xmlns="http://schemas.microsoft.com/office/spreadsheetml/2009/9/main" objectType="Label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742950</xdr:colOff>
      <xdr:row>1</xdr:row>
      <xdr:rowOff>142875</xdr:rowOff>
    </xdr:from>
    <xdr:to>
      <xdr:col>3</xdr:col>
      <xdr:colOff>542925</xdr:colOff>
      <xdr:row>3</xdr:row>
      <xdr:rowOff>142875</xdr:rowOff>
    </xdr:to>
    <xdr:sp macro="[0]!Rond" textlink="">
      <xdr:nvSpPr>
        <xdr:cNvPr id="2" name="ZoneTexte 1"/>
        <xdr:cNvSpPr txBox="1"/>
      </xdr:nvSpPr>
      <xdr:spPr>
        <a:xfrm>
          <a:off x="1504950" y="8286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Rond</a:t>
          </a:r>
        </a:p>
      </xdr:txBody>
    </xdr:sp>
    <xdr:clientData fPrintsWithSheet="0"/>
  </xdr:twoCellAnchor>
  <xdr:twoCellAnchor editAs="absolute">
    <xdr:from>
      <xdr:col>3</xdr:col>
      <xdr:colOff>752475</xdr:colOff>
      <xdr:row>0</xdr:row>
      <xdr:rowOff>104775</xdr:rowOff>
    </xdr:from>
    <xdr:to>
      <xdr:col>5</xdr:col>
      <xdr:colOff>552450</xdr:colOff>
      <xdr:row>0</xdr:row>
      <xdr:rowOff>485775</xdr:rowOff>
    </xdr:to>
    <xdr:sp macro="[0]!Navigation.Paramètre" textlink="">
      <xdr:nvSpPr>
        <xdr:cNvPr id="4" name="ZoneTexte 3"/>
        <xdr:cNvSpPr txBox="1"/>
      </xdr:nvSpPr>
      <xdr:spPr>
        <a:xfrm>
          <a:off x="3038475" y="104775"/>
          <a:ext cx="1323975" cy="381000"/>
        </a:xfrm>
        <a:prstGeom prst="bevel">
          <a:avLst/>
        </a:prstGeom>
        <a:gradFill>
          <a:gsLst>
            <a:gs pos="0">
              <a:schemeClr val="accent2">
                <a:lumMod val="20000"/>
                <a:lumOff val="80000"/>
              </a:schemeClr>
            </a:gs>
            <a:gs pos="40000">
              <a:schemeClr val="accent2">
                <a:lumMod val="40000"/>
                <a:lumOff val="60000"/>
              </a:schemeClr>
            </a:gs>
            <a:gs pos="100000">
              <a:srgbClr val="FF000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Paramètre</a:t>
          </a:r>
        </a:p>
      </xdr:txBody>
    </xdr:sp>
    <xdr:clientData fPrintsWithSheet="0"/>
  </xdr:twoCellAnchor>
  <xdr:twoCellAnchor editAs="absolute">
    <xdr:from>
      <xdr:col>3</xdr:col>
      <xdr:colOff>752475</xdr:colOff>
      <xdr:row>1</xdr:row>
      <xdr:rowOff>142875</xdr:rowOff>
    </xdr:from>
    <xdr:to>
      <xdr:col>5</xdr:col>
      <xdr:colOff>552450</xdr:colOff>
      <xdr:row>3</xdr:row>
      <xdr:rowOff>142875</xdr:rowOff>
    </xdr:to>
    <xdr:sp macro="[0]!Carré" textlink="">
      <xdr:nvSpPr>
        <xdr:cNvPr id="5" name="ZoneTexte 4"/>
        <xdr:cNvSpPr txBox="1"/>
      </xdr:nvSpPr>
      <xdr:spPr>
        <a:xfrm>
          <a:off x="3038475" y="8286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Carré</a:t>
          </a:r>
        </a:p>
      </xdr:txBody>
    </xdr:sp>
    <xdr:clientData fPrintsWithSheet="0"/>
  </xdr:twoCellAnchor>
  <xdr:twoCellAnchor editAs="absolute">
    <xdr:from>
      <xdr:col>5</xdr:col>
      <xdr:colOff>733425</xdr:colOff>
      <xdr:row>1</xdr:row>
      <xdr:rowOff>142875</xdr:rowOff>
    </xdr:from>
    <xdr:to>
      <xdr:col>7</xdr:col>
      <xdr:colOff>542925</xdr:colOff>
      <xdr:row>3</xdr:row>
      <xdr:rowOff>142875</xdr:rowOff>
    </xdr:to>
    <xdr:sp macro="[0]!Plaque" textlink="">
      <xdr:nvSpPr>
        <xdr:cNvPr id="6" name="ZoneTexte 5"/>
        <xdr:cNvSpPr txBox="1"/>
      </xdr:nvSpPr>
      <xdr:spPr>
        <a:xfrm>
          <a:off x="4543425" y="8286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Plaque</a:t>
          </a:r>
        </a:p>
      </xdr:txBody>
    </xdr:sp>
    <xdr:clientData fPrintsWithSheet="0"/>
  </xdr:twoCellAnchor>
  <xdr:twoCellAnchor editAs="absolute">
    <xdr:from>
      <xdr:col>2</xdr:col>
      <xdr:colOff>0</xdr:colOff>
      <xdr:row>4</xdr:row>
      <xdr:rowOff>133350</xdr:rowOff>
    </xdr:from>
    <xdr:to>
      <xdr:col>3</xdr:col>
      <xdr:colOff>561975</xdr:colOff>
      <xdr:row>6</xdr:row>
      <xdr:rowOff>133350</xdr:rowOff>
    </xdr:to>
    <xdr:sp macro="[0]!Tole" textlink="">
      <xdr:nvSpPr>
        <xdr:cNvPr id="7" name="ZoneTexte 6"/>
        <xdr:cNvSpPr txBox="1"/>
      </xdr:nvSpPr>
      <xdr:spPr>
        <a:xfrm>
          <a:off x="1524000" y="139065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Tole</a:t>
          </a:r>
        </a:p>
      </xdr:txBody>
    </xdr:sp>
    <xdr:clientData fPrintsWithSheet="0"/>
  </xdr:twoCellAnchor>
  <xdr:twoCellAnchor editAs="absolute">
    <xdr:from>
      <xdr:col>3</xdr:col>
      <xdr:colOff>742950</xdr:colOff>
      <xdr:row>4</xdr:row>
      <xdr:rowOff>123825</xdr:rowOff>
    </xdr:from>
    <xdr:to>
      <xdr:col>5</xdr:col>
      <xdr:colOff>542925</xdr:colOff>
      <xdr:row>6</xdr:row>
      <xdr:rowOff>123825</xdr:rowOff>
    </xdr:to>
    <xdr:sp macro="[0]!Plat" textlink="">
      <xdr:nvSpPr>
        <xdr:cNvPr id="8" name="ZoneTexte 7"/>
        <xdr:cNvSpPr txBox="1"/>
      </xdr:nvSpPr>
      <xdr:spPr>
        <a:xfrm>
          <a:off x="3028950" y="138112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Plat</a:t>
          </a:r>
        </a:p>
      </xdr:txBody>
    </xdr:sp>
    <xdr:clientData fPrintsWithSheet="0"/>
  </xdr:twoCellAnchor>
  <xdr:twoCellAnchor editAs="absolute">
    <xdr:from>
      <xdr:col>5</xdr:col>
      <xdr:colOff>733425</xdr:colOff>
      <xdr:row>4</xdr:row>
      <xdr:rowOff>133350</xdr:rowOff>
    </xdr:from>
    <xdr:to>
      <xdr:col>7</xdr:col>
      <xdr:colOff>542925</xdr:colOff>
      <xdr:row>6</xdr:row>
      <xdr:rowOff>133350</xdr:rowOff>
    </xdr:to>
    <xdr:sp macro="[0]!Disque" textlink="">
      <xdr:nvSpPr>
        <xdr:cNvPr id="9" name="ZoneTexte 8"/>
        <xdr:cNvSpPr txBox="1"/>
      </xdr:nvSpPr>
      <xdr:spPr>
        <a:xfrm>
          <a:off x="4543425" y="139065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Disque</a:t>
          </a: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152400</xdr:rowOff>
    </xdr:from>
    <xdr:to>
      <xdr:col>3</xdr:col>
      <xdr:colOff>552450</xdr:colOff>
      <xdr:row>9</xdr:row>
      <xdr:rowOff>152400</xdr:rowOff>
    </xdr:to>
    <xdr:sp macro="[0]!Tube_rond" textlink="">
      <xdr:nvSpPr>
        <xdr:cNvPr id="10" name="ZoneTexte 9"/>
        <xdr:cNvSpPr txBox="1"/>
      </xdr:nvSpPr>
      <xdr:spPr>
        <a:xfrm>
          <a:off x="1514475" y="1981200"/>
          <a:ext cx="1323975" cy="381000"/>
        </a:xfrm>
        <a:prstGeom prst="bevel">
          <a:avLst/>
        </a:prstGeom>
        <a:gradFill>
          <a:gsLst>
            <a:gs pos="0">
              <a:schemeClr val="dk2">
                <a:tint val="40000"/>
                <a:satMod val="350000"/>
              </a:schemeClr>
            </a:gs>
            <a:gs pos="40000">
              <a:schemeClr val="dk2">
                <a:tint val="45000"/>
                <a:shade val="99000"/>
                <a:satMod val="35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Tube rond</a:t>
          </a:r>
        </a:p>
      </xdr:txBody>
    </xdr:sp>
    <xdr:clientData fPrintsWithSheet="0"/>
  </xdr:twoCellAnchor>
  <xdr:twoCellAnchor editAs="absolute">
    <xdr:from>
      <xdr:col>4</xdr:col>
      <xdr:colOff>0</xdr:colOff>
      <xdr:row>7</xdr:row>
      <xdr:rowOff>152400</xdr:rowOff>
    </xdr:from>
    <xdr:to>
      <xdr:col>5</xdr:col>
      <xdr:colOff>561975</xdr:colOff>
      <xdr:row>9</xdr:row>
      <xdr:rowOff>152400</xdr:rowOff>
    </xdr:to>
    <xdr:sp macro="[0]!Tube_carré" textlink="">
      <xdr:nvSpPr>
        <xdr:cNvPr id="11" name="ZoneTexte 10"/>
        <xdr:cNvSpPr txBox="1"/>
      </xdr:nvSpPr>
      <xdr:spPr>
        <a:xfrm>
          <a:off x="3048000" y="1981200"/>
          <a:ext cx="1323975" cy="381000"/>
        </a:xfrm>
        <a:prstGeom prst="bevel">
          <a:avLst/>
        </a:prstGeom>
        <a:gradFill>
          <a:gsLst>
            <a:gs pos="0">
              <a:schemeClr val="dk2">
                <a:tint val="40000"/>
                <a:satMod val="350000"/>
              </a:schemeClr>
            </a:gs>
            <a:gs pos="40000">
              <a:schemeClr val="dk2">
                <a:tint val="45000"/>
                <a:shade val="99000"/>
                <a:satMod val="35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Tube carré</a:t>
          </a:r>
        </a:p>
      </xdr:txBody>
    </xdr:sp>
    <xdr:clientData fPrintsWithSheet="0"/>
  </xdr:twoCellAnchor>
  <xdr:twoCellAnchor editAs="absolute">
    <xdr:from>
      <xdr:col>5</xdr:col>
      <xdr:colOff>742950</xdr:colOff>
      <xdr:row>7</xdr:row>
      <xdr:rowOff>152400</xdr:rowOff>
    </xdr:from>
    <xdr:to>
      <xdr:col>7</xdr:col>
      <xdr:colOff>752475</xdr:colOff>
      <xdr:row>9</xdr:row>
      <xdr:rowOff>152400</xdr:rowOff>
    </xdr:to>
    <xdr:sp macro="[0]!Tube_rectangulaire" textlink="">
      <xdr:nvSpPr>
        <xdr:cNvPr id="12" name="ZoneTexte 11"/>
        <xdr:cNvSpPr txBox="1"/>
      </xdr:nvSpPr>
      <xdr:spPr>
        <a:xfrm>
          <a:off x="4552950" y="1981200"/>
          <a:ext cx="1524000" cy="381000"/>
        </a:xfrm>
        <a:prstGeom prst="bevel">
          <a:avLst/>
        </a:prstGeom>
        <a:gradFill>
          <a:gsLst>
            <a:gs pos="0">
              <a:schemeClr val="dk2">
                <a:tint val="40000"/>
                <a:satMod val="350000"/>
              </a:schemeClr>
            </a:gs>
            <a:gs pos="40000">
              <a:schemeClr val="dk2">
                <a:tint val="45000"/>
                <a:shade val="99000"/>
                <a:satMod val="35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Tube rectangulaire</a:t>
          </a:r>
        </a:p>
      </xdr:txBody>
    </xdr:sp>
    <xdr:clientData fPrintsWithSheet="0"/>
  </xdr:twoCellAnchor>
  <xdr:twoCellAnchor editAs="absolute">
    <xdr:from>
      <xdr:col>1</xdr:col>
      <xdr:colOff>752475</xdr:colOff>
      <xdr:row>10</xdr:row>
      <xdr:rowOff>133350</xdr:rowOff>
    </xdr:from>
    <xdr:to>
      <xdr:col>3</xdr:col>
      <xdr:colOff>552450</xdr:colOff>
      <xdr:row>12</xdr:row>
      <xdr:rowOff>133350</xdr:rowOff>
    </xdr:to>
    <xdr:sp macro="[0]!_xludf.T" textlink="">
      <xdr:nvSpPr>
        <xdr:cNvPr id="13" name="ZoneTexte 12"/>
        <xdr:cNvSpPr txBox="1"/>
      </xdr:nvSpPr>
      <xdr:spPr>
        <a:xfrm>
          <a:off x="1514475" y="253365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40000">
              <a:schemeClr val="tx2">
                <a:lumMod val="20000"/>
                <a:lumOff val="80000"/>
              </a:schemeClr>
            </a:gs>
            <a:gs pos="100000">
              <a:schemeClr val="tx2">
                <a:lumMod val="40000"/>
                <a:lumOff val="6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</a:t>
          </a:r>
        </a:p>
      </xdr:txBody>
    </xdr:sp>
    <xdr:clientData fPrintsWithSheet="0"/>
  </xdr:twoCellAnchor>
  <xdr:twoCellAnchor editAs="absolute">
    <xdr:from>
      <xdr:col>4</xdr:col>
      <xdr:colOff>9525</xdr:colOff>
      <xdr:row>10</xdr:row>
      <xdr:rowOff>142875</xdr:rowOff>
    </xdr:from>
    <xdr:to>
      <xdr:col>5</xdr:col>
      <xdr:colOff>571500</xdr:colOff>
      <xdr:row>12</xdr:row>
      <xdr:rowOff>142875</xdr:rowOff>
    </xdr:to>
    <xdr:sp macro="[0]!U" textlink="">
      <xdr:nvSpPr>
        <xdr:cNvPr id="14" name="ZoneTexte 13"/>
        <xdr:cNvSpPr txBox="1"/>
      </xdr:nvSpPr>
      <xdr:spPr>
        <a:xfrm>
          <a:off x="3057525" y="254317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40000">
              <a:schemeClr val="tx2">
                <a:lumMod val="20000"/>
                <a:lumOff val="80000"/>
              </a:schemeClr>
            </a:gs>
            <a:gs pos="100000">
              <a:schemeClr val="tx2">
                <a:lumMod val="40000"/>
                <a:lumOff val="6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</a:t>
          </a:r>
        </a:p>
      </xdr:txBody>
    </xdr:sp>
    <xdr:clientData fPrintsWithSheet="0"/>
  </xdr:twoCellAnchor>
  <xdr:twoCellAnchor editAs="absolute">
    <xdr:from>
      <xdr:col>6</xdr:col>
      <xdr:colOff>9525</xdr:colOff>
      <xdr:row>10</xdr:row>
      <xdr:rowOff>142875</xdr:rowOff>
    </xdr:from>
    <xdr:to>
      <xdr:col>7</xdr:col>
      <xdr:colOff>571500</xdr:colOff>
      <xdr:row>12</xdr:row>
      <xdr:rowOff>142875</xdr:rowOff>
    </xdr:to>
    <xdr:sp macro="[0]!cornière" textlink="">
      <xdr:nvSpPr>
        <xdr:cNvPr id="15" name="ZoneTexte 14"/>
        <xdr:cNvSpPr txBox="1"/>
      </xdr:nvSpPr>
      <xdr:spPr>
        <a:xfrm>
          <a:off x="4572000" y="254317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40000">
              <a:schemeClr val="tx2">
                <a:lumMod val="20000"/>
                <a:lumOff val="80000"/>
              </a:schemeClr>
            </a:gs>
            <a:gs pos="100000">
              <a:schemeClr val="tx2">
                <a:lumMod val="40000"/>
                <a:lumOff val="6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L</a:t>
          </a:r>
        </a:p>
      </xdr:txBody>
    </xdr:sp>
    <xdr:clientData fPrintsWithSheet="0"/>
  </xdr:twoCellAnchor>
  <xdr:twoCellAnchor editAs="absolute">
    <xdr:from>
      <xdr:col>1</xdr:col>
      <xdr:colOff>752475</xdr:colOff>
      <xdr:row>13</xdr:row>
      <xdr:rowOff>133350</xdr:rowOff>
    </xdr:from>
    <xdr:to>
      <xdr:col>3</xdr:col>
      <xdr:colOff>552450</xdr:colOff>
      <xdr:row>15</xdr:row>
      <xdr:rowOff>133350</xdr:rowOff>
    </xdr:to>
    <xdr:sp macro="[0]!IPE" textlink="">
      <xdr:nvSpPr>
        <xdr:cNvPr id="16" name="ZoneTexte 15"/>
        <xdr:cNvSpPr txBox="1"/>
      </xdr:nvSpPr>
      <xdr:spPr>
        <a:xfrm>
          <a:off x="1514475" y="31051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IPE</a:t>
          </a:r>
        </a:p>
      </xdr:txBody>
    </xdr:sp>
    <xdr:clientData fPrintsWithSheet="0"/>
  </xdr:twoCellAnchor>
  <xdr:twoCellAnchor editAs="absolute">
    <xdr:from>
      <xdr:col>4</xdr:col>
      <xdr:colOff>9525</xdr:colOff>
      <xdr:row>13</xdr:row>
      <xdr:rowOff>133350</xdr:rowOff>
    </xdr:from>
    <xdr:to>
      <xdr:col>5</xdr:col>
      <xdr:colOff>571500</xdr:colOff>
      <xdr:row>15</xdr:row>
      <xdr:rowOff>133350</xdr:rowOff>
    </xdr:to>
    <xdr:sp macro="[0]!IPN" textlink="">
      <xdr:nvSpPr>
        <xdr:cNvPr id="17" name="ZoneTexte 16"/>
        <xdr:cNvSpPr txBox="1"/>
      </xdr:nvSpPr>
      <xdr:spPr>
        <a:xfrm>
          <a:off x="3057525" y="31051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IPN</a:t>
          </a:r>
        </a:p>
      </xdr:txBody>
    </xdr:sp>
    <xdr:clientData fPrintsWithSheet="0"/>
  </xdr:twoCellAnchor>
  <xdr:twoCellAnchor editAs="absolute">
    <xdr:from>
      <xdr:col>6</xdr:col>
      <xdr:colOff>19050</xdr:colOff>
      <xdr:row>13</xdr:row>
      <xdr:rowOff>133350</xdr:rowOff>
    </xdr:from>
    <xdr:to>
      <xdr:col>7</xdr:col>
      <xdr:colOff>581025</xdr:colOff>
      <xdr:row>15</xdr:row>
      <xdr:rowOff>133350</xdr:rowOff>
    </xdr:to>
    <xdr:sp macro="[0]!IPEA" textlink="">
      <xdr:nvSpPr>
        <xdr:cNvPr id="18" name="ZoneTexte 17"/>
        <xdr:cNvSpPr txBox="1"/>
      </xdr:nvSpPr>
      <xdr:spPr>
        <a:xfrm>
          <a:off x="4581525" y="31051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IPEA</a:t>
          </a:r>
        </a:p>
      </xdr:txBody>
    </xdr:sp>
    <xdr:clientData fPrintsWithSheet="0"/>
  </xdr:twoCellAnchor>
  <xdr:twoCellAnchor editAs="absolute">
    <xdr:from>
      <xdr:col>1</xdr:col>
      <xdr:colOff>752475</xdr:colOff>
      <xdr:row>16</xdr:row>
      <xdr:rowOff>133350</xdr:rowOff>
    </xdr:from>
    <xdr:to>
      <xdr:col>3</xdr:col>
      <xdr:colOff>552450</xdr:colOff>
      <xdr:row>18</xdr:row>
      <xdr:rowOff>133350</xdr:rowOff>
    </xdr:to>
    <xdr:sp macro="[0]!HEA" textlink="">
      <xdr:nvSpPr>
        <xdr:cNvPr id="19" name="ZoneTexte 18"/>
        <xdr:cNvSpPr txBox="1"/>
      </xdr:nvSpPr>
      <xdr:spPr>
        <a:xfrm>
          <a:off x="1514475" y="36766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HEA</a:t>
          </a:r>
        </a:p>
      </xdr:txBody>
    </xdr:sp>
    <xdr:clientData fPrintsWithSheet="0"/>
  </xdr:twoCellAnchor>
  <xdr:twoCellAnchor editAs="absolute">
    <xdr:from>
      <xdr:col>4</xdr:col>
      <xdr:colOff>9525</xdr:colOff>
      <xdr:row>16</xdr:row>
      <xdr:rowOff>133350</xdr:rowOff>
    </xdr:from>
    <xdr:to>
      <xdr:col>5</xdr:col>
      <xdr:colOff>571500</xdr:colOff>
      <xdr:row>18</xdr:row>
      <xdr:rowOff>133350</xdr:rowOff>
    </xdr:to>
    <xdr:sp macro="[0]!HEB" textlink="">
      <xdr:nvSpPr>
        <xdr:cNvPr id="20" name="ZoneTexte 19"/>
        <xdr:cNvSpPr txBox="1"/>
      </xdr:nvSpPr>
      <xdr:spPr>
        <a:xfrm>
          <a:off x="3057525" y="36766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HEB</a:t>
          </a:r>
        </a:p>
      </xdr:txBody>
    </xdr:sp>
    <xdr:clientData fPrintsWithSheet="0"/>
  </xdr:twoCellAnchor>
  <xdr:twoCellAnchor editAs="absolute">
    <xdr:from>
      <xdr:col>6</xdr:col>
      <xdr:colOff>28575</xdr:colOff>
      <xdr:row>16</xdr:row>
      <xdr:rowOff>123825</xdr:rowOff>
    </xdr:from>
    <xdr:to>
      <xdr:col>7</xdr:col>
      <xdr:colOff>590550</xdr:colOff>
      <xdr:row>18</xdr:row>
      <xdr:rowOff>123825</xdr:rowOff>
    </xdr:to>
    <xdr:sp macro="[0]!HEM" textlink="">
      <xdr:nvSpPr>
        <xdr:cNvPr id="21" name="ZoneTexte 20"/>
        <xdr:cNvSpPr txBox="1"/>
      </xdr:nvSpPr>
      <xdr:spPr>
        <a:xfrm>
          <a:off x="4591050" y="3667125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HEM</a:t>
          </a:r>
        </a:p>
      </xdr:txBody>
    </xdr:sp>
    <xdr:clientData fPrintsWithSheet="0"/>
  </xdr:twoCellAnchor>
  <xdr:twoCellAnchor editAs="absolute">
    <xdr:from>
      <xdr:col>1</xdr:col>
      <xdr:colOff>733425</xdr:colOff>
      <xdr:row>19</xdr:row>
      <xdr:rowOff>123825</xdr:rowOff>
    </xdr:from>
    <xdr:to>
      <xdr:col>3</xdr:col>
      <xdr:colOff>533400</xdr:colOff>
      <xdr:row>21</xdr:row>
      <xdr:rowOff>123825</xdr:rowOff>
    </xdr:to>
    <xdr:sp macro="[0]!UPN" textlink="">
      <xdr:nvSpPr>
        <xdr:cNvPr id="22" name="ZoneTexte 21"/>
        <xdr:cNvSpPr txBox="1"/>
      </xdr:nvSpPr>
      <xdr:spPr>
        <a:xfrm>
          <a:off x="1495425" y="4238625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UPN</a:t>
          </a:r>
        </a:p>
      </xdr:txBody>
    </xdr:sp>
    <xdr:clientData fPrintsWithSheet="0"/>
  </xdr:twoCellAnchor>
  <xdr:twoCellAnchor editAs="absolute">
    <xdr:from>
      <xdr:col>4</xdr:col>
      <xdr:colOff>19050</xdr:colOff>
      <xdr:row>19</xdr:row>
      <xdr:rowOff>123825</xdr:rowOff>
    </xdr:from>
    <xdr:to>
      <xdr:col>5</xdr:col>
      <xdr:colOff>581025</xdr:colOff>
      <xdr:row>21</xdr:row>
      <xdr:rowOff>123825</xdr:rowOff>
    </xdr:to>
    <xdr:sp macro="[0]!UPE" textlink="">
      <xdr:nvSpPr>
        <xdr:cNvPr id="23" name="ZoneTexte 22"/>
        <xdr:cNvSpPr txBox="1"/>
      </xdr:nvSpPr>
      <xdr:spPr>
        <a:xfrm>
          <a:off x="3067050" y="4238625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UPE</a:t>
          </a:r>
        </a:p>
      </xdr:txBody>
    </xdr:sp>
    <xdr:clientData fPrintsWithSheet="0"/>
  </xdr:twoCellAnchor>
  <xdr:twoCellAnchor editAs="absolute">
    <xdr:from>
      <xdr:col>6</xdr:col>
      <xdr:colOff>28575</xdr:colOff>
      <xdr:row>19</xdr:row>
      <xdr:rowOff>114300</xdr:rowOff>
    </xdr:from>
    <xdr:to>
      <xdr:col>7</xdr:col>
      <xdr:colOff>590550</xdr:colOff>
      <xdr:row>21</xdr:row>
      <xdr:rowOff>114300</xdr:rowOff>
    </xdr:to>
    <xdr:sp macro="[0]!UAP" textlink="">
      <xdr:nvSpPr>
        <xdr:cNvPr id="24" name="ZoneTexte 23"/>
        <xdr:cNvSpPr txBox="1"/>
      </xdr:nvSpPr>
      <xdr:spPr>
        <a:xfrm>
          <a:off x="4591050" y="422910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UAP</a:t>
          </a:r>
        </a:p>
      </xdr:txBody>
    </xdr:sp>
    <xdr:clientData fPrintsWithSheet="0"/>
  </xdr:twoCellAnchor>
  <xdr:twoCellAnchor editAs="absolute">
    <xdr:from>
      <xdr:col>4</xdr:col>
      <xdr:colOff>9525</xdr:colOff>
      <xdr:row>25</xdr:row>
      <xdr:rowOff>85725</xdr:rowOff>
    </xdr:from>
    <xdr:to>
      <xdr:col>5</xdr:col>
      <xdr:colOff>571500</xdr:colOff>
      <xdr:row>27</xdr:row>
      <xdr:rowOff>85725</xdr:rowOff>
    </xdr:to>
    <xdr:sp macro="[0]!Navigation.Mouvement" textlink="">
      <xdr:nvSpPr>
        <xdr:cNvPr id="25" name="ZoneTexte 24"/>
        <xdr:cNvSpPr txBox="1"/>
      </xdr:nvSpPr>
      <xdr:spPr>
        <a:xfrm>
          <a:off x="3057525" y="5343525"/>
          <a:ext cx="1323975" cy="381000"/>
        </a:xfrm>
        <a:prstGeom prst="bevel">
          <a:avLst/>
        </a:prstGeom>
        <a:gradFill>
          <a:gsLst>
            <a:gs pos="0">
              <a:schemeClr val="accent6">
                <a:lumMod val="20000"/>
                <a:lumOff val="80000"/>
              </a:schemeClr>
            </a:gs>
            <a:gs pos="4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7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Mouvement</a:t>
          </a:r>
        </a:p>
      </xdr:txBody>
    </xdr:sp>
    <xdr:clientData fPrintsWithSheet="0"/>
  </xdr:twoCellAnchor>
  <xdr:twoCellAnchor editAs="absolute">
    <xdr:from>
      <xdr:col>4</xdr:col>
      <xdr:colOff>0</xdr:colOff>
      <xdr:row>22</xdr:row>
      <xdr:rowOff>76200</xdr:rowOff>
    </xdr:from>
    <xdr:to>
      <xdr:col>5</xdr:col>
      <xdr:colOff>561975</xdr:colOff>
      <xdr:row>24</xdr:row>
      <xdr:rowOff>76200</xdr:rowOff>
    </xdr:to>
    <xdr:sp macro="[0]!Divers" textlink="">
      <xdr:nvSpPr>
        <xdr:cNvPr id="26" name="ZoneTexte 25"/>
        <xdr:cNvSpPr txBox="1"/>
      </xdr:nvSpPr>
      <xdr:spPr>
        <a:xfrm>
          <a:off x="3048000" y="476250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40000">
              <a:schemeClr val="tx1">
                <a:lumMod val="65000"/>
                <a:lumOff val="35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Divers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3</xdr:col>
      <xdr:colOff>619125</xdr:colOff>
      <xdr:row>2</xdr:row>
      <xdr:rowOff>66676</xdr:rowOff>
    </xdr:to>
    <xdr:sp macro="[0]!ajout_emplacement" textlink="">
      <xdr:nvSpPr>
        <xdr:cNvPr id="2" name="ZoneTexte 1"/>
        <xdr:cNvSpPr txBox="1"/>
      </xdr:nvSpPr>
      <xdr:spPr>
        <a:xfrm>
          <a:off x="1981200" y="0"/>
          <a:ext cx="1371600" cy="257176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/>
            <a:t>ajout emplacement</a:t>
          </a:r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6</xdr:col>
      <xdr:colOff>609600</xdr:colOff>
      <xdr:row>7</xdr:row>
      <xdr:rowOff>66676</xdr:rowOff>
    </xdr:to>
    <xdr:sp macro="[0]!ajout_matériaux" textlink="">
      <xdr:nvSpPr>
        <xdr:cNvPr id="4" name="ZoneTexte 3"/>
        <xdr:cNvSpPr txBox="1"/>
      </xdr:nvSpPr>
      <xdr:spPr>
        <a:xfrm>
          <a:off x="4257675" y="5715000"/>
          <a:ext cx="1371600" cy="257176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/>
            <a:t>ajout matériaux</a:t>
          </a:r>
        </a:p>
      </xdr:txBody>
    </xdr:sp>
    <xdr:clientData/>
  </xdr:twoCellAnchor>
  <xdr:twoCellAnchor editAs="absolute">
    <xdr:from>
      <xdr:col>7</xdr:col>
      <xdr:colOff>0</xdr:colOff>
      <xdr:row>0</xdr:row>
      <xdr:rowOff>9525</xdr:rowOff>
    </xdr:from>
    <xdr:to>
      <xdr:col>8</xdr:col>
      <xdr:colOff>552450</xdr:colOff>
      <xdr:row>0</xdr:row>
      <xdr:rowOff>390525</xdr:rowOff>
    </xdr:to>
    <xdr:sp macro="[0]!Retour_accueil" textlink="">
      <xdr:nvSpPr>
        <xdr:cNvPr id="5" name="ZoneTexte 4"/>
        <xdr:cNvSpPr txBox="1"/>
      </xdr:nvSpPr>
      <xdr:spPr>
        <a:xfrm>
          <a:off x="5800725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matériaux_ron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g_famille_ron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1343025</xdr:rowOff>
    </xdr:from>
    <xdr:to>
      <xdr:col>18</xdr:col>
      <xdr:colOff>1089</xdr:colOff>
      <xdr:row>0</xdr:row>
      <xdr:rowOff>1703025</xdr:rowOff>
    </xdr:to>
    <xdr:sp macro="[0]!bouton_reset_filtre" textlink="">
      <xdr:nvSpPr>
        <xdr:cNvPr id="6" name="ZoneTexte 5"/>
        <xdr:cNvSpPr txBox="1"/>
      </xdr:nvSpPr>
      <xdr:spPr>
        <a:xfrm>
          <a:off x="8153739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476249</xdr:colOff>
      <xdr:row>0</xdr:row>
      <xdr:rowOff>1340643</xdr:rowOff>
    </xdr:from>
    <xdr:to>
      <xdr:col>19</xdr:col>
      <xdr:colOff>1724</xdr:colOff>
      <xdr:row>0</xdr:row>
      <xdr:rowOff>1700643</xdr:rowOff>
    </xdr:to>
    <xdr:sp macro="[0]!bouton_ajout_ligne" textlink="">
      <xdr:nvSpPr>
        <xdr:cNvPr id="7" name="ZoneTexte 6"/>
        <xdr:cNvSpPr txBox="1"/>
      </xdr:nvSpPr>
      <xdr:spPr>
        <a:xfrm flipH="1">
          <a:off x="10448924" y="1340643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8" name="ZoneTexte 7"/>
        <xdr:cNvSpPr txBox="1"/>
      </xdr:nvSpPr>
      <xdr:spPr>
        <a:xfrm>
          <a:off x="1036320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5</xdr:col>
      <xdr:colOff>561975</xdr:colOff>
      <xdr:row>0</xdr:row>
      <xdr:rowOff>9525</xdr:rowOff>
    </xdr:from>
    <xdr:to>
      <xdr:col>12</xdr:col>
      <xdr:colOff>828675</xdr:colOff>
      <xdr:row>0</xdr:row>
      <xdr:rowOff>1809750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Ø (mm)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Ø (mm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86175" y="9525"/>
              <a:ext cx="1828800" cy="1800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17</xdr:col>
      <xdr:colOff>590550</xdr:colOff>
      <xdr:row>0</xdr:row>
      <xdr:rowOff>676275</xdr:rowOff>
    </xdr:from>
    <xdr:to>
      <xdr:col>18</xdr:col>
      <xdr:colOff>1708649</xdr:colOff>
      <xdr:row>0</xdr:row>
      <xdr:rowOff>1036275</xdr:rowOff>
    </xdr:to>
    <xdr:grpSp>
      <xdr:nvGrpSpPr>
        <xdr:cNvPr id="11" name="Groupe 10"/>
        <xdr:cNvGrpSpPr/>
      </xdr:nvGrpSpPr>
      <xdr:grpSpPr>
        <a:xfrm>
          <a:off x="9715500" y="676275"/>
          <a:ext cx="1965824" cy="360000"/>
          <a:chOff x="7648575" y="876300"/>
          <a:chExt cx="2156324" cy="360000"/>
        </a:xfrm>
      </xdr:grpSpPr>
      <xdr:sp macro="" textlink="$U$2">
        <xdr:nvSpPr>
          <xdr:cNvPr id="2" name="ZoneTexte 1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0B9FB454-15EB-43F8-9DD4-C72D7E5C480B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1 591,90 €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16</xdr:col>
      <xdr:colOff>76539</xdr:colOff>
      <xdr:row>0</xdr:row>
      <xdr:rowOff>1352550</xdr:rowOff>
    </xdr:from>
    <xdr:to>
      <xdr:col>18</xdr:col>
      <xdr:colOff>1089</xdr:colOff>
      <xdr:row>0</xdr:row>
      <xdr:rowOff>1712550</xdr:rowOff>
    </xdr:to>
    <xdr:sp macro="[0]!bouton_reset_filtre" textlink="">
      <xdr:nvSpPr>
        <xdr:cNvPr id="4" name="ZoneTexte 3"/>
        <xdr:cNvSpPr txBox="1"/>
      </xdr:nvSpPr>
      <xdr:spPr>
        <a:xfrm>
          <a:off x="9268164" y="1352550"/>
          <a:ext cx="1620000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1350168</xdr:rowOff>
    </xdr:from>
    <xdr:to>
      <xdr:col>19</xdr:col>
      <xdr:colOff>1724</xdr:colOff>
      <xdr:row>0</xdr:row>
      <xdr:rowOff>1710168</xdr:rowOff>
    </xdr:to>
    <xdr:sp macro="[0]!bouton_ajout_ligne" textlink="">
      <xdr:nvSpPr>
        <xdr:cNvPr id="5" name="ZoneTexte 4"/>
        <xdr:cNvSpPr txBox="1"/>
      </xdr:nvSpPr>
      <xdr:spPr>
        <a:xfrm flipH="1">
          <a:off x="11353799" y="1350168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409575</xdr:colOff>
      <xdr:row>0</xdr:row>
      <xdr:rowOff>0</xdr:rowOff>
    </xdr:from>
    <xdr:to>
      <xdr:col>19</xdr:col>
      <xdr:colOff>19050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129665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685800</xdr:rowOff>
    </xdr:from>
    <xdr:to>
      <xdr:col>18</xdr:col>
      <xdr:colOff>1708649</xdr:colOff>
      <xdr:row>0</xdr:row>
      <xdr:rowOff>1045800</xdr:rowOff>
    </xdr:to>
    <xdr:grpSp>
      <xdr:nvGrpSpPr>
        <xdr:cNvPr id="8" name="Groupe 7"/>
        <xdr:cNvGrpSpPr/>
      </xdr:nvGrpSpPr>
      <xdr:grpSpPr>
        <a:xfrm>
          <a:off x="10639425" y="685800"/>
          <a:ext cx="1956299" cy="360000"/>
          <a:chOff x="7648575" y="876300"/>
          <a:chExt cx="2156324" cy="360000"/>
        </a:xfrm>
      </xdr:grpSpPr>
      <xdr:sp macro="" textlink="$U$2">
        <xdr:nvSpPr>
          <xdr:cNvPr id="9" name="ZoneTexte 8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E7C005B0-E7AC-415C-BC90-7CB67151DC31}" type="TxLink">
              <a:rPr lang="en-US" sz="1100" b="1" i="0" u="none" strike="noStrike">
                <a:solidFill>
                  <a:schemeClr val="bg1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590550</xdr:colOff>
      <xdr:row>0</xdr:row>
      <xdr:rowOff>9525</xdr:rowOff>
    </xdr:from>
    <xdr:to>
      <xdr:col>8</xdr:col>
      <xdr:colOff>657225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Largueur /&#10;basse (mm)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1333500</xdr:rowOff>
    </xdr:from>
    <xdr:to>
      <xdr:col>17</xdr:col>
      <xdr:colOff>839289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8344239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476249</xdr:colOff>
      <xdr:row>0</xdr:row>
      <xdr:rowOff>1340643</xdr:rowOff>
    </xdr:from>
    <xdr:to>
      <xdr:col>19</xdr:col>
      <xdr:colOff>11249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0648949" y="1340643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563225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647700</xdr:rowOff>
    </xdr:from>
    <xdr:to>
      <xdr:col>18</xdr:col>
      <xdr:colOff>1708649</xdr:colOff>
      <xdr:row>0</xdr:row>
      <xdr:rowOff>1007700</xdr:rowOff>
    </xdr:to>
    <xdr:grpSp>
      <xdr:nvGrpSpPr>
        <xdr:cNvPr id="8" name="Groupe 7"/>
        <xdr:cNvGrpSpPr/>
      </xdr:nvGrpSpPr>
      <xdr:grpSpPr>
        <a:xfrm>
          <a:off x="9915525" y="647700"/>
          <a:ext cx="1965824" cy="360000"/>
          <a:chOff x="7648575" y="876300"/>
          <a:chExt cx="2156324" cy="360000"/>
        </a:xfrm>
      </xdr:grpSpPr>
      <xdr:sp macro="" textlink="$U$2">
        <xdr:nvSpPr>
          <xdr:cNvPr id="9" name="ZoneTexte 8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D9356BC6-9CE6-4EE4-9B02-7FB2B334B8A6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581025</xdr:colOff>
      <xdr:row>0</xdr:row>
      <xdr:rowOff>9525</xdr:rowOff>
    </xdr:from>
    <xdr:to>
      <xdr:col>12</xdr:col>
      <xdr:colOff>647700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épaisseur (mm)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052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400049</xdr:colOff>
          <xdr:row>0</xdr:row>
          <xdr:rowOff>352425</xdr:rowOff>
        </xdr:from>
        <xdr:to>
          <xdr:col>15</xdr:col>
          <xdr:colOff>104775</xdr:colOff>
          <xdr:row>0</xdr:row>
          <xdr:rowOff>1543050</xdr:rowOff>
        </xdr:to>
        <xdr:grpSp>
          <xdr:nvGrpSpPr>
            <xdr:cNvPr id="17" name="Groupe 16"/>
            <xdr:cNvGrpSpPr/>
          </xdr:nvGrpSpPr>
          <xdr:grpSpPr>
            <a:xfrm>
              <a:off x="6134099" y="352425"/>
              <a:ext cx="1600201" cy="1190625"/>
              <a:chOff x="5972174" y="304800"/>
              <a:chExt cx="1600201" cy="1190625"/>
            </a:xfrm>
          </xdr:grpSpPr>
          <xdr:grpSp>
            <xdr:nvGrpSpPr>
              <xdr:cNvPr id="14" name="Groupe 13"/>
              <xdr:cNvGrpSpPr/>
            </xdr:nvGrpSpPr>
            <xdr:grpSpPr>
              <a:xfrm>
                <a:off x="5972174" y="304800"/>
                <a:ext cx="1600201" cy="1190625"/>
                <a:chOff x="5972174" y="304800"/>
                <a:chExt cx="1600201" cy="1190625"/>
              </a:xfrm>
            </xdr:grpSpPr>
            <xdr:sp macro="" textlink="">
              <xdr:nvSpPr>
                <xdr:cNvPr id="5123" name="TextBox1" hidden="1">
                  <a:extLst>
                    <a:ext uri="{63B3BB69-23CF-44E3-9099-C40C66FF867C}">
                      <a14:compatExt spid="_x0000_s5123"/>
                    </a:ext>
                  </a:extLst>
                </xdr:cNvPr>
                <xdr:cNvSpPr/>
              </xdr:nvSpPr>
              <xdr:spPr bwMode="auto">
                <a:xfrm>
                  <a:off x="6457950" y="304800"/>
                  <a:ext cx="771525" cy="219075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5124" name="TextBox2" hidden="1">
                  <a:extLst>
                    <a:ext uri="{63B3BB69-23CF-44E3-9099-C40C66FF867C}">
                      <a14:compatExt spid="_x0000_s5124"/>
                    </a:ext>
                  </a:extLst>
                </xdr:cNvPr>
                <xdr:cNvSpPr/>
              </xdr:nvSpPr>
              <xdr:spPr bwMode="auto">
                <a:xfrm>
                  <a:off x="6457950" y="523875"/>
                  <a:ext cx="771525" cy="20955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5125" name="TextBox3" hidden="1">
                  <a:extLst>
                    <a:ext uri="{63B3BB69-23CF-44E3-9099-C40C66FF867C}">
                      <a14:compatExt spid="_x0000_s5125"/>
                    </a:ext>
                  </a:extLst>
                </xdr:cNvPr>
                <xdr:cNvSpPr/>
              </xdr:nvSpPr>
              <xdr:spPr bwMode="auto">
                <a:xfrm>
                  <a:off x="6457950" y="1181100"/>
                  <a:ext cx="771525" cy="238125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grpSp>
              <xdr:nvGrpSpPr>
                <xdr:cNvPr id="13" name="Groupe 12"/>
                <xdr:cNvGrpSpPr/>
              </xdr:nvGrpSpPr>
              <xdr:grpSpPr>
                <a:xfrm>
                  <a:off x="5972174" y="323850"/>
                  <a:ext cx="1600201" cy="1171575"/>
                  <a:chOff x="5972174" y="323850"/>
                  <a:chExt cx="1600201" cy="1171575"/>
                </a:xfrm>
              </xdr:grpSpPr>
              <xdr:grpSp>
                <xdr:nvGrpSpPr>
                  <xdr:cNvPr id="12" name="Groupe 11"/>
                  <xdr:cNvGrpSpPr/>
                </xdr:nvGrpSpPr>
                <xdr:grpSpPr>
                  <a:xfrm>
                    <a:off x="5972174" y="352425"/>
                    <a:ext cx="742951" cy="447675"/>
                    <a:chOff x="5876924" y="952500"/>
                    <a:chExt cx="742951" cy="447675"/>
                  </a:xfrm>
                </xdr:grpSpPr>
                <xdr:sp macro="" textlink="">
                  <xdr:nvSpPr>
                    <xdr:cNvPr id="5121" name="Label 1" hidden="1">
                      <a:extLst>
                        <a:ext uri="{63B3BB69-23CF-44E3-9099-C40C66FF867C}">
                          <a14:compatExt spid="_x0000_s5121"/>
                        </a:ext>
                      </a:extLst>
                    </xdr:cNvPr>
                    <xdr:cNvSpPr/>
                  </xdr:nvSpPr>
                  <xdr:spPr bwMode="auto">
                    <a:xfrm>
                      <a:off x="5876925" y="952500"/>
                      <a:ext cx="742950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noFill/>
                        </a14:hiddenFill>
                      </a:ext>
                      <a:ext uri="{91240B29-F687-4F45-9708-019B960494DF}">
                        <a14:hiddenLine w="9525">
                          <a:noFill/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  <xdr:txBody>
                    <a:bodyPr vertOverflow="clip" wrap="square" lIns="27432" tIns="18288" rIns="0" bIns="0" anchor="t" upright="1"/>
                    <a:lstStyle/>
                    <a:p>
                      <a:pPr algn="l" rtl="0">
                        <a:defRPr sz="1000"/>
                      </a:pPr>
                      <a:r>
                        <a:rPr lang="fr-FR" sz="800" b="0" i="0" u="none" strike="noStrike" baseline="0">
                          <a:solidFill>
                            <a:srgbClr val="000000"/>
                          </a:solidFill>
                          <a:latin typeface="Segoe UI"/>
                          <a:ea typeface="Segoe UI"/>
                          <a:cs typeface="Segoe UI"/>
                        </a:rPr>
                        <a:t>largeur:</a:t>
                      </a:r>
                    </a:p>
                  </xdr:txBody>
                </xdr:sp>
                <xdr:sp macro="" textlink="">
                  <xdr:nvSpPr>
                    <xdr:cNvPr id="5122" name="Label 2" hidden="1">
                      <a:extLst>
                        <a:ext uri="{63B3BB69-23CF-44E3-9099-C40C66FF867C}">
                          <a14:compatExt spid="_x0000_s5122"/>
                        </a:ext>
                      </a:extLst>
                    </xdr:cNvPr>
                    <xdr:cNvSpPr/>
                  </xdr:nvSpPr>
                  <xdr:spPr bwMode="auto">
                    <a:xfrm>
                      <a:off x="5876924" y="1152525"/>
                      <a:ext cx="590551" cy="247650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noFill/>
                        </a14:hiddenFill>
                      </a:ext>
                      <a:ext uri="{91240B29-F687-4F45-9708-019B960494DF}">
                        <a14:hiddenLine w="9525">
                          <a:noFill/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  <xdr:txBody>
                    <a:bodyPr vertOverflow="clip" wrap="square" lIns="27432" tIns="18288" rIns="0" bIns="0" anchor="t" upright="1"/>
                    <a:lstStyle/>
                    <a:p>
                      <a:pPr algn="l" rtl="0">
                        <a:defRPr sz="1000"/>
                      </a:pPr>
                      <a:r>
                        <a:rPr lang="fr-FR" sz="800" b="0" i="0" u="none" strike="noStrike" baseline="0">
                          <a:solidFill>
                            <a:srgbClr val="000000"/>
                          </a:solidFill>
                          <a:latin typeface="Segoe UI"/>
                          <a:ea typeface="Segoe UI"/>
                          <a:cs typeface="Segoe UI"/>
                        </a:rPr>
                        <a:t>hauteur:</a:t>
                      </a:r>
                    </a:p>
                  </xdr:txBody>
                </xdr:sp>
              </xdr:grpSp>
              <xdr:sp macro="" textlink="">
                <xdr:nvSpPr>
                  <xdr:cNvPr id="5127" name="Label 7" hidden="1">
                    <a:extLst>
                      <a:ext uri="{63B3BB69-23CF-44E3-9099-C40C66FF867C}">
                        <a14:compatExt spid="_x0000_s5127"/>
                      </a:ext>
                    </a:extLst>
                  </xdr:cNvPr>
                  <xdr:cNvSpPr/>
                </xdr:nvSpPr>
                <xdr:spPr bwMode="auto">
                  <a:xfrm>
                    <a:off x="5991225" y="1228724"/>
                    <a:ext cx="561975" cy="266701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surface:</a:t>
                    </a:r>
                  </a:p>
                </xdr:txBody>
              </xdr:sp>
              <xdr:sp macro="" textlink="">
                <xdr:nvSpPr>
                  <xdr:cNvPr id="5128" name="Label 8" hidden="1">
                    <a:extLst>
                      <a:ext uri="{63B3BB69-23CF-44E3-9099-C40C66FF867C}">
                        <a14:compatExt spid="_x0000_s5128"/>
                      </a:ext>
                    </a:extLst>
                  </xdr:cNvPr>
                  <xdr:cNvSpPr/>
                </xdr:nvSpPr>
                <xdr:spPr bwMode="auto">
                  <a:xfrm>
                    <a:off x="7248525" y="323850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mm</a:t>
                    </a:r>
                  </a:p>
                </xdr:txBody>
              </xdr:sp>
              <xdr:sp macro="" textlink="">
                <xdr:nvSpPr>
                  <xdr:cNvPr id="5129" name="Label 9" hidden="1">
                    <a:extLst>
                      <a:ext uri="{63B3BB69-23CF-44E3-9099-C40C66FF867C}">
                        <a14:compatExt spid="_x0000_s5129"/>
                      </a:ext>
                    </a:extLst>
                  </xdr:cNvPr>
                  <xdr:cNvSpPr/>
                </xdr:nvSpPr>
                <xdr:spPr bwMode="auto">
                  <a:xfrm>
                    <a:off x="7248525" y="542925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mm</a:t>
                    </a:r>
                  </a:p>
                </xdr:txBody>
              </xdr:sp>
              <xdr:sp macro="" textlink="">
                <xdr:nvSpPr>
                  <xdr:cNvPr id="5130" name="Label 10" hidden="1">
                    <a:extLst>
                      <a:ext uri="{63B3BB69-23CF-44E3-9099-C40C66FF867C}">
                        <a14:compatExt spid="_x0000_s5130"/>
                      </a:ext>
                    </a:extLst>
                  </xdr:cNvPr>
                  <xdr:cNvSpPr/>
                </xdr:nvSpPr>
                <xdr:spPr bwMode="auto">
                  <a:xfrm>
                    <a:off x="7258050" y="1190625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m²</a:t>
                    </a:r>
                  </a:p>
                </xdr:txBody>
              </xdr:sp>
            </xdr:grpSp>
          </xdr:grpSp>
          <xdr:sp macro="" textlink="">
            <xdr:nvSpPr>
              <xdr:cNvPr id="5131" name="CommandButton1" hidden="1">
                <a:extLst>
                  <a:ext uri="{63B3BB69-23CF-44E3-9099-C40C66FF867C}">
                    <a14:compatExt spid="_x0000_s5131"/>
                  </a:ext>
                </a:extLst>
              </xdr:cNvPr>
              <xdr:cNvSpPr/>
            </xdr:nvSpPr>
            <xdr:spPr bwMode="auto">
              <a:xfrm>
                <a:off x="6457949" y="819151"/>
                <a:ext cx="781051" cy="2476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1333500</xdr:rowOff>
    </xdr:from>
    <xdr:to>
      <xdr:col>17</xdr:col>
      <xdr:colOff>839289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8344239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476249</xdr:colOff>
      <xdr:row>0</xdr:row>
      <xdr:rowOff>1331118</xdr:rowOff>
    </xdr:from>
    <xdr:to>
      <xdr:col>19</xdr:col>
      <xdr:colOff>1724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0648949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0563225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685800</xdr:rowOff>
    </xdr:from>
    <xdr:to>
      <xdr:col>18</xdr:col>
      <xdr:colOff>1708649</xdr:colOff>
      <xdr:row>0</xdr:row>
      <xdr:rowOff>1045800</xdr:rowOff>
    </xdr:to>
    <xdr:grpSp>
      <xdr:nvGrpSpPr>
        <xdr:cNvPr id="7" name="Groupe 6"/>
        <xdr:cNvGrpSpPr/>
      </xdr:nvGrpSpPr>
      <xdr:grpSpPr>
        <a:xfrm>
          <a:off x="9915525" y="685800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9C24C647-388C-48E8-B30F-041F22270CB8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581025</xdr:colOff>
      <xdr:row>0</xdr:row>
      <xdr:rowOff>9525</xdr:rowOff>
    </xdr:from>
    <xdr:to>
      <xdr:col>12</xdr:col>
      <xdr:colOff>647700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épaisseur (mm)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052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409575</xdr:colOff>
          <xdr:row>0</xdr:row>
          <xdr:rowOff>333375</xdr:rowOff>
        </xdr:from>
        <xdr:to>
          <xdr:col>15</xdr:col>
          <xdr:colOff>114301</xdr:colOff>
          <xdr:row>0</xdr:row>
          <xdr:rowOff>1524000</xdr:rowOff>
        </xdr:to>
        <xdr:grpSp>
          <xdr:nvGrpSpPr>
            <xdr:cNvPr id="11" name="Groupe 10"/>
            <xdr:cNvGrpSpPr/>
          </xdr:nvGrpSpPr>
          <xdr:grpSpPr>
            <a:xfrm>
              <a:off x="6143625" y="333375"/>
              <a:ext cx="1600201" cy="1190625"/>
              <a:chOff x="5972174" y="304800"/>
              <a:chExt cx="1600201" cy="1190625"/>
            </a:xfrm>
          </xdr:grpSpPr>
          <xdr:grpSp>
            <xdr:nvGrpSpPr>
              <xdr:cNvPr id="12" name="Groupe 11"/>
              <xdr:cNvGrpSpPr/>
            </xdr:nvGrpSpPr>
            <xdr:grpSpPr>
              <a:xfrm>
                <a:off x="5972174" y="304800"/>
                <a:ext cx="1600201" cy="1190625"/>
                <a:chOff x="5972174" y="304800"/>
                <a:chExt cx="1600201" cy="1190625"/>
              </a:xfrm>
            </xdr:grpSpPr>
            <xdr:sp macro="" textlink="">
              <xdr:nvSpPr>
                <xdr:cNvPr id="6145" name="TextBox1" hidden="1">
                  <a:extLst>
                    <a:ext uri="{63B3BB69-23CF-44E3-9099-C40C66FF867C}">
                      <a14:compatExt spid="_x0000_s6145"/>
                    </a:ext>
                  </a:extLst>
                </xdr:cNvPr>
                <xdr:cNvSpPr/>
              </xdr:nvSpPr>
              <xdr:spPr bwMode="auto">
                <a:xfrm>
                  <a:off x="6457950" y="304800"/>
                  <a:ext cx="771525" cy="219075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6146" name="TextBox2" hidden="1">
                  <a:extLst>
                    <a:ext uri="{63B3BB69-23CF-44E3-9099-C40C66FF867C}">
                      <a14:compatExt spid="_x0000_s6146"/>
                    </a:ext>
                  </a:extLst>
                </xdr:cNvPr>
                <xdr:cNvSpPr/>
              </xdr:nvSpPr>
              <xdr:spPr bwMode="auto">
                <a:xfrm>
                  <a:off x="6457950" y="523875"/>
                  <a:ext cx="771525" cy="20955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6147" name="TextBox3" hidden="1">
                  <a:extLst>
                    <a:ext uri="{63B3BB69-23CF-44E3-9099-C40C66FF867C}">
                      <a14:compatExt spid="_x0000_s6147"/>
                    </a:ext>
                  </a:extLst>
                </xdr:cNvPr>
                <xdr:cNvSpPr/>
              </xdr:nvSpPr>
              <xdr:spPr bwMode="auto">
                <a:xfrm>
                  <a:off x="6457950" y="1181100"/>
                  <a:ext cx="771525" cy="238125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grpSp>
              <xdr:nvGrpSpPr>
                <xdr:cNvPr id="17" name="Groupe 16"/>
                <xdr:cNvGrpSpPr/>
              </xdr:nvGrpSpPr>
              <xdr:grpSpPr>
                <a:xfrm>
                  <a:off x="5972174" y="323850"/>
                  <a:ext cx="1600201" cy="1171575"/>
                  <a:chOff x="5972174" y="323850"/>
                  <a:chExt cx="1600201" cy="1171575"/>
                </a:xfrm>
              </xdr:grpSpPr>
              <xdr:grpSp>
                <xdr:nvGrpSpPr>
                  <xdr:cNvPr id="18" name="Groupe 17"/>
                  <xdr:cNvGrpSpPr/>
                </xdr:nvGrpSpPr>
                <xdr:grpSpPr>
                  <a:xfrm>
                    <a:off x="5972174" y="352425"/>
                    <a:ext cx="742951" cy="447675"/>
                    <a:chOff x="5876924" y="952500"/>
                    <a:chExt cx="742951" cy="447675"/>
                  </a:xfrm>
                </xdr:grpSpPr>
                <xdr:sp macro="" textlink="">
                  <xdr:nvSpPr>
                    <xdr:cNvPr id="6148" name="Label 4" hidden="1">
                      <a:extLst>
                        <a:ext uri="{63B3BB69-23CF-44E3-9099-C40C66FF867C}">
                          <a14:compatExt spid="_x0000_s6148"/>
                        </a:ext>
                      </a:extLst>
                    </xdr:cNvPr>
                    <xdr:cNvSpPr/>
                  </xdr:nvSpPr>
                  <xdr:spPr bwMode="auto">
                    <a:xfrm>
                      <a:off x="5876925" y="952500"/>
                      <a:ext cx="742950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noFill/>
                        </a14:hiddenFill>
                      </a:ext>
                      <a:ext uri="{91240B29-F687-4F45-9708-019B960494DF}">
                        <a14:hiddenLine w="9525">
                          <a:noFill/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  <xdr:txBody>
                    <a:bodyPr vertOverflow="clip" wrap="square" lIns="27432" tIns="18288" rIns="0" bIns="0" anchor="t" upright="1"/>
                    <a:lstStyle/>
                    <a:p>
                      <a:pPr algn="l" rtl="0">
                        <a:defRPr sz="1000"/>
                      </a:pPr>
                      <a:r>
                        <a:rPr lang="fr-FR" sz="800" b="0" i="0" u="none" strike="noStrike" baseline="0">
                          <a:solidFill>
                            <a:srgbClr val="000000"/>
                          </a:solidFill>
                          <a:latin typeface="Segoe UI"/>
                          <a:ea typeface="Segoe UI"/>
                          <a:cs typeface="Segoe UI"/>
                        </a:rPr>
                        <a:t>largeur:</a:t>
                      </a:r>
                    </a:p>
                  </xdr:txBody>
                </xdr:sp>
                <xdr:sp macro="" textlink="">
                  <xdr:nvSpPr>
                    <xdr:cNvPr id="6149" name="Label 5" hidden="1">
                      <a:extLst>
                        <a:ext uri="{63B3BB69-23CF-44E3-9099-C40C66FF867C}">
                          <a14:compatExt spid="_x0000_s6149"/>
                        </a:ext>
                      </a:extLst>
                    </xdr:cNvPr>
                    <xdr:cNvSpPr/>
                  </xdr:nvSpPr>
                  <xdr:spPr bwMode="auto">
                    <a:xfrm>
                      <a:off x="5876924" y="1152525"/>
                      <a:ext cx="590551" cy="247650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noFill/>
                        </a14:hiddenFill>
                      </a:ext>
                      <a:ext uri="{91240B29-F687-4F45-9708-019B960494DF}">
                        <a14:hiddenLine w="9525">
                          <a:noFill/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  <xdr:txBody>
                    <a:bodyPr vertOverflow="clip" wrap="square" lIns="27432" tIns="18288" rIns="0" bIns="0" anchor="t" upright="1"/>
                    <a:lstStyle/>
                    <a:p>
                      <a:pPr algn="l" rtl="0">
                        <a:defRPr sz="1000"/>
                      </a:pPr>
                      <a:r>
                        <a:rPr lang="fr-FR" sz="800" b="0" i="0" u="none" strike="noStrike" baseline="0">
                          <a:solidFill>
                            <a:srgbClr val="000000"/>
                          </a:solidFill>
                          <a:latin typeface="Segoe UI"/>
                          <a:ea typeface="Segoe UI"/>
                          <a:cs typeface="Segoe UI"/>
                        </a:rPr>
                        <a:t>hauteur:</a:t>
                      </a:r>
                    </a:p>
                  </xdr:txBody>
                </xdr:sp>
              </xdr:grpSp>
              <xdr:sp macro="" textlink="">
                <xdr:nvSpPr>
                  <xdr:cNvPr id="6150" name="Label 6" hidden="1">
                    <a:extLst>
                      <a:ext uri="{63B3BB69-23CF-44E3-9099-C40C66FF867C}">
                        <a14:compatExt spid="_x0000_s6150"/>
                      </a:ext>
                    </a:extLst>
                  </xdr:cNvPr>
                  <xdr:cNvSpPr/>
                </xdr:nvSpPr>
                <xdr:spPr bwMode="auto">
                  <a:xfrm>
                    <a:off x="5991225" y="1228724"/>
                    <a:ext cx="561975" cy="266701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surface:</a:t>
                    </a:r>
                  </a:p>
                </xdr:txBody>
              </xdr:sp>
              <xdr:sp macro="" textlink="">
                <xdr:nvSpPr>
                  <xdr:cNvPr id="6151" name="Label 7" hidden="1">
                    <a:extLst>
                      <a:ext uri="{63B3BB69-23CF-44E3-9099-C40C66FF867C}">
                        <a14:compatExt spid="_x0000_s6151"/>
                      </a:ext>
                    </a:extLst>
                  </xdr:cNvPr>
                  <xdr:cNvSpPr/>
                </xdr:nvSpPr>
                <xdr:spPr bwMode="auto">
                  <a:xfrm>
                    <a:off x="7248525" y="323850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mm</a:t>
                    </a:r>
                  </a:p>
                </xdr:txBody>
              </xdr:sp>
              <xdr:sp macro="" textlink="">
                <xdr:nvSpPr>
                  <xdr:cNvPr id="6152" name="Label 8" hidden="1">
                    <a:extLst>
                      <a:ext uri="{63B3BB69-23CF-44E3-9099-C40C66FF867C}">
                        <a14:compatExt spid="_x0000_s6152"/>
                      </a:ext>
                    </a:extLst>
                  </xdr:cNvPr>
                  <xdr:cNvSpPr/>
                </xdr:nvSpPr>
                <xdr:spPr bwMode="auto">
                  <a:xfrm>
                    <a:off x="7248525" y="542925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mm</a:t>
                    </a:r>
                  </a:p>
                </xdr:txBody>
              </xdr:sp>
              <xdr:sp macro="" textlink="">
                <xdr:nvSpPr>
                  <xdr:cNvPr id="6153" name="Label 9" hidden="1">
                    <a:extLst>
                      <a:ext uri="{63B3BB69-23CF-44E3-9099-C40C66FF867C}">
                        <a14:compatExt spid="_x0000_s6153"/>
                      </a:ext>
                    </a:extLst>
                  </xdr:cNvPr>
                  <xdr:cNvSpPr/>
                </xdr:nvSpPr>
                <xdr:spPr bwMode="auto">
                  <a:xfrm>
                    <a:off x="7258050" y="1190625"/>
                    <a:ext cx="314325" cy="247650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  <xdr:txBody>
                  <a:bodyPr vertOverflow="clip" wrap="squar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m²</a:t>
                    </a:r>
                  </a:p>
                </xdr:txBody>
              </xdr:sp>
            </xdr:grpSp>
          </xdr:grpSp>
          <xdr:sp macro="" textlink="">
            <xdr:nvSpPr>
              <xdr:cNvPr id="6154" name="CommandButton1" hidden="1">
                <a:extLst>
                  <a:ext uri="{63B3BB69-23CF-44E3-9099-C40C66FF867C}">
                    <a14:compatExt spid="_x0000_s6154"/>
                  </a:ext>
                </a:extLst>
              </xdr:cNvPr>
              <xdr:cNvSpPr/>
            </xdr:nvSpPr>
            <xdr:spPr bwMode="auto">
              <a:xfrm>
                <a:off x="6457949" y="819151"/>
                <a:ext cx="781051" cy="2476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678675</xdr:colOff>
      <xdr:row>0</xdr:row>
      <xdr:rowOff>9525</xdr:rowOff>
    </xdr:from>
    <xdr:to>
      <xdr:col>5</xdr:col>
      <xdr:colOff>222225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26425" y="9525"/>
              <a:ext cx="16200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599464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6200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16</xdr:col>
      <xdr:colOff>67014</xdr:colOff>
      <xdr:row>0</xdr:row>
      <xdr:rowOff>1304925</xdr:rowOff>
    </xdr:from>
    <xdr:to>
      <xdr:col>17</xdr:col>
      <xdr:colOff>839289</xdr:colOff>
      <xdr:row>0</xdr:row>
      <xdr:rowOff>1664925</xdr:rowOff>
    </xdr:to>
    <xdr:sp macro="[0]!bouton_reset_filtre" textlink="">
      <xdr:nvSpPr>
        <xdr:cNvPr id="4" name="ZoneTexte 3"/>
        <xdr:cNvSpPr txBox="1"/>
      </xdr:nvSpPr>
      <xdr:spPr>
        <a:xfrm>
          <a:off x="9258639" y="1304925"/>
          <a:ext cx="1620000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1312068</xdr:rowOff>
    </xdr:from>
    <xdr:to>
      <xdr:col>18</xdr:col>
      <xdr:colOff>1706699</xdr:colOff>
      <xdr:row>0</xdr:row>
      <xdr:rowOff>1672068</xdr:rowOff>
    </xdr:to>
    <xdr:sp macro="[0]!bouton_ajout_ligne" textlink="">
      <xdr:nvSpPr>
        <xdr:cNvPr id="5" name="ZoneTexte 4"/>
        <xdr:cNvSpPr txBox="1"/>
      </xdr:nvSpPr>
      <xdr:spPr>
        <a:xfrm flipH="1">
          <a:off x="11353799" y="131206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127760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609600</xdr:colOff>
      <xdr:row>0</xdr:row>
      <xdr:rowOff>628650</xdr:rowOff>
    </xdr:from>
    <xdr:to>
      <xdr:col>19</xdr:col>
      <xdr:colOff>3674</xdr:colOff>
      <xdr:row>0</xdr:row>
      <xdr:rowOff>988650</xdr:rowOff>
    </xdr:to>
    <xdr:grpSp>
      <xdr:nvGrpSpPr>
        <xdr:cNvPr id="7" name="Groupe 6"/>
        <xdr:cNvGrpSpPr/>
      </xdr:nvGrpSpPr>
      <xdr:grpSpPr>
        <a:xfrm>
          <a:off x="10648950" y="628650"/>
          <a:ext cx="1956299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ECA682C7-16FF-4F67-BA59-53A974EBA5CE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314325</xdr:colOff>
      <xdr:row>0</xdr:row>
      <xdr:rowOff>9525</xdr:rowOff>
    </xdr:from>
    <xdr:to>
      <xdr:col>9</xdr:col>
      <xdr:colOff>172200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38525" y="9525"/>
              <a:ext cx="16200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266700</xdr:colOff>
      <xdr:row>0</xdr:row>
      <xdr:rowOff>9525</xdr:rowOff>
    </xdr:from>
    <xdr:to>
      <xdr:col>13</xdr:col>
      <xdr:colOff>144600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épaisseur (mm)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153025" y="9525"/>
              <a:ext cx="14400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1333500</xdr:rowOff>
    </xdr:from>
    <xdr:to>
      <xdr:col>17</xdr:col>
      <xdr:colOff>839289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8144214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1340643</xdr:rowOff>
    </xdr:from>
    <xdr:to>
      <xdr:col>18</xdr:col>
      <xdr:colOff>1706699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40643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6320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723900</xdr:rowOff>
    </xdr:from>
    <xdr:to>
      <xdr:col>19</xdr:col>
      <xdr:colOff>3674</xdr:colOff>
      <xdr:row>0</xdr:row>
      <xdr:rowOff>1083900</xdr:rowOff>
    </xdr:to>
    <xdr:grpSp>
      <xdr:nvGrpSpPr>
        <xdr:cNvPr id="8" name="Groupe 7"/>
        <xdr:cNvGrpSpPr/>
      </xdr:nvGrpSpPr>
      <xdr:grpSpPr>
        <a:xfrm>
          <a:off x="9725025" y="723900"/>
          <a:ext cx="1965824" cy="360000"/>
          <a:chOff x="7648575" y="876300"/>
          <a:chExt cx="2156324" cy="360000"/>
        </a:xfrm>
      </xdr:grpSpPr>
      <xdr:sp macro="" textlink="$U$2">
        <xdr:nvSpPr>
          <xdr:cNvPr id="9" name="ZoneTexte 8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B35BA130-A89E-401B-ADEC-B8508D00DAD0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1343025</xdr:rowOff>
    </xdr:from>
    <xdr:to>
      <xdr:col>17</xdr:col>
      <xdr:colOff>839289</xdr:colOff>
      <xdr:row>0</xdr:row>
      <xdr:rowOff>1703025</xdr:rowOff>
    </xdr:to>
    <xdr:sp macro="[0]!bouton_reset_filtre" textlink="">
      <xdr:nvSpPr>
        <xdr:cNvPr id="4" name="ZoneTexte 3"/>
        <xdr:cNvSpPr txBox="1"/>
      </xdr:nvSpPr>
      <xdr:spPr>
        <a:xfrm>
          <a:off x="8858589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1340643</xdr:rowOff>
    </xdr:from>
    <xdr:to>
      <xdr:col>18</xdr:col>
      <xdr:colOff>1706699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1153774" y="1340643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1077575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5</xdr:col>
      <xdr:colOff>561975</xdr:colOff>
      <xdr:row>0</xdr:row>
      <xdr:rowOff>9525</xdr:rowOff>
    </xdr:from>
    <xdr:to>
      <xdr:col>12</xdr:col>
      <xdr:colOff>114300</xdr:colOff>
      <xdr:row>0</xdr:row>
      <xdr:rowOff>1809750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Ø (mm)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Ø (mm)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86175" y="9525"/>
              <a:ext cx="1828800" cy="1800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17</xdr:col>
      <xdr:colOff>609600</xdr:colOff>
      <xdr:row>0</xdr:row>
      <xdr:rowOff>647700</xdr:rowOff>
    </xdr:from>
    <xdr:to>
      <xdr:col>19</xdr:col>
      <xdr:colOff>3674</xdr:colOff>
      <xdr:row>0</xdr:row>
      <xdr:rowOff>1007700</xdr:rowOff>
    </xdr:to>
    <xdr:grpSp>
      <xdr:nvGrpSpPr>
        <xdr:cNvPr id="8" name="Groupe 7"/>
        <xdr:cNvGrpSpPr/>
      </xdr:nvGrpSpPr>
      <xdr:grpSpPr>
        <a:xfrm>
          <a:off x="10448925" y="647700"/>
          <a:ext cx="1956299" cy="360000"/>
          <a:chOff x="7648575" y="876300"/>
          <a:chExt cx="2156324" cy="360000"/>
        </a:xfrm>
      </xdr:grpSpPr>
      <xdr:sp macro="" textlink="$U$2">
        <xdr:nvSpPr>
          <xdr:cNvPr id="9" name="ZoneTexte 8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94640256-EB44-4826-AC69-BD0DBB13F51A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1333500</xdr:rowOff>
    </xdr:from>
    <xdr:to>
      <xdr:col>18</xdr:col>
      <xdr:colOff>1089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9782514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457199</xdr:colOff>
      <xdr:row>0</xdr:row>
      <xdr:rowOff>1340643</xdr:rowOff>
    </xdr:from>
    <xdr:to>
      <xdr:col>18</xdr:col>
      <xdr:colOff>1706699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2058649" y="1340643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1991975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638175</xdr:rowOff>
    </xdr:from>
    <xdr:to>
      <xdr:col>18</xdr:col>
      <xdr:colOff>1708649</xdr:colOff>
      <xdr:row>0</xdr:row>
      <xdr:rowOff>998175</xdr:rowOff>
    </xdr:to>
    <xdr:grpSp>
      <xdr:nvGrpSpPr>
        <xdr:cNvPr id="7" name="Groupe 6"/>
        <xdr:cNvGrpSpPr/>
      </xdr:nvGrpSpPr>
      <xdr:grpSpPr>
        <a:xfrm>
          <a:off x="11353800" y="638175"/>
          <a:ext cx="1956299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5C02FCE4-9396-44E3-9809-5069B595E55C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590550</xdr:colOff>
      <xdr:row>0</xdr:row>
      <xdr:rowOff>9525</xdr:rowOff>
    </xdr:from>
    <xdr:to>
      <xdr:col>8</xdr:col>
      <xdr:colOff>657225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685800</xdr:colOff>
      <xdr:row>0</xdr:row>
      <xdr:rowOff>9525</xdr:rowOff>
    </xdr:from>
    <xdr:to>
      <xdr:col>13</xdr:col>
      <xdr:colOff>238125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épaisseur (mm)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459837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1314450</xdr:rowOff>
    </xdr:from>
    <xdr:to>
      <xdr:col>17</xdr:col>
      <xdr:colOff>839289</xdr:colOff>
      <xdr:row>0</xdr:row>
      <xdr:rowOff>1674450</xdr:rowOff>
    </xdr:to>
    <xdr:sp macro="[0]!bouton_reset_filtre" textlink="">
      <xdr:nvSpPr>
        <xdr:cNvPr id="4" name="ZoneTexte 3"/>
        <xdr:cNvSpPr txBox="1"/>
      </xdr:nvSpPr>
      <xdr:spPr>
        <a:xfrm>
          <a:off x="9839664" y="13144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1312068</xdr:rowOff>
    </xdr:from>
    <xdr:to>
      <xdr:col>18</xdr:col>
      <xdr:colOff>1706699</xdr:colOff>
      <xdr:row>0</xdr:row>
      <xdr:rowOff>1672068</xdr:rowOff>
    </xdr:to>
    <xdr:sp macro="[0]!bouton_ajout_ligne" textlink="">
      <xdr:nvSpPr>
        <xdr:cNvPr id="5" name="ZoneTexte 4"/>
        <xdr:cNvSpPr txBox="1"/>
      </xdr:nvSpPr>
      <xdr:spPr>
        <a:xfrm flipH="1">
          <a:off x="12134849" y="131206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400050</xdr:colOff>
      <xdr:row>0</xdr:row>
      <xdr:rowOff>0</xdr:rowOff>
    </xdr:from>
    <xdr:to>
      <xdr:col>19</xdr:col>
      <xdr:colOff>9525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2068175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609600</xdr:colOff>
      <xdr:row>0</xdr:row>
      <xdr:rowOff>666750</xdr:rowOff>
    </xdr:from>
    <xdr:to>
      <xdr:col>19</xdr:col>
      <xdr:colOff>3674</xdr:colOff>
      <xdr:row>0</xdr:row>
      <xdr:rowOff>1026750</xdr:rowOff>
    </xdr:to>
    <xdr:grpSp>
      <xdr:nvGrpSpPr>
        <xdr:cNvPr id="7" name="Groupe 6"/>
        <xdr:cNvGrpSpPr/>
      </xdr:nvGrpSpPr>
      <xdr:grpSpPr>
        <a:xfrm>
          <a:off x="11430000" y="666750"/>
          <a:ext cx="1956299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A7F9BFA4-4A4F-4E5E-959F-A12590A1703B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523875</xdr:colOff>
      <xdr:row>0</xdr:row>
      <xdr:rowOff>9525</xdr:rowOff>
    </xdr:from>
    <xdr:to>
      <xdr:col>8</xdr:col>
      <xdr:colOff>590550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619125</xdr:colOff>
      <xdr:row>0</xdr:row>
      <xdr:rowOff>9525</xdr:rowOff>
    </xdr:from>
    <xdr:to>
      <xdr:col>13</xdr:col>
      <xdr:colOff>171450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épaisseur (mm)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0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10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1333500</xdr:rowOff>
    </xdr:from>
    <xdr:to>
      <xdr:col>17</xdr:col>
      <xdr:colOff>839289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9772989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18</xdr:col>
      <xdr:colOff>1706699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2068174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1991975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752475</xdr:rowOff>
    </xdr:from>
    <xdr:to>
      <xdr:col>18</xdr:col>
      <xdr:colOff>1708649</xdr:colOff>
      <xdr:row>0</xdr:row>
      <xdr:rowOff>1112475</xdr:rowOff>
    </xdr:to>
    <xdr:grpSp>
      <xdr:nvGrpSpPr>
        <xdr:cNvPr id="7" name="Groupe 6"/>
        <xdr:cNvGrpSpPr/>
      </xdr:nvGrpSpPr>
      <xdr:grpSpPr>
        <a:xfrm>
          <a:off x="11344275" y="75247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85D79D1F-A677-4EC8-8B87-A93D7FA0ED95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590550</xdr:colOff>
      <xdr:row>0</xdr:row>
      <xdr:rowOff>9525</xdr:rowOff>
    </xdr:from>
    <xdr:to>
      <xdr:col>8</xdr:col>
      <xdr:colOff>657225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685800</xdr:colOff>
      <xdr:row>0</xdr:row>
      <xdr:rowOff>9525</xdr:rowOff>
    </xdr:from>
    <xdr:to>
      <xdr:col>13</xdr:col>
      <xdr:colOff>238125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épaisseur (mm)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1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1323975</xdr:rowOff>
    </xdr:from>
    <xdr:to>
      <xdr:col>17</xdr:col>
      <xdr:colOff>839289</xdr:colOff>
      <xdr:row>0</xdr:row>
      <xdr:rowOff>1683975</xdr:rowOff>
    </xdr:to>
    <xdr:sp macro="[0]!bouton_reset_filtre" textlink="">
      <xdr:nvSpPr>
        <xdr:cNvPr id="4" name="ZoneTexte 3"/>
        <xdr:cNvSpPr txBox="1"/>
      </xdr:nvSpPr>
      <xdr:spPr>
        <a:xfrm>
          <a:off x="9772989" y="132397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18</xdr:col>
      <xdr:colOff>1706699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2068174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1991975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638175</xdr:rowOff>
    </xdr:from>
    <xdr:to>
      <xdr:col>18</xdr:col>
      <xdr:colOff>1708649</xdr:colOff>
      <xdr:row>0</xdr:row>
      <xdr:rowOff>998175</xdr:rowOff>
    </xdr:to>
    <xdr:grpSp>
      <xdr:nvGrpSpPr>
        <xdr:cNvPr id="7" name="Groupe 6"/>
        <xdr:cNvGrpSpPr/>
      </xdr:nvGrpSpPr>
      <xdr:grpSpPr>
        <a:xfrm>
          <a:off x="11344275" y="63817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2EB9BF2D-5C24-4623-88C6-4B7385D4BEB8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590550</xdr:colOff>
      <xdr:row>0</xdr:row>
      <xdr:rowOff>9525</xdr:rowOff>
    </xdr:from>
    <xdr:to>
      <xdr:col>8</xdr:col>
      <xdr:colOff>657225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685800</xdr:colOff>
      <xdr:row>0</xdr:row>
      <xdr:rowOff>9525</xdr:rowOff>
    </xdr:from>
    <xdr:to>
      <xdr:col>13</xdr:col>
      <xdr:colOff>238125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épaisseur (mm)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821551</xdr:colOff>
      <xdr:row>0</xdr:row>
      <xdr:rowOff>9525</xdr:rowOff>
    </xdr:from>
    <xdr:to>
      <xdr:col>5</xdr:col>
      <xdr:colOff>526512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27214</xdr:colOff>
      <xdr:row>0</xdr:row>
      <xdr:rowOff>9525</xdr:rowOff>
    </xdr:from>
    <xdr:to>
      <xdr:col>3</xdr:col>
      <xdr:colOff>782526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famille_rond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1314450</xdr:rowOff>
    </xdr:from>
    <xdr:to>
      <xdr:col>17</xdr:col>
      <xdr:colOff>839289</xdr:colOff>
      <xdr:row>0</xdr:row>
      <xdr:rowOff>1674450</xdr:rowOff>
    </xdr:to>
    <xdr:sp macro="[0]!bouton_reset_filtre" textlink="">
      <xdr:nvSpPr>
        <xdr:cNvPr id="4" name="ZoneTexte 3"/>
        <xdr:cNvSpPr txBox="1"/>
      </xdr:nvSpPr>
      <xdr:spPr>
        <a:xfrm>
          <a:off x="9772989" y="13144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18</xdr:col>
      <xdr:colOff>1706699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2068174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381000</xdr:colOff>
      <xdr:row>0</xdr:row>
      <xdr:rowOff>0</xdr:rowOff>
    </xdr:from>
    <xdr:to>
      <xdr:col>18</xdr:col>
      <xdr:colOff>1704975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198245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638175</xdr:rowOff>
    </xdr:from>
    <xdr:to>
      <xdr:col>18</xdr:col>
      <xdr:colOff>1708649</xdr:colOff>
      <xdr:row>0</xdr:row>
      <xdr:rowOff>998175</xdr:rowOff>
    </xdr:to>
    <xdr:grpSp>
      <xdr:nvGrpSpPr>
        <xdr:cNvPr id="7" name="Groupe 6"/>
        <xdr:cNvGrpSpPr/>
      </xdr:nvGrpSpPr>
      <xdr:grpSpPr>
        <a:xfrm>
          <a:off x="11344275" y="63817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7CBC021C-B825-425D-AD6F-4C134AEB3303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5</xdr:col>
      <xdr:colOff>590550</xdr:colOff>
      <xdr:row>0</xdr:row>
      <xdr:rowOff>9525</xdr:rowOff>
    </xdr:from>
    <xdr:to>
      <xdr:col>8</xdr:col>
      <xdr:colOff>657225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Largueur /&#10;basse (mm)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rgueur /&#10;basse (mm)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47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685800</xdr:colOff>
      <xdr:row>0</xdr:row>
      <xdr:rowOff>9525</xdr:rowOff>
    </xdr:from>
    <xdr:to>
      <xdr:col>13</xdr:col>
      <xdr:colOff>238125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épaisseur (mm)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paisseur (mm)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12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11926</xdr:colOff>
      <xdr:row>0</xdr:row>
      <xdr:rowOff>0</xdr:rowOff>
    </xdr:from>
    <xdr:to>
      <xdr:col>3</xdr:col>
      <xdr:colOff>745587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26" y="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1352550</xdr:rowOff>
    </xdr:from>
    <xdr:to>
      <xdr:col>18</xdr:col>
      <xdr:colOff>1089</xdr:colOff>
      <xdr:row>0</xdr:row>
      <xdr:rowOff>1712550</xdr:rowOff>
    </xdr:to>
    <xdr:sp macro="[0]!bouton_reset_filtre" textlink="">
      <xdr:nvSpPr>
        <xdr:cNvPr id="4" name="ZoneTexte 3"/>
        <xdr:cNvSpPr txBox="1"/>
      </xdr:nvSpPr>
      <xdr:spPr>
        <a:xfrm>
          <a:off x="8153739" y="13525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1359693</xdr:rowOff>
    </xdr:from>
    <xdr:to>
      <xdr:col>18</xdr:col>
      <xdr:colOff>1706699</xdr:colOff>
      <xdr:row>0</xdr:row>
      <xdr:rowOff>1719693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59693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6320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714375</xdr:rowOff>
    </xdr:from>
    <xdr:to>
      <xdr:col>18</xdr:col>
      <xdr:colOff>1708649</xdr:colOff>
      <xdr:row>0</xdr:row>
      <xdr:rowOff>1074375</xdr:rowOff>
    </xdr:to>
    <xdr:grpSp>
      <xdr:nvGrpSpPr>
        <xdr:cNvPr id="7" name="Groupe 6"/>
        <xdr:cNvGrpSpPr/>
      </xdr:nvGrpSpPr>
      <xdr:grpSpPr>
        <a:xfrm>
          <a:off x="9715500" y="71437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F61258A2-2251-4DDD-B947-93A05A2829B8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790575</xdr:colOff>
      <xdr:row>0</xdr:row>
      <xdr:rowOff>0</xdr:rowOff>
    </xdr:from>
    <xdr:to>
      <xdr:col>5</xdr:col>
      <xdr:colOff>542925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8325" y="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21451</xdr:colOff>
      <xdr:row>0</xdr:row>
      <xdr:rowOff>0</xdr:rowOff>
    </xdr:from>
    <xdr:to>
      <xdr:col>3</xdr:col>
      <xdr:colOff>755112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451" y="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1333500</xdr:rowOff>
    </xdr:from>
    <xdr:to>
      <xdr:col>18</xdr:col>
      <xdr:colOff>1089</xdr:colOff>
      <xdr:row>0</xdr:row>
      <xdr:rowOff>1693500</xdr:rowOff>
    </xdr:to>
    <xdr:sp macro="[0]!bouton_reset_filtre" textlink="">
      <xdr:nvSpPr>
        <xdr:cNvPr id="4" name="ZoneTexte 3"/>
        <xdr:cNvSpPr txBox="1"/>
      </xdr:nvSpPr>
      <xdr:spPr>
        <a:xfrm>
          <a:off x="8153739" y="13335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19</xdr:col>
      <xdr:colOff>1724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31118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6320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676275</xdr:rowOff>
    </xdr:from>
    <xdr:to>
      <xdr:col>18</xdr:col>
      <xdr:colOff>1708649</xdr:colOff>
      <xdr:row>0</xdr:row>
      <xdr:rowOff>1036275</xdr:rowOff>
    </xdr:to>
    <xdr:grpSp>
      <xdr:nvGrpSpPr>
        <xdr:cNvPr id="7" name="Groupe 6"/>
        <xdr:cNvGrpSpPr/>
      </xdr:nvGrpSpPr>
      <xdr:grpSpPr>
        <a:xfrm>
          <a:off x="9715500" y="67627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EF32A8FB-65FD-4957-B553-17F5D17EF42C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819150</xdr:colOff>
      <xdr:row>0</xdr:row>
      <xdr:rowOff>0</xdr:rowOff>
    </xdr:from>
    <xdr:to>
      <xdr:col>5</xdr:col>
      <xdr:colOff>571500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6900" y="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3</xdr:col>
      <xdr:colOff>736062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78381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1343025</xdr:rowOff>
    </xdr:from>
    <xdr:to>
      <xdr:col>18</xdr:col>
      <xdr:colOff>1089</xdr:colOff>
      <xdr:row>0</xdr:row>
      <xdr:rowOff>1703025</xdr:rowOff>
    </xdr:to>
    <xdr:sp macro="[0]!bouton_reset_filtre" textlink="">
      <xdr:nvSpPr>
        <xdr:cNvPr id="4" name="ZoneTexte 3"/>
        <xdr:cNvSpPr txBox="1"/>
      </xdr:nvSpPr>
      <xdr:spPr>
        <a:xfrm>
          <a:off x="8153739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457199</xdr:colOff>
      <xdr:row>0</xdr:row>
      <xdr:rowOff>1340643</xdr:rowOff>
    </xdr:from>
    <xdr:to>
      <xdr:col>18</xdr:col>
      <xdr:colOff>1706699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0429874" y="1340643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036320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704850</xdr:rowOff>
    </xdr:from>
    <xdr:to>
      <xdr:col>19</xdr:col>
      <xdr:colOff>3674</xdr:colOff>
      <xdr:row>0</xdr:row>
      <xdr:rowOff>1064850</xdr:rowOff>
    </xdr:to>
    <xdr:grpSp>
      <xdr:nvGrpSpPr>
        <xdr:cNvPr id="7" name="Groupe 6"/>
        <xdr:cNvGrpSpPr/>
      </xdr:nvGrpSpPr>
      <xdr:grpSpPr>
        <a:xfrm>
          <a:off x="9725025" y="704850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83CFB16C-F2CE-4436-8F62-80EEBB7FC68F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781050</xdr:colOff>
      <xdr:row>0</xdr:row>
      <xdr:rowOff>0</xdr:rowOff>
    </xdr:from>
    <xdr:to>
      <xdr:col>5</xdr:col>
      <xdr:colOff>533400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8800" y="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50026</xdr:colOff>
      <xdr:row>0</xdr:row>
      <xdr:rowOff>19050</xdr:rowOff>
    </xdr:from>
    <xdr:to>
      <xdr:col>3</xdr:col>
      <xdr:colOff>783687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026" y="1905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1314450</xdr:rowOff>
    </xdr:from>
    <xdr:to>
      <xdr:col>18</xdr:col>
      <xdr:colOff>1089</xdr:colOff>
      <xdr:row>0</xdr:row>
      <xdr:rowOff>1674450</xdr:rowOff>
    </xdr:to>
    <xdr:sp macro="[0]!bouton_reset_filtre" textlink="">
      <xdr:nvSpPr>
        <xdr:cNvPr id="4" name="ZoneTexte 3"/>
        <xdr:cNvSpPr txBox="1"/>
      </xdr:nvSpPr>
      <xdr:spPr>
        <a:xfrm>
          <a:off x="8153739" y="13144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19</xdr:col>
      <xdr:colOff>1724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31118"/>
          <a:ext cx="1249500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036320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647700</xdr:rowOff>
    </xdr:from>
    <xdr:to>
      <xdr:col>19</xdr:col>
      <xdr:colOff>3674</xdr:colOff>
      <xdr:row>0</xdr:row>
      <xdr:rowOff>1007700</xdr:rowOff>
    </xdr:to>
    <xdr:grpSp>
      <xdr:nvGrpSpPr>
        <xdr:cNvPr id="7" name="Groupe 6"/>
        <xdr:cNvGrpSpPr/>
      </xdr:nvGrpSpPr>
      <xdr:grpSpPr>
        <a:xfrm>
          <a:off x="9725025" y="647700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FF3C63D0-2BA0-4D10-A559-90DE0036E444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828675</xdr:colOff>
      <xdr:row>0</xdr:row>
      <xdr:rowOff>19050</xdr:rowOff>
    </xdr:from>
    <xdr:to>
      <xdr:col>5</xdr:col>
      <xdr:colOff>581025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76425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21451</xdr:colOff>
      <xdr:row>0</xdr:row>
      <xdr:rowOff>19050</xdr:rowOff>
    </xdr:from>
    <xdr:to>
      <xdr:col>3</xdr:col>
      <xdr:colOff>755112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451" y="1905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1352550</xdr:rowOff>
    </xdr:from>
    <xdr:to>
      <xdr:col>18</xdr:col>
      <xdr:colOff>1089</xdr:colOff>
      <xdr:row>0</xdr:row>
      <xdr:rowOff>1712550</xdr:rowOff>
    </xdr:to>
    <xdr:sp macro="[0]!bouton_reset_filtre" textlink="">
      <xdr:nvSpPr>
        <xdr:cNvPr id="4" name="ZoneTexte 3"/>
        <xdr:cNvSpPr txBox="1"/>
      </xdr:nvSpPr>
      <xdr:spPr>
        <a:xfrm>
          <a:off x="8153739" y="13525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18</xdr:col>
      <xdr:colOff>1706699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409575</xdr:colOff>
      <xdr:row>0</xdr:row>
      <xdr:rowOff>9525</xdr:rowOff>
    </xdr:from>
    <xdr:to>
      <xdr:col>19</xdr:col>
      <xdr:colOff>19050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8225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723900</xdr:rowOff>
    </xdr:from>
    <xdr:to>
      <xdr:col>19</xdr:col>
      <xdr:colOff>3674</xdr:colOff>
      <xdr:row>0</xdr:row>
      <xdr:rowOff>1083900</xdr:rowOff>
    </xdr:to>
    <xdr:grpSp>
      <xdr:nvGrpSpPr>
        <xdr:cNvPr id="7" name="Groupe 6"/>
        <xdr:cNvGrpSpPr/>
      </xdr:nvGrpSpPr>
      <xdr:grpSpPr>
        <a:xfrm>
          <a:off x="9725025" y="723900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40795AB8-7014-4526-B87A-1685AF0994C3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809625</xdr:colOff>
      <xdr:row>0</xdr:row>
      <xdr:rowOff>19050</xdr:rowOff>
    </xdr:from>
    <xdr:to>
      <xdr:col>5</xdr:col>
      <xdr:colOff>561975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7375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21451</xdr:colOff>
      <xdr:row>0</xdr:row>
      <xdr:rowOff>9525</xdr:rowOff>
    </xdr:from>
    <xdr:to>
      <xdr:col>3</xdr:col>
      <xdr:colOff>755112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45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724239</xdr:colOff>
      <xdr:row>0</xdr:row>
      <xdr:rowOff>1343025</xdr:rowOff>
    </xdr:from>
    <xdr:to>
      <xdr:col>18</xdr:col>
      <xdr:colOff>1089</xdr:colOff>
      <xdr:row>0</xdr:row>
      <xdr:rowOff>1703025</xdr:rowOff>
    </xdr:to>
    <xdr:sp macro="[0]!bouton_reset_filtre" textlink="">
      <xdr:nvSpPr>
        <xdr:cNvPr id="4" name="ZoneTexte 3"/>
        <xdr:cNvSpPr txBox="1"/>
      </xdr:nvSpPr>
      <xdr:spPr>
        <a:xfrm>
          <a:off x="8153739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1340643</xdr:rowOff>
    </xdr:from>
    <xdr:to>
      <xdr:col>18</xdr:col>
      <xdr:colOff>1706699</xdr:colOff>
      <xdr:row>0</xdr:row>
      <xdr:rowOff>1700643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40643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409575</xdr:colOff>
      <xdr:row>0</xdr:row>
      <xdr:rowOff>9525</xdr:rowOff>
    </xdr:from>
    <xdr:to>
      <xdr:col>19</xdr:col>
      <xdr:colOff>19050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8225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657225</xdr:rowOff>
    </xdr:from>
    <xdr:to>
      <xdr:col>18</xdr:col>
      <xdr:colOff>1708649</xdr:colOff>
      <xdr:row>0</xdr:row>
      <xdr:rowOff>1017225</xdr:rowOff>
    </xdr:to>
    <xdr:grpSp>
      <xdr:nvGrpSpPr>
        <xdr:cNvPr id="7" name="Groupe 6"/>
        <xdr:cNvGrpSpPr/>
      </xdr:nvGrpSpPr>
      <xdr:grpSpPr>
        <a:xfrm>
          <a:off x="9715500" y="65722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2A3EE02D-01D2-4707-926A-5C444D2950A2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809625</xdr:colOff>
      <xdr:row>0</xdr:row>
      <xdr:rowOff>9525</xdr:rowOff>
    </xdr:from>
    <xdr:to>
      <xdr:col>5</xdr:col>
      <xdr:colOff>561975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737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11926</xdr:colOff>
      <xdr:row>0</xdr:row>
      <xdr:rowOff>9525</xdr:rowOff>
    </xdr:from>
    <xdr:to>
      <xdr:col>3</xdr:col>
      <xdr:colOff>745587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26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1352550</xdr:rowOff>
    </xdr:from>
    <xdr:to>
      <xdr:col>17</xdr:col>
      <xdr:colOff>839289</xdr:colOff>
      <xdr:row>0</xdr:row>
      <xdr:rowOff>1712550</xdr:rowOff>
    </xdr:to>
    <xdr:sp macro="[0]!bouton_reset_filtre" textlink="">
      <xdr:nvSpPr>
        <xdr:cNvPr id="4" name="ZoneTexte 3"/>
        <xdr:cNvSpPr txBox="1"/>
      </xdr:nvSpPr>
      <xdr:spPr>
        <a:xfrm>
          <a:off x="8144214" y="135255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476249</xdr:colOff>
      <xdr:row>0</xdr:row>
      <xdr:rowOff>1350168</xdr:rowOff>
    </xdr:from>
    <xdr:to>
      <xdr:col>19</xdr:col>
      <xdr:colOff>1724</xdr:colOff>
      <xdr:row>0</xdr:row>
      <xdr:rowOff>1710168</xdr:rowOff>
    </xdr:to>
    <xdr:sp macro="[0]!bouton_ajout_ligne" textlink="">
      <xdr:nvSpPr>
        <xdr:cNvPr id="5" name="ZoneTexte 4"/>
        <xdr:cNvSpPr txBox="1"/>
      </xdr:nvSpPr>
      <xdr:spPr>
        <a:xfrm flipH="1">
          <a:off x="10448924" y="135016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9525</xdr:rowOff>
    </xdr:from>
    <xdr:to>
      <xdr:col>19</xdr:col>
      <xdr:colOff>0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63200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619125</xdr:rowOff>
    </xdr:from>
    <xdr:to>
      <xdr:col>18</xdr:col>
      <xdr:colOff>1708649</xdr:colOff>
      <xdr:row>0</xdr:row>
      <xdr:rowOff>979125</xdr:rowOff>
    </xdr:to>
    <xdr:grpSp>
      <xdr:nvGrpSpPr>
        <xdr:cNvPr id="7" name="Groupe 6"/>
        <xdr:cNvGrpSpPr/>
      </xdr:nvGrpSpPr>
      <xdr:grpSpPr>
        <a:xfrm>
          <a:off x="9715500" y="61912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F6F641B7-E2C0-4C56-9AED-74B9A4CC1D9E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800100</xdr:colOff>
      <xdr:row>0</xdr:row>
      <xdr:rowOff>9525</xdr:rowOff>
    </xdr:from>
    <xdr:to>
      <xdr:col>5</xdr:col>
      <xdr:colOff>552450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47850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9525</xdr:rowOff>
    </xdr:from>
    <xdr:to>
      <xdr:col>3</xdr:col>
      <xdr:colOff>736062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1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1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9525"/>
              <a:ext cx="178381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1343025</xdr:rowOff>
    </xdr:from>
    <xdr:to>
      <xdr:col>17</xdr:col>
      <xdr:colOff>839289</xdr:colOff>
      <xdr:row>0</xdr:row>
      <xdr:rowOff>1703025</xdr:rowOff>
    </xdr:to>
    <xdr:sp macro="[0]!bouton_reset_filtre" textlink="">
      <xdr:nvSpPr>
        <xdr:cNvPr id="4" name="ZoneTexte 3"/>
        <xdr:cNvSpPr txBox="1"/>
      </xdr:nvSpPr>
      <xdr:spPr>
        <a:xfrm>
          <a:off x="8144214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476249</xdr:colOff>
      <xdr:row>0</xdr:row>
      <xdr:rowOff>1350168</xdr:rowOff>
    </xdr:from>
    <xdr:to>
      <xdr:col>19</xdr:col>
      <xdr:colOff>1724</xdr:colOff>
      <xdr:row>0</xdr:row>
      <xdr:rowOff>1710168</xdr:rowOff>
    </xdr:to>
    <xdr:sp macro="[0]!bouton_ajout_ligne" textlink="">
      <xdr:nvSpPr>
        <xdr:cNvPr id="5" name="ZoneTexte 4"/>
        <xdr:cNvSpPr txBox="1"/>
      </xdr:nvSpPr>
      <xdr:spPr>
        <a:xfrm flipH="1">
          <a:off x="10448924" y="135016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390525</xdr:colOff>
      <xdr:row>0</xdr:row>
      <xdr:rowOff>0</xdr:rowOff>
    </xdr:from>
    <xdr:to>
      <xdr:col>19</xdr:col>
      <xdr:colOff>0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036320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590550</xdr:colOff>
      <xdr:row>0</xdr:row>
      <xdr:rowOff>657225</xdr:rowOff>
    </xdr:from>
    <xdr:to>
      <xdr:col>18</xdr:col>
      <xdr:colOff>1708649</xdr:colOff>
      <xdr:row>0</xdr:row>
      <xdr:rowOff>1017225</xdr:rowOff>
    </xdr:to>
    <xdr:grpSp>
      <xdr:nvGrpSpPr>
        <xdr:cNvPr id="7" name="Groupe 6"/>
        <xdr:cNvGrpSpPr/>
      </xdr:nvGrpSpPr>
      <xdr:grpSpPr>
        <a:xfrm>
          <a:off x="9715500" y="657225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8D789E1F-992E-452D-B907-16762A814E6D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781050</xdr:colOff>
      <xdr:row>0</xdr:row>
      <xdr:rowOff>19050</xdr:rowOff>
    </xdr:from>
    <xdr:to>
      <xdr:col>5</xdr:col>
      <xdr:colOff>533400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8800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11926</xdr:colOff>
      <xdr:row>0</xdr:row>
      <xdr:rowOff>19050</xdr:rowOff>
    </xdr:from>
    <xdr:to>
      <xdr:col>3</xdr:col>
      <xdr:colOff>745587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20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2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26" y="1905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714714</xdr:colOff>
      <xdr:row>0</xdr:row>
      <xdr:rowOff>1343025</xdr:rowOff>
    </xdr:from>
    <xdr:to>
      <xdr:col>17</xdr:col>
      <xdr:colOff>839289</xdr:colOff>
      <xdr:row>0</xdr:row>
      <xdr:rowOff>1703025</xdr:rowOff>
    </xdr:to>
    <xdr:sp macro="[0]!bouton_reset_filtre" textlink="">
      <xdr:nvSpPr>
        <xdr:cNvPr id="4" name="ZoneTexte 3"/>
        <xdr:cNvSpPr txBox="1"/>
      </xdr:nvSpPr>
      <xdr:spPr>
        <a:xfrm>
          <a:off x="8144214" y="1343025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>
    <xdr:from>
      <xdr:col>18</xdr:col>
      <xdr:colOff>466724</xdr:colOff>
      <xdr:row>0</xdr:row>
      <xdr:rowOff>1331118</xdr:rowOff>
    </xdr:from>
    <xdr:to>
      <xdr:col>18</xdr:col>
      <xdr:colOff>1706699</xdr:colOff>
      <xdr:row>0</xdr:row>
      <xdr:rowOff>1691118</xdr:rowOff>
    </xdr:to>
    <xdr:sp macro="[0]!bouton_ajout_ligne" textlink="">
      <xdr:nvSpPr>
        <xdr:cNvPr id="5" name="ZoneTexte 4"/>
        <xdr:cNvSpPr txBox="1"/>
      </xdr:nvSpPr>
      <xdr:spPr>
        <a:xfrm flipH="1">
          <a:off x="10439399" y="1331118"/>
          <a:ext cx="1239975" cy="360000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/>
            <a:t>Ajout Article</a:t>
          </a:r>
        </a:p>
      </xdr:txBody>
    </xdr:sp>
    <xdr:clientData/>
  </xdr:twoCellAnchor>
  <xdr:twoCellAnchor editAs="absolute">
    <xdr:from>
      <xdr:col>18</xdr:col>
      <xdr:colOff>400050</xdr:colOff>
      <xdr:row>0</xdr:row>
      <xdr:rowOff>9525</xdr:rowOff>
    </xdr:from>
    <xdr:to>
      <xdr:col>19</xdr:col>
      <xdr:colOff>9525</xdr:colOff>
      <xdr:row>0</xdr:row>
      <xdr:rowOff>390525</xdr:rowOff>
    </xdr:to>
    <xdr:sp macro="[0]!Retour_accueil" textlink="">
      <xdr:nvSpPr>
        <xdr:cNvPr id="6" name="ZoneTexte 5"/>
        <xdr:cNvSpPr txBox="1"/>
      </xdr:nvSpPr>
      <xdr:spPr>
        <a:xfrm>
          <a:off x="10372725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>
    <xdr:from>
      <xdr:col>17</xdr:col>
      <xdr:colOff>600075</xdr:colOff>
      <xdr:row>0</xdr:row>
      <xdr:rowOff>685800</xdr:rowOff>
    </xdr:from>
    <xdr:to>
      <xdr:col>19</xdr:col>
      <xdr:colOff>3674</xdr:colOff>
      <xdr:row>0</xdr:row>
      <xdr:rowOff>1045800</xdr:rowOff>
    </xdr:to>
    <xdr:grpSp>
      <xdr:nvGrpSpPr>
        <xdr:cNvPr id="7" name="Groupe 6"/>
        <xdr:cNvGrpSpPr/>
      </xdr:nvGrpSpPr>
      <xdr:grpSpPr>
        <a:xfrm>
          <a:off x="9725025" y="685800"/>
          <a:ext cx="1965824" cy="360000"/>
          <a:chOff x="7648575" y="876300"/>
          <a:chExt cx="2156324" cy="360000"/>
        </a:xfrm>
      </xdr:grpSpPr>
      <xdr:sp macro="" textlink="$U$2">
        <xdr:nvSpPr>
          <xdr:cNvPr id="8" name="ZoneTexte 7"/>
          <xdr:cNvSpPr txBox="1"/>
        </xdr:nvSpPr>
        <xdr:spPr>
          <a:xfrm>
            <a:off x="8724899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96F6BD1F-47D1-412A-95D5-080C0BD083CE}" type="TxLink">
              <a:rPr lang="en-US" sz="1100" b="1" i="0" u="none" strike="noStrike">
                <a:solidFill>
                  <a:srgbClr val="FFFFFF"/>
                </a:solidFill>
                <a:latin typeface="Calibri"/>
              </a:rPr>
              <a:pPr algn="ctr"/>
              <a:t>0,00 €</a:t>
            </a:fld>
            <a:endParaRPr lang="fr-FR" sz="1100" b="1">
              <a:solidFill>
                <a:schemeClr val="bg1"/>
              </a:solidFill>
            </a:endParaRP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648575" y="876300"/>
            <a:ext cx="1080000" cy="36000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Valeur</a:t>
            </a:r>
            <a:r>
              <a:rPr lang="fr-FR" sz="1100" b="1" baseline="0"/>
              <a:t> total :</a:t>
            </a:r>
            <a:endParaRPr lang="fr-FR" sz="1100" b="1"/>
          </a:p>
        </xdr:txBody>
      </xdr:sp>
    </xdr:grpSp>
    <xdr:clientData/>
  </xdr:twoCellAnchor>
  <xdr:twoCellAnchor editAs="absolute">
    <xdr:from>
      <xdr:col>3</xdr:col>
      <xdr:colOff>790575</xdr:colOff>
      <xdr:row>0</xdr:row>
      <xdr:rowOff>19050</xdr:rowOff>
    </xdr:from>
    <xdr:to>
      <xdr:col>5</xdr:col>
      <xdr:colOff>542925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Profils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8325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171789</xdr:colOff>
      <xdr:row>0</xdr:row>
      <xdr:rowOff>88446</xdr:rowOff>
    </xdr:from>
    <xdr:to>
      <xdr:col>8</xdr:col>
      <xdr:colOff>604838</xdr:colOff>
      <xdr:row>0</xdr:row>
      <xdr:rowOff>552790</xdr:rowOff>
    </xdr:to>
    <xdr:sp macro="[0]!bouton_reset_filtre" textlink="">
      <xdr:nvSpPr>
        <xdr:cNvPr id="5" name="ZoneTexte 4"/>
        <xdr:cNvSpPr txBox="1"/>
      </xdr:nvSpPr>
      <xdr:spPr>
        <a:xfrm>
          <a:off x="5572464" y="88446"/>
          <a:ext cx="1842749" cy="464344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 editAs="absolute">
    <xdr:from>
      <xdr:col>15</xdr:col>
      <xdr:colOff>400050</xdr:colOff>
      <xdr:row>0</xdr:row>
      <xdr:rowOff>0</xdr:rowOff>
    </xdr:from>
    <xdr:to>
      <xdr:col>16</xdr:col>
      <xdr:colOff>9525</xdr:colOff>
      <xdr:row>0</xdr:row>
      <xdr:rowOff>381000</xdr:rowOff>
    </xdr:to>
    <xdr:sp macro="[0]!Retour_accueil" textlink="">
      <xdr:nvSpPr>
        <xdr:cNvPr id="6" name="ZoneTexte 5"/>
        <xdr:cNvSpPr txBox="1"/>
      </xdr:nvSpPr>
      <xdr:spPr>
        <a:xfrm>
          <a:off x="1282065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0</xdr:col>
      <xdr:colOff>9525</xdr:colOff>
      <xdr:row>0</xdr:row>
      <xdr:rowOff>19050</xdr:rowOff>
    </xdr:from>
    <xdr:to>
      <xdr:col>1</xdr:col>
      <xdr:colOff>962025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Form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9525</xdr:colOff>
      <xdr:row>0</xdr:row>
      <xdr:rowOff>9525</xdr:rowOff>
    </xdr:from>
    <xdr:to>
      <xdr:col>3</xdr:col>
      <xdr:colOff>790575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ate du mouv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u mouv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33575" y="9525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11926</xdr:colOff>
      <xdr:row>0</xdr:row>
      <xdr:rowOff>19050</xdr:rowOff>
    </xdr:from>
    <xdr:to>
      <xdr:col>2</xdr:col>
      <xdr:colOff>745587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g_matériaux_rond 2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 2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26" y="19050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10</xdr:col>
      <xdr:colOff>0</xdr:colOff>
      <xdr:row>0</xdr:row>
      <xdr:rowOff>1295400</xdr:rowOff>
    </xdr:from>
    <xdr:to>
      <xdr:col>10</xdr:col>
      <xdr:colOff>1706064</xdr:colOff>
      <xdr:row>0</xdr:row>
      <xdr:rowOff>1655400</xdr:rowOff>
    </xdr:to>
    <xdr:sp macro="[0]!bouton_reset_filtre" textlink="">
      <xdr:nvSpPr>
        <xdr:cNvPr id="3" name="ZoneTexte 2"/>
        <xdr:cNvSpPr txBox="1"/>
      </xdr:nvSpPr>
      <xdr:spPr>
        <a:xfrm>
          <a:off x="9858714" y="1295400"/>
          <a:ext cx="1820025" cy="360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chemeClr val="bg1"/>
              </a:solidFill>
            </a:rPr>
            <a:t>RESET FILTRE</a:t>
          </a:r>
        </a:p>
      </xdr:txBody>
    </xdr:sp>
    <xdr:clientData/>
  </xdr:twoCellAnchor>
  <xdr:twoCellAnchor editAs="absolute">
    <xdr:from>
      <xdr:col>10</xdr:col>
      <xdr:colOff>400050</xdr:colOff>
      <xdr:row>0</xdr:row>
      <xdr:rowOff>0</xdr:rowOff>
    </xdr:from>
    <xdr:to>
      <xdr:col>11</xdr:col>
      <xdr:colOff>9525</xdr:colOff>
      <xdr:row>0</xdr:row>
      <xdr:rowOff>381000</xdr:rowOff>
    </xdr:to>
    <xdr:sp macro="[0]!Retour_accueil" textlink="">
      <xdr:nvSpPr>
        <xdr:cNvPr id="5" name="ZoneTexte 4"/>
        <xdr:cNvSpPr txBox="1"/>
      </xdr:nvSpPr>
      <xdr:spPr>
        <a:xfrm>
          <a:off x="9867900" y="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2</xdr:col>
      <xdr:colOff>790575</xdr:colOff>
      <xdr:row>0</xdr:row>
      <xdr:rowOff>19050</xdr:rowOff>
    </xdr:from>
    <xdr:to>
      <xdr:col>4</xdr:col>
      <xdr:colOff>542925</xdr:colOff>
      <xdr:row>0</xdr:row>
      <xdr:rowOff>1819050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rofils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8325" y="19050"/>
              <a:ext cx="1828800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" sourceName="Matériaux">
  <extLst>
    <x:ext xmlns:x15="http://schemas.microsoft.com/office/spreadsheetml/2010/11/main" uri="{2F2917AC-EB37-4324-AD4E-5DD8C200BD13}">
      <x15:tableSlicerCache tableId="3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" sourceName="Famille">
  <extLst>
    <x:ext xmlns:x15="http://schemas.microsoft.com/office/spreadsheetml/2010/11/main" uri="{2F2917AC-EB37-4324-AD4E-5DD8C200BD13}">
      <x15:tableSlicerCache tableId="3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Ø__mm" sourceName="Ø (mm)">
  <extLst>
    <x:ext xmlns:x15="http://schemas.microsoft.com/office/spreadsheetml/2010/11/main" uri="{2F2917AC-EB37-4324-AD4E-5DD8C200BD13}">
      <x15:tableSlicerCache tableId="3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" sourceName="Matériaux">
  <extLst>
    <x:ext xmlns:x15="http://schemas.microsoft.com/office/spreadsheetml/2010/11/main" uri="{2F2917AC-EB37-4324-AD4E-5DD8C200BD13}">
      <x15:tableSlicerCache tableId="14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" sourceName="Famille">
  <extLst>
    <x:ext xmlns:x15="http://schemas.microsoft.com/office/spreadsheetml/2010/11/main" uri="{2F2917AC-EB37-4324-AD4E-5DD8C200BD13}">
      <x15:tableSlicerCache tableId="14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1" sourceName="Matériaux">
  <extLst>
    <x:ext xmlns:x15="http://schemas.microsoft.com/office/spreadsheetml/2010/11/main" uri="{2F2917AC-EB37-4324-AD4E-5DD8C200BD13}">
      <x15:tableSlicerCache tableId="15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1" sourceName="Famille">
  <extLst>
    <x:ext xmlns:x15="http://schemas.microsoft.com/office/spreadsheetml/2010/11/main" uri="{2F2917AC-EB37-4324-AD4E-5DD8C200BD13}">
      <x15:tableSlicerCache tableId="15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" sourceName="Largueur /_x000a_basse (mm)">
  <extLst>
    <x:ext xmlns:x15="http://schemas.microsoft.com/office/spreadsheetml/2010/11/main" uri="{2F2917AC-EB37-4324-AD4E-5DD8C200BD13}">
      <x15:tableSlicerCache tableId="14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" sourceName="épaisseur (mm)">
  <extLst>
    <x:ext xmlns:x15="http://schemas.microsoft.com/office/spreadsheetml/2010/11/main" uri="{2F2917AC-EB37-4324-AD4E-5DD8C200BD13}">
      <x15:tableSlicerCache tableId="15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11" sourceName="Matériaux">
  <extLst>
    <x:ext xmlns:x15="http://schemas.microsoft.com/office/spreadsheetml/2010/11/main" uri="{2F2917AC-EB37-4324-AD4E-5DD8C200BD13}">
      <x15:tableSlicerCache tableId="16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11" sourceName="Famille">
  <extLst>
    <x:ext xmlns:x15="http://schemas.microsoft.com/office/spreadsheetml/2010/11/main" uri="{2F2917AC-EB37-4324-AD4E-5DD8C200BD13}">
      <x15:tableSlicerCache tableId="16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1" sourceName="épaisseur (mm)">
  <extLst>
    <x:ext xmlns:x15="http://schemas.microsoft.com/office/spreadsheetml/2010/11/main" uri="{2F2917AC-EB37-4324-AD4E-5DD8C200BD13}">
      <x15:tableSlicerCache tableId="16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2" sourceName="Matériaux">
  <extLst>
    <x:ext xmlns:x15="http://schemas.microsoft.com/office/spreadsheetml/2010/11/main" uri="{2F2917AC-EB37-4324-AD4E-5DD8C200BD13}">
      <x15:tableSlicerCache tableId="17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2" sourceName="Famille">
  <extLst>
    <x:ext xmlns:x15="http://schemas.microsoft.com/office/spreadsheetml/2010/11/main" uri="{2F2917AC-EB37-4324-AD4E-5DD8C200BD13}">
      <x15:tableSlicerCache tableId="17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1" sourceName="Largueur /_x000a_basse (mm)">
  <extLst>
    <x:ext xmlns:x15="http://schemas.microsoft.com/office/spreadsheetml/2010/11/main" uri="{2F2917AC-EB37-4324-AD4E-5DD8C200BD13}">
      <x15:tableSlicerCache tableId="17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2" sourceName="épaisseur (mm)">
  <extLst>
    <x:ext xmlns:x15="http://schemas.microsoft.com/office/spreadsheetml/2010/11/main" uri="{2F2917AC-EB37-4324-AD4E-5DD8C200BD13}">
      <x15:tableSlicerCache tableId="17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1" sourceName="Matériaux">
  <extLst>
    <x:ext xmlns:x15="http://schemas.microsoft.com/office/spreadsheetml/2010/11/main" uri="{2F2917AC-EB37-4324-AD4E-5DD8C200BD13}">
      <x15:tableSlicerCache tableId="18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1" sourceName="Famille">
  <extLst>
    <x:ext xmlns:x15="http://schemas.microsoft.com/office/spreadsheetml/2010/11/main" uri="{2F2917AC-EB37-4324-AD4E-5DD8C200BD13}">
      <x15:tableSlicerCache tableId="18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1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3" sourceName="Matériaux">
  <extLst>
    <x:ext xmlns:x15="http://schemas.microsoft.com/office/spreadsheetml/2010/11/main" uri="{2F2917AC-EB37-4324-AD4E-5DD8C200BD13}">
      <x15:tableSlicerCache tableId="19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3" sourceName="Famille">
  <extLst>
    <x:ext xmlns:x15="http://schemas.microsoft.com/office/spreadsheetml/2010/11/main" uri="{2F2917AC-EB37-4324-AD4E-5DD8C200BD13}">
      <x15:tableSlicerCache tableId="19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Ø__mm1" sourceName="Ø (mm)">
  <extLst>
    <x:ext xmlns:x15="http://schemas.microsoft.com/office/spreadsheetml/2010/11/main" uri="{2F2917AC-EB37-4324-AD4E-5DD8C200BD13}">
      <x15:tableSlicerCache tableId="19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" sourceName="Matériaux">
  <extLst>
    <x:ext xmlns:x15="http://schemas.microsoft.com/office/spreadsheetml/2010/11/main" uri="{2F2917AC-EB37-4324-AD4E-5DD8C200BD13}">
      <x15:tableSlicerCache tableId="20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3" sourceName="Famille">
  <extLst>
    <x:ext xmlns:x15="http://schemas.microsoft.com/office/spreadsheetml/2010/11/main" uri="{2F2917AC-EB37-4324-AD4E-5DD8C200BD13}">
      <x15:tableSlicerCache tableId="20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2" sourceName="Largueur /_x000a_basse (mm)">
  <extLst>
    <x:ext xmlns:x15="http://schemas.microsoft.com/office/spreadsheetml/2010/11/main" uri="{2F2917AC-EB37-4324-AD4E-5DD8C200BD13}">
      <x15:tableSlicerCache tableId="20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3" sourceName="épaisseur (mm)">
  <extLst>
    <x:ext xmlns:x15="http://schemas.microsoft.com/office/spreadsheetml/2010/11/main" uri="{2F2917AC-EB37-4324-AD4E-5DD8C200BD13}">
      <x15:tableSlicerCache tableId="20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" sourceName="Matériaux">
  <extLst>
    <x:ext xmlns:x15="http://schemas.microsoft.com/office/spreadsheetml/2010/11/main" uri="{2F2917AC-EB37-4324-AD4E-5DD8C200BD13}">
      <x15:tableSlicerCache tableId="21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31" sourceName="Famille">
  <extLst>
    <x:ext xmlns:x15="http://schemas.microsoft.com/office/spreadsheetml/2010/11/main" uri="{2F2917AC-EB37-4324-AD4E-5DD8C200BD13}">
      <x15:tableSlicerCache tableId="21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21" sourceName="Largueur /_x000a_basse (mm)">
  <extLst>
    <x:ext xmlns:x15="http://schemas.microsoft.com/office/spreadsheetml/2010/11/main" uri="{2F2917AC-EB37-4324-AD4E-5DD8C200BD13}">
      <x15:tableSlicerCache tableId="2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31" sourceName="épaisseur (mm)">
  <extLst>
    <x:ext xmlns:x15="http://schemas.microsoft.com/office/spreadsheetml/2010/11/main" uri="{2F2917AC-EB37-4324-AD4E-5DD8C200BD13}">
      <x15:tableSlicerCache tableId="21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" sourceName="Matériaux">
  <extLst>
    <x:ext xmlns:x15="http://schemas.microsoft.com/office/spreadsheetml/2010/11/main" uri="{2F2917AC-EB37-4324-AD4E-5DD8C200BD13}">
      <x15:tableSlicerCache tableId="22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311" sourceName="Famille">
  <extLst>
    <x:ext xmlns:x15="http://schemas.microsoft.com/office/spreadsheetml/2010/11/main" uri="{2F2917AC-EB37-4324-AD4E-5DD8C200BD13}">
      <x15:tableSlicerCache tableId="22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211" sourceName="Largueur /_x000a_basse (mm)">
  <extLst>
    <x:ext xmlns:x15="http://schemas.microsoft.com/office/spreadsheetml/2010/11/main" uri="{2F2917AC-EB37-4324-AD4E-5DD8C200BD13}">
      <x15:tableSlicerCache tableId="22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311" sourceName="épaisseur (mm)">
  <extLst>
    <x:ext xmlns:x15="http://schemas.microsoft.com/office/spreadsheetml/2010/11/main" uri="{2F2917AC-EB37-4324-AD4E-5DD8C200BD13}">
      <x15:tableSlicerCache tableId="22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" sourceName="Matériaux">
  <extLst>
    <x:ext xmlns:x15="http://schemas.microsoft.com/office/spreadsheetml/2010/11/main" uri="{2F2917AC-EB37-4324-AD4E-5DD8C200BD13}">
      <x15:tableSlicerCache tableId="23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3111" sourceName="Famille">
  <extLst>
    <x:ext xmlns:x15="http://schemas.microsoft.com/office/spreadsheetml/2010/11/main" uri="{2F2917AC-EB37-4324-AD4E-5DD8C200BD13}">
      <x15:tableSlicerCache tableId="23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2111" sourceName="Largueur /_x000a_basse (mm)">
  <extLst>
    <x:ext xmlns:x15="http://schemas.microsoft.com/office/spreadsheetml/2010/11/main" uri="{2F2917AC-EB37-4324-AD4E-5DD8C200BD13}">
      <x15:tableSlicerCache tableId="23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3111" sourceName="épaisseur (mm)">
  <extLst>
    <x:ext xmlns:x15="http://schemas.microsoft.com/office/spreadsheetml/2010/11/main" uri="{2F2917AC-EB37-4324-AD4E-5DD8C200BD13}">
      <x15:tableSlicerCache tableId="23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" sourceName="Matériaux">
  <extLst>
    <x:ext xmlns:x15="http://schemas.microsoft.com/office/spreadsheetml/2010/11/main" uri="{2F2917AC-EB37-4324-AD4E-5DD8C200BD13}">
      <x15:tableSlicerCache tableId="24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231111" sourceName="Famille">
  <extLst>
    <x:ext xmlns:x15="http://schemas.microsoft.com/office/spreadsheetml/2010/11/main" uri="{2F2917AC-EB37-4324-AD4E-5DD8C200BD13}">
      <x15:tableSlicerCache tableId="24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rgueur___basse__mm21111" sourceName="Largueur /_x000a_basse (mm)">
  <extLst>
    <x:ext xmlns:x15="http://schemas.microsoft.com/office/spreadsheetml/2010/11/main" uri="{2F2917AC-EB37-4324-AD4E-5DD8C200BD13}">
      <x15:tableSlicerCache tableId="24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paisseur__mm31111" sourceName="épaisseur (mm)">
  <extLst>
    <x:ext xmlns:x15="http://schemas.microsoft.com/office/spreadsheetml/2010/11/main" uri="{2F2917AC-EB37-4324-AD4E-5DD8C200BD13}">
      <x15:tableSlicerCache tableId="24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rmat" sourceName="Format">
  <extLst>
    <x:ext xmlns:x15="http://schemas.microsoft.com/office/spreadsheetml/2010/11/main" uri="{2F2917AC-EB37-4324-AD4E-5DD8C200BD13}">
      <x15:tableSlicerCache tableId="4" column="1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" sourceName="Matériaux">
  <extLst>
    <x:ext xmlns:x15="http://schemas.microsoft.com/office/spreadsheetml/2010/11/main" uri="{2F2917AC-EB37-4324-AD4E-5DD8C200BD13}">
      <x15:tableSlicerCache tableId="25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" sourceName="Matériaux">
  <extLst>
    <x:ext xmlns:x15="http://schemas.microsoft.com/office/spreadsheetml/2010/11/main" uri="{2F2917AC-EB37-4324-AD4E-5DD8C200BD13}">
      <x15:tableSlicerCache tableId="26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" sourceName="Matériaux">
  <extLst>
    <x:ext xmlns:x15="http://schemas.microsoft.com/office/spreadsheetml/2010/11/main" uri="{2F2917AC-EB37-4324-AD4E-5DD8C200BD13}">
      <x15:tableSlicerCache tableId="27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" sourceName="Matériaux">
  <extLst>
    <x:ext xmlns:x15="http://schemas.microsoft.com/office/spreadsheetml/2010/11/main" uri="{2F2917AC-EB37-4324-AD4E-5DD8C200BD13}">
      <x15:tableSlicerCache tableId="28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" sourceName="Matériaux">
  <extLst>
    <x:ext xmlns:x15="http://schemas.microsoft.com/office/spreadsheetml/2010/11/main" uri="{2F2917AC-EB37-4324-AD4E-5DD8C200BD13}">
      <x15:tableSlicerCache tableId="29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1" sourceName="Matériaux">
  <extLst>
    <x:ext xmlns:x15="http://schemas.microsoft.com/office/spreadsheetml/2010/11/main" uri="{2F2917AC-EB37-4324-AD4E-5DD8C200BD13}">
      <x15:tableSlicerCache tableId="30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11" sourceName="Matériaux">
  <extLst>
    <x:ext xmlns:x15="http://schemas.microsoft.com/office/spreadsheetml/2010/11/main" uri="{2F2917AC-EB37-4324-AD4E-5DD8C200BD13}">
      <x15:tableSlicerCache tableId="31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111" sourceName="Matériaux">
  <extLst>
    <x:ext xmlns:x15="http://schemas.microsoft.com/office/spreadsheetml/2010/11/main" uri="{2F2917AC-EB37-4324-AD4E-5DD8C200BD13}">
      <x15:tableSlicerCache tableId="32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1111" sourceName="Matériaux">
  <extLst>
    <x:ext xmlns:x15="http://schemas.microsoft.com/office/spreadsheetml/2010/11/main" uri="{2F2917AC-EB37-4324-AD4E-5DD8C200BD13}">
      <x15:tableSlicerCache tableId="33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" sourceName="Profils">
  <extLst>
    <x:ext xmlns:x15="http://schemas.microsoft.com/office/spreadsheetml/2010/11/main" uri="{2F2917AC-EB37-4324-AD4E-5DD8C200BD13}">
      <x15:tableSlicerCache tableId="25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1" sourceName="Profils">
  <extLst>
    <x:ext xmlns:x15="http://schemas.microsoft.com/office/spreadsheetml/2010/11/main" uri="{2F2917AC-EB37-4324-AD4E-5DD8C200BD13}">
      <x15:tableSlicerCache tableId="26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2" sourceName="Profils">
  <extLst>
    <x:ext xmlns:x15="http://schemas.microsoft.com/office/spreadsheetml/2010/11/main" uri="{2F2917AC-EB37-4324-AD4E-5DD8C200BD13}">
      <x15:tableSlicerCache tableId="27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3" sourceName="Profils">
  <extLst>
    <x:ext xmlns:x15="http://schemas.microsoft.com/office/spreadsheetml/2010/11/main" uri="{2F2917AC-EB37-4324-AD4E-5DD8C200BD13}">
      <x15:tableSlicerCache tableId="28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4" sourceName="Profils">
  <extLst>
    <x:ext xmlns:x15="http://schemas.microsoft.com/office/spreadsheetml/2010/11/main" uri="{2F2917AC-EB37-4324-AD4E-5DD8C200BD13}">
      <x15:tableSlicerCache tableId="29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5" sourceName="Profils">
  <extLst>
    <x:ext xmlns:x15="http://schemas.microsoft.com/office/spreadsheetml/2010/11/main" uri="{2F2917AC-EB37-4324-AD4E-5DD8C200BD13}">
      <x15:tableSlicerCache tableId="30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6" sourceName="Profils">
  <extLst>
    <x:ext xmlns:x15="http://schemas.microsoft.com/office/spreadsheetml/2010/11/main" uri="{2F2917AC-EB37-4324-AD4E-5DD8C200BD13}">
      <x15:tableSlicerCache tableId="3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7" sourceName="Profils">
  <extLst>
    <x:ext xmlns:x15="http://schemas.microsoft.com/office/spreadsheetml/2010/11/main" uri="{2F2917AC-EB37-4324-AD4E-5DD8C200BD13}">
      <x15:tableSlicerCache tableId="32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6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8" sourceName="Profils">
  <extLst>
    <x:ext xmlns:x15="http://schemas.microsoft.com/office/spreadsheetml/2010/11/main" uri="{2F2917AC-EB37-4324-AD4E-5DD8C200BD13}">
      <x15:tableSlicerCache tableId="33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6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2311111111111111" sourceName="Matériaux">
  <extLst>
    <x:ext xmlns:x15="http://schemas.microsoft.com/office/spreadsheetml/2010/11/main" uri="{2F2917AC-EB37-4324-AD4E-5DD8C200BD13}">
      <x15:tableSlicerCache tableId="2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6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ils81" sourceName="Dimensions">
  <extLst>
    <x:ext xmlns:x15="http://schemas.microsoft.com/office/spreadsheetml/2010/11/main" uri="{2F2917AC-EB37-4324-AD4E-5DD8C200BD13}">
      <x15:tableSlicerCache tableId="2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6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du_mouvement" sourceName="date du mouvement">
  <extLst>
    <x:ext xmlns:x15="http://schemas.microsoft.com/office/spreadsheetml/2010/11/main" uri="{2F2917AC-EB37-4324-AD4E-5DD8C200BD13}">
      <x15:tableSlicerCache tableId="4" column="20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" cache="seg_matériaux_rond" caption="Matériaux" rowHeight="241300"/>
  <slicer name="seg_famille_rond" cache="seg_famille_rond" caption="Famille" rowHeight="241300"/>
  <slicer name="Ø (mm)" cache="Segment_Ø__mm" caption="Ø (mm)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2" cache="seg_matériaux_rond2" caption="Matériaux" rowHeight="241300"/>
  <slicer name="seg_famille_rond 2" cache="seg_famille_rond2" caption="Famille" rowHeight="241300"/>
  <slicer name="Largueur /_x000a_basse (mm)" cache="Segment_Largueur___basse__mm" caption="Largueur /_x000a_basse (mm)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3" cache="seg_matériaux_rond21" caption="Matériaux" rowHeight="241300"/>
  <slicer name="seg_famille_rond 3" cache="seg_famille_rond21" caption="Famille" rowHeight="241300"/>
  <slicer name="épaisseur (mm)" cache="Segment_épaisseur__mm" caption="épaisseur (mm)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4" cache="seg_matériaux_rond211" caption="Matériaux" rowHeight="241300"/>
  <slicer name="seg_famille_rond 4" cache="seg_famille_rond211" caption="Famille" rowHeight="241300"/>
  <slicer name="épaisseur (mm) 1" cache="Segment_épaisseur__mm1" caption="épaisseur (mm)" rowHeight="241300"/>
</slicers>
</file>

<file path=xl/slicers/slicer5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5" cache="seg_matériaux_rond22" caption="Matériaux" rowHeight="241300"/>
  <slicer name="seg_famille_rond 5" cache="seg_famille_rond22" caption="Famille" rowHeight="241300"/>
  <slicer name="Largueur /_x000a_basse (mm) 1" cache="Segment_Largueur___basse__mm1" caption="Largueur /_x000a_basse (mm)" rowHeight="241300"/>
  <slicer name="épaisseur (mm) 2" cache="Segment_épaisseur__mm2" caption="épaisseur (mm)" rowHeight="241300"/>
</slicers>
</file>

<file path=xl/slicers/slicer6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" cache="seg_matériaux_rond1" caption="Matériaux" rowHeight="241300"/>
  <slicer name="seg_famille_rond 1" cache="seg_famille_rond1" caption="Famille" rowHeight="241300"/>
</slicers>
</file>

<file path=xl/slicers/slicer7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6" cache="seg_matériaux_rond3" caption="Matériaux" rowHeight="241300"/>
  <slicer name="seg_famille_rond 6" cache="seg_famille_rond3" caption="Famille" rowHeight="241300"/>
  <slicer name="Ø (mm) 1" cache="Segment_Ø__mm1" caption="Ø (mm)" rowHeight="241300"/>
</slicers>
</file>

<file path=xl/slicers/slicer8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7" cache="seg_matériaux_rond23" caption="Matériaux" rowHeight="241300"/>
  <slicer name="seg_famille_rond 7" cache="seg_famille_rond23" caption="Famille" rowHeight="241300"/>
  <slicer name="Largueur /_x000a_basse (mm) 2" cache="Segment_Largueur___basse__mm2" caption="Largueur /_x000a_basse (mm)" rowHeight="241300"/>
  <slicer name="épaisseur (mm) 3" cache="Segment_épaisseur__mm3" caption="épaisseur (mm)" rowHeight="241300"/>
</slicers>
</file>

<file path=xl/slicers/slicer9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8" cache="seg_matériaux_rond231" caption="Matériaux" rowHeight="241300"/>
  <slicer name="seg_famille_rond 8" cache="seg_famille_rond231" caption="Famille" rowHeight="241300"/>
  <slicer name="Largueur /_x000a_basse (mm) 3" cache="Segment_Largueur___basse__mm21" caption="Largueur /_x000a_basse (mm)" rowHeight="241300"/>
  <slicer name="épaisseur (mm) 4" cache="Segment_épaisseur__mm31" caption="épaisseur (mm)" rowHeight="241300"/>
</slicers>
</file>

<file path=xl/slicers/slicer10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0" cache="seg_matériaux_rond23111" caption="Matériaux" rowHeight="241300"/>
  <slicer name="seg_famille_rond 10" cache="seg_famille_rond23111" caption="Famille" rowHeight="241300"/>
  <slicer name="Largueur /_x000a_basse (mm) 5" cache="Segment_Largueur___basse__mm2111" caption="Largueur /_x000a_basse (mm)" rowHeight="241300"/>
  <slicer name="épaisseur (mm) 6" cache="Segment_épaisseur__mm3111" caption="épaisseur (mm)" rowHeight="241300"/>
</slicers>
</file>

<file path=xl/slicers/slicer1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1" cache="seg_matériaux_rond231111" caption="Matériaux" rowHeight="241300"/>
  <slicer name="seg_famille_rond 11" cache="seg_famille_rond231111" caption="Famille" rowHeight="241300"/>
  <slicer name="Largueur /_x000a_basse (mm) 6" cache="Segment_Largueur___basse__mm21111" caption="Largueur /_x000a_basse (mm)" rowHeight="241300"/>
  <slicer name="épaisseur (mm) 7" cache="Segment_épaisseur__mm31111" caption="épaisseur (mm)" rowHeight="241300"/>
</slicers>
</file>

<file path=xl/slicers/slicer1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9" cache="seg_matériaux_rond2311" caption="Matériaux" rowHeight="241300"/>
  <slicer name="seg_famille_rond 9" cache="seg_famille_rond2311" caption="Famille" rowHeight="241300"/>
  <slicer name="Largueur /_x000a_basse (mm) 4" cache="Segment_Largueur___basse__mm211" caption="Largueur /_x000a_basse (mm)" rowHeight="241300"/>
  <slicer name="épaisseur (mm) 5" cache="Segment_épaisseur__mm311" caption="épaisseur (mm)" rowHeight="241300"/>
</slicers>
</file>

<file path=xl/slicers/slicer1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2" cache="seg_matériaux_rond2311111" caption="Matériaux" rowHeight="241300"/>
  <slicer name="Profils" cache="Segment_Profils" caption="Profils" rowHeight="241300"/>
</slicers>
</file>

<file path=xl/slicers/slicer14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3" cache="seg_matériaux_rond23111111" caption="Matériaux" rowHeight="241300"/>
  <slicer name="Profils 1" cache="Segment_Profils1" caption="Profils" rowHeight="241300"/>
</slicers>
</file>

<file path=xl/slicers/slicer15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4" cache="seg_matériaux_rond231111111" caption="Matériaux" rowHeight="241300"/>
  <slicer name="Profils 2" cache="Segment_Profils2" caption="Profils" rowHeight="241300"/>
</slicers>
</file>

<file path=xl/slicers/slicer16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5" cache="seg_matériaux_rond2311111111" caption="Matériaux" rowHeight="241300"/>
  <slicer name="Profils 3" cache="Segment_Profils3" caption="Profils" rowHeight="241300"/>
</slicers>
</file>

<file path=xl/slicers/slicer17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6" cache="seg_matériaux_rond23111111111" caption="Matériaux" rowHeight="241300"/>
  <slicer name="Profils 4" cache="Segment_Profils4" caption="Profils" rowHeight="241300"/>
</slicers>
</file>

<file path=xl/slicers/slicer18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7" cache="seg_matériaux_rond231111111111" caption="Matériaux" rowHeight="241300"/>
  <slicer name="Profils 5" cache="Segment_Profils5" caption="Profils" rowHeight="241300"/>
</slicers>
</file>

<file path=xl/slicers/slicer19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8" cache="seg_matériaux_rond2311111111111" caption="Matériaux" rowHeight="241300"/>
  <slicer name="Profils 6" cache="Segment_Profils6" caption="Profils" rowHeight="241300"/>
</slicers>
</file>

<file path=xl/slicers/slicer20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19" cache="seg_matériaux_rond23111111111111" caption="Matériaux" rowHeight="241300"/>
  <slicer name="Profils 7" cache="Segment_Profils7" caption="Profils" rowHeight="241300"/>
</slicers>
</file>

<file path=xl/slicers/slicer2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20" cache="seg_matériaux_rond231111111111111" caption="Matériaux" rowHeight="241300"/>
  <slicer name="Profils 8" cache="Segment_Profils8" caption="Profils" rowHeight="241300"/>
</slicers>
</file>

<file path=xl/slicers/slicer2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ormat" cache="Segment_Format" caption="Format" rowHeight="241300"/>
  <slicer name="date du mouvement" cache="Segment_date_du_mouvement" caption="date du mouvement" rowHeight="241300"/>
</slicers>
</file>

<file path=xl/slicers/slicer2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 21" cache="seg_matériaux_rond2311111111111111" caption="Matériaux" rowHeight="241300"/>
  <slicer name="Profils 9" cache="Segment_Profils81" caption="Dimensions" rowHeight="241300"/>
</slicers>
</file>

<file path=xl/tables/table1.xml><?xml version="1.0" encoding="utf-8"?>
<table xmlns="http://schemas.openxmlformats.org/spreadsheetml/2006/main" id="1" name="tab_emplacement" displayName="tab_emplacement" ref="A2:A5" headerRowDxfId="936" dataDxfId="935" totalsRowDxfId="934">
  <autoFilter ref="A2:A5"/>
  <tableColumns count="1">
    <tableColumn id="1" name="Emplacement" totalsRowFunction="count" dataDxfId="93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2" name="tab_matériaux" displayName="tab_matériaux" ref="A8:D37" totalsRowShown="0" headerRowDxfId="932" dataDxfId="931">
  <autoFilter ref="A8:D37"/>
  <tableColumns count="4">
    <tableColumn id="1" name="Matériaux" dataDxfId="930"/>
    <tableColumn id="2" name="Famille" dataDxfId="929"/>
    <tableColumn id="3" name="Densité_x000a_(Kg/m3)" dataDxfId="928"/>
    <tableColumn id="4" name="Prix HT/Kg" dataDxfId="9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__donnee_ipe" displayName="tab__donnee_ipe" ref="A40:B58" totalsRowShown="0" headerRowDxfId="926" dataDxfId="924" headerRowBorderDxfId="925" tableBorderDxfId="923" totalsRowBorderDxfId="922">
  <autoFilter ref="A40:B58"/>
  <tableColumns count="2">
    <tableColumn id="1" name="IPE" dataDxfId="921"/>
    <tableColumn id="2" name="Poids au mètre(kg)" dataDxfId="9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_donnee_ipn" displayName="tab_donnee_ipn" ref="D40:E52" totalsRowShown="0" headerRowDxfId="919" dataDxfId="917" headerRowBorderDxfId="918" tableBorderDxfId="916" totalsRowBorderDxfId="915">
  <autoFilter ref="D40:E52"/>
  <tableColumns count="2">
    <tableColumn id="1" name="IPN" dataDxfId="914"/>
    <tableColumn id="2" name="Poids au mètre(kg)" dataDxfId="9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_donnee_ipea" displayName="tab_donnee_ipea" ref="G40:H57" totalsRowShown="0" headerRowDxfId="912" dataDxfId="910" headerRowBorderDxfId="911" tableBorderDxfId="909" totalsRowBorderDxfId="908">
  <autoFilter ref="G40:H57"/>
  <tableColumns count="2">
    <tableColumn id="1" name="IPEA" dataDxfId="907"/>
    <tableColumn id="2" name="Poids au mètre(kg)" dataDxfId="90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_donnee_hea" displayName="tab_donnee_hea" ref="J40:K64" totalsRowShown="0" headerRowDxfId="905" dataDxfId="903" headerRowBorderDxfId="904" tableBorderDxfId="902" totalsRowBorderDxfId="901">
  <autoFilter ref="J40:K64"/>
  <tableColumns count="2">
    <tableColumn id="1" name="HEA" dataDxfId="900"/>
    <tableColumn id="2" name="Poids au mètre(kg)" dataDxfId="89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_donnee_heb" displayName="tab_donnee_heb" ref="M40:N64" totalsRowShown="0" headerRowDxfId="898" dataDxfId="896" headerRowBorderDxfId="897" tableBorderDxfId="895" totalsRowBorderDxfId="894">
  <autoFilter ref="M40:N64"/>
  <tableColumns count="2">
    <tableColumn id="1" name="HEB" dataDxfId="893"/>
    <tableColumn id="2" name="Poids au mètre(kg)" dataDxfId="89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_donnee_hem" displayName="tab_donnee_hem" ref="P40:Q64" totalsRowShown="0" headerRowDxfId="891" dataDxfId="889" headerRowBorderDxfId="890" tableBorderDxfId="888" totalsRowBorderDxfId="887">
  <autoFilter ref="P40:Q64"/>
  <tableColumns count="2">
    <tableColumn id="1" name="HEM" dataDxfId="886"/>
    <tableColumn id="2" name="Poids au mètre(kg)" dataDxfId="88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1" name="tab_donnee_upn" displayName="tab_donnee_upn" ref="S40:T58" totalsRowShown="0" headerRowDxfId="884" dataDxfId="882" headerRowBorderDxfId="883" tableBorderDxfId="881" totalsRowBorderDxfId="880">
  <autoFilter ref="S40:T58"/>
  <tableColumns count="2">
    <tableColumn id="1" name="UPN" dataDxfId="879"/>
    <tableColumn id="2" name="Poids au mètre(kg)" dataDxfId="87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2" name="tab_donnee_upe" displayName="tab_donnee_upe" ref="V40:W54" totalsRowShown="0" headerRowDxfId="877" dataDxfId="875" headerRowBorderDxfId="876" tableBorderDxfId="874" totalsRowBorderDxfId="873">
  <autoFilter ref="V40:W54"/>
  <tableColumns count="2">
    <tableColumn id="1" name="UPE" dataDxfId="872"/>
    <tableColumn id="2" name="Poids au mètre(kg)" dataDxfId="87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3" name="tab_donnee_uap" displayName="tab_donnee_uap" ref="Y40:Z49" totalsRowShown="0" headerRowDxfId="870" dataDxfId="868" headerRowBorderDxfId="869" tableBorderDxfId="867" totalsRowBorderDxfId="866">
  <autoFilter ref="Y40:Z49"/>
  <tableColumns count="2">
    <tableColumn id="1" name="UAP" dataDxfId="865"/>
    <tableColumn id="2" name="Poids au mètre(kg)" dataDxfId="86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_rond" displayName="tab_rond" ref="A2:S13" headerRowDxfId="863" dataDxfId="862" totalsRowDxfId="861">
  <autoFilter ref="A2:S13"/>
  <tableColumns count="19">
    <tableColumn id="20" name="nbr" dataDxfId="860" totalsRowDxfId="859"/>
    <tableColumn id="2" name="Code Article" totalsRowLabel="Total" dataDxfId="858"/>
    <tableColumn id="3" name="Stock théorqiue Juillet 2016 (kg)" dataDxfId="857" totalsRowDxfId="856"/>
    <tableColumn id="11" name="Format" dataDxfId="855" totalsRowDxfId="854">
      <calculatedColumnFormula>RIGHT(CELL("filename",$A$1),LEN(CELL("filename",$A$1))-SEARCH("]",CELL("filename",$A$1)))</calculatedColumnFormula>
    </tableColumn>
    <tableColumn id="13" name="Matériaux" dataDxfId="853" totalsRowDxfId="852"/>
    <tableColumn id="12" name="Famille" dataDxfId="851" totalsRowDxfId="850">
      <calculatedColumnFormula>VLOOKUP(tab_rond[[#This Row],[Matériaux]],tab_matériaux[],2,FALSE)</calculatedColumnFormula>
    </tableColumn>
    <tableColumn id="1" name="Ø (mm)" dataDxfId="849" totalsRowDxfId="848"/>
    <tableColumn id="10" name="Largueur /_x000a_basse (mm)" dataDxfId="847" totalsRowDxfId="846"/>
    <tableColumn id="14" name="hauteur (mm)" dataDxfId="845" totalsRowDxfId="844"/>
    <tableColumn id="15" name="épaisseur (mm)" dataDxfId="843" totalsRowDxfId="842"/>
    <tableColumn id="7" name="Surface m²" dataDxfId="841" totalsRowDxfId="840">
      <calculatedColumnFormula>IFERROR(10^-6*PI()*(tab_rond[[#This Row],[Ø (mm)]]/2)^2,"")</calculatedColumnFormula>
    </tableColumn>
    <tableColumn id="4" name="Poids au mètre(kg)" dataDxfId="839" totalsRowDxfId="838">
      <calculatedColumnFormula>IFERROR(VLOOKUP(tab_rond[[#This Row],[Matériaux]],tab_matériaux[],3,FALSE)*tab_rond[[#This Row],[Surface m²]],"")</calculatedColumnFormula>
    </tableColumn>
    <tableColumn id="5" name="Stock réel (mm)" dataDxfId="837"/>
    <tableColumn id="9" name="Lieu de stockage" totalsRowFunction="count" dataDxfId="836" totalsRowDxfId="835"/>
    <tableColumn id="6" name="Poids du stock réel (Kg)" totalsRowFunction="sum" dataDxfId="834" totalsRowDxfId="833">
      <calculatedColumnFormula>IFERROR(10^-3*tab_rond[[#This Row],[Poids au mètre(kg)]]*tab_rond[[#This Row],[Stock réel (mm)]],"")</calculatedColumnFormula>
    </tableColumn>
    <tableColumn id="8" name="Valeur marchande du stock réel " totalsRowFunction="sum" dataDxfId="832" totalsRowDxfId="831">
      <calculatedColumnFormula>IFERROR(tab_rond[[#This Row],[Poids du stock réel (Kg)]]*VLOOKUP(tab_rond[[#This Row],[Matériaux]],tab_matériaux[],4,FALSE),"")</calculatedColumnFormula>
    </tableColumn>
    <tableColumn id="16" name="Entree (mm)_x000a_+" dataDxfId="830"/>
    <tableColumn id="19" name="Sortie (mm)_x000a_-" dataDxfId="829"/>
    <tableColumn id="17" name="Commentaire" dataDxfId="828" totalsRowDxfId="827"/>
  </tableColumns>
  <tableStyleInfo name="TableStyleLight16" showFirstColumn="0" showLastColumn="0" showRowStripes="1" showColumnStripes="0"/>
</table>
</file>

<file path=xl/tables/table13.xml><?xml version="1.0" encoding="utf-8"?>
<table xmlns="http://schemas.openxmlformats.org/spreadsheetml/2006/main" id="14" name="tab_carré" displayName="tab_carré" ref="A2:S4" headerRowDxfId="826" dataDxfId="825" totalsRowDxfId="824">
  <autoFilter ref="A2:S4"/>
  <tableColumns count="19">
    <tableColumn id="20" name="nbr" dataDxfId="823" totalsRowDxfId="822"/>
    <tableColumn id="2" name="Code Article" totalsRowLabel="Total" dataDxfId="821"/>
    <tableColumn id="3" name="Stock théorqiue Juillet 2016 (kg)" dataDxfId="820" totalsRowDxfId="819"/>
    <tableColumn id="11" name="Format" dataDxfId="818" totalsRowDxfId="817">
      <calculatedColumnFormula>RIGHT(CELL("filename",$A$1),LEN(CELL("filename",$A$1))-SEARCH("]",CELL("filename",$A$1)))</calculatedColumnFormula>
    </tableColumn>
    <tableColumn id="13" name="Matériaux" dataDxfId="816" totalsRowDxfId="815"/>
    <tableColumn id="12" name="Famille" dataDxfId="814" totalsRowDxfId="813">
      <calculatedColumnFormula>VLOOKUP(tab_carré[[#This Row],[Matériaux]],tab_matériaux[],2,FALSE)</calculatedColumnFormula>
    </tableColumn>
    <tableColumn id="1" name="Ø (mm)" dataDxfId="812" totalsRowDxfId="811"/>
    <tableColumn id="10" name="Largueur /_x000a_basse (mm)" dataDxfId="810" totalsRowDxfId="809"/>
    <tableColumn id="14" name="hauteur (mm)" dataDxfId="808" totalsRowDxfId="807"/>
    <tableColumn id="15" name="épaisseur (mm)" dataDxfId="806" totalsRowDxfId="805"/>
    <tableColumn id="7" name="Surface m²" dataDxfId="804" totalsRowDxfId="803">
      <calculatedColumnFormula>IFERROR(10^-6*tab_carré[[#This Row],[Largueur /
basse (mm)]]*tab_carré[[#This Row],[hauteur (mm)]],"")</calculatedColumnFormula>
    </tableColumn>
    <tableColumn id="4" name="Poids au mètre(kg)" dataDxfId="802" totalsRowDxfId="801">
      <calculatedColumnFormula>IFERROR(VLOOKUP(tab_carré[[#This Row],[Matériaux]],tab_matériaux[],3,FALSE)*tab_carré[[#This Row],[Surface m²]],"")</calculatedColumnFormula>
    </tableColumn>
    <tableColumn id="5" name="Stock réel (mm)" dataDxfId="800"/>
    <tableColumn id="9" name="Lieu de stockage" totalsRowFunction="count" dataDxfId="799" totalsRowDxfId="798"/>
    <tableColumn id="6" name="Poids du stock réel (Kg)" totalsRowFunction="sum" dataDxfId="797" totalsRowDxfId="796">
      <calculatedColumnFormula>IFERROR(10^-3*tab_carré[[#This Row],[Poids au mètre(kg)]]*tab_carré[[#This Row],[Stock réel (mm)]],"")</calculatedColumnFormula>
    </tableColumn>
    <tableColumn id="8" name="Valeur marchande du stock réel " totalsRowFunction="sum" dataDxfId="795" totalsRowDxfId="794">
      <calculatedColumnFormula>IFERROR(tab_carré[[#This Row],[Poids du stock réel (Kg)]]*VLOOKUP(tab_carré[[#This Row],[Matériaux]],tab_matériaux[],4,FALSE),"")</calculatedColumnFormula>
    </tableColumn>
    <tableColumn id="16" name="Entree (mm)_x000a_+" dataDxfId="793"/>
    <tableColumn id="18" name="Sortie (mm)_x000a_-" dataDxfId="792"/>
    <tableColumn id="17" name="Commentaire" dataDxfId="791" totalsRowDxfId="790"/>
  </tableColumns>
  <tableStyleInfo name="TableStyleLight16" showFirstColumn="0" showLastColumn="0" showRowStripes="1" showColumnStripes="0"/>
</table>
</file>

<file path=xl/tables/table14.xml><?xml version="1.0" encoding="utf-8"?>
<table xmlns="http://schemas.openxmlformats.org/spreadsheetml/2006/main" id="15" name="tab_plaque" displayName="tab_plaque" ref="A2:S4" headerRowDxfId="789" dataDxfId="788" totalsRowDxfId="787">
  <autoFilter ref="A2:S4"/>
  <tableColumns count="19">
    <tableColumn id="20" name="nbr" dataDxfId="786" totalsRowDxfId="785"/>
    <tableColumn id="2" name="Code Article" totalsRowLabel="Total" dataDxfId="784"/>
    <tableColumn id="3" name="Stock théorqiue Juillet 2016 (kg)" dataDxfId="783" totalsRowDxfId="782"/>
    <tableColumn id="11" name="Format" dataDxfId="781" totalsRowDxfId="780">
      <calculatedColumnFormula>RIGHT(CELL("filename",$A$1),LEN(CELL("filename",$A$1))-SEARCH("]",CELL("filename",$A$1)))</calculatedColumnFormula>
    </tableColumn>
    <tableColumn id="13" name="Matériaux" dataDxfId="779" totalsRowDxfId="778"/>
    <tableColumn id="12" name="Famille" dataDxfId="777" totalsRowDxfId="776">
      <calculatedColumnFormula>VLOOKUP(tab_plaque[[#This Row],[Matériaux]],tab_matériaux[],2,FALSE)</calculatedColumnFormula>
    </tableColumn>
    <tableColumn id="1" name="Ø (mm)" dataDxfId="775" totalsRowDxfId="774"/>
    <tableColumn id="10" name="Largueur /_x000a_basse (mm)" dataDxfId="773" totalsRowDxfId="772"/>
    <tableColumn id="14" name="hauteur (mm)" dataDxfId="771" totalsRowDxfId="770"/>
    <tableColumn id="15" name="épaisseur (mm)" dataDxfId="769"/>
    <tableColumn id="7" name="Surface m²" dataDxfId="768" totalsRowDxfId="767">
      <calculatedColumnFormula>IFERROR(10^-3*tab_plaque[[#This Row],[épaisseur (mm)]],"")</calculatedColumnFormula>
    </tableColumn>
    <tableColumn id="4" name="Poids au mètre(kg)" dataDxfId="766" totalsRowDxfId="765">
      <calculatedColumnFormula>IFERROR(VLOOKUP(tab_plaque[[#This Row],[Matériaux]],tab_matériaux[],3,FALSE)*tab_plaque[[#This Row],[Surface m²]],"")</calculatedColumnFormula>
    </tableColumn>
    <tableColumn id="5" name="Stock réel (m²)" dataDxfId="764"/>
    <tableColumn id="9" name="Lieu de stockage" totalsRowFunction="count" dataDxfId="763" totalsRowDxfId="762"/>
    <tableColumn id="6" name="Poids du stock réel (Kg)" totalsRowFunction="sum" dataDxfId="761" totalsRowDxfId="760">
      <calculatedColumnFormula>IFERROR(tab_plaque[[#This Row],[Poids au mètre(kg)]]*tab_plaque[[#This Row],[Stock réel (m²)]],"")</calculatedColumnFormula>
    </tableColumn>
    <tableColumn id="8" name="Valeur marchande du stock réel " totalsRowFunction="sum" dataDxfId="759" totalsRowDxfId="758">
      <calculatedColumnFormula>IFERROR(tab_plaque[[#This Row],[Poids du stock réel (Kg)]]*VLOOKUP(tab_plaque[[#This Row],[Matériaux]],tab_matériaux[],4,FALSE),"")</calculatedColumnFormula>
    </tableColumn>
    <tableColumn id="16" name="Entree (m²)_x000a_+" dataDxfId="757"/>
    <tableColumn id="23" name="Sortie (m²)_x000a_-" dataDxfId="756"/>
    <tableColumn id="17" name="Commentaire" dataDxfId="755" totalsRowDxfId="754"/>
  </tableColumns>
  <tableStyleInfo name="TableStyleLight16" showFirstColumn="0" showLastColumn="0" showRowStripes="1" showColumnStripes="0"/>
</table>
</file>

<file path=xl/tables/table15.xml><?xml version="1.0" encoding="utf-8"?>
<table xmlns="http://schemas.openxmlformats.org/spreadsheetml/2006/main" id="16" name="tab_tole" displayName="tab_tole" ref="A2:S4" headerRowDxfId="753" dataDxfId="752" totalsRowDxfId="751">
  <autoFilter ref="A2:S4"/>
  <tableColumns count="19">
    <tableColumn id="20" name="nbr" dataDxfId="750" totalsRowDxfId="749"/>
    <tableColumn id="2" name="Code Article" totalsRowLabel="Total" dataDxfId="748"/>
    <tableColumn id="3" name="Stock théorqiue Juillet 2016 (kg)" dataDxfId="747" totalsRowDxfId="746"/>
    <tableColumn id="11" name="Format" dataDxfId="745" totalsRowDxfId="744">
      <calculatedColumnFormula>RIGHT(CELL("filename",$A$1),LEN(CELL("filename",$A$1))-SEARCH("]",CELL("filename",$A$1)))</calculatedColumnFormula>
    </tableColumn>
    <tableColumn id="13" name="Matériaux" dataDxfId="743" totalsRowDxfId="742"/>
    <tableColumn id="12" name="Famille" dataDxfId="741" totalsRowDxfId="740">
      <calculatedColumnFormula>VLOOKUP(tab_tole[[#This Row],[Matériaux]],tab_matériaux[],2,FALSE)</calculatedColumnFormula>
    </tableColumn>
    <tableColumn id="1" name="Ø (mm)" dataDxfId="739" totalsRowDxfId="738"/>
    <tableColumn id="10" name="Largueur /_x000a_basse (mm)" dataDxfId="737" totalsRowDxfId="736"/>
    <tableColumn id="14" name="hauteur (mm)" dataDxfId="735" totalsRowDxfId="734"/>
    <tableColumn id="15" name="épaisseur (mm)" dataDxfId="733"/>
    <tableColumn id="7" name="Surface m²" dataDxfId="732" totalsRowDxfId="731">
      <calculatedColumnFormula>IFERROR(10^-3*tab_tole[[#This Row],[épaisseur (mm)]],"")</calculatedColumnFormula>
    </tableColumn>
    <tableColumn id="4" name="Poids au mètre(kg)" dataDxfId="730" totalsRowDxfId="729">
      <calculatedColumnFormula>IFERROR(VLOOKUP(tab_tole[[#This Row],[Matériaux]],tab_matériaux[],3,FALSE)*tab_tole[[#This Row],[Surface m²]],"")</calculatedColumnFormula>
    </tableColumn>
    <tableColumn id="5" name="Stock réel (m²)" dataDxfId="728"/>
    <tableColumn id="9" name="Lieu de stockage" totalsRowFunction="count" dataDxfId="727" totalsRowDxfId="726"/>
    <tableColumn id="6" name="Poids du stock réel (Kg)" totalsRowFunction="sum" dataDxfId="725" totalsRowDxfId="724">
      <calculatedColumnFormula>IFERROR(tab_tole[[#This Row],[Poids au mètre(kg)]]*tab_tole[[#This Row],[Stock réel (m²)]],"")</calculatedColumnFormula>
    </tableColumn>
    <tableColumn id="8" name="Valeur marchande du stock réel " totalsRowFunction="sum" dataDxfId="723" totalsRowDxfId="722">
      <calculatedColumnFormula>IFERROR(tab_tole[[#This Row],[Poids du stock réel (Kg)]]*VLOOKUP(tab_tole[[#This Row],[Matériaux]],tab_matériaux[],4,FALSE),"")</calculatedColumnFormula>
    </tableColumn>
    <tableColumn id="16" name="Entree (m²)_x000a_+" dataDxfId="721"/>
    <tableColumn id="18" name="Sortie (m²)_x000a_-" dataDxfId="720"/>
    <tableColumn id="17" name="Commentaire" dataDxfId="719" totalsRowDxfId="718"/>
  </tableColumns>
  <tableStyleInfo name="TableStyleLight16" showFirstColumn="0" showLastColumn="0" showRowStripes="1" showColumnStripes="0"/>
</table>
</file>

<file path=xl/tables/table16.xml><?xml version="1.0" encoding="utf-8"?>
<table xmlns="http://schemas.openxmlformats.org/spreadsheetml/2006/main" id="17" name="tab_plat" displayName="tab_plat" ref="A2:S4" headerRowDxfId="717" dataDxfId="716" totalsRowDxfId="715">
  <autoFilter ref="A2:S4"/>
  <tableColumns count="19">
    <tableColumn id="20" name="nbr" dataDxfId="714" totalsRowDxfId="713"/>
    <tableColumn id="2" name="Code Article" totalsRowLabel="Total" dataDxfId="712"/>
    <tableColumn id="3" name="Stock théorqiue Juillet 2016 (kg)" dataDxfId="711" totalsRowDxfId="710"/>
    <tableColumn id="11" name="Format" dataDxfId="709" totalsRowDxfId="708">
      <calculatedColumnFormula>RIGHT(CELL("filename",$A$1),LEN(CELL("filename",$A$1))-SEARCH("]",CELL("filename",$A$1)))</calculatedColumnFormula>
    </tableColumn>
    <tableColumn id="13" name="Matériaux" dataDxfId="707" totalsRowDxfId="706"/>
    <tableColumn id="12" name="Famille" dataDxfId="705" totalsRowDxfId="704">
      <calculatedColumnFormula>VLOOKUP(tab_plat[[#This Row],[Matériaux]],tab_matériaux[],2,FALSE)</calculatedColumnFormula>
    </tableColumn>
    <tableColumn id="1" name="Ø (mm)" dataDxfId="703" totalsRowDxfId="702"/>
    <tableColumn id="10" name="Largueur /_x000a_basse (mm)" dataDxfId="701" totalsRowDxfId="700"/>
    <tableColumn id="14" name="hauteur (mm)" dataDxfId="699" totalsRowDxfId="698"/>
    <tableColumn id="15" name="épaisseur (mm)" dataDxfId="697" totalsRowDxfId="696"/>
    <tableColumn id="7" name="Surface m²" dataDxfId="695" totalsRowDxfId="694">
      <calculatedColumnFormula>IFERROR(10^-6*tab_plat[[#This Row],[Largueur /
basse (mm)]]*tab_plat[[#This Row],[épaisseur (mm)]],"")</calculatedColumnFormula>
    </tableColumn>
    <tableColumn id="4" name="Poids au mètre(kg)" dataDxfId="693" totalsRowDxfId="692">
      <calculatedColumnFormula>IFERROR(VLOOKUP(tab_plat[[#This Row],[Matériaux]],tab_matériaux[],3,FALSE)*tab_plat[[#This Row],[Surface m²]],"")</calculatedColumnFormula>
    </tableColumn>
    <tableColumn id="5" name="Stock réel (mm)" dataDxfId="691"/>
    <tableColumn id="9" name="Lieu de stockage" totalsRowFunction="count" dataDxfId="690" totalsRowDxfId="689"/>
    <tableColumn id="6" name="Poids du stock réel (Kg)" totalsRowFunction="sum" dataDxfId="688" totalsRowDxfId="687">
      <calculatedColumnFormula>IFERROR(10^-3*tab_plat[[#This Row],[Poids au mètre(kg)]]*tab_plat[[#This Row],[Stock réel (mm)]],"")</calculatedColumnFormula>
    </tableColumn>
    <tableColumn id="8" name="Valeur marchande du stock réel " totalsRowFunction="sum" dataDxfId="686" totalsRowDxfId="685">
      <calculatedColumnFormula>IFERROR(tab_plat[[#This Row],[Poids du stock réel (Kg)]]*VLOOKUP(tab_plat[[#This Row],[Matériaux]],tab_matériaux[],4,FALSE),"")</calculatedColumnFormula>
    </tableColumn>
    <tableColumn id="16" name="Entree (mm)_x000a_+" dataDxfId="684"/>
    <tableColumn id="18" name="Sortie (mm)_x000a_-" dataDxfId="683"/>
    <tableColumn id="17" name="Commentaire" dataDxfId="682" totalsRowDxfId="681"/>
  </tableColumns>
  <tableStyleInfo name="TableStyleLight16" showFirstColumn="0" showLastColumn="0" showRowStripes="1" showColumnStripes="0"/>
</table>
</file>

<file path=xl/tables/table17.xml><?xml version="1.0" encoding="utf-8"?>
<table xmlns="http://schemas.openxmlformats.org/spreadsheetml/2006/main" id="18" name="tab_disque" displayName="tab_disque" ref="A2:S4" headerRowDxfId="680" dataDxfId="679" totalsRowDxfId="678">
  <autoFilter ref="A2:S4"/>
  <tableColumns count="19">
    <tableColumn id="20" name="nbr" dataDxfId="677" totalsRowDxfId="676"/>
    <tableColumn id="2" name="Code Article" totalsRowLabel="Total" dataDxfId="675"/>
    <tableColumn id="3" name="Stock théorqiue Juillet 2016 (kg)" dataDxfId="674" totalsRowDxfId="673"/>
    <tableColumn id="11" name="Format" dataDxfId="672" totalsRowDxfId="671">
      <calculatedColumnFormula>RIGHT(CELL("filename",$A$1),LEN(CELL("filename",$A$1))-SEARCH("]",CELL("filename",$A$1)))</calculatedColumnFormula>
    </tableColumn>
    <tableColumn id="13" name="Matériaux" dataDxfId="670" totalsRowDxfId="669"/>
    <tableColumn id="12" name="Famille" dataDxfId="668" totalsRowDxfId="667">
      <calculatedColumnFormula>VLOOKUP(tab_disque[[#This Row],[Matériaux]],tab_matériaux[],2,FALSE)</calculatedColumnFormula>
    </tableColumn>
    <tableColumn id="1" name="Ø (mm)" dataDxfId="666" totalsRowDxfId="665"/>
    <tableColumn id="10" name="Largueur /_x000a_basse (mm)" dataDxfId="664" totalsRowDxfId="663"/>
    <tableColumn id="14" name="hauteur (mm)" dataDxfId="662" totalsRowDxfId="661"/>
    <tableColumn id="15" name="épaisseur (mm)" dataDxfId="660" totalsRowDxfId="659"/>
    <tableColumn id="7" name="Surface m²" dataDxfId="658" totalsRowDxfId="657">
      <calculatedColumnFormula>IFERROR(10^-6*PI()*(tab_disque[[#This Row],[Ø (mm)]]/2)^2,"")</calculatedColumnFormula>
    </tableColumn>
    <tableColumn id="4" name="Poids au mètre(kg)" dataDxfId="656" totalsRowDxfId="655">
      <calculatedColumnFormula>IFERROR(VLOOKUP(tab_disque[[#This Row],[Matériaux]],tab_matériaux[],3,FALSE)*tab_disque[[#This Row],[Surface m²]],"")</calculatedColumnFormula>
    </tableColumn>
    <tableColumn id="5" name="Stock réel (mm)" dataDxfId="654"/>
    <tableColumn id="9" name="Lieu de stockage" totalsRowFunction="count" dataDxfId="653" totalsRowDxfId="652"/>
    <tableColumn id="6" name="Poids du stock réel (Kg)" totalsRowFunction="sum" dataDxfId="651" totalsRowDxfId="650">
      <calculatedColumnFormula>IFERROR(10^-3*tab_disque[[#This Row],[Poids au mètre(kg)]]*tab_disque[[#This Row],[Stock réel (mm)]],"")</calculatedColumnFormula>
    </tableColumn>
    <tableColumn id="8" name="Valeur marchande du stock réel " totalsRowFunction="sum" dataDxfId="649" totalsRowDxfId="648">
      <calculatedColumnFormula>IFERROR(tab_disque[[#This Row],[Poids du stock réel (Kg)]]*VLOOKUP(tab_disque[[#This Row],[Matériaux]],tab_matériaux[],4,FALSE),"")</calculatedColumnFormula>
    </tableColumn>
    <tableColumn id="16" name="Entree (mm)_x000a_+" dataDxfId="647"/>
    <tableColumn id="18" name="Sortie (mm)_x000a_-" dataDxfId="646"/>
    <tableColumn id="17" name="Commentaire" dataDxfId="645" totalsRowDxfId="644"/>
  </tableColumns>
  <tableStyleInfo name="TableStyleLight16" showFirstColumn="0" showLastColumn="0" showRowStripes="1" showColumnStripes="0"/>
</table>
</file>

<file path=xl/tables/table18.xml><?xml version="1.0" encoding="utf-8"?>
<table xmlns="http://schemas.openxmlformats.org/spreadsheetml/2006/main" id="19" name="tab_tube_rond" displayName="tab_tube_rond" ref="A2:S4" headerRowDxfId="643" dataDxfId="642" totalsRowDxfId="641">
  <autoFilter ref="A2:S4"/>
  <tableColumns count="19">
    <tableColumn id="20" name="nbr" dataDxfId="640" totalsRowDxfId="639"/>
    <tableColumn id="2" name="Code Article" totalsRowLabel="Total" dataDxfId="638"/>
    <tableColumn id="3" name="Stock théorqiue Juillet 2016 (kg)" dataDxfId="637" totalsRowDxfId="636"/>
    <tableColumn id="11" name="Format" dataDxfId="635" totalsRowDxfId="634">
      <calculatedColumnFormula>RIGHT(CELL("filename",$A$1),LEN(CELL("filename",$A$1))-SEARCH("]",CELL("filename",$A$1)))</calculatedColumnFormula>
    </tableColumn>
    <tableColumn id="13" name="Matériaux" dataDxfId="633" totalsRowDxfId="632"/>
    <tableColumn id="12" name="Famille" dataDxfId="631" totalsRowDxfId="630">
      <calculatedColumnFormula>VLOOKUP(tab_tube_rond[[#This Row],[Matériaux]],tab_matériaux[],2,FALSE)</calculatedColumnFormula>
    </tableColumn>
    <tableColumn id="1" name="Ø (mm)" dataDxfId="629" totalsRowDxfId="628"/>
    <tableColumn id="10" name="Largueur /_x000a_basse (mm)" dataDxfId="627" totalsRowDxfId="626"/>
    <tableColumn id="14" name="hauteur (mm)" dataDxfId="625" totalsRowDxfId="624"/>
    <tableColumn id="15" name="épaisseur (mm)" dataDxfId="623" totalsRowDxfId="622"/>
    <tableColumn id="7" name="Surface m²" dataDxfId="621" totalsRowDxfId="620">
      <calculatedColumnFormula>IFERROR(10^-6*PI()*((tab_tube_rond[[#This Row],[Ø (mm)]]/2)^2-((tab_tube_rond[[#This Row],[Ø (mm)]]/2)-tab_tube_rond[[#This Row],[épaisseur (mm)]])^2),"")</calculatedColumnFormula>
    </tableColumn>
    <tableColumn id="4" name="Poids au mètre(kg)" dataDxfId="619" totalsRowDxfId="618">
      <calculatedColumnFormula>IFERROR(VLOOKUP(tab_tube_rond[[#This Row],[Matériaux]],tab_matériaux[],3,FALSE)*tab_tube_rond[[#This Row],[Surface m²]],"")</calculatedColumnFormula>
    </tableColumn>
    <tableColumn id="5" name="Stock réel (mm)" dataDxfId="617"/>
    <tableColumn id="9" name="Lieu de stockage" totalsRowFunction="count" dataDxfId="616" totalsRowDxfId="615"/>
    <tableColumn id="6" name="Poids du stock réel (Kg)" totalsRowFunction="sum" dataDxfId="614" totalsRowDxfId="613">
      <calculatedColumnFormula>IFERROR(10^-3*tab_tube_rond[[#This Row],[Poids au mètre(kg)]]*tab_tube_rond[[#This Row],[Stock réel (mm)]],"")</calculatedColumnFormula>
    </tableColumn>
    <tableColumn id="8" name="Valeur marchande du stock réel " totalsRowFunction="sum" dataDxfId="612" totalsRowDxfId="611">
      <calculatedColumnFormula>IFERROR(tab_tube_rond[[#This Row],[Poids du stock réel (Kg)]]*VLOOKUP(tab_tube_rond[[#This Row],[Matériaux]],tab_matériaux[],4,FALSE),"")</calculatedColumnFormula>
    </tableColumn>
    <tableColumn id="16" name="Entree (mm)_x000a_+" dataDxfId="610"/>
    <tableColumn id="18" name="Sortie (mm)_x000a_-" dataDxfId="609"/>
    <tableColumn id="17" name="Commentaire" dataDxfId="608" totalsRowDxfId="607"/>
  </tableColumns>
  <tableStyleInfo name="TableStyleLight16" showFirstColumn="0" showLastColumn="0" showRowStripes="1" showColumnStripes="0"/>
</table>
</file>

<file path=xl/tables/table19.xml><?xml version="1.0" encoding="utf-8"?>
<table xmlns="http://schemas.openxmlformats.org/spreadsheetml/2006/main" id="20" name="tab_tube_carré" displayName="tab_tube_carré" ref="A2:S4" headerRowDxfId="606" dataDxfId="605" totalsRowDxfId="604">
  <autoFilter ref="A2:S4"/>
  <tableColumns count="19">
    <tableColumn id="20" name="nbr" dataDxfId="603" totalsRowDxfId="602"/>
    <tableColumn id="2" name="Code Article" totalsRowLabel="Total" dataDxfId="601"/>
    <tableColumn id="3" name="Stock théorqiue Juillet 2016 (kg)" dataDxfId="600" totalsRowDxfId="599"/>
    <tableColumn id="11" name="Format" dataDxfId="598" totalsRowDxfId="597">
      <calculatedColumnFormula>RIGHT(CELL("filename",$A$1),LEN(CELL("filename",$A$1))-SEARCH("]",CELL("filename",$A$1)))</calculatedColumnFormula>
    </tableColumn>
    <tableColumn id="13" name="Matériaux" dataDxfId="596" totalsRowDxfId="595"/>
    <tableColumn id="12" name="Famille" dataDxfId="594" totalsRowDxfId="593">
      <calculatedColumnFormula>VLOOKUP(tab_tube_carré[[#This Row],[Matériaux]],tab_matériaux[],2,FALSE)</calculatedColumnFormula>
    </tableColumn>
    <tableColumn id="1" name="Ø (mm)" dataDxfId="592" totalsRowDxfId="591"/>
    <tableColumn id="10" name="Largueur /_x000a_basse (mm)" dataDxfId="590" totalsRowDxfId="589"/>
    <tableColumn id="14" name="hauteur (mm)" dataDxfId="588" totalsRowDxfId="587"/>
    <tableColumn id="15" name="épaisseur (mm)" dataDxfId="586" totalsRowDxfId="585"/>
    <tableColumn id="7" name="Surface m²" dataDxfId="584" totalsRowDxfId="583">
      <calculatedColumnFormula>IFERROR(10^-6* (tab_tube_carré[[#This Row],[Largueur /
basse (mm)]] * tab_tube_carré[[#This Row],[hauteur (mm)]] - ((tab_tube_carré[[#This Row],[Largueur /
basse (mm)]] - 2 * tab_tube_carré[[#This Row],[épaisseur (mm)]]) * (tab_tube_carré[[#This Row],[hauteur (mm)]] - 2 *tab_tube_carré[[#This Row],[épaisseur (mm)]]))),"")</calculatedColumnFormula>
    </tableColumn>
    <tableColumn id="4" name="Poids au mètre(kg)" dataDxfId="582" totalsRowDxfId="581">
      <calculatedColumnFormula>IFERROR(VLOOKUP(tab_tube_carré[[#This Row],[Matériaux]],tab_matériaux[],3,FALSE)*tab_tube_carré[[#This Row],[Surface m²]],"")</calculatedColumnFormula>
    </tableColumn>
    <tableColumn id="5" name="Stock réel (mm)" dataDxfId="580"/>
    <tableColumn id="9" name="Lieu de stockage" totalsRowFunction="count" dataDxfId="579" totalsRowDxfId="578"/>
    <tableColumn id="6" name="Poids du stock réel (Kg)" totalsRowFunction="sum" dataDxfId="577" totalsRowDxfId="576">
      <calculatedColumnFormula>IFERROR(10^-3*tab_tube_carré[[#This Row],[Poids au mètre(kg)]]*tab_tube_carré[[#This Row],[Stock réel (mm)]],"")</calculatedColumnFormula>
    </tableColumn>
    <tableColumn id="8" name="Valeur marchande du stock réel " totalsRowFunction="sum" dataDxfId="575" totalsRowDxfId="574">
      <calculatedColumnFormula>IFERROR(tab_tube_carré[[#This Row],[Poids du stock réel (Kg)]]*VLOOKUP(tab_tube_carré[[#This Row],[Matériaux]],tab_matériaux[],4,FALSE),"")</calculatedColumnFormula>
    </tableColumn>
    <tableColumn id="16" name="Entree (mm)_x000a_+" dataDxfId="573"/>
    <tableColumn id="18" name="Sortie (mm)_x000a_-" dataDxfId="572"/>
    <tableColumn id="17" name="Commentaire" dataDxfId="571" totalsRowDxfId="570"/>
  </tableColumns>
  <tableStyleInfo name="TableStyleLight16" showFirstColumn="0" showLastColumn="0" showRowStripes="1" showColumnStripes="0"/>
</table>
</file>

<file path=xl/tables/table20.xml><?xml version="1.0" encoding="utf-8"?>
<table xmlns="http://schemas.openxmlformats.org/spreadsheetml/2006/main" id="21" name="tab_tube_rectangulaire" displayName="tab_tube_rectangulaire" ref="A2:S4" headerRowDxfId="569" dataDxfId="568" totalsRowDxfId="567">
  <autoFilter ref="A2:S4"/>
  <tableColumns count="19">
    <tableColumn id="20" name="nbr" dataDxfId="566" totalsRowDxfId="565"/>
    <tableColumn id="2" name="Code Article" totalsRowLabel="Total" dataDxfId="564"/>
    <tableColumn id="3" name="Stock théorqiue Juillet 2016 (kg)" dataDxfId="563" totalsRowDxfId="562"/>
    <tableColumn id="11" name="Format" dataDxfId="561" totalsRowDxfId="560">
      <calculatedColumnFormula>RIGHT(CELL("filename",$A$1),LEN(CELL("filename",$A$1))-SEARCH("]",CELL("filename",$A$1)))</calculatedColumnFormula>
    </tableColumn>
    <tableColumn id="13" name="Matériaux" dataDxfId="559" totalsRowDxfId="558"/>
    <tableColumn id="12" name="Famille" dataDxfId="557" totalsRowDxfId="556">
      <calculatedColumnFormula>VLOOKUP(tab_tube_rectangulaire[[#This Row],[Matériaux]],tab_matériaux[],2,FALSE)</calculatedColumnFormula>
    </tableColumn>
    <tableColumn id="1" name="Ø (mm)" dataDxfId="555" totalsRowDxfId="554"/>
    <tableColumn id="10" name="Largueur /_x000a_basse (mm)" dataDxfId="553" totalsRowDxfId="552"/>
    <tableColumn id="14" name="hauteur (mm)" dataDxfId="551" totalsRowDxfId="550"/>
    <tableColumn id="15" name="épaisseur (mm)" dataDxfId="549" totalsRowDxfId="548"/>
    <tableColumn id="7" name="Surface m²" dataDxfId="547" totalsRowDxfId="546">
      <calculatedColumnFormula>IFERROR(10^-6* (tab_tube_rectangulaire[[#This Row],[Largueur /
basse (mm)]] * tab_tube_rectangulaire[[#This Row],[hauteur (mm)]] - ((tab_tube_rectangulaire[[#This Row],[Largueur /
basse (mm)]] - 2 * tab_tube_rectangulaire[[#This Row],[épaisseur (mm)]]) * (tab_tube_rectangulaire[[#This Row],[hauteur (mm)]] - 2 *tab_tube_rectangulaire[[#This Row],[épaisseur (mm)]]))),"")</calculatedColumnFormula>
    </tableColumn>
    <tableColumn id="4" name="Poids au mètre(kg)" dataDxfId="545" totalsRowDxfId="544">
      <calculatedColumnFormula>IFERROR(VLOOKUP(tab_tube_rectangulaire[[#This Row],[Matériaux]],tab_matériaux[],3,FALSE)*tab_tube_rectangulaire[[#This Row],[Surface m²]],"")</calculatedColumnFormula>
    </tableColumn>
    <tableColumn id="5" name="Stock réel (mm)" dataDxfId="543"/>
    <tableColumn id="9" name="Lieu de stockage" totalsRowFunction="count" dataDxfId="542" totalsRowDxfId="541"/>
    <tableColumn id="6" name="Poids du stock réel (Kg)" totalsRowFunction="sum" dataDxfId="540" totalsRowDxfId="539">
      <calculatedColumnFormula>IFERROR(10^-3*tab_tube_rectangulaire[[#This Row],[Poids au mètre(kg)]]*tab_tube_rectangulaire[[#This Row],[Stock réel (mm)]],"")</calculatedColumnFormula>
    </tableColumn>
    <tableColumn id="8" name="Valeur marchande du stock réel " totalsRowFunction="sum" dataDxfId="538" totalsRowDxfId="537">
      <calculatedColumnFormula>IFERROR(tab_tube_rectangulaire[[#This Row],[Poids du stock réel (Kg)]]*VLOOKUP(tab_tube_rectangulaire[[#This Row],[Matériaux]],tab_matériaux[],4,FALSE),"")</calculatedColumnFormula>
    </tableColumn>
    <tableColumn id="16" name="Entree (mm)_x000a_+" dataDxfId="536"/>
    <tableColumn id="18" name="Sortie (mm)_x000a_-" dataDxfId="535"/>
    <tableColumn id="17" name="Commentaire" dataDxfId="534" totalsRowDxfId="533"/>
  </tableColumns>
  <tableStyleInfo name="TableStyleLight16" showFirstColumn="0" showLastColumn="0" showRowStripes="1" showColumnStripes="0"/>
</table>
</file>

<file path=xl/tables/table21.xml><?xml version="1.0" encoding="utf-8"?>
<table xmlns="http://schemas.openxmlformats.org/spreadsheetml/2006/main" id="23" name="tab_T" displayName="tab_T" ref="A2:S4" headerRowDxfId="529" dataDxfId="528" totalsRowDxfId="527">
  <autoFilter ref="A2:S4"/>
  <tableColumns count="19">
    <tableColumn id="20" name="nbr" dataDxfId="526" totalsRowDxfId="525"/>
    <tableColumn id="2" name="Code Article" totalsRowLabel="Total" dataDxfId="524"/>
    <tableColumn id="3" name="Stock théorqiue Juillet 2016 (kg)" dataDxfId="523" totalsRowDxfId="522"/>
    <tableColumn id="11" name="Format" dataDxfId="521" totalsRowDxfId="520">
      <calculatedColumnFormula>RIGHT(CELL("filename",$A$1),LEN(CELL("filename",$A$1))-SEARCH("]",CELL("filename",$A$1)))</calculatedColumnFormula>
    </tableColumn>
    <tableColumn id="13" name="Matériaux" dataDxfId="519" totalsRowDxfId="518"/>
    <tableColumn id="12" name="Famille" dataDxfId="517" totalsRowDxfId="516">
      <calculatedColumnFormula>VLOOKUP(tab_T[[#This Row],[Matériaux]],tab_matériaux[],2,FALSE)</calculatedColumnFormula>
    </tableColumn>
    <tableColumn id="1" name="Ø (mm)" dataDxfId="515" totalsRowDxfId="514"/>
    <tableColumn id="10" name="Largueur /_x000a_basse (mm)" dataDxfId="513" totalsRowDxfId="512"/>
    <tableColumn id="14" name="hauteur (mm)" dataDxfId="511" totalsRowDxfId="510"/>
    <tableColumn id="15" name="épaisseur (mm)" dataDxfId="509" totalsRowDxfId="508"/>
    <tableColumn id="7" name="Surface m²" dataDxfId="507" totalsRowDxfId="506">
      <calculatedColumnFormula>IFERROR(10^-6*(tab_T[[#This Row],[hauteur (mm)]] * tab_T[[#This Row],[Largueur /
basse (mm)]] - ((tab_T[[#This Row],[hauteur (mm)]] - tab_T[[#This Row],[épaisseur (mm)]]) * (tab_T[[#This Row],[Largueur /
basse (mm)]] - tab_T[[#This Row],[épaisseur (mm)]]))),"")</calculatedColumnFormula>
    </tableColumn>
    <tableColumn id="4" name="Poids au mètre(kg)" dataDxfId="505" totalsRowDxfId="504">
      <calculatedColumnFormula>IFERROR(VLOOKUP(tab_T[[#This Row],[Matériaux]],tab_matériaux[],3,FALSE)*tab_T[[#This Row],[Surface m²]],"")</calculatedColumnFormula>
    </tableColumn>
    <tableColumn id="5" name="Stock réel (mm)" dataDxfId="503"/>
    <tableColumn id="9" name="Lieu de stockage" totalsRowFunction="count" dataDxfId="502" totalsRowDxfId="501"/>
    <tableColumn id="6" name="Poids du stock réel (Kg)" totalsRowFunction="sum" dataDxfId="500" totalsRowDxfId="499">
      <calculatedColumnFormula>IFERROR(10^-3*tab_T[[#This Row],[Poids au mètre(kg)]]*tab_T[[#This Row],[Stock réel (mm)]],"")</calculatedColumnFormula>
    </tableColumn>
    <tableColumn id="8" name="Valeur marchande du stock réel " totalsRowFunction="sum" dataDxfId="498" totalsRowDxfId="497">
      <calculatedColumnFormula>IFERROR(tab_T[[#This Row],[Poids du stock réel (Kg)]]*VLOOKUP(tab_T[[#This Row],[Matériaux]],tab_matériaux[],4,FALSE),"")</calculatedColumnFormula>
    </tableColumn>
    <tableColumn id="16" name="Entree (mm)_x000a_+" dataDxfId="496"/>
    <tableColumn id="18" name="Sortie (mm)_x000a_-" dataDxfId="495"/>
    <tableColumn id="17" name="Commentaire" dataDxfId="494" totalsRowDxfId="493"/>
  </tableColumns>
  <tableStyleInfo name="TableStyleLight16" showFirstColumn="0" showLastColumn="0" showRowStripes="1" showColumnStripes="0"/>
</table>
</file>

<file path=xl/tables/table22.xml><?xml version="1.0" encoding="utf-8"?>
<table xmlns="http://schemas.openxmlformats.org/spreadsheetml/2006/main" id="24" name="tab_U" displayName="tab_U" ref="A2:S4" headerRowDxfId="489" dataDxfId="488" totalsRowDxfId="487">
  <autoFilter ref="A2:S4"/>
  <tableColumns count="19">
    <tableColumn id="20" name="nbr" dataDxfId="486" totalsRowDxfId="485"/>
    <tableColumn id="2" name="Code Article" totalsRowLabel="Total" dataDxfId="484"/>
    <tableColumn id="3" name="Stock théorqiue Juillet 2016 (kg)" dataDxfId="483" totalsRowDxfId="482"/>
    <tableColumn id="11" name="Format" dataDxfId="481" totalsRowDxfId="480">
      <calculatedColumnFormula>RIGHT(CELL("filename",$A$1),LEN(CELL("filename",$A$1))-SEARCH("]",CELL("filename",$A$1)))</calculatedColumnFormula>
    </tableColumn>
    <tableColumn id="13" name="Matériaux" dataDxfId="479" totalsRowDxfId="478"/>
    <tableColumn id="12" name="Famille" dataDxfId="477" totalsRowDxfId="476">
      <calculatedColumnFormula>VLOOKUP(tab_U[[#This Row],[Matériaux]],tab_matériaux[],2,FALSE)</calculatedColumnFormula>
    </tableColumn>
    <tableColumn id="1" name="Ø (mm)" dataDxfId="475" totalsRowDxfId="474"/>
    <tableColumn id="10" name="Largueur /_x000a_basse (mm)" dataDxfId="473" totalsRowDxfId="472"/>
    <tableColumn id="14" name="hauteur (mm)" dataDxfId="471" totalsRowDxfId="470"/>
    <tableColumn id="15" name="épaisseur (mm)" dataDxfId="469" totalsRowDxfId="468"/>
    <tableColumn id="7" name="Surface m²" dataDxfId="467" totalsRowDxfId="466">
      <calculatedColumnFormula>IFERROR(10^-6*(tab_U[[#This Row],[hauteur (mm)]] * tab_U[[#This Row],[Largueur /
basse (mm)]] - ((tab_U[[#This Row],[hauteur (mm)]] - tab_U[[#This Row],[épaisseur (mm)]]) * (tab_U[[#This Row],[Largueur /
basse (mm)]] - 2*tab_U[[#This Row],[épaisseur (mm)]]))),"")</calculatedColumnFormula>
    </tableColumn>
    <tableColumn id="4" name="Poids au mètre(kg)" dataDxfId="465" totalsRowDxfId="464">
      <calculatedColumnFormula>IFERROR(VLOOKUP(tab_U[[#This Row],[Matériaux]],tab_matériaux[],3,FALSE)*tab_U[[#This Row],[Surface m²]],"")</calculatedColumnFormula>
    </tableColumn>
    <tableColumn id="5" name="Stock réel (mm)" dataDxfId="463"/>
    <tableColumn id="9" name="Lieu de stockage" totalsRowFunction="count" dataDxfId="462" totalsRowDxfId="461"/>
    <tableColumn id="6" name="Poids du stock réel (Kg)" totalsRowFunction="sum" dataDxfId="460" totalsRowDxfId="459">
      <calculatedColumnFormula>IFERROR(10^-3*tab_U[[#This Row],[Poids au mètre(kg)]]*tab_U[[#This Row],[Stock réel (mm)]],"")</calculatedColumnFormula>
    </tableColumn>
    <tableColumn id="8" name="Valeur marchande du stock réel " totalsRowFunction="sum" dataDxfId="458" totalsRowDxfId="457">
      <calculatedColumnFormula>IFERROR(tab_U[[#This Row],[Poids du stock réel (Kg)]]*VLOOKUP(tab_U[[#This Row],[Matériaux]],tab_matériaux[],4,FALSE),"")</calculatedColumnFormula>
    </tableColumn>
    <tableColumn id="16" name="Entree (mm)_x000a_+" dataDxfId="456"/>
    <tableColumn id="18" name="Sortie (mm)_x000a_-" dataDxfId="455"/>
    <tableColumn id="17" name="Commentaire" dataDxfId="454" totalsRowDxfId="453"/>
  </tableColumns>
  <tableStyleInfo name="TableStyleLight16" showFirstColumn="0" showLastColumn="0" showRowStripes="1" showColumnStripes="0"/>
</table>
</file>

<file path=xl/tables/table23.xml><?xml version="1.0" encoding="utf-8"?>
<table xmlns="http://schemas.openxmlformats.org/spreadsheetml/2006/main" id="22" name="tab_L" displayName="tab_L" ref="A2:S4" headerRowDxfId="449" dataDxfId="448" totalsRowDxfId="447">
  <autoFilter ref="A2:S4"/>
  <tableColumns count="19">
    <tableColumn id="20" name="nbr" dataDxfId="446" totalsRowDxfId="445"/>
    <tableColumn id="2" name="Code Article" totalsRowLabel="Total" dataDxfId="444"/>
    <tableColumn id="3" name="Stock théorqiue Juillet 2016 (kg)" dataDxfId="443" totalsRowDxfId="442"/>
    <tableColumn id="11" name="Format" dataDxfId="441" totalsRowDxfId="440">
      <calculatedColumnFormula>RIGHT(CELL("filename",$A$1),LEN(CELL("filename",$A$1))-SEARCH("]",CELL("filename",$A$1)))</calculatedColumnFormula>
    </tableColumn>
    <tableColumn id="13" name="Matériaux" dataDxfId="439" totalsRowDxfId="438"/>
    <tableColumn id="12" name="Famille" dataDxfId="437" totalsRowDxfId="436">
      <calculatedColumnFormula>VLOOKUP(tab_L[[#This Row],[Matériaux]],tab_matériaux[],2,FALSE)</calculatedColumnFormula>
    </tableColumn>
    <tableColumn id="1" name="Ø (mm)" dataDxfId="435" totalsRowDxfId="434"/>
    <tableColumn id="10" name="Largueur /_x000a_basse (mm)" dataDxfId="433" totalsRowDxfId="432"/>
    <tableColumn id="14" name="hauteur (mm)" dataDxfId="431" totalsRowDxfId="430"/>
    <tableColumn id="15" name="épaisseur (mm)" dataDxfId="429" totalsRowDxfId="428"/>
    <tableColumn id="7" name="Surface m²" dataDxfId="427" totalsRowDxfId="426">
      <calculatedColumnFormula>IFERROR(10^-6*(tab_L[[#This Row],[hauteur (mm)]] * tab_L[[#This Row],[Largueur /
basse (mm)]] - ((tab_L[[#This Row],[hauteur (mm)]] - tab_L[[#This Row],[épaisseur (mm)]]) * (tab_L[[#This Row],[Largueur /
basse (mm)]] - tab_L[[#This Row],[épaisseur (mm)]]))),"")</calculatedColumnFormula>
    </tableColumn>
    <tableColumn id="4" name="Poids au mètre(kg)" dataDxfId="425" totalsRowDxfId="424">
      <calculatedColumnFormula>IFERROR(VLOOKUP(tab_L[[#This Row],[Matériaux]],tab_matériaux[],3,FALSE)*tab_L[[#This Row],[Surface m²]],"")</calculatedColumnFormula>
    </tableColumn>
    <tableColumn id="5" name="Stock réel (mm)" dataDxfId="423"/>
    <tableColumn id="9" name="Lieu de stockage" totalsRowFunction="count" dataDxfId="422" totalsRowDxfId="421"/>
    <tableColumn id="6" name="Poids du stock réel (Kg)" totalsRowFunction="sum" dataDxfId="420" totalsRowDxfId="419">
      <calculatedColumnFormula>IFERROR(10^-3*tab_L[[#This Row],[Poids au mètre(kg)]]*tab_L[[#This Row],[Stock réel (mm)]],"")</calculatedColumnFormula>
    </tableColumn>
    <tableColumn id="8" name="Valeur marchande du stock réel " totalsRowFunction="sum" dataDxfId="418" totalsRowDxfId="417">
      <calculatedColumnFormula>IFERROR(tab_L[[#This Row],[Poids du stock réel (Kg)]]*VLOOKUP(tab_L[[#This Row],[Matériaux]],tab_matériaux[],4,FALSE),"")</calculatedColumnFormula>
    </tableColumn>
    <tableColumn id="16" name="Entree (mm)_x000a_+" dataDxfId="416"/>
    <tableColumn id="18" name="Sortie (mm)_x000a_-" dataDxfId="415"/>
    <tableColumn id="17" name="Commentaire" dataDxfId="414" totalsRowDxfId="413"/>
  </tableColumns>
  <tableStyleInfo name="TableStyleLight16" showFirstColumn="0" showLastColumn="0" showRowStripes="1" showColumnStripes="0"/>
</table>
</file>

<file path=xl/tables/table24.xml><?xml version="1.0" encoding="utf-8"?>
<table xmlns="http://schemas.openxmlformats.org/spreadsheetml/2006/main" id="25" name="tab_IPE" displayName="tab_IPE" ref="A2:S4" headerRowDxfId="409" dataDxfId="408" totalsRowDxfId="407">
  <autoFilter ref="A2:S4"/>
  <tableColumns count="19">
    <tableColumn id="20" name="nbr" dataDxfId="406" totalsRowDxfId="405"/>
    <tableColumn id="2" name="Code Article" totalsRowLabel="Total" dataDxfId="404"/>
    <tableColumn id="3" name="Stock théorqiue Juillet 2016 (kg)" dataDxfId="403" totalsRowDxfId="402"/>
    <tableColumn id="11" name="Format" dataDxfId="401" totalsRowDxfId="400">
      <calculatedColumnFormula>RIGHT(CELL("filename",$A$1),LEN(CELL("filename",$A$1))-SEARCH("]",CELL("filename",$A$1)))</calculatedColumnFormula>
    </tableColumn>
    <tableColumn id="13" name="Matériaux" dataDxfId="399" totalsRowDxfId="398"/>
    <tableColumn id="12" name="Famille" dataDxfId="397" totalsRowDxfId="396">
      <calculatedColumnFormula>VLOOKUP(tab_IPE[[#This Row],[Matériaux]],tab_matériaux[],2,FALSE)</calculatedColumnFormula>
    </tableColumn>
    <tableColumn id="1" name="Profils" dataDxfId="395" totalsRowDxfId="394"/>
    <tableColumn id="10" name="Largueur /_x000a_basse (mm)" dataDxfId="393" totalsRowDxfId="392"/>
    <tableColumn id="14" name="hauteur (mm)" dataDxfId="391" totalsRowDxfId="390"/>
    <tableColumn id="15" name="épaisseur (mm)" dataDxfId="389" totalsRowDxfId="388"/>
    <tableColumn id="7" name="Surface m²" dataDxfId="387" totalsRowDxfId="386"/>
    <tableColumn id="4" name="Poids au mètre(kg)" dataDxfId="385" totalsRowDxfId="384">
      <calculatedColumnFormula>VLOOKUP(tab_IPE[[#This Row],[Profils]],tab__donnee_ipe[],2,FALSE)</calculatedColumnFormula>
    </tableColumn>
    <tableColumn id="5" name="Stock réel (mm)" dataDxfId="383"/>
    <tableColumn id="9" name="Lieu de stockage" totalsRowFunction="count" dataDxfId="382" totalsRowDxfId="381"/>
    <tableColumn id="6" name="Poids du stock réel (Kg)" totalsRowFunction="sum" dataDxfId="380" totalsRowDxfId="379">
      <calculatedColumnFormula>IFERROR(10^-3*tab_IPE[[#This Row],[Poids au mètre(kg)]]*tab_IPE[[#This Row],[Stock réel (mm)]],"")</calculatedColumnFormula>
    </tableColumn>
    <tableColumn id="8" name="Valeur marchande du stock réel " totalsRowFunction="sum" dataDxfId="378" totalsRowDxfId="377">
      <calculatedColumnFormula>IFERROR(tab_IPE[[#This Row],[Poids du stock réel (Kg)]]*VLOOKUP(tab_IPE[[#This Row],[Matériaux]],tab_matériaux[],4,FALSE),"")</calculatedColumnFormula>
    </tableColumn>
    <tableColumn id="16" name="Entree (mm)_x000a_+" dataDxfId="376"/>
    <tableColumn id="18" name="Sortie (mm)_x000a_-" dataDxfId="375"/>
    <tableColumn id="17" name="Commentaire" dataDxfId="374" totalsRowDxfId="373"/>
  </tableColumns>
  <tableStyleInfo name="TableStyleLight16" showFirstColumn="0" showLastColumn="0" showRowStripes="1" showColumnStripes="0"/>
</table>
</file>

<file path=xl/tables/table25.xml><?xml version="1.0" encoding="utf-8"?>
<table xmlns="http://schemas.openxmlformats.org/spreadsheetml/2006/main" id="26" name="tab_IPN" displayName="tab_IPN" ref="A2:S4" headerRowDxfId="369" dataDxfId="368" totalsRowDxfId="367">
  <autoFilter ref="A2:S4"/>
  <tableColumns count="19">
    <tableColumn id="20" name="nbr" dataDxfId="366" totalsRowDxfId="365"/>
    <tableColumn id="2" name="Code Article" totalsRowLabel="Total" dataDxfId="364"/>
    <tableColumn id="3" name="Stock théorqiue Juillet 2016 (kg)" dataDxfId="363" totalsRowDxfId="362"/>
    <tableColumn id="11" name="Format" dataDxfId="361" totalsRowDxfId="360">
      <calculatedColumnFormula>RIGHT(CELL("filename",$A$1),LEN(CELL("filename",$A$1))-SEARCH("]",CELL("filename",$A$1)))</calculatedColumnFormula>
    </tableColumn>
    <tableColumn id="13" name="Matériaux" dataDxfId="359" totalsRowDxfId="358"/>
    <tableColumn id="12" name="Famille" dataDxfId="357" totalsRowDxfId="356">
      <calculatedColumnFormula>VLOOKUP(tab_IPN[[#This Row],[Matériaux]],tab_matériaux[],2,FALSE)</calculatedColumnFormula>
    </tableColumn>
    <tableColumn id="1" name="Profils" dataDxfId="355" totalsRowDxfId="354"/>
    <tableColumn id="10" name="Largueur /_x000a_basse (mm)" dataDxfId="353" totalsRowDxfId="352"/>
    <tableColumn id="14" name="hauteur (mm)" dataDxfId="351" totalsRowDxfId="350"/>
    <tableColumn id="15" name="épaisseur (mm)" dataDxfId="349" totalsRowDxfId="348"/>
    <tableColumn id="7" name="Surface m²" dataDxfId="347" totalsRowDxfId="346"/>
    <tableColumn id="4" name="Poids au mètre(kg)" dataDxfId="345" totalsRowDxfId="344">
      <calculatedColumnFormula>VLOOKUP(tab_IPN[[#This Row],[Profils]],tab_donnee_ipn[],2,FALSE)</calculatedColumnFormula>
    </tableColumn>
    <tableColumn id="5" name="Stock réel (mm)" dataDxfId="343"/>
    <tableColumn id="9" name="Lieu de stockage" totalsRowFunction="count" dataDxfId="342" totalsRowDxfId="341"/>
    <tableColumn id="6" name="Poids du stock réel (Kg)" totalsRowFunction="sum" dataDxfId="340" totalsRowDxfId="339">
      <calculatedColumnFormula>IFERROR(10^-3*tab_IPN[[#This Row],[Poids au mètre(kg)]]*tab_IPN[[#This Row],[Stock réel (mm)]],"")</calculatedColumnFormula>
    </tableColumn>
    <tableColumn id="8" name="Valeur marchande du stock réel " totalsRowFunction="sum" dataDxfId="338" totalsRowDxfId="337">
      <calculatedColumnFormula>IFERROR(tab_IPN[[#This Row],[Poids du stock réel (Kg)]]*VLOOKUP(tab_IPN[[#This Row],[Matériaux]],tab_matériaux[],4,FALSE),"")</calculatedColumnFormula>
    </tableColumn>
    <tableColumn id="16" name="Entree (mm)_x000a_+" dataDxfId="336"/>
    <tableColumn id="18" name="Sortie (mm)_x000a_-" dataDxfId="335"/>
    <tableColumn id="17" name="Commentaire" dataDxfId="334" totalsRowDxfId="333"/>
  </tableColumns>
  <tableStyleInfo name="TableStyleLight16" showFirstColumn="0" showLastColumn="0" showRowStripes="1" showColumnStripes="0"/>
</table>
</file>

<file path=xl/tables/table26.xml><?xml version="1.0" encoding="utf-8"?>
<table xmlns="http://schemas.openxmlformats.org/spreadsheetml/2006/main" id="27" name="tab_IPEA" displayName="tab_IPEA" ref="A2:S4" headerRowDxfId="329" dataDxfId="328" totalsRowDxfId="327">
  <autoFilter ref="A2:S4"/>
  <tableColumns count="19">
    <tableColumn id="20" name="nbr" dataDxfId="326" totalsRowDxfId="325"/>
    <tableColumn id="2" name="Code Article" totalsRowLabel="Total" dataDxfId="324"/>
    <tableColumn id="3" name="Stock théorqiue Juillet 2016 (kg)" dataDxfId="323" totalsRowDxfId="322"/>
    <tableColumn id="11" name="Format" dataDxfId="321" totalsRowDxfId="320">
      <calculatedColumnFormula>RIGHT(CELL("filename",$A$1),LEN(CELL("filename",$A$1))-SEARCH("]",CELL("filename",$A$1)))</calculatedColumnFormula>
    </tableColumn>
    <tableColumn id="13" name="Matériaux" dataDxfId="319" totalsRowDxfId="318"/>
    <tableColumn id="12" name="Famille" dataDxfId="317" totalsRowDxfId="316">
      <calculatedColumnFormula>VLOOKUP(tab_IPEA[[#This Row],[Matériaux]],tab_matériaux[],2,FALSE)</calculatedColumnFormula>
    </tableColumn>
    <tableColumn id="1" name="Profils" dataDxfId="315" totalsRowDxfId="314"/>
    <tableColumn id="10" name="Largueur /_x000a_basse (mm)" dataDxfId="313" totalsRowDxfId="312"/>
    <tableColumn id="14" name="hauteur (mm)" dataDxfId="311" totalsRowDxfId="310"/>
    <tableColumn id="15" name="épaisseur (mm)" dataDxfId="309" totalsRowDxfId="308"/>
    <tableColumn id="7" name="Surface m²" dataDxfId="307" totalsRowDxfId="306"/>
    <tableColumn id="4" name="Poids au mètre(kg)" dataDxfId="305" totalsRowDxfId="304">
      <calculatedColumnFormula>VLOOKUP(tab_IPEA[[#This Row],[Profils]],tab_donnee_ipea[],2,FALSE)</calculatedColumnFormula>
    </tableColumn>
    <tableColumn id="5" name="Stock réel (mm)" dataDxfId="303"/>
    <tableColumn id="9" name="Lieu de stockage" totalsRowFunction="count" dataDxfId="302" totalsRowDxfId="301"/>
    <tableColumn id="6" name="Poids du stock réel (Kg)" totalsRowFunction="sum" dataDxfId="300" totalsRowDxfId="299">
      <calculatedColumnFormula>IFERROR(10^-3*tab_IPEA[[#This Row],[Poids au mètre(kg)]]*tab_IPEA[[#This Row],[Stock réel (mm)]],"")</calculatedColumnFormula>
    </tableColumn>
    <tableColumn id="8" name="Valeur marchande du stock réel " totalsRowFunction="sum" dataDxfId="298" totalsRowDxfId="297">
      <calculatedColumnFormula>IFERROR(tab_IPEA[[#This Row],[Poids du stock réel (Kg)]]*VLOOKUP(tab_IPEA[[#This Row],[Matériaux]],tab_matériaux[],4,FALSE),"")</calculatedColumnFormula>
    </tableColumn>
    <tableColumn id="16" name="Entree (mm)_x000a_+" dataDxfId="296"/>
    <tableColumn id="18" name="Sortie (mm)_x000a_-" dataDxfId="295"/>
    <tableColumn id="17" name="Commentaire" dataDxfId="294" totalsRowDxfId="293"/>
  </tableColumns>
  <tableStyleInfo name="TableStyleLight16" showFirstColumn="0" showLastColumn="0" showRowStripes="1" showColumnStripes="0"/>
</table>
</file>

<file path=xl/tables/table27.xml><?xml version="1.0" encoding="utf-8"?>
<table xmlns="http://schemas.openxmlformats.org/spreadsheetml/2006/main" id="28" name="tab_HEA" displayName="tab_HEA" ref="A2:S4" headerRowDxfId="289" dataDxfId="288" totalsRowDxfId="287">
  <autoFilter ref="A2:S4"/>
  <tableColumns count="19">
    <tableColumn id="20" name="nbr" dataDxfId="286" totalsRowDxfId="285"/>
    <tableColumn id="2" name="Code Article" totalsRowLabel="Total" dataDxfId="284"/>
    <tableColumn id="3" name="Stock théorqiue Juillet 2016 (kg)" dataDxfId="283" totalsRowDxfId="282"/>
    <tableColumn id="11" name="Format" dataDxfId="281" totalsRowDxfId="280">
      <calculatedColumnFormula>RIGHT(CELL("filename",$A$1),LEN(CELL("filename",$A$1))-SEARCH("]",CELL("filename",$A$1)))</calculatedColumnFormula>
    </tableColumn>
    <tableColumn id="13" name="Matériaux" dataDxfId="279" totalsRowDxfId="278"/>
    <tableColumn id="12" name="Famille" dataDxfId="277" totalsRowDxfId="276">
      <calculatedColumnFormula>VLOOKUP(tab_HEA[[#This Row],[Matériaux]],tab_matériaux[],2,FALSE)</calculatedColumnFormula>
    </tableColumn>
    <tableColumn id="1" name="Profils" dataDxfId="275" totalsRowDxfId="274"/>
    <tableColumn id="10" name="Largueur /_x000a_basse (mm)" dataDxfId="273" totalsRowDxfId="272"/>
    <tableColumn id="14" name="hauteur (mm)" dataDxfId="271" totalsRowDxfId="270"/>
    <tableColumn id="15" name="épaisseur (mm)" dataDxfId="269" totalsRowDxfId="268"/>
    <tableColumn id="7" name="Surface m²" dataDxfId="267" totalsRowDxfId="266"/>
    <tableColumn id="4" name="Poids au mètre(kg)" dataDxfId="265" totalsRowDxfId="264">
      <calculatedColumnFormula>VLOOKUP(tab_HEA[[#This Row],[Profils]],tab_donnee_hea[],2,FALSE)</calculatedColumnFormula>
    </tableColumn>
    <tableColumn id="5" name="Stock réel (mm)" dataDxfId="263"/>
    <tableColumn id="9" name="Lieu de stockage" totalsRowFunction="count" dataDxfId="262" totalsRowDxfId="261"/>
    <tableColumn id="6" name="Poids du stock réel (Kg)" totalsRowFunction="sum" dataDxfId="260" totalsRowDxfId="259">
      <calculatedColumnFormula>IFERROR(10^-3*tab_HEA[[#This Row],[Poids au mètre(kg)]]*tab_HEA[[#This Row],[Stock réel (mm)]],"")</calculatedColumnFormula>
    </tableColumn>
    <tableColumn id="8" name="Valeur marchande du stock réel " totalsRowFunction="sum" dataDxfId="258" totalsRowDxfId="257">
      <calculatedColumnFormula>IFERROR(tab_HEA[[#This Row],[Poids du stock réel (Kg)]]*VLOOKUP(tab_HEA[[#This Row],[Matériaux]],tab_matériaux[],4,FALSE),"")</calculatedColumnFormula>
    </tableColumn>
    <tableColumn id="16" name="Entree (mm)_x000a_+" dataDxfId="256"/>
    <tableColumn id="18" name="Sortie (mm)_x000a_-" dataDxfId="255"/>
    <tableColumn id="17" name="Commentaire" dataDxfId="254" totalsRowDxfId="253"/>
  </tableColumns>
  <tableStyleInfo name="TableStyleLight16" showFirstColumn="0" showLastColumn="0" showRowStripes="1" showColumnStripes="0"/>
</table>
</file>

<file path=xl/tables/table28.xml><?xml version="1.0" encoding="utf-8"?>
<table xmlns="http://schemas.openxmlformats.org/spreadsheetml/2006/main" id="29" name="tab_HEB" displayName="tab_HEB" ref="A2:S4" headerRowDxfId="249" dataDxfId="248" totalsRowDxfId="247">
  <autoFilter ref="A2:S4"/>
  <tableColumns count="19">
    <tableColumn id="20" name="nbr" dataDxfId="246" totalsRowDxfId="245"/>
    <tableColumn id="2" name="Code Article" totalsRowLabel="Total" dataDxfId="244"/>
    <tableColumn id="3" name="Stock théorqiue Juillet 2016 (kg)" dataDxfId="243" totalsRowDxfId="242"/>
    <tableColumn id="11" name="Format" dataDxfId="241" totalsRowDxfId="240">
      <calculatedColumnFormula>RIGHT(CELL("filename",$A$1),LEN(CELL("filename",$A$1))-SEARCH("]",CELL("filename",$A$1)))</calculatedColumnFormula>
    </tableColumn>
    <tableColumn id="13" name="Matériaux" dataDxfId="239" totalsRowDxfId="238"/>
    <tableColumn id="12" name="Famille" dataDxfId="237" totalsRowDxfId="236">
      <calculatedColumnFormula>VLOOKUP(tab_HEB[[#This Row],[Matériaux]],tab_matériaux[],2,FALSE)</calculatedColumnFormula>
    </tableColumn>
    <tableColumn id="1" name="Profils" dataDxfId="235" totalsRowDxfId="234"/>
    <tableColumn id="10" name="Largueur /_x000a_basse (mm)" dataDxfId="233" totalsRowDxfId="232"/>
    <tableColumn id="14" name="hauteur (mm)" dataDxfId="231" totalsRowDxfId="230"/>
    <tableColumn id="15" name="épaisseur (mm)" dataDxfId="229" totalsRowDxfId="228"/>
    <tableColumn id="7" name="Surface m²" dataDxfId="227" totalsRowDxfId="226"/>
    <tableColumn id="4" name="Poids au mètre(kg)" dataDxfId="225" totalsRowDxfId="224">
      <calculatedColumnFormula>VLOOKUP(tab_HEB[[#This Row],[Profils]],tab_donnee_heb[],2,FALSE)</calculatedColumnFormula>
    </tableColumn>
    <tableColumn id="5" name="Stock réel (mm)" dataDxfId="223"/>
    <tableColumn id="9" name="Lieu de stockage" totalsRowFunction="count" dataDxfId="222" totalsRowDxfId="221"/>
    <tableColumn id="6" name="Poids du stock réel (Kg)" totalsRowFunction="sum" dataDxfId="220" totalsRowDxfId="219">
      <calculatedColumnFormula>IFERROR(10^-3*tab_HEB[[#This Row],[Poids au mètre(kg)]]*tab_HEB[[#This Row],[Stock réel (mm)]],"")</calculatedColumnFormula>
    </tableColumn>
    <tableColumn id="8" name="Valeur marchande du stock réel " totalsRowFunction="sum" dataDxfId="218" totalsRowDxfId="217">
      <calculatedColumnFormula>IFERROR(tab_HEB[[#This Row],[Poids du stock réel (Kg)]]*VLOOKUP(tab_HEB[[#This Row],[Matériaux]],tab_matériaux[],4,FALSE),"")</calculatedColumnFormula>
    </tableColumn>
    <tableColumn id="16" name="Entree (mm)_x000a_+" dataDxfId="216"/>
    <tableColumn id="18" name="Sortie (mm)_x000a_-" dataDxfId="215"/>
    <tableColumn id="17" name="Commentaire" dataDxfId="214" totalsRowDxfId="213"/>
  </tableColumns>
  <tableStyleInfo name="TableStyleLight16" showFirstColumn="0" showLastColumn="0" showRowStripes="1" showColumnStripes="0"/>
</table>
</file>

<file path=xl/tables/table29.xml><?xml version="1.0" encoding="utf-8"?>
<table xmlns="http://schemas.openxmlformats.org/spreadsheetml/2006/main" id="30" name="tab_HEM" displayName="tab_HEM" ref="A2:S4" headerRowDxfId="209" dataDxfId="208" totalsRowDxfId="207">
  <autoFilter ref="A2:S4"/>
  <tableColumns count="19">
    <tableColumn id="20" name="nbr" dataDxfId="206" totalsRowDxfId="205"/>
    <tableColumn id="2" name="Code Article" totalsRowLabel="Total" dataDxfId="204"/>
    <tableColumn id="3" name="Stock théorqiue Juillet 2016 (kg)" dataDxfId="203" totalsRowDxfId="202"/>
    <tableColumn id="11" name="Format" dataDxfId="201" totalsRowDxfId="200">
      <calculatedColumnFormula>RIGHT(CELL("filename",$A$1),LEN(CELL("filename",$A$1))-SEARCH("]",CELL("filename",$A$1)))</calculatedColumnFormula>
    </tableColumn>
    <tableColumn id="13" name="Matériaux" dataDxfId="199" totalsRowDxfId="198"/>
    <tableColumn id="12" name="Famille" dataDxfId="197" totalsRowDxfId="196">
      <calculatedColumnFormula>VLOOKUP(tab_HEM[[#This Row],[Matériaux]],tab_matériaux[],2,FALSE)</calculatedColumnFormula>
    </tableColumn>
    <tableColumn id="1" name="Profils" dataDxfId="195" totalsRowDxfId="194"/>
    <tableColumn id="10" name="Largueur /_x000a_basse (mm)" dataDxfId="193" totalsRowDxfId="192"/>
    <tableColumn id="14" name="hauteur (mm)" dataDxfId="191" totalsRowDxfId="190"/>
    <tableColumn id="15" name="épaisseur (mm)" dataDxfId="189" totalsRowDxfId="188"/>
    <tableColumn id="7" name="Surface m²" dataDxfId="187" totalsRowDxfId="186"/>
    <tableColumn id="4" name="Poids au mètre(kg)" dataDxfId="185" totalsRowDxfId="184">
      <calculatedColumnFormula>VLOOKUP(tab_HEM[[#This Row],[Profils]],tab_donnee_hem[],2,FALSE)</calculatedColumnFormula>
    </tableColumn>
    <tableColumn id="5" name="Stock réel (mm)" dataDxfId="183"/>
    <tableColumn id="9" name="Lieu de stockage" totalsRowFunction="count" dataDxfId="182" totalsRowDxfId="181"/>
    <tableColumn id="6" name="Poids du stock réel (Kg)" totalsRowFunction="sum" dataDxfId="180" totalsRowDxfId="179">
      <calculatedColumnFormula>IFERROR(10^-3*tab_HEM[[#This Row],[Poids au mètre(kg)]]*tab_HEM[[#This Row],[Stock réel (mm)]],"")</calculatedColumnFormula>
    </tableColumn>
    <tableColumn id="8" name="Valeur marchande du stock réel " totalsRowFunction="sum" dataDxfId="178" totalsRowDxfId="177">
      <calculatedColumnFormula>IFERROR(tab_HEM[[#This Row],[Poids du stock réel (Kg)]]*VLOOKUP(tab_HEM[[#This Row],[Matériaux]],tab_matériaux[],4,FALSE),"")</calculatedColumnFormula>
    </tableColumn>
    <tableColumn id="16" name="Entree (mm)_x000a_+" dataDxfId="176"/>
    <tableColumn id="18" name="Sortie (mm)_x000a_-" dataDxfId="175"/>
    <tableColumn id="17" name="Commentaire" dataDxfId="174" totalsRowDxfId="173"/>
  </tableColumns>
  <tableStyleInfo name="TableStyleLight16" showFirstColumn="0" showLastColumn="0" showRowStripes="1" showColumnStripes="0"/>
</table>
</file>

<file path=xl/tables/table30.xml><?xml version="1.0" encoding="utf-8"?>
<table xmlns="http://schemas.openxmlformats.org/spreadsheetml/2006/main" id="31" name="tab_UPN" displayName="tab_UPN" ref="A2:S4" headerRowDxfId="169" dataDxfId="168" totalsRowDxfId="167">
  <autoFilter ref="A2:S4"/>
  <tableColumns count="19">
    <tableColumn id="20" name="nbr" dataDxfId="166" totalsRowDxfId="165"/>
    <tableColumn id="2" name="Code Article" totalsRowLabel="Total" dataDxfId="164"/>
    <tableColumn id="3" name="Stock théorqiue Juillet 2016 (kg)" dataDxfId="163" totalsRowDxfId="162"/>
    <tableColumn id="11" name="Format" dataDxfId="161" totalsRowDxfId="160">
      <calculatedColumnFormula>RIGHT(CELL("filename",$A$1),LEN(CELL("filename",$A$1))-SEARCH("]",CELL("filename",$A$1)))</calculatedColumnFormula>
    </tableColumn>
    <tableColumn id="13" name="Matériaux" dataDxfId="159" totalsRowDxfId="158"/>
    <tableColumn id="12" name="Famille" dataDxfId="157" totalsRowDxfId="156">
      <calculatedColumnFormula>VLOOKUP(tab_UPN[[#This Row],[Matériaux]],tab_matériaux[],2,FALSE)</calculatedColumnFormula>
    </tableColumn>
    <tableColumn id="1" name="Profils" dataDxfId="155" totalsRowDxfId="154"/>
    <tableColumn id="10" name="Largueur /_x000a_basse (mm)" dataDxfId="153" totalsRowDxfId="152"/>
    <tableColumn id="14" name="hauteur (mm)" dataDxfId="151" totalsRowDxfId="150"/>
    <tableColumn id="15" name="épaisseur (mm)" dataDxfId="149" totalsRowDxfId="148"/>
    <tableColumn id="7" name="Surface m²" dataDxfId="147" totalsRowDxfId="146"/>
    <tableColumn id="4" name="Poids au mètre(kg)" dataDxfId="145" totalsRowDxfId="144">
      <calculatedColumnFormula>VLOOKUP(tab_UPN[[#This Row],[Profils]],tab_donnee_upn[],2,FALSE)</calculatedColumnFormula>
    </tableColumn>
    <tableColumn id="5" name="Stock réel (mm)" dataDxfId="143"/>
    <tableColumn id="9" name="Lieu de stockage" totalsRowFunction="count" dataDxfId="142" totalsRowDxfId="141"/>
    <tableColumn id="6" name="Poids du stock réel (Kg)" totalsRowFunction="sum" dataDxfId="140" totalsRowDxfId="139">
      <calculatedColumnFormula>IFERROR(10^-3*tab_UPN[[#This Row],[Poids au mètre(kg)]]*tab_UPN[[#This Row],[Stock réel (mm)]],"")</calculatedColumnFormula>
    </tableColumn>
    <tableColumn id="8" name="Valeur marchande du stock réel " totalsRowFunction="sum" dataDxfId="138" totalsRowDxfId="137">
      <calculatedColumnFormula>IFERROR(tab_UPN[[#This Row],[Poids du stock réel (Kg)]]*VLOOKUP(tab_UPN[[#This Row],[Matériaux]],tab_matériaux[],4,FALSE),"")</calculatedColumnFormula>
    </tableColumn>
    <tableColumn id="16" name="Entree (mm)_x000a_+" dataDxfId="136"/>
    <tableColumn id="18" name="Sortie (mm)_x000a_-" dataDxfId="135"/>
    <tableColumn id="17" name="Commentaire" dataDxfId="134" totalsRowDxfId="133"/>
  </tableColumns>
  <tableStyleInfo name="TableStyleLight16" showFirstColumn="0" showLastColumn="0" showRowStripes="1" showColumnStripes="0"/>
</table>
</file>

<file path=xl/tables/table31.xml><?xml version="1.0" encoding="utf-8"?>
<table xmlns="http://schemas.openxmlformats.org/spreadsheetml/2006/main" id="32" name="tab_UPE" displayName="tab_UPE" ref="A2:S4" headerRowDxfId="129" dataDxfId="128" totalsRowDxfId="127">
  <autoFilter ref="A2:S4"/>
  <tableColumns count="19">
    <tableColumn id="20" name="nbr" dataDxfId="126" totalsRowDxfId="125"/>
    <tableColumn id="2" name="Code Article" totalsRowLabel="Total" dataDxfId="124"/>
    <tableColumn id="3" name="Stock théorqiue Juillet 2016 (kg)" dataDxfId="123" totalsRowDxfId="122"/>
    <tableColumn id="11" name="Format" dataDxfId="121" totalsRowDxfId="120">
      <calculatedColumnFormula>RIGHT(CELL("filename",$A$1),LEN(CELL("filename",$A$1))-SEARCH("]",CELL("filename",$A$1)))</calculatedColumnFormula>
    </tableColumn>
    <tableColumn id="13" name="Matériaux" dataDxfId="119" totalsRowDxfId="118"/>
    <tableColumn id="12" name="Famille" dataDxfId="117" totalsRowDxfId="116">
      <calculatedColumnFormula>VLOOKUP(tab_UPE[[#This Row],[Matériaux]],tab_matériaux[],2,FALSE)</calculatedColumnFormula>
    </tableColumn>
    <tableColumn id="1" name="Profils" dataDxfId="115" totalsRowDxfId="114"/>
    <tableColumn id="10" name="Largueur /_x000a_basse (mm)" dataDxfId="113" totalsRowDxfId="112"/>
    <tableColumn id="14" name="hauteur (mm)" dataDxfId="111" totalsRowDxfId="110"/>
    <tableColumn id="15" name="épaisseur (mm)" dataDxfId="109" totalsRowDxfId="108"/>
    <tableColumn id="7" name="Surface m²" dataDxfId="107" totalsRowDxfId="106"/>
    <tableColumn id="4" name="Poids au mètre(kg)" dataDxfId="105" totalsRowDxfId="104">
      <calculatedColumnFormula>VLOOKUP(tab_UPE[[#This Row],[Profils]],tab_donnee_upe[],2,FALSE)</calculatedColumnFormula>
    </tableColumn>
    <tableColumn id="5" name="Stock réel (mm)" dataDxfId="103"/>
    <tableColumn id="9" name="Lieu de stockage" totalsRowFunction="count" dataDxfId="102" totalsRowDxfId="101"/>
    <tableColumn id="6" name="Poids du stock réel (Kg)" totalsRowFunction="sum" dataDxfId="100" totalsRowDxfId="99">
      <calculatedColumnFormula>IFERROR(10^-3*tab_UPE[[#This Row],[Poids au mètre(kg)]]*tab_UPE[[#This Row],[Stock réel (mm)]],"")</calculatedColumnFormula>
    </tableColumn>
    <tableColumn id="8" name="Valeur marchande du stock réel " totalsRowFunction="sum" dataDxfId="98" totalsRowDxfId="97">
      <calculatedColumnFormula>IFERROR(tab_UPE[[#This Row],[Poids du stock réel (Kg)]]*VLOOKUP(tab_UPE[[#This Row],[Matériaux]],tab_matériaux[],4,FALSE),"")</calculatedColumnFormula>
    </tableColumn>
    <tableColumn id="16" name="Entree (mm)_x000a_+" dataDxfId="96"/>
    <tableColumn id="18" name="Sortie (mm)_x000a_-" dataDxfId="95"/>
    <tableColumn id="17" name="Commentaire" dataDxfId="94" totalsRowDxfId="93"/>
  </tableColumns>
  <tableStyleInfo name="TableStyleLight16" showFirstColumn="0" showLastColumn="0" showRowStripes="1" showColumnStripes="0"/>
</table>
</file>

<file path=xl/tables/table32.xml><?xml version="1.0" encoding="utf-8"?>
<table xmlns="http://schemas.openxmlformats.org/spreadsheetml/2006/main" id="33" name="tab_UAP" displayName="tab_UAP" ref="A2:S4" headerRowDxfId="89" dataDxfId="88" totalsRowDxfId="87">
  <autoFilter ref="A2:S4"/>
  <tableColumns count="19">
    <tableColumn id="20" name="nbr" dataDxfId="86" totalsRowDxfId="85"/>
    <tableColumn id="2" name="Code Article" totalsRowLabel="Total" dataDxfId="84"/>
    <tableColumn id="3" name="Stock théorqiue Juillet 2016 (kg)" dataDxfId="83" totalsRowDxfId="82"/>
    <tableColumn id="11" name="Format" dataDxfId="81" totalsRowDxfId="80">
      <calculatedColumnFormula>RIGHT(CELL("filename",$A$1),LEN(CELL("filename",$A$1))-SEARCH("]",CELL("filename",$A$1)))</calculatedColumnFormula>
    </tableColumn>
    <tableColumn id="13" name="Matériaux" dataDxfId="79" totalsRowDxfId="78"/>
    <tableColumn id="12" name="Famille" dataDxfId="77" totalsRowDxfId="76">
      <calculatedColumnFormula>VLOOKUP(tab_UAP[[#This Row],[Matériaux]],tab_matériaux[],2,FALSE)</calculatedColumnFormula>
    </tableColumn>
    <tableColumn id="1" name="Profils" dataDxfId="75" totalsRowDxfId="74"/>
    <tableColumn id="10" name="Largueur /_x000a_basse (mm)" dataDxfId="73" totalsRowDxfId="72"/>
    <tableColumn id="14" name="hauteur (mm)" dataDxfId="71" totalsRowDxfId="70"/>
    <tableColumn id="15" name="épaisseur (mm)" dataDxfId="69" totalsRowDxfId="68"/>
    <tableColumn id="7" name="Surface m²" dataDxfId="67" totalsRowDxfId="66"/>
    <tableColumn id="4" name="Poids au mètre(kg)" dataDxfId="65" totalsRowDxfId="64">
      <calculatedColumnFormula>VLOOKUP(tab_UAP[[#This Row],[Profils]],tab_donnee_uap[],2,FALSE)</calculatedColumnFormula>
    </tableColumn>
    <tableColumn id="5" name="Stock réel (mm)" dataDxfId="63"/>
    <tableColumn id="9" name="Lieu de stockage" totalsRowFunction="count" dataDxfId="62" totalsRowDxfId="61"/>
    <tableColumn id="6" name="Poids du stock réel (Kg)" totalsRowFunction="sum" dataDxfId="60" totalsRowDxfId="59">
      <calculatedColumnFormula>IFERROR(10^-3*tab_UAP[[#This Row],[Poids au mètre(kg)]]*tab_UAP[[#This Row],[Stock réel (mm)]],"")</calculatedColumnFormula>
    </tableColumn>
    <tableColumn id="8" name="Valeur marchande du stock réel " totalsRowFunction="sum" dataDxfId="58" totalsRowDxfId="57">
      <calculatedColumnFormula>IFERROR(tab_UAP[[#This Row],[Poids du stock réel (Kg)]]*VLOOKUP(tab_UAP[[#This Row],[Matériaux]],tab_matériaux[],4,FALSE),"")</calculatedColumnFormula>
    </tableColumn>
    <tableColumn id="16" name="Entree (mm)_x000a_+" dataDxfId="56"/>
    <tableColumn id="18" name="Sortie (mm)_x000a_-" dataDxfId="55"/>
    <tableColumn id="17" name="Commentaire" dataDxfId="54" totalsRowDxfId="53"/>
  </tableColumns>
  <tableStyleInfo name="TableStyleLight16" showFirstColumn="0" showLastColumn="0" showRowStripes="1" showColumnStripes="0"/>
</table>
</file>

<file path=xl/tables/table33.xml><?xml version="1.0" encoding="utf-8"?>
<table xmlns="http://schemas.openxmlformats.org/spreadsheetml/2006/main" id="4" name="tab_mouvement" displayName="tab_mouvement" ref="A2:P3" headerRowDxfId="52" dataDxfId="51" totalsRowDxfId="50">
  <autoFilter ref="A2:P3"/>
  <tableColumns count="16">
    <tableColumn id="20" name="date du mouvement" dataDxfId="49" totalsRowDxfId="48"/>
    <tableColumn id="2" name="Code Article" totalsRowLabel="Total" dataDxfId="47"/>
    <tableColumn id="11" name="Format" dataDxfId="46" totalsRowDxfId="45"/>
    <tableColumn id="13" name="Matériaux" dataDxfId="44" totalsRowDxfId="43"/>
    <tableColumn id="12" name="Famille" dataDxfId="42" totalsRowDxfId="41">
      <calculatedColumnFormula>IFERROR(VLOOKUP(tab_mouvement[[#This Row],[Matériaux]],tab_matériaux[],2,FALSE),"")</calculatedColumnFormula>
    </tableColumn>
    <tableColumn id="1" name="Ø (mm)" dataDxfId="40" totalsRowDxfId="39"/>
    <tableColumn id="10" name="Largueur/basse (mm)" dataDxfId="38" totalsRowDxfId="37"/>
    <tableColumn id="14" name="hauteur (mm)" dataDxfId="36" totalsRowDxfId="35"/>
    <tableColumn id="15" name="épaisseur (mm)" dataDxfId="34" totalsRowDxfId="33"/>
    <tableColumn id="7" name="Profils" dataDxfId="32" totalsRowDxfId="31"/>
    <tableColumn id="5" name="Stock avant ajustement" dataDxfId="30">
      <calculatedColumnFormula>tab_mouvement[[#This Row],[Stock après ajustement]]-tab_mouvement[[#This Row],[Entrée
+]]+tab_mouvement[[#This Row],[Sortie
-]]</calculatedColumnFormula>
    </tableColumn>
    <tableColumn id="3" name="Entrée_x000a_+" dataDxfId="29"/>
    <tableColumn id="8" name="Sortie_x000a_-" dataDxfId="28"/>
    <tableColumn id="4" name="Stock après ajustement" dataDxfId="27"/>
    <tableColumn id="9" name="Lieu de stockage" totalsRowFunction="count" dataDxfId="26" totalsRowDxfId="25"/>
    <tableColumn id="6" name="Commentaire" dataDxfId="24" totalsRowDxfId="23"/>
  </tableColumns>
  <tableStyleInfo name="TableStyleLight16" showFirstColumn="0" showLastColumn="0" showRowStripes="1" showColumnStripes="0"/>
</table>
</file>

<file path=xl/tables/table34.xml><?xml version="1.0" encoding="utf-8"?>
<table xmlns="http://schemas.openxmlformats.org/spreadsheetml/2006/main" id="2" name="tab_Divers" displayName="tab_Divers" ref="A2:K8" headerRowDxfId="22" dataDxfId="21" totalsRowDxfId="20">
  <autoFilter ref="A2:K8"/>
  <tableColumns count="11">
    <tableColumn id="20" name="nbr" dataDxfId="19" totalsRowDxfId="18"/>
    <tableColumn id="2" name="Code Article" totalsRowLabel="Total" dataDxfId="17"/>
    <tableColumn id="11" name="Format" dataDxfId="16" totalsRowDxfId="15"/>
    <tableColumn id="13" name="Matériaux" dataDxfId="14" totalsRowDxfId="13"/>
    <tableColumn id="12" name="Famille" dataDxfId="12" totalsRowDxfId="11"/>
    <tableColumn id="1" name="Dimensions" dataDxfId="10" totalsRowDxfId="9"/>
    <tableColumn id="5" name="Stock réel (mm)" dataDxfId="8"/>
    <tableColumn id="9" name="Lieu de stockage" totalsRowFunction="count" dataDxfId="7" totalsRowDxfId="6"/>
    <tableColumn id="6" name="Poids du stock réel (Kg)" totalsRowFunction="sum" dataDxfId="5" totalsRowDxfId="4"/>
    <tableColumn id="8" name="Valeur marchande du stock réel " totalsRowFunction="sum" dataDxfId="3" totalsRowDxfId="2"/>
    <tableColumn id="17" name="Commentaire" dataDxfId="1" totalsRow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18" Type="http://schemas.openxmlformats.org/officeDocument/2006/relationships/table" Target="../tables/table1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19" Type="http://schemas.microsoft.com/office/2007/relationships/slicer" Target="../slicers/slicer3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13" Type="http://schemas.openxmlformats.org/officeDocument/2006/relationships/ctrlProp" Target="../ctrlProps/ctrlProp8.xml"/><Relationship Id="rId18" Type="http://schemas.openxmlformats.org/officeDocument/2006/relationships/table" Target="../tables/table1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1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6.xml"/><Relationship Id="rId11" Type="http://schemas.openxmlformats.org/officeDocument/2006/relationships/image" Target="../media/image4.emf"/><Relationship Id="rId5" Type="http://schemas.openxmlformats.org/officeDocument/2006/relationships/image" Target="../media/image5.emf"/><Relationship Id="rId15" Type="http://schemas.openxmlformats.org/officeDocument/2006/relationships/ctrlProp" Target="../ctrlProps/ctrlProp10.xml"/><Relationship Id="rId10" Type="http://schemas.openxmlformats.org/officeDocument/2006/relationships/control" Target="../activeX/activeX8.xml"/><Relationship Id="rId19" Type="http://schemas.microsoft.com/office/2007/relationships/slicer" Target="../slicers/slicer4.xml"/><Relationship Id="rId4" Type="http://schemas.openxmlformats.org/officeDocument/2006/relationships/control" Target="../activeX/activeX5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microsoft.com/office/2007/relationships/slicer" Target="../slicers/slicer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microsoft.com/office/2007/relationships/slicer" Target="../slicers/slicer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microsoft.com/office/2007/relationships/slicer" Target="../slicers/slicer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microsoft.com/office/2007/relationships/slicer" Target="../slicers/slicer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microsoft.com/office/2007/relationships/slicer" Target="../slicers/slicer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microsoft.com/office/2007/relationships/slicer" Target="../slicers/slicer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microsoft.com/office/2007/relationships/slicer" Target="../slicers/slicer1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microsoft.com/office/2007/relationships/slicer" Target="../slicers/slicer12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microsoft.com/office/2007/relationships/slicer" Target="../slicers/slicer13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5.x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4" Type="http://schemas.microsoft.com/office/2007/relationships/slicer" Target="../slicers/slicer14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4" Type="http://schemas.microsoft.com/office/2007/relationships/slicer" Target="../slicers/slicer15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7.x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Relationship Id="rId4" Type="http://schemas.microsoft.com/office/2007/relationships/slicer" Target="../slicers/slicer16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8.x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Relationship Id="rId4" Type="http://schemas.microsoft.com/office/2007/relationships/slicer" Target="../slicers/slicer17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9.x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Relationship Id="rId4" Type="http://schemas.microsoft.com/office/2007/relationships/slicer" Target="../slicers/slicer18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0.x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Relationship Id="rId4" Type="http://schemas.microsoft.com/office/2007/relationships/slicer" Target="../slicers/slicer19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1.x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Relationship Id="rId4" Type="http://schemas.microsoft.com/office/2007/relationships/slicer" Target="../slicers/slicer20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Relationship Id="rId4" Type="http://schemas.microsoft.com/office/2007/relationships/slicer" Target="../slicers/slicer21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3.x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Relationship Id="rId4" Type="http://schemas.microsoft.com/office/2007/relationships/slicer" Target="../slicers/slicer22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4.x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Relationship Id="rId4" Type="http://schemas.microsoft.com/office/2007/relationships/slicer" Target="../slicers/slicer2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ccueil"/>
  <dimension ref="J1:K1"/>
  <sheetViews>
    <sheetView topLeftCell="B1" workbookViewId="0">
      <selection activeCell="B1" sqref="B1"/>
    </sheetView>
  </sheetViews>
  <sheetFormatPr baseColWidth="10" defaultRowHeight="15" x14ac:dyDescent="0.25"/>
  <cols>
    <col min="1" max="5" width="11.42578125" style="23"/>
    <col min="6" max="6" width="11.28515625" style="23" customWidth="1"/>
    <col min="7" max="8" width="11.42578125" style="23"/>
    <col min="9" max="9" width="11.42578125" style="23" customWidth="1"/>
    <col min="10" max="10" width="29.7109375" style="23" customWidth="1"/>
    <col min="11" max="11" width="21" style="23" customWidth="1"/>
    <col min="12" max="12" width="11.42578125" style="23"/>
    <col min="13" max="13" width="17.42578125" style="23" bestFit="1" customWidth="1"/>
    <col min="14" max="16384" width="11.42578125" style="23"/>
  </cols>
  <sheetData>
    <row r="1" spans="10:11" ht="54" customHeight="1" x14ac:dyDescent="0.35">
      <c r="J1" s="66" t="s">
        <v>73</v>
      </c>
      <c r="K1" s="65">
        <f>SUM(Rond:UAP!U2)</f>
        <v>1591.8970263130602</v>
      </c>
    </row>
  </sheetData>
  <sheetProtection algorithmName="SHA-512" hashValue="ruFm02ecW0rApXvVwAmgkLt+jgcsI4x5kjyfXaQFfquad8g2WjwyRsS50tZxK2n64mbUijuPKPvOoonEmhfTFQ==" saltValue="n4hiT2SxnwmxzsjAaqBFOQ==" spinCount="100000" sheet="1" formatCells="0" formatColumns="0" sort="0" autoFilter="0" pivotTables="0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aramètre"/>
  <dimension ref="A1:AA70"/>
  <sheetViews>
    <sheetView zoomScale="85" zoomScaleNormal="85" workbookViewId="0">
      <pane ySplit="1" topLeftCell="A2" activePane="bottomLeft" state="frozen"/>
      <selection activeCell="D18" sqref="D18"/>
      <selection pane="bottomLeft" activeCell="A4" sqref="A4"/>
    </sheetView>
  </sheetViews>
  <sheetFormatPr baseColWidth="10" defaultRowHeight="15" x14ac:dyDescent="0.25"/>
  <cols>
    <col min="1" max="1" width="18.140625" style="36" customWidth="1"/>
    <col min="2" max="2" width="11.5703125" style="36" customWidth="1"/>
    <col min="3" max="4" width="11.42578125" style="36"/>
    <col min="5" max="5" width="11.5703125" style="36" customWidth="1"/>
    <col min="6" max="7" width="11.42578125" style="36"/>
    <col min="8" max="8" width="11.5703125" style="36" customWidth="1"/>
    <col min="9" max="10" width="11.42578125" style="36"/>
    <col min="11" max="11" width="11.5703125" style="36" customWidth="1"/>
    <col min="12" max="13" width="11.42578125" style="36"/>
    <col min="14" max="14" width="11.5703125" style="36" customWidth="1"/>
    <col min="15" max="16" width="11.42578125" style="36"/>
    <col min="17" max="17" width="11.5703125" style="36" customWidth="1"/>
    <col min="18" max="19" width="11.42578125" style="36"/>
    <col min="20" max="20" width="11.5703125" style="36" customWidth="1"/>
    <col min="21" max="22" width="11.42578125" style="36"/>
    <col min="23" max="23" width="11.5703125" style="36" customWidth="1"/>
    <col min="24" max="25" width="11.42578125" style="36"/>
    <col min="26" max="26" width="11.5703125" style="36" customWidth="1"/>
    <col min="27" max="16384" width="11.42578125" style="36"/>
  </cols>
  <sheetData>
    <row r="1" spans="1:15" ht="32.25" customHeight="1" x14ac:dyDescent="0.25"/>
    <row r="2" spans="1:15" x14ac:dyDescent="0.25">
      <c r="A2" s="37" t="s">
        <v>5</v>
      </c>
    </row>
    <row r="3" spans="1:15" x14ac:dyDescent="0.25">
      <c r="A3" s="2" t="s">
        <v>77</v>
      </c>
    </row>
    <row r="4" spans="1:15" x14ac:dyDescent="0.25">
      <c r="A4" s="2"/>
    </row>
    <row r="5" spans="1:15" x14ac:dyDescent="0.25">
      <c r="A5" s="2"/>
    </row>
    <row r="7" spans="1:15" x14ac:dyDescent="0.25">
      <c r="A7" s="38" t="s">
        <v>8</v>
      </c>
    </row>
    <row r="8" spans="1:15" ht="27" customHeight="1" x14ac:dyDescent="0.25">
      <c r="A8" s="89" t="s">
        <v>8</v>
      </c>
      <c r="B8" s="89" t="s">
        <v>7</v>
      </c>
      <c r="C8" s="89" t="s">
        <v>50</v>
      </c>
      <c r="D8" s="89" t="s">
        <v>75</v>
      </c>
    </row>
    <row r="9" spans="1:15" ht="15" customHeight="1" x14ac:dyDescent="0.25">
      <c r="A9" s="2" t="s">
        <v>10</v>
      </c>
      <c r="B9" s="2" t="s">
        <v>9</v>
      </c>
      <c r="C9" s="2">
        <v>7930</v>
      </c>
      <c r="D9" s="12">
        <v>3.88</v>
      </c>
    </row>
    <row r="10" spans="1:15" x14ac:dyDescent="0.25">
      <c r="A10" s="2" t="s">
        <v>24</v>
      </c>
      <c r="B10" s="2" t="s">
        <v>9</v>
      </c>
      <c r="C10" s="2">
        <v>7950</v>
      </c>
      <c r="D10" s="12">
        <v>5.65</v>
      </c>
    </row>
    <row r="11" spans="1:15" x14ac:dyDescent="0.25">
      <c r="A11" s="2" t="s">
        <v>76</v>
      </c>
      <c r="B11" s="2" t="s">
        <v>14</v>
      </c>
      <c r="C11" s="2">
        <v>2800</v>
      </c>
      <c r="D11" s="12">
        <v>5.18</v>
      </c>
    </row>
    <row r="12" spans="1:15" x14ac:dyDescent="0.25">
      <c r="A12" s="2" t="s">
        <v>19</v>
      </c>
      <c r="B12" s="2" t="s">
        <v>14</v>
      </c>
      <c r="C12" s="2">
        <v>2810</v>
      </c>
      <c r="D12" s="12">
        <v>6.01</v>
      </c>
      <c r="O12" s="39"/>
    </row>
    <row r="13" spans="1:15" x14ac:dyDescent="0.25">
      <c r="A13" s="2" t="s">
        <v>20</v>
      </c>
      <c r="B13" s="2" t="s">
        <v>11</v>
      </c>
      <c r="C13" s="2">
        <v>7800</v>
      </c>
      <c r="D13" s="12">
        <v>1.54</v>
      </c>
      <c r="O13" s="39"/>
    </row>
    <row r="14" spans="1:15" x14ac:dyDescent="0.25">
      <c r="A14" s="2" t="s">
        <v>21</v>
      </c>
      <c r="B14" s="2" t="s">
        <v>11</v>
      </c>
      <c r="C14" s="2">
        <v>7800</v>
      </c>
      <c r="D14" s="12">
        <v>4.87</v>
      </c>
      <c r="O14" s="39"/>
    </row>
    <row r="15" spans="1:15" x14ac:dyDescent="0.25">
      <c r="A15" s="2" t="s">
        <v>22</v>
      </c>
      <c r="B15" s="2" t="s">
        <v>11</v>
      </c>
      <c r="C15" s="2">
        <v>7800</v>
      </c>
      <c r="D15" s="12">
        <v>1.1299999999999999</v>
      </c>
      <c r="O15" s="39"/>
    </row>
    <row r="16" spans="1:15" x14ac:dyDescent="0.25">
      <c r="A16" s="2" t="s">
        <v>23</v>
      </c>
      <c r="B16" s="2" t="s">
        <v>11</v>
      </c>
      <c r="C16" s="2">
        <v>7700</v>
      </c>
      <c r="D16" s="12">
        <v>1.46</v>
      </c>
      <c r="O16" s="39"/>
    </row>
    <row r="17" spans="1:4" x14ac:dyDescent="0.25">
      <c r="A17" s="2" t="s">
        <v>25</v>
      </c>
      <c r="B17" s="2" t="s">
        <v>12</v>
      </c>
      <c r="C17" s="2">
        <v>1380</v>
      </c>
      <c r="D17" s="12">
        <v>5.93</v>
      </c>
    </row>
    <row r="18" spans="1:4" x14ac:dyDescent="0.25">
      <c r="A18" s="2" t="s">
        <v>26</v>
      </c>
      <c r="B18" s="2" t="s">
        <v>12</v>
      </c>
      <c r="C18" s="2">
        <v>1410</v>
      </c>
      <c r="D18" s="12">
        <v>7.21</v>
      </c>
    </row>
    <row r="19" spans="1:4" x14ac:dyDescent="0.25">
      <c r="A19" s="2" t="s">
        <v>27</v>
      </c>
      <c r="B19" s="2" t="s">
        <v>12</v>
      </c>
      <c r="C19" s="2">
        <v>1200</v>
      </c>
      <c r="D19" s="12">
        <v>19.98</v>
      </c>
    </row>
    <row r="20" spans="1:4" x14ac:dyDescent="0.25">
      <c r="A20" s="2" t="s">
        <v>28</v>
      </c>
      <c r="B20" s="2" t="s">
        <v>12</v>
      </c>
      <c r="C20" s="2">
        <v>946</v>
      </c>
      <c r="D20" s="12">
        <v>5.84</v>
      </c>
    </row>
    <row r="21" spans="1:4" x14ac:dyDescent="0.25">
      <c r="A21" s="2" t="s">
        <v>29</v>
      </c>
      <c r="B21" s="2" t="s">
        <v>14</v>
      </c>
      <c r="C21" s="2">
        <v>2700</v>
      </c>
      <c r="D21" s="12">
        <v>8.89</v>
      </c>
    </row>
    <row r="22" spans="1:4" x14ac:dyDescent="0.25">
      <c r="A22" s="2" t="s">
        <v>30</v>
      </c>
      <c r="B22" s="2" t="s">
        <v>11</v>
      </c>
      <c r="C22" s="2">
        <v>7800</v>
      </c>
      <c r="D22" s="12">
        <v>1.62</v>
      </c>
    </row>
    <row r="23" spans="1:4" x14ac:dyDescent="0.25">
      <c r="A23" s="2" t="s">
        <v>31</v>
      </c>
      <c r="B23" s="2" t="s">
        <v>12</v>
      </c>
      <c r="C23" s="2">
        <v>920</v>
      </c>
      <c r="D23" s="12">
        <v>6.47</v>
      </c>
    </row>
    <row r="24" spans="1:4" x14ac:dyDescent="0.25">
      <c r="A24" s="2" t="s">
        <v>32</v>
      </c>
      <c r="B24" s="2" t="s">
        <v>14</v>
      </c>
      <c r="C24" s="2">
        <v>2800</v>
      </c>
      <c r="D24" s="12">
        <v>6.41</v>
      </c>
    </row>
    <row r="25" spans="1:4" x14ac:dyDescent="0.25">
      <c r="A25" s="2" t="s">
        <v>33</v>
      </c>
      <c r="B25" s="2" t="s">
        <v>12</v>
      </c>
      <c r="C25" s="2">
        <v>2200</v>
      </c>
      <c r="D25" s="12">
        <v>18.62</v>
      </c>
    </row>
    <row r="26" spans="1:4" x14ac:dyDescent="0.25">
      <c r="A26" s="2" t="s">
        <v>34</v>
      </c>
      <c r="B26" s="2" t="s">
        <v>13</v>
      </c>
      <c r="C26" s="2">
        <v>8920</v>
      </c>
      <c r="D26" s="12">
        <v>12.92</v>
      </c>
    </row>
    <row r="27" spans="1:4" x14ac:dyDescent="0.25">
      <c r="A27" s="2" t="s">
        <v>35</v>
      </c>
      <c r="B27" s="2" t="s">
        <v>13</v>
      </c>
      <c r="C27" s="2">
        <v>8470</v>
      </c>
      <c r="D27" s="12">
        <v>8.91</v>
      </c>
    </row>
    <row r="28" spans="1:4" x14ac:dyDescent="0.25">
      <c r="A28" s="2" t="s">
        <v>36</v>
      </c>
      <c r="B28" s="2" t="s">
        <v>11</v>
      </c>
      <c r="C28" s="2">
        <v>7800</v>
      </c>
      <c r="D28" s="12">
        <v>4.55</v>
      </c>
    </row>
    <row r="29" spans="1:4" x14ac:dyDescent="0.25">
      <c r="A29" s="2" t="s">
        <v>37</v>
      </c>
      <c r="B29" s="2" t="s">
        <v>11</v>
      </c>
      <c r="C29" s="2">
        <v>7850</v>
      </c>
      <c r="D29" s="12">
        <v>13.24</v>
      </c>
    </row>
    <row r="30" spans="1:4" x14ac:dyDescent="0.25">
      <c r="A30" s="2" t="s">
        <v>38</v>
      </c>
      <c r="B30" s="2" t="s">
        <v>12</v>
      </c>
      <c r="C30" s="2">
        <v>1340</v>
      </c>
      <c r="D30" s="12">
        <v>10.016999999999999</v>
      </c>
    </row>
    <row r="31" spans="1:4" x14ac:dyDescent="0.25">
      <c r="A31" s="2" t="s">
        <v>39</v>
      </c>
      <c r="B31" s="2" t="s">
        <v>12</v>
      </c>
      <c r="C31" s="2">
        <v>1190</v>
      </c>
      <c r="D31" s="12">
        <v>7.71</v>
      </c>
    </row>
    <row r="32" spans="1:4" x14ac:dyDescent="0.25">
      <c r="A32" s="2" t="s">
        <v>40</v>
      </c>
      <c r="B32" s="2" t="s">
        <v>12</v>
      </c>
      <c r="C32" s="2">
        <v>1190</v>
      </c>
      <c r="D32" s="12">
        <v>10.55</v>
      </c>
    </row>
    <row r="33" spans="1:27" x14ac:dyDescent="0.25">
      <c r="A33" s="2" t="s">
        <v>41</v>
      </c>
      <c r="B33" s="2" t="s">
        <v>11</v>
      </c>
      <c r="C33" s="2">
        <v>7800</v>
      </c>
      <c r="D33" s="12">
        <v>2.4500000000000002</v>
      </c>
    </row>
    <row r="34" spans="1:27" x14ac:dyDescent="0.25">
      <c r="A34" s="2" t="s">
        <v>42</v>
      </c>
      <c r="B34" s="2" t="s">
        <v>11</v>
      </c>
      <c r="C34" s="2">
        <v>7800</v>
      </c>
      <c r="D34" s="12">
        <v>4.29</v>
      </c>
    </row>
    <row r="35" spans="1:27" x14ac:dyDescent="0.25">
      <c r="A35" s="2" t="s">
        <v>43</v>
      </c>
      <c r="B35" s="2" t="s">
        <v>11</v>
      </c>
      <c r="C35" s="2">
        <v>7800</v>
      </c>
      <c r="D35" s="12">
        <v>3.34</v>
      </c>
    </row>
    <row r="36" spans="1:27" x14ac:dyDescent="0.25">
      <c r="A36" s="2" t="s">
        <v>44</v>
      </c>
      <c r="B36" s="2" t="s">
        <v>14</v>
      </c>
      <c r="C36" s="2">
        <v>2700</v>
      </c>
      <c r="D36" s="12">
        <v>12.18</v>
      </c>
    </row>
    <row r="37" spans="1:27" x14ac:dyDescent="0.25">
      <c r="A37" s="2" t="s">
        <v>45</v>
      </c>
      <c r="B37" s="2" t="s">
        <v>13</v>
      </c>
      <c r="C37" s="2">
        <v>8800</v>
      </c>
      <c r="D37" s="12">
        <v>5.75</v>
      </c>
    </row>
    <row r="39" spans="1:27" x14ac:dyDescent="0.25">
      <c r="A39" s="38" t="s">
        <v>54</v>
      </c>
      <c r="D39" s="38" t="s">
        <v>16</v>
      </c>
      <c r="G39" s="38" t="s">
        <v>55</v>
      </c>
      <c r="J39" s="38" t="s">
        <v>17</v>
      </c>
      <c r="M39" s="38" t="s">
        <v>18</v>
      </c>
      <c r="P39" s="38" t="s">
        <v>56</v>
      </c>
      <c r="S39" s="38" t="s">
        <v>15</v>
      </c>
      <c r="V39" s="38" t="s">
        <v>57</v>
      </c>
      <c r="Y39" s="38" t="s">
        <v>58</v>
      </c>
    </row>
    <row r="40" spans="1:27" ht="30.75" customHeight="1" x14ac:dyDescent="0.25">
      <c r="A40" s="40" t="s">
        <v>54</v>
      </c>
      <c r="B40" s="41" t="s">
        <v>2</v>
      </c>
      <c r="D40" s="40" t="s">
        <v>16</v>
      </c>
      <c r="E40" s="41" t="s">
        <v>2</v>
      </c>
      <c r="G40" s="40" t="s">
        <v>55</v>
      </c>
      <c r="H40" s="41" t="s">
        <v>2</v>
      </c>
      <c r="I40" s="42"/>
      <c r="J40" s="40" t="s">
        <v>17</v>
      </c>
      <c r="K40" s="41" t="s">
        <v>2</v>
      </c>
      <c r="L40" s="42"/>
      <c r="M40" s="40" t="s">
        <v>18</v>
      </c>
      <c r="N40" s="41" t="s">
        <v>2</v>
      </c>
      <c r="O40" s="42"/>
      <c r="P40" s="40" t="s">
        <v>56</v>
      </c>
      <c r="Q40" s="41" t="s">
        <v>2</v>
      </c>
      <c r="R40" s="42"/>
      <c r="S40" s="40" t="s">
        <v>15</v>
      </c>
      <c r="T40" s="41" t="s">
        <v>2</v>
      </c>
      <c r="U40" s="42"/>
      <c r="V40" s="40" t="s">
        <v>57</v>
      </c>
      <c r="W40" s="41" t="s">
        <v>2</v>
      </c>
      <c r="X40" s="42"/>
      <c r="Y40" s="40" t="s">
        <v>58</v>
      </c>
      <c r="Z40" s="41" t="s">
        <v>2</v>
      </c>
      <c r="AA40" s="43"/>
    </row>
    <row r="41" spans="1:27" x14ac:dyDescent="0.25">
      <c r="A41" s="44">
        <v>80</v>
      </c>
      <c r="B41" s="44">
        <v>6</v>
      </c>
      <c r="D41" s="44">
        <v>80</v>
      </c>
      <c r="E41" s="44">
        <v>5.95</v>
      </c>
      <c r="G41" s="44">
        <v>100</v>
      </c>
      <c r="H41" s="44">
        <v>6.9</v>
      </c>
      <c r="I41" s="45"/>
      <c r="J41" s="44">
        <v>100</v>
      </c>
      <c r="K41" s="44">
        <v>16.7</v>
      </c>
      <c r="L41" s="45"/>
      <c r="M41" s="44">
        <v>100</v>
      </c>
      <c r="N41" s="44">
        <v>20.399999999999999</v>
      </c>
      <c r="O41" s="45"/>
      <c r="P41" s="44">
        <v>100</v>
      </c>
      <c r="Q41" s="44">
        <v>41.8</v>
      </c>
      <c r="R41" s="45"/>
      <c r="S41" s="69">
        <v>30</v>
      </c>
      <c r="T41" s="69">
        <v>1.74</v>
      </c>
      <c r="U41" s="45"/>
      <c r="V41" s="44">
        <v>80</v>
      </c>
      <c r="W41" s="44">
        <v>7.9</v>
      </c>
      <c r="X41" s="45"/>
      <c r="Y41" s="44">
        <v>80</v>
      </c>
      <c r="Z41" s="44">
        <v>8.3800000000000008</v>
      </c>
      <c r="AA41" s="43"/>
    </row>
    <row r="42" spans="1:27" x14ac:dyDescent="0.25">
      <c r="A42" s="44">
        <v>100</v>
      </c>
      <c r="B42" s="44">
        <v>8.1</v>
      </c>
      <c r="D42" s="44">
        <v>100</v>
      </c>
      <c r="E42" s="44">
        <v>8.32</v>
      </c>
      <c r="G42" s="44">
        <v>120</v>
      </c>
      <c r="H42" s="44">
        <v>8.6</v>
      </c>
      <c r="I42" s="45"/>
      <c r="J42" s="44">
        <v>120</v>
      </c>
      <c r="K42" s="44">
        <v>19.899999999999999</v>
      </c>
      <c r="L42" s="45"/>
      <c r="M42" s="44">
        <v>120</v>
      </c>
      <c r="N42" s="44">
        <v>26.7</v>
      </c>
      <c r="O42" s="45"/>
      <c r="P42" s="44">
        <v>120</v>
      </c>
      <c r="Q42" s="44">
        <v>52.1</v>
      </c>
      <c r="R42" s="45"/>
      <c r="S42" s="69">
        <v>35</v>
      </c>
      <c r="T42" s="69">
        <v>2.15</v>
      </c>
      <c r="U42" s="45"/>
      <c r="V42" s="44">
        <v>100</v>
      </c>
      <c r="W42" s="44">
        <v>9.82</v>
      </c>
      <c r="X42" s="45"/>
      <c r="Y42" s="44">
        <v>100</v>
      </c>
      <c r="Z42" s="44">
        <v>10.5</v>
      </c>
      <c r="AA42" s="43"/>
    </row>
    <row r="43" spans="1:27" x14ac:dyDescent="0.25">
      <c r="A43" s="44">
        <v>120</v>
      </c>
      <c r="B43" s="44">
        <v>10.4</v>
      </c>
      <c r="D43" s="44">
        <v>120</v>
      </c>
      <c r="E43" s="44">
        <v>11.2</v>
      </c>
      <c r="G43" s="44">
        <v>140</v>
      </c>
      <c r="H43" s="44">
        <v>10.5</v>
      </c>
      <c r="I43" s="45"/>
      <c r="J43" s="44">
        <v>140</v>
      </c>
      <c r="K43" s="44">
        <v>24.7</v>
      </c>
      <c r="L43" s="45"/>
      <c r="M43" s="44">
        <v>140</v>
      </c>
      <c r="N43" s="44">
        <v>33.700000000000003</v>
      </c>
      <c r="O43" s="45"/>
      <c r="P43" s="44">
        <v>140</v>
      </c>
      <c r="Q43" s="44">
        <v>63.2</v>
      </c>
      <c r="R43" s="45"/>
      <c r="S43" s="69">
        <v>40</v>
      </c>
      <c r="T43" s="69">
        <v>2.87</v>
      </c>
      <c r="U43" s="45"/>
      <c r="V43" s="44">
        <v>120</v>
      </c>
      <c r="W43" s="44">
        <v>12.1</v>
      </c>
      <c r="X43" s="45"/>
      <c r="Y43" s="44">
        <v>130</v>
      </c>
      <c r="Z43" s="44">
        <v>13.7</v>
      </c>
      <c r="AA43" s="43"/>
    </row>
    <row r="44" spans="1:27" x14ac:dyDescent="0.25">
      <c r="A44" s="44">
        <v>140</v>
      </c>
      <c r="B44" s="44">
        <v>12.9</v>
      </c>
      <c r="D44" s="44">
        <v>140</v>
      </c>
      <c r="E44" s="44">
        <v>14.4</v>
      </c>
      <c r="G44" s="44">
        <v>160</v>
      </c>
      <c r="H44" s="44">
        <v>12.7</v>
      </c>
      <c r="I44" s="45"/>
      <c r="J44" s="44">
        <v>160</v>
      </c>
      <c r="K44" s="44">
        <v>30.4</v>
      </c>
      <c r="L44" s="45"/>
      <c r="M44" s="44">
        <v>160</v>
      </c>
      <c r="N44" s="44">
        <v>42.6</v>
      </c>
      <c r="O44" s="45"/>
      <c r="P44" s="44">
        <v>160</v>
      </c>
      <c r="Q44" s="44">
        <v>76.2</v>
      </c>
      <c r="R44" s="45"/>
      <c r="S44" s="69">
        <v>50</v>
      </c>
      <c r="T44" s="69">
        <v>3.86</v>
      </c>
      <c r="U44" s="45"/>
      <c r="V44" s="44">
        <v>140</v>
      </c>
      <c r="W44" s="44">
        <v>14.5</v>
      </c>
      <c r="X44" s="45"/>
      <c r="Y44" s="44">
        <v>150</v>
      </c>
      <c r="Z44" s="44">
        <v>17.899999999999999</v>
      </c>
      <c r="AA44" s="43"/>
    </row>
    <row r="45" spans="1:27" x14ac:dyDescent="0.25">
      <c r="A45" s="44">
        <v>160</v>
      </c>
      <c r="B45" s="44">
        <v>15.8</v>
      </c>
      <c r="D45" s="44">
        <v>160</v>
      </c>
      <c r="E45" s="44">
        <v>17.899999999999999</v>
      </c>
      <c r="G45" s="44">
        <v>180</v>
      </c>
      <c r="H45" s="44">
        <v>15.4</v>
      </c>
      <c r="I45" s="45"/>
      <c r="J45" s="44">
        <v>180</v>
      </c>
      <c r="K45" s="44">
        <v>35.5</v>
      </c>
      <c r="L45" s="45"/>
      <c r="M45" s="44">
        <v>180</v>
      </c>
      <c r="N45" s="44">
        <v>51.2</v>
      </c>
      <c r="O45" s="45"/>
      <c r="P45" s="44">
        <v>180</v>
      </c>
      <c r="Q45" s="44">
        <v>88.9</v>
      </c>
      <c r="R45" s="45"/>
      <c r="S45" s="69">
        <v>60</v>
      </c>
      <c r="T45" s="69">
        <v>5.07</v>
      </c>
      <c r="U45" s="45"/>
      <c r="V45" s="44">
        <v>160</v>
      </c>
      <c r="W45" s="44">
        <v>17</v>
      </c>
      <c r="X45" s="45"/>
      <c r="Y45" s="44">
        <v>175</v>
      </c>
      <c r="Z45" s="44">
        <v>21.2</v>
      </c>
      <c r="AA45" s="43"/>
    </row>
    <row r="46" spans="1:27" x14ac:dyDescent="0.25">
      <c r="A46" s="44">
        <v>180</v>
      </c>
      <c r="B46" s="44">
        <v>18.8</v>
      </c>
      <c r="D46" s="44">
        <v>180</v>
      </c>
      <c r="E46" s="44">
        <v>21.9</v>
      </c>
      <c r="G46" s="44">
        <v>200</v>
      </c>
      <c r="H46" s="44">
        <v>18.399999999999999</v>
      </c>
      <c r="I46" s="45"/>
      <c r="J46" s="44">
        <v>200</v>
      </c>
      <c r="K46" s="44">
        <v>42.3</v>
      </c>
      <c r="L46" s="45"/>
      <c r="M46" s="44">
        <v>200</v>
      </c>
      <c r="N46" s="44">
        <v>61.3</v>
      </c>
      <c r="O46" s="45"/>
      <c r="P46" s="44">
        <v>200</v>
      </c>
      <c r="Q46" s="44">
        <v>103</v>
      </c>
      <c r="R46" s="45"/>
      <c r="S46" s="69">
        <v>70</v>
      </c>
      <c r="T46" s="69">
        <v>6.77</v>
      </c>
      <c r="U46" s="45"/>
      <c r="V46" s="44">
        <v>180</v>
      </c>
      <c r="W46" s="44">
        <v>19.7</v>
      </c>
      <c r="X46" s="45"/>
      <c r="Y46" s="44">
        <v>200</v>
      </c>
      <c r="Z46" s="44">
        <v>25.1</v>
      </c>
      <c r="AA46" s="43"/>
    </row>
    <row r="47" spans="1:27" x14ac:dyDescent="0.25">
      <c r="A47" s="44">
        <v>200</v>
      </c>
      <c r="B47" s="44">
        <v>22.4</v>
      </c>
      <c r="D47" s="44">
        <v>200</v>
      </c>
      <c r="E47" s="44">
        <v>26.3</v>
      </c>
      <c r="G47" s="44">
        <v>220</v>
      </c>
      <c r="H47" s="44">
        <v>22.2</v>
      </c>
      <c r="I47" s="45"/>
      <c r="J47" s="44">
        <v>220</v>
      </c>
      <c r="K47" s="44">
        <v>50.5</v>
      </c>
      <c r="L47" s="45"/>
      <c r="M47" s="44">
        <v>220</v>
      </c>
      <c r="N47" s="44">
        <v>71.5</v>
      </c>
      <c r="O47" s="45"/>
      <c r="P47" s="44">
        <v>220</v>
      </c>
      <c r="Q47" s="44">
        <v>117</v>
      </c>
      <c r="R47" s="45"/>
      <c r="S47" s="44">
        <v>80</v>
      </c>
      <c r="T47" s="44">
        <v>8.64</v>
      </c>
      <c r="U47" s="45"/>
      <c r="V47" s="44">
        <v>200</v>
      </c>
      <c r="W47" s="44">
        <v>22.8</v>
      </c>
      <c r="X47" s="45"/>
      <c r="Y47" s="44">
        <v>220</v>
      </c>
      <c r="Z47" s="44">
        <v>28.5</v>
      </c>
      <c r="AA47" s="43"/>
    </row>
    <row r="48" spans="1:27" x14ac:dyDescent="0.25">
      <c r="A48" s="44">
        <v>220</v>
      </c>
      <c r="B48" s="44">
        <v>26.2</v>
      </c>
      <c r="D48" s="44">
        <v>220</v>
      </c>
      <c r="E48" s="44">
        <v>31.1</v>
      </c>
      <c r="G48" s="44">
        <v>240</v>
      </c>
      <c r="H48" s="44">
        <v>26.2</v>
      </c>
      <c r="I48" s="45"/>
      <c r="J48" s="44">
        <v>240</v>
      </c>
      <c r="K48" s="44">
        <v>60.3</v>
      </c>
      <c r="L48" s="45"/>
      <c r="M48" s="44">
        <v>240</v>
      </c>
      <c r="N48" s="44">
        <v>83.2</v>
      </c>
      <c r="O48" s="45"/>
      <c r="P48" s="44">
        <v>240</v>
      </c>
      <c r="Q48" s="44">
        <v>157</v>
      </c>
      <c r="R48" s="45"/>
      <c r="S48" s="44">
        <v>100</v>
      </c>
      <c r="T48" s="44">
        <v>10.6</v>
      </c>
      <c r="U48" s="45"/>
      <c r="V48" s="44">
        <v>220</v>
      </c>
      <c r="W48" s="44">
        <v>26.6</v>
      </c>
      <c r="X48" s="45"/>
      <c r="Y48" s="44">
        <v>250</v>
      </c>
      <c r="Z48" s="44">
        <v>34.4</v>
      </c>
      <c r="AA48" s="43"/>
    </row>
    <row r="49" spans="1:27" x14ac:dyDescent="0.25">
      <c r="A49" s="44">
        <v>240</v>
      </c>
      <c r="B49" s="44">
        <v>30.7</v>
      </c>
      <c r="D49" s="44">
        <v>240</v>
      </c>
      <c r="E49" s="44">
        <v>36.200000000000003</v>
      </c>
      <c r="G49" s="44">
        <v>270</v>
      </c>
      <c r="H49" s="44">
        <v>30.7</v>
      </c>
      <c r="I49" s="45"/>
      <c r="J49" s="44">
        <v>260</v>
      </c>
      <c r="K49" s="44">
        <v>68.2</v>
      </c>
      <c r="L49" s="45"/>
      <c r="M49" s="44">
        <v>260</v>
      </c>
      <c r="N49" s="44">
        <v>93</v>
      </c>
      <c r="O49" s="45"/>
      <c r="P49" s="44">
        <v>260</v>
      </c>
      <c r="Q49" s="44">
        <v>172</v>
      </c>
      <c r="R49" s="45"/>
      <c r="S49" s="44">
        <v>120</v>
      </c>
      <c r="T49" s="44">
        <v>13.4</v>
      </c>
      <c r="U49" s="45"/>
      <c r="V49" s="44">
        <v>240</v>
      </c>
      <c r="W49" s="44">
        <v>30.2</v>
      </c>
      <c r="X49" s="45"/>
      <c r="Y49" s="46">
        <v>300</v>
      </c>
      <c r="Z49" s="46">
        <v>46</v>
      </c>
      <c r="AA49" s="43"/>
    </row>
    <row r="50" spans="1:27" x14ac:dyDescent="0.25">
      <c r="A50" s="44">
        <v>270</v>
      </c>
      <c r="B50" s="44">
        <v>36.1</v>
      </c>
      <c r="D50" s="44">
        <v>260</v>
      </c>
      <c r="E50" s="44">
        <v>41.9</v>
      </c>
      <c r="G50" s="44">
        <v>300</v>
      </c>
      <c r="H50" s="44">
        <v>36.5</v>
      </c>
      <c r="I50" s="45"/>
      <c r="J50" s="44">
        <v>280</v>
      </c>
      <c r="K50" s="44">
        <v>76.400000000000006</v>
      </c>
      <c r="L50" s="45"/>
      <c r="M50" s="44">
        <v>280</v>
      </c>
      <c r="N50" s="44">
        <v>103</v>
      </c>
      <c r="O50" s="45"/>
      <c r="P50" s="44">
        <v>280</v>
      </c>
      <c r="Q50" s="44">
        <v>189</v>
      </c>
      <c r="R50" s="45"/>
      <c r="S50" s="44">
        <v>140</v>
      </c>
      <c r="T50" s="44">
        <v>16</v>
      </c>
      <c r="U50" s="45"/>
      <c r="V50" s="44">
        <v>270</v>
      </c>
      <c r="W50" s="44">
        <v>35.200000000000003</v>
      </c>
      <c r="X50" s="45"/>
      <c r="Y50" s="45"/>
      <c r="Z50" s="45"/>
      <c r="AA50" s="43"/>
    </row>
    <row r="51" spans="1:27" x14ac:dyDescent="0.25">
      <c r="A51" s="44">
        <v>300</v>
      </c>
      <c r="B51" s="44">
        <v>42.2</v>
      </c>
      <c r="D51" s="44">
        <v>280</v>
      </c>
      <c r="E51" s="44">
        <v>47.9</v>
      </c>
      <c r="G51" s="44">
        <v>330</v>
      </c>
      <c r="H51" s="44">
        <v>43</v>
      </c>
      <c r="I51" s="45"/>
      <c r="J51" s="44">
        <v>300</v>
      </c>
      <c r="K51" s="44">
        <v>88.3</v>
      </c>
      <c r="L51" s="45"/>
      <c r="M51" s="44">
        <v>300</v>
      </c>
      <c r="N51" s="44">
        <v>117</v>
      </c>
      <c r="O51" s="45"/>
      <c r="P51" s="44">
        <v>300</v>
      </c>
      <c r="Q51" s="44">
        <v>238</v>
      </c>
      <c r="R51" s="45"/>
      <c r="S51" s="44">
        <v>160</v>
      </c>
      <c r="T51" s="44">
        <v>18.8</v>
      </c>
      <c r="U51" s="45"/>
      <c r="V51" s="44">
        <v>300</v>
      </c>
      <c r="W51" s="44">
        <v>44.4</v>
      </c>
      <c r="X51" s="45"/>
      <c r="Y51" s="45"/>
      <c r="Z51" s="45"/>
      <c r="AA51" s="43"/>
    </row>
    <row r="52" spans="1:27" x14ac:dyDescent="0.25">
      <c r="A52" s="44">
        <v>330</v>
      </c>
      <c r="B52" s="44">
        <v>19.100000000000001</v>
      </c>
      <c r="D52" s="46">
        <v>300</v>
      </c>
      <c r="E52" s="46">
        <v>54.2</v>
      </c>
      <c r="G52" s="44">
        <v>360</v>
      </c>
      <c r="H52" s="44">
        <v>50.2</v>
      </c>
      <c r="I52" s="45"/>
      <c r="J52" s="44">
        <v>320</v>
      </c>
      <c r="K52" s="44">
        <v>97.6</v>
      </c>
      <c r="L52" s="45"/>
      <c r="M52" s="44">
        <v>320</v>
      </c>
      <c r="N52" s="44">
        <v>127</v>
      </c>
      <c r="O52" s="45"/>
      <c r="P52" s="44">
        <v>320</v>
      </c>
      <c r="Q52" s="44">
        <v>245</v>
      </c>
      <c r="R52" s="45"/>
      <c r="S52" s="44">
        <v>180</v>
      </c>
      <c r="T52" s="44">
        <v>22</v>
      </c>
      <c r="U52" s="45"/>
      <c r="V52" s="44">
        <v>330</v>
      </c>
      <c r="W52" s="44">
        <v>53.2</v>
      </c>
      <c r="X52" s="45"/>
      <c r="Y52" s="45"/>
      <c r="Z52" s="45"/>
      <c r="AA52" s="43"/>
    </row>
    <row r="53" spans="1:27" x14ac:dyDescent="0.25">
      <c r="A53" s="44">
        <v>360</v>
      </c>
      <c r="B53" s="44">
        <v>57.1</v>
      </c>
      <c r="G53" s="44">
        <v>400</v>
      </c>
      <c r="H53" s="44">
        <v>57.4</v>
      </c>
      <c r="I53" s="45"/>
      <c r="J53" s="44">
        <v>340</v>
      </c>
      <c r="K53" s="44">
        <v>105</v>
      </c>
      <c r="L53" s="45"/>
      <c r="M53" s="44">
        <v>340</v>
      </c>
      <c r="N53" s="44">
        <v>134</v>
      </c>
      <c r="O53" s="45"/>
      <c r="P53" s="44">
        <v>340</v>
      </c>
      <c r="Q53" s="44">
        <v>248</v>
      </c>
      <c r="R53" s="45"/>
      <c r="S53" s="44">
        <v>200</v>
      </c>
      <c r="T53" s="44">
        <v>25.3</v>
      </c>
      <c r="U53" s="45"/>
      <c r="V53" s="44">
        <v>360</v>
      </c>
      <c r="W53" s="44">
        <v>61.2</v>
      </c>
      <c r="X53" s="45"/>
      <c r="Y53" s="45"/>
      <c r="Z53" s="45"/>
      <c r="AA53" s="43"/>
    </row>
    <row r="54" spans="1:27" x14ac:dyDescent="0.25">
      <c r="A54" s="44">
        <v>400</v>
      </c>
      <c r="B54" s="44">
        <v>66.3</v>
      </c>
      <c r="G54" s="44">
        <v>450</v>
      </c>
      <c r="H54" s="44">
        <v>67.2</v>
      </c>
      <c r="I54" s="45"/>
      <c r="J54" s="44">
        <v>360</v>
      </c>
      <c r="K54" s="44">
        <v>112</v>
      </c>
      <c r="L54" s="45"/>
      <c r="M54" s="44">
        <v>360</v>
      </c>
      <c r="N54" s="44">
        <v>172</v>
      </c>
      <c r="O54" s="45"/>
      <c r="P54" s="44">
        <v>360</v>
      </c>
      <c r="Q54" s="44">
        <v>250</v>
      </c>
      <c r="R54" s="45"/>
      <c r="S54" s="44">
        <v>220</v>
      </c>
      <c r="T54" s="44">
        <v>29.4</v>
      </c>
      <c r="U54" s="45"/>
      <c r="V54" s="46">
        <v>400</v>
      </c>
      <c r="W54" s="46">
        <v>72.2</v>
      </c>
      <c r="X54" s="45"/>
      <c r="Y54" s="45"/>
      <c r="Z54" s="45"/>
      <c r="AA54" s="43"/>
    </row>
    <row r="55" spans="1:27" x14ac:dyDescent="0.25">
      <c r="A55" s="44">
        <v>450</v>
      </c>
      <c r="B55" s="44">
        <v>77.599999999999994</v>
      </c>
      <c r="G55" s="44">
        <v>500</v>
      </c>
      <c r="H55" s="44">
        <v>79.400000000000006</v>
      </c>
      <c r="I55" s="45"/>
      <c r="J55" s="44">
        <v>400</v>
      </c>
      <c r="K55" s="44">
        <v>125</v>
      </c>
      <c r="L55" s="45"/>
      <c r="M55" s="44">
        <v>400</v>
      </c>
      <c r="N55" s="44">
        <v>155</v>
      </c>
      <c r="O55" s="45"/>
      <c r="P55" s="44">
        <v>400</v>
      </c>
      <c r="Q55" s="44">
        <v>256</v>
      </c>
      <c r="R55" s="45"/>
      <c r="S55" s="44">
        <v>240</v>
      </c>
      <c r="T55" s="44">
        <v>33.200000000000003</v>
      </c>
      <c r="U55" s="45"/>
      <c r="V55" s="45"/>
      <c r="W55" s="45"/>
      <c r="X55" s="45"/>
      <c r="Y55" s="45"/>
      <c r="Z55" s="45"/>
      <c r="AA55" s="43"/>
    </row>
    <row r="56" spans="1:27" x14ac:dyDescent="0.25">
      <c r="A56" s="44">
        <v>500</v>
      </c>
      <c r="B56" s="44">
        <v>90.7</v>
      </c>
      <c r="G56" s="44">
        <v>550</v>
      </c>
      <c r="H56" s="44">
        <v>92.1</v>
      </c>
      <c r="I56" s="45"/>
      <c r="J56" s="44">
        <v>450</v>
      </c>
      <c r="K56" s="44">
        <v>140</v>
      </c>
      <c r="L56" s="45"/>
      <c r="M56" s="44">
        <v>450</v>
      </c>
      <c r="N56" s="44">
        <v>171</v>
      </c>
      <c r="O56" s="45"/>
      <c r="P56" s="44">
        <v>450</v>
      </c>
      <c r="Q56" s="44">
        <v>263</v>
      </c>
      <c r="R56" s="45"/>
      <c r="S56" s="44">
        <v>260</v>
      </c>
      <c r="T56" s="44">
        <v>37.9</v>
      </c>
      <c r="U56" s="45"/>
      <c r="V56" s="45"/>
      <c r="W56" s="45"/>
      <c r="X56" s="45"/>
      <c r="Y56" s="45"/>
      <c r="Z56" s="45"/>
      <c r="AA56" s="43"/>
    </row>
    <row r="57" spans="1:27" x14ac:dyDescent="0.25">
      <c r="A57" s="44">
        <v>550</v>
      </c>
      <c r="B57" s="44">
        <v>106</v>
      </c>
      <c r="G57" s="46">
        <v>600</v>
      </c>
      <c r="H57" s="46">
        <v>108</v>
      </c>
      <c r="I57" s="45"/>
      <c r="J57" s="44">
        <v>500</v>
      </c>
      <c r="K57" s="44">
        <v>155</v>
      </c>
      <c r="L57" s="45"/>
      <c r="M57" s="44">
        <v>500</v>
      </c>
      <c r="N57" s="44">
        <v>187</v>
      </c>
      <c r="O57" s="45"/>
      <c r="P57" s="44">
        <v>500</v>
      </c>
      <c r="Q57" s="44">
        <v>270</v>
      </c>
      <c r="R57" s="45"/>
      <c r="S57" s="44">
        <v>280</v>
      </c>
      <c r="T57" s="44">
        <v>41.8</v>
      </c>
      <c r="U57" s="45"/>
      <c r="V57" s="45"/>
      <c r="W57" s="45"/>
      <c r="X57" s="45"/>
      <c r="Y57" s="45"/>
      <c r="Z57" s="45"/>
      <c r="AA57" s="43"/>
    </row>
    <row r="58" spans="1:27" x14ac:dyDescent="0.25">
      <c r="A58" s="46">
        <v>600</v>
      </c>
      <c r="B58" s="46">
        <v>122</v>
      </c>
      <c r="G58" s="45"/>
      <c r="H58" s="45"/>
      <c r="I58" s="45"/>
      <c r="J58" s="44">
        <v>550</v>
      </c>
      <c r="K58" s="44">
        <v>166</v>
      </c>
      <c r="L58" s="45"/>
      <c r="M58" s="44">
        <v>550</v>
      </c>
      <c r="N58" s="44">
        <v>199</v>
      </c>
      <c r="O58" s="45"/>
      <c r="P58" s="44">
        <v>550</v>
      </c>
      <c r="Q58" s="44">
        <v>278</v>
      </c>
      <c r="R58" s="45"/>
      <c r="S58" s="46">
        <v>300</v>
      </c>
      <c r="T58" s="46">
        <v>46.2</v>
      </c>
      <c r="U58" s="45"/>
      <c r="V58" s="45"/>
      <c r="W58" s="45"/>
      <c r="X58" s="45"/>
      <c r="Y58" s="45"/>
      <c r="Z58" s="45"/>
      <c r="AA58" s="43"/>
    </row>
    <row r="59" spans="1:27" x14ac:dyDescent="0.25">
      <c r="G59" s="45"/>
      <c r="H59" s="45"/>
      <c r="I59" s="45"/>
      <c r="J59" s="44">
        <v>600</v>
      </c>
      <c r="K59" s="44">
        <v>178</v>
      </c>
      <c r="L59" s="45"/>
      <c r="M59" s="44">
        <v>600</v>
      </c>
      <c r="N59" s="44">
        <v>212</v>
      </c>
      <c r="O59" s="45"/>
      <c r="P59" s="44">
        <v>600</v>
      </c>
      <c r="Q59" s="44">
        <v>285</v>
      </c>
      <c r="R59" s="45"/>
      <c r="S59" s="45"/>
      <c r="T59" s="45"/>
      <c r="U59" s="45"/>
      <c r="V59" s="45"/>
      <c r="W59" s="45"/>
      <c r="X59" s="45"/>
      <c r="Y59" s="45"/>
      <c r="Z59" s="45"/>
      <c r="AA59" s="43"/>
    </row>
    <row r="60" spans="1:27" x14ac:dyDescent="0.25">
      <c r="G60" s="45"/>
      <c r="H60" s="45"/>
      <c r="I60" s="45"/>
      <c r="J60" s="44">
        <v>650</v>
      </c>
      <c r="K60" s="44">
        <v>190</v>
      </c>
      <c r="L60" s="45"/>
      <c r="M60" s="44">
        <v>650</v>
      </c>
      <c r="N60" s="44">
        <v>225</v>
      </c>
      <c r="O60" s="45"/>
      <c r="P60" s="44">
        <v>650</v>
      </c>
      <c r="Q60" s="44">
        <v>293</v>
      </c>
      <c r="R60" s="45"/>
      <c r="S60" s="45"/>
      <c r="T60" s="45"/>
      <c r="U60" s="45"/>
      <c r="V60" s="45"/>
      <c r="W60" s="45"/>
      <c r="X60" s="45"/>
      <c r="Y60" s="45"/>
      <c r="Z60" s="45"/>
      <c r="AA60" s="43"/>
    </row>
    <row r="61" spans="1:27" x14ac:dyDescent="0.25">
      <c r="G61" s="45"/>
      <c r="H61" s="45"/>
      <c r="I61" s="45"/>
      <c r="J61" s="44">
        <v>700</v>
      </c>
      <c r="K61" s="44">
        <v>204</v>
      </c>
      <c r="L61" s="45"/>
      <c r="M61" s="44">
        <v>700</v>
      </c>
      <c r="N61" s="44">
        <v>241</v>
      </c>
      <c r="O61" s="45"/>
      <c r="P61" s="44">
        <v>700</v>
      </c>
      <c r="Q61" s="44">
        <v>301</v>
      </c>
      <c r="R61" s="45"/>
      <c r="S61" s="45"/>
      <c r="T61" s="45"/>
      <c r="U61" s="45"/>
      <c r="V61" s="45"/>
      <c r="W61" s="45"/>
      <c r="X61" s="45"/>
      <c r="Y61" s="45"/>
      <c r="Z61" s="45"/>
      <c r="AA61" s="43"/>
    </row>
    <row r="62" spans="1:27" x14ac:dyDescent="0.25">
      <c r="G62" s="45"/>
      <c r="H62" s="45"/>
      <c r="I62" s="45"/>
      <c r="J62" s="44">
        <v>800</v>
      </c>
      <c r="K62" s="44">
        <v>224</v>
      </c>
      <c r="L62" s="45"/>
      <c r="M62" s="44">
        <v>800</v>
      </c>
      <c r="N62" s="44">
        <v>262</v>
      </c>
      <c r="O62" s="45"/>
      <c r="P62" s="44">
        <v>800</v>
      </c>
      <c r="Q62" s="44">
        <v>317</v>
      </c>
      <c r="R62" s="45"/>
      <c r="S62" s="45"/>
      <c r="T62" s="45"/>
      <c r="U62" s="45"/>
      <c r="V62" s="45"/>
      <c r="W62" s="45"/>
      <c r="X62" s="45"/>
      <c r="Y62" s="45"/>
      <c r="Z62" s="45"/>
      <c r="AA62" s="43"/>
    </row>
    <row r="63" spans="1:27" x14ac:dyDescent="0.25">
      <c r="G63" s="45"/>
      <c r="H63" s="45"/>
      <c r="I63" s="45"/>
      <c r="J63" s="44">
        <v>900</v>
      </c>
      <c r="K63" s="44">
        <v>252</v>
      </c>
      <c r="L63" s="45"/>
      <c r="M63" s="44">
        <v>900</v>
      </c>
      <c r="N63" s="44">
        <v>291</v>
      </c>
      <c r="O63" s="45"/>
      <c r="P63" s="44">
        <v>900</v>
      </c>
      <c r="Q63" s="44">
        <v>333</v>
      </c>
      <c r="R63" s="45"/>
      <c r="S63" s="45"/>
      <c r="T63" s="45"/>
      <c r="U63" s="45"/>
      <c r="V63" s="45"/>
      <c r="W63" s="45"/>
      <c r="X63" s="45"/>
      <c r="Y63" s="45"/>
      <c r="Z63" s="45"/>
      <c r="AA63" s="43"/>
    </row>
    <row r="64" spans="1:27" x14ac:dyDescent="0.25">
      <c r="G64" s="45"/>
      <c r="H64" s="45"/>
      <c r="I64" s="45"/>
      <c r="J64" s="46">
        <v>1000</v>
      </c>
      <c r="K64" s="46">
        <v>272</v>
      </c>
      <c r="L64" s="45"/>
      <c r="M64" s="46">
        <v>1000</v>
      </c>
      <c r="N64" s="46">
        <v>314</v>
      </c>
      <c r="O64" s="45"/>
      <c r="P64" s="46">
        <v>1000</v>
      </c>
      <c r="Q64" s="46">
        <v>349</v>
      </c>
      <c r="R64" s="45"/>
      <c r="S64" s="45"/>
      <c r="T64" s="45"/>
      <c r="U64" s="45"/>
      <c r="V64" s="45"/>
      <c r="W64" s="45"/>
      <c r="X64" s="45"/>
      <c r="Y64" s="45"/>
      <c r="Z64" s="45"/>
      <c r="AA64" s="43"/>
    </row>
    <row r="65" spans="19:20" x14ac:dyDescent="0.25">
      <c r="S65" s="45"/>
      <c r="T65" s="45"/>
    </row>
    <row r="66" spans="19:20" x14ac:dyDescent="0.25">
      <c r="S66" s="45"/>
      <c r="T66" s="45"/>
    </row>
    <row r="67" spans="19:20" x14ac:dyDescent="0.25">
      <c r="S67" s="45"/>
      <c r="T67" s="45"/>
    </row>
    <row r="68" spans="19:20" x14ac:dyDescent="0.25">
      <c r="S68" s="45"/>
      <c r="T68" s="45"/>
    </row>
    <row r="69" spans="19:20" x14ac:dyDescent="0.25">
      <c r="S69" s="45"/>
      <c r="T69" s="45"/>
    </row>
    <row r="70" spans="19:20" x14ac:dyDescent="0.25">
      <c r="S70" s="45"/>
      <c r="T70" s="45"/>
    </row>
  </sheetData>
  <sheetProtection algorithmName="SHA-512" hashValue="6NG6bh4wgUzcGq0Tb7aczqm1P8oC06ToPWjRiLH1VKGFERN4H7AslFLLRbAw0MxH+EtmdmFIuBH4rNDei2wt+A==" saltValue="7y8AXjfHQ4Y62z0pQ9lA7w==" spinCount="100000" sheet="1" formatCells="0" formatColumns="0" sort="0" autoFilter="0" pivotTables="0"/>
  <pageMargins left="0.7" right="0.7" top="0.75" bottom="0.75" header="0.3" footer="0.3"/>
  <pageSetup paperSize="9" orientation="portrait" r:id="rId1"/>
  <drawing r:id="rId2"/>
  <tableParts count="11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"/>
  <dimension ref="A1:U13"/>
  <sheetViews>
    <sheetView tabSelected="1" topLeftCell="B1" zoomScaleNormal="100" workbookViewId="0">
      <pane ySplit="2" topLeftCell="A3" activePane="bottomLeft" state="frozen"/>
      <selection activeCell="W14" sqref="W14"/>
      <selection pane="bottomLeft" activeCell="N11" sqref="N11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90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67" t="s">
        <v>66</v>
      </c>
      <c r="U2" s="56">
        <f>SUBTOTAL(9,tab_rond[[Valeur marchande du stock réel ]])</f>
        <v>1591.8970263130602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Rond</v>
      </c>
      <c r="E3" s="1" t="s">
        <v>19</v>
      </c>
      <c r="F3" s="15" t="str">
        <f>VLOOKUP(tab_rond[[#This Row],[Matériaux]],tab_matériaux[],2,FALSE)</f>
        <v>Alu</v>
      </c>
      <c r="G3" s="1">
        <v>56</v>
      </c>
      <c r="H3" s="1"/>
      <c r="I3" s="1"/>
      <c r="J3" s="1"/>
      <c r="K3" s="18">
        <f>IFERROR(10^-6*PI()*(tab_rond[[#This Row],[Ø (mm)]]/2)^2,"")</f>
        <v>2.4630086404143978E-3</v>
      </c>
      <c r="L3" s="18">
        <f>IFERROR(VLOOKUP(tab_rond[[#This Row],[Matériaux]],tab_matériaux[],3,FALSE)*tab_rond[[#This Row],[Surface m²]],"")</f>
        <v>6.9210542795644576</v>
      </c>
      <c r="M3" s="7">
        <v>5843</v>
      </c>
      <c r="N3" s="1" t="s">
        <v>77</v>
      </c>
      <c r="O3" s="18">
        <f>IFERROR(10^-3*tab_rond[[#This Row],[Poids au mètre(kg)]]*tab_rond[[#This Row],[Stock réel (mm)]],"")</f>
        <v>40.439720155495124</v>
      </c>
      <c r="P3" s="21">
        <f>IFERROR(tab_rond[[#This Row],[Poids du stock réel (Kg)]]*VLOOKUP(tab_rond[[#This Row],[Matériaux]],tab_matériaux[],4,FALSE),"")</f>
        <v>243.04271813452567</v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Rond</v>
      </c>
      <c r="E4" s="1" t="s">
        <v>19</v>
      </c>
      <c r="F4" s="15" t="str">
        <f>VLOOKUP(tab_rond[[#This Row],[Matériaux]],tab_matériaux[],2,FALSE)</f>
        <v>Alu</v>
      </c>
      <c r="G4" s="1">
        <v>57</v>
      </c>
      <c r="H4" s="1"/>
      <c r="I4" s="1"/>
      <c r="J4" s="1"/>
      <c r="K4" s="18">
        <f>IFERROR(10^-6*PI()*(tab_rond[[#This Row],[Ø (mm)]]/2)^2,"")</f>
        <v>2.5517586328783091E-3</v>
      </c>
      <c r="L4" s="18">
        <f>IFERROR(VLOOKUP(tab_rond[[#This Row],[Matériaux]],tab_matériaux[],3,FALSE)*tab_rond[[#This Row],[Surface m²]],"")</f>
        <v>7.1704417583880486</v>
      </c>
      <c r="M4" s="7">
        <v>366</v>
      </c>
      <c r="N4" s="1" t="s">
        <v>77</v>
      </c>
      <c r="O4" s="18">
        <f>IFERROR(10^-3*tab_rond[[#This Row],[Poids au mètre(kg)]]*tab_rond[[#This Row],[Stock réel (mm)]],"")</f>
        <v>2.624381683570026</v>
      </c>
      <c r="P4" s="21">
        <f>IFERROR(tab_rond[[#This Row],[Poids du stock réel (Kg)]]*VLOOKUP(tab_rond[[#This Row],[Matériaux]],tab_matériaux[],4,FALSE),"")</f>
        <v>15.772533918255856</v>
      </c>
      <c r="Q4" s="13"/>
      <c r="R4" s="13"/>
      <c r="S4" s="68"/>
    </row>
    <row r="5" spans="1:21" x14ac:dyDescent="0.25">
      <c r="A5" s="50"/>
      <c r="B5" s="4"/>
      <c r="C5" s="4"/>
      <c r="D5" s="91" t="str">
        <f t="shared" ref="D5:D8" ca="1" si="1">RIGHT(CELL("filename",$A$1),LEN(CELL("filename",$A$1))-SEARCH("]",CELL("filename",$A$1)))</f>
        <v>Rond</v>
      </c>
      <c r="E5" s="1" t="s">
        <v>19</v>
      </c>
      <c r="F5" s="17" t="str">
        <f>VLOOKUP(tab_rond[[#This Row],[Matériaux]],tab_matériaux[],2,FALSE)</f>
        <v>Alu</v>
      </c>
      <c r="G5" s="1">
        <v>58</v>
      </c>
      <c r="H5" s="6"/>
      <c r="I5" s="6"/>
      <c r="J5" s="6"/>
      <c r="K5" s="20">
        <f>IFERROR(10^-6*PI()*(tab_rond[[#This Row],[Ø (mm)]]/2)^2,"")</f>
        <v>2.642079421669016E-3</v>
      </c>
      <c r="L5" s="20">
        <f>IFERROR(VLOOKUP(tab_rond[[#This Row],[Matériaux]],tab_matériaux[],3,FALSE)*tab_rond[[#This Row],[Surface m²]],"")</f>
        <v>7.4242431748899351</v>
      </c>
      <c r="M5" s="10">
        <v>6488</v>
      </c>
      <c r="N5" s="1" t="s">
        <v>77</v>
      </c>
      <c r="O5" s="20">
        <f>IFERROR(10^-3*tab_rond[[#This Row],[Poids au mètre(kg)]]*tab_rond[[#This Row],[Stock réel (mm)]],"")</f>
        <v>48.168489718685905</v>
      </c>
      <c r="P5" s="22">
        <f>IFERROR(tab_rond[[#This Row],[Poids du stock réel (Kg)]]*VLOOKUP(tab_rond[[#This Row],[Matériaux]],tab_matériaux[],4,FALSE),"")</f>
        <v>289.49262320930228</v>
      </c>
      <c r="Q5" s="13"/>
      <c r="R5" s="13"/>
      <c r="S5" s="6"/>
    </row>
    <row r="6" spans="1:21" x14ac:dyDescent="0.25">
      <c r="A6" s="50"/>
      <c r="B6" s="4"/>
      <c r="C6" s="4"/>
      <c r="D6" s="91" t="str">
        <f t="shared" ca="1" si="1"/>
        <v>Rond</v>
      </c>
      <c r="E6" s="1" t="s">
        <v>19</v>
      </c>
      <c r="F6" s="17" t="str">
        <f>VLOOKUP(tab_rond[[#This Row],[Matériaux]],tab_matériaux[],2,FALSE)</f>
        <v>Alu</v>
      </c>
      <c r="G6" s="1">
        <v>59</v>
      </c>
      <c r="H6" s="6"/>
      <c r="I6" s="6"/>
      <c r="J6" s="6"/>
      <c r="K6" s="20">
        <f>IFERROR(10^-6*PI()*(tab_rond[[#This Row],[Ø (mm)]]/2)^2,"")</f>
        <v>2.7339710067865171E-3</v>
      </c>
      <c r="L6" s="20">
        <f>IFERROR(VLOOKUP(tab_rond[[#This Row],[Matériaux]],tab_matériaux[],3,FALSE)*tab_rond[[#This Row],[Surface m²]],"")</f>
        <v>7.6824585290701126</v>
      </c>
      <c r="M6" s="10">
        <v>9222</v>
      </c>
      <c r="N6" s="1" t="s">
        <v>77</v>
      </c>
      <c r="O6" s="20">
        <f>IFERROR(10^-3*tab_rond[[#This Row],[Poids au mètre(kg)]]*tab_rond[[#This Row],[Stock réel (mm)]],"")</f>
        <v>70.847632555084587</v>
      </c>
      <c r="P6" s="22">
        <f>IFERROR(tab_rond[[#This Row],[Poids du stock réel (Kg)]]*VLOOKUP(tab_rond[[#This Row],[Matériaux]],tab_matériaux[],4,FALSE),"")</f>
        <v>425.79427165605836</v>
      </c>
      <c r="Q6" s="13"/>
      <c r="R6" s="13"/>
      <c r="S6" s="6"/>
    </row>
    <row r="7" spans="1:21" x14ac:dyDescent="0.25">
      <c r="A7" s="50"/>
      <c r="B7" s="4"/>
      <c r="C7" s="4"/>
      <c r="D7" s="91" t="str">
        <f t="shared" ca="1" si="1"/>
        <v>Rond</v>
      </c>
      <c r="E7" s="1" t="s">
        <v>19</v>
      </c>
      <c r="F7" s="17" t="str">
        <f>VLOOKUP(tab_rond[[#This Row],[Matériaux]],tab_matériaux[],2,FALSE)</f>
        <v>Alu</v>
      </c>
      <c r="G7" s="1">
        <v>60</v>
      </c>
      <c r="H7" s="6"/>
      <c r="I7" s="6"/>
      <c r="J7" s="6"/>
      <c r="K7" s="20">
        <f>IFERROR(10^-6*PI()*(tab_rond[[#This Row],[Ø (mm)]]/2)^2,"")</f>
        <v>2.8274333882308137E-3</v>
      </c>
      <c r="L7" s="20">
        <f>IFERROR(VLOOKUP(tab_rond[[#This Row],[Matériaux]],tab_matériaux[],3,FALSE)*tab_rond[[#This Row],[Surface m²]],"")</f>
        <v>7.9450878209285865</v>
      </c>
      <c r="M7" s="10">
        <v>500</v>
      </c>
      <c r="N7" s="1" t="s">
        <v>77</v>
      </c>
      <c r="O7" s="20">
        <f>IFERROR(10^-3*tab_rond[[#This Row],[Poids au mètre(kg)]]*tab_rond[[#This Row],[Stock réel (mm)]],"")</f>
        <v>3.9725439104642937</v>
      </c>
      <c r="P7" s="22">
        <f>IFERROR(tab_rond[[#This Row],[Poids du stock réel (Kg)]]*VLOOKUP(tab_rond[[#This Row],[Matériaux]],tab_matériaux[],4,FALSE),"")</f>
        <v>23.874988901890404</v>
      </c>
      <c r="Q7" s="13"/>
      <c r="R7" s="13"/>
      <c r="S7" s="6"/>
    </row>
    <row r="8" spans="1:21" x14ac:dyDescent="0.25">
      <c r="A8" s="50"/>
      <c r="B8" s="4"/>
      <c r="C8" s="4"/>
      <c r="D8" s="91" t="str">
        <f t="shared" ca="1" si="1"/>
        <v>Rond</v>
      </c>
      <c r="E8" s="1" t="s">
        <v>19</v>
      </c>
      <c r="F8" s="17" t="str">
        <f>VLOOKUP(tab_rond[[#This Row],[Matériaux]],tab_matériaux[],2,FALSE)</f>
        <v>Alu</v>
      </c>
      <c r="G8" s="1">
        <v>61</v>
      </c>
      <c r="H8" s="6"/>
      <c r="I8" s="6"/>
      <c r="J8" s="6"/>
      <c r="K8" s="20">
        <f>IFERROR(10^-6*PI()*(tab_rond[[#This Row],[Ø (mm)]]/2)^2,"")</f>
        <v>2.9224665660019049E-3</v>
      </c>
      <c r="L8" s="20">
        <f>IFERROR(VLOOKUP(tab_rond[[#This Row],[Matériaux]],tab_matériaux[],3,FALSE)*tab_rond[[#This Row],[Surface m²]],"")</f>
        <v>8.2121310504653522</v>
      </c>
      <c r="M8" s="10">
        <v>2555</v>
      </c>
      <c r="N8" s="1" t="s">
        <v>77</v>
      </c>
      <c r="O8" s="20">
        <f>IFERROR(10^-3*tab_rond[[#This Row],[Poids au mètre(kg)]]*tab_rond[[#This Row],[Stock réel (mm)]],"")</f>
        <v>20.981994833938973</v>
      </c>
      <c r="P8" s="22">
        <f>IFERROR(tab_rond[[#This Row],[Poids du stock réel (Kg)]]*VLOOKUP(tab_rond[[#This Row],[Matériaux]],tab_matériaux[],4,FALSE),"")</f>
        <v>126.10178895197322</v>
      </c>
      <c r="Q8" s="13"/>
      <c r="R8" s="13"/>
      <c r="S8" s="6"/>
    </row>
    <row r="9" spans="1:21" x14ac:dyDescent="0.25">
      <c r="A9" s="49"/>
      <c r="B9" s="3"/>
      <c r="C9" s="3"/>
      <c r="D9" s="58" t="str">
        <f ca="1">RIGHT(CELL("filename",$A$1),LEN(CELL("filename",$A$1))-SEARCH("]",CELL("filename",$A$1)))</f>
        <v>Rond</v>
      </c>
      <c r="E9" s="1" t="s">
        <v>26</v>
      </c>
      <c r="F9" s="15" t="str">
        <f>VLOOKUP(tab_rond[[#This Row],[Matériaux]],tab_matériaux[],2,FALSE)</f>
        <v>Plastique</v>
      </c>
      <c r="G9" s="5">
        <v>100</v>
      </c>
      <c r="H9" s="5"/>
      <c r="I9" s="5"/>
      <c r="J9" s="5"/>
      <c r="K9" s="19">
        <f>IFERROR(10^-6*PI()*(tab_rond[[#This Row],[Ø (mm)]]/2)^2,"")</f>
        <v>7.8539816339744817E-3</v>
      </c>
      <c r="L9" s="19">
        <f>IFERROR(VLOOKUP(tab_rond[[#This Row],[Matériaux]],tab_matériaux[],3,FALSE)*tab_rond[[#This Row],[Surface m²]],"")</f>
        <v>11.074114103904019</v>
      </c>
      <c r="M9" s="10">
        <v>2055</v>
      </c>
      <c r="N9" s="1" t="s">
        <v>77</v>
      </c>
      <c r="O9" s="19">
        <f>IFERROR(10^-3*tab_rond[[#This Row],[Poids au mètre(kg)]]*tab_rond[[#This Row],[Stock réel (mm)]],"")</f>
        <v>22.757304483522763</v>
      </c>
      <c r="P9" s="21">
        <f>IFERROR(tab_rond[[#This Row],[Poids du stock réel (Kg)]]*VLOOKUP(tab_rond[[#This Row],[Matériaux]],tab_matériaux[],4,FALSE),"")</f>
        <v>164.08016532619911</v>
      </c>
      <c r="Q9" s="14"/>
      <c r="R9" s="14"/>
      <c r="S9" s="5"/>
    </row>
    <row r="10" spans="1:21" x14ac:dyDescent="0.25">
      <c r="A10" s="50"/>
      <c r="B10" s="4"/>
      <c r="C10" s="4"/>
      <c r="D10" s="91" t="str">
        <f t="shared" ref="D10:D13" ca="1" si="2">RIGHT(CELL("filename",$A$1),LEN(CELL("filename",$A$1))-SEARCH("]",CELL("filename",$A$1)))</f>
        <v>Rond</v>
      </c>
      <c r="E10" s="1" t="s">
        <v>26</v>
      </c>
      <c r="F10" s="17" t="str">
        <f>VLOOKUP(tab_rond[[#This Row],[Matériaux]],tab_matériaux[],2,FALSE)</f>
        <v>Plastique</v>
      </c>
      <c r="G10" s="5">
        <v>105</v>
      </c>
      <c r="H10" s="6"/>
      <c r="I10" s="6"/>
      <c r="J10" s="6"/>
      <c r="K10" s="20">
        <f>IFERROR(10^-6*PI()*(tab_rond[[#This Row],[Ø (mm)]]/2)^2,"")</f>
        <v>8.6590147514568668E-3</v>
      </c>
      <c r="L10" s="20">
        <f>IFERROR(VLOOKUP(tab_rond[[#This Row],[Matériaux]],tab_matériaux[],3,FALSE)*tab_rond[[#This Row],[Surface m²]],"")</f>
        <v>12.209210799554182</v>
      </c>
      <c r="M10" s="10">
        <v>1555</v>
      </c>
      <c r="N10" s="1" t="s">
        <v>77</v>
      </c>
      <c r="O10" s="20">
        <f>IFERROR(10^-3*tab_rond[[#This Row],[Poids au mètre(kg)]]*tab_rond[[#This Row],[Stock réel (mm)]],"")</f>
        <v>18.985322793306754</v>
      </c>
      <c r="P10" s="22">
        <f>IFERROR(tab_rond[[#This Row],[Poids du stock réel (Kg)]]*VLOOKUP(tab_rond[[#This Row],[Matériaux]],tab_matériaux[],4,FALSE),"")</f>
        <v>136.88417733974168</v>
      </c>
      <c r="Q10" s="13"/>
      <c r="R10" s="13"/>
      <c r="S10" s="6"/>
    </row>
    <row r="11" spans="1:21" x14ac:dyDescent="0.25">
      <c r="A11" s="50"/>
      <c r="B11" s="4"/>
      <c r="C11" s="4"/>
      <c r="D11" s="91" t="str">
        <f t="shared" ca="1" si="2"/>
        <v>Rond</v>
      </c>
      <c r="E11" s="1" t="s">
        <v>26</v>
      </c>
      <c r="F11" s="17" t="str">
        <f>VLOOKUP(tab_rond[[#This Row],[Matériaux]],tab_matériaux[],2,FALSE)</f>
        <v>Plastique</v>
      </c>
      <c r="G11" s="5">
        <v>110</v>
      </c>
      <c r="H11" s="6"/>
      <c r="I11" s="6"/>
      <c r="J11" s="6"/>
      <c r="K11" s="20">
        <f>IFERROR(10^-6*PI()*(tab_rond[[#This Row],[Ø (mm)]]/2)^2,"")</f>
        <v>9.5033177771091243E-3</v>
      </c>
      <c r="L11" s="20">
        <f>IFERROR(VLOOKUP(tab_rond[[#This Row],[Matériaux]],tab_matériaux[],3,FALSE)*tab_rond[[#This Row],[Surface m²]],"")</f>
        <v>13.399678065723865</v>
      </c>
      <c r="M11" s="10">
        <v>1055</v>
      </c>
      <c r="N11" s="1" t="s">
        <v>77</v>
      </c>
      <c r="O11" s="20">
        <f>IFERROR(10^-3*tab_rond[[#This Row],[Poids au mètre(kg)]]*tab_rond[[#This Row],[Stock réel (mm)]],"")</f>
        <v>14.136660359338679</v>
      </c>
      <c r="P11" s="22">
        <f>IFERROR(tab_rond[[#This Row],[Poids du stock réel (Kg)]]*VLOOKUP(tab_rond[[#This Row],[Matériaux]],tab_matériaux[],4,FALSE),"")</f>
        <v>101.92532119083188</v>
      </c>
      <c r="Q11" s="13"/>
      <c r="R11" s="13"/>
      <c r="S11" s="6"/>
    </row>
    <row r="12" spans="1:21" x14ac:dyDescent="0.25">
      <c r="A12" s="50"/>
      <c r="B12" s="4"/>
      <c r="C12" s="4"/>
      <c r="D12" s="91" t="str">
        <f t="shared" ca="1" si="2"/>
        <v>Rond</v>
      </c>
      <c r="E12" s="1" t="s">
        <v>26</v>
      </c>
      <c r="F12" s="17" t="str">
        <f>VLOOKUP(tab_rond[[#This Row],[Matériaux]],tab_matériaux[],2,FALSE)</f>
        <v>Plastique</v>
      </c>
      <c r="G12" s="5">
        <v>115</v>
      </c>
      <c r="H12" s="6"/>
      <c r="I12" s="6"/>
      <c r="J12" s="6"/>
      <c r="K12" s="20">
        <f>IFERROR(10^-6*PI()*(tab_rond[[#This Row],[Ø (mm)]]/2)^2,"")</f>
        <v>1.0386890710931252E-2</v>
      </c>
      <c r="L12" s="20">
        <f>IFERROR(VLOOKUP(tab_rond[[#This Row],[Matériaux]],tab_matériaux[],3,FALSE)*tab_rond[[#This Row],[Surface m²]],"")</f>
        <v>14.645515902413067</v>
      </c>
      <c r="M12" s="10">
        <v>555</v>
      </c>
      <c r="N12" s="1" t="s">
        <v>77</v>
      </c>
      <c r="O12" s="20">
        <f>IFERROR(10^-3*tab_rond[[#This Row],[Poids au mètre(kg)]]*tab_rond[[#This Row],[Stock réel (mm)]],"")</f>
        <v>8.1282613258392526</v>
      </c>
      <c r="P12" s="22">
        <f>IFERROR(tab_rond[[#This Row],[Poids du stock réel (Kg)]]*VLOOKUP(tab_rond[[#This Row],[Matériaux]],tab_matériaux[],4,FALSE),"")</f>
        <v>58.604764159301013</v>
      </c>
      <c r="Q12" s="13"/>
      <c r="R12" s="13"/>
      <c r="S12" s="6"/>
    </row>
    <row r="13" spans="1:21" x14ac:dyDescent="0.25">
      <c r="A13" s="50"/>
      <c r="B13" s="4"/>
      <c r="C13" s="4"/>
      <c r="D13" s="91" t="str">
        <f t="shared" ca="1" si="2"/>
        <v>Rond</v>
      </c>
      <c r="E13" s="1" t="s">
        <v>26</v>
      </c>
      <c r="F13" s="17" t="str">
        <f>VLOOKUP(tab_rond[[#This Row],[Matériaux]],tab_matériaux[],2,FALSE)</f>
        <v>Plastique</v>
      </c>
      <c r="G13" s="5">
        <v>120</v>
      </c>
      <c r="H13" s="6"/>
      <c r="I13" s="6"/>
      <c r="J13" s="6"/>
      <c r="K13" s="20">
        <f>IFERROR(10^-6*PI()*(tab_rond[[#This Row],[Ø (mm)]]/2)^2,"")</f>
        <v>1.1309733552923255E-2</v>
      </c>
      <c r="L13" s="20">
        <f>IFERROR(VLOOKUP(tab_rond[[#This Row],[Matériaux]],tab_matériaux[],3,FALSE)*tab_rond[[#This Row],[Surface m²]],"")</f>
        <v>15.946724309621789</v>
      </c>
      <c r="M13" s="10">
        <v>55</v>
      </c>
      <c r="N13" s="1" t="s">
        <v>77</v>
      </c>
      <c r="O13" s="20">
        <f>IFERROR(10^-3*tab_rond[[#This Row],[Poids au mètre(kg)]]*tab_rond[[#This Row],[Stock réel (mm)]],"")</f>
        <v>0.87706983702919838</v>
      </c>
      <c r="P13" s="22">
        <f>IFERROR(tab_rond[[#This Row],[Poids du stock réel (Kg)]]*VLOOKUP(tab_rond[[#This Row],[Matériaux]],tab_matériaux[],4,FALSE),"")</f>
        <v>6.3236735249805207</v>
      </c>
      <c r="Q13" s="13"/>
      <c r="R13" s="13"/>
      <c r="S13" s="6"/>
    </row>
  </sheetData>
  <sheetProtection formatCells="0" formatColumns="0" sort="0" autoFilter="0" pivotTables="0"/>
  <dataConsolidate/>
  <dataValidations xWindow="939" yWindow="558" count="3">
    <dataValidation type="decimal" operator="greaterThan" allowBlank="1" showErrorMessage="1" error="Valeur supérieur à 0 obligatoire" prompt="Entrée une valeur supérieur à 0_x000a_" sqref="Q3:R13">
      <formula1>0</formula1>
    </dataValidation>
    <dataValidation type="list" allowBlank="1" showInputMessage="1" showErrorMessage="1" sqref="N3:N13">
      <formula1>plag_emplacement</formula1>
    </dataValidation>
    <dataValidation type="list" allowBlank="1" showInputMessage="1" showErrorMessage="1" sqref="E3:E13">
      <formula1>plag_matériaux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2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9" width="10.7109375" style="24" customWidth="1"/>
    <col min="10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SUBTOTAL(9,tab_carré[[Valeur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Carré</v>
      </c>
      <c r="E3" s="1"/>
      <c r="F3" s="15" t="e">
        <f>VLOOKUP(tab_carré[[#This Row],[Matériaux]],tab_matériaux[],2,FALSE)</f>
        <v>#N/A</v>
      </c>
      <c r="G3" s="1"/>
      <c r="H3" s="1"/>
      <c r="I3" s="1"/>
      <c r="J3" s="1"/>
      <c r="K3" s="18">
        <f>IFERROR(10^-6*tab_carré[[#This Row],[Largueur /
basse (mm)]]*tab_carré[[#This Row],[hauteur (mm)]],"")</f>
        <v>0</v>
      </c>
      <c r="L3" s="18" t="str">
        <f>IFERROR(VLOOKUP(tab_carré[[#This Row],[Matériaux]],tab_matériaux[],3,FALSE)*tab_carré[[#This Row],[Surface m²]],"")</f>
        <v/>
      </c>
      <c r="M3" s="7"/>
      <c r="N3" s="1"/>
      <c r="O3" s="18" t="str">
        <f>IFERROR(10^-3*tab_carré[[#This Row],[Poids au mètre(kg)]]*tab_carré[[#This Row],[Stock réel (mm)]],"")</f>
        <v/>
      </c>
      <c r="P3" s="21" t="str">
        <f>IFERROR(tab_carré[[#This Row],[Poids du stock réel (Kg)]]*VLOOKUP(tab_carré[[#This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Carré</v>
      </c>
      <c r="E4" s="1"/>
      <c r="F4" s="15" t="e">
        <f>VLOOKUP(tab_carré[[#This Row],[Matériaux]],tab_matériaux[],2,FALSE)</f>
        <v>#N/A</v>
      </c>
      <c r="G4" s="1"/>
      <c r="H4" s="1"/>
      <c r="I4" s="1"/>
      <c r="J4" s="1"/>
      <c r="K4" s="18">
        <f>IFERROR(10^-6*tab_carré[[#This Row],[Largueur /
basse (mm)]]*tab_carré[[#This Row],[hauteur (mm)]],"")</f>
        <v>0</v>
      </c>
      <c r="L4" s="18" t="str">
        <f>IFERROR(VLOOKUP(tab_carré[[#This Row],[Matériaux]],tab_matériaux[],3,FALSE)*tab_carré[[#This Row],[Surface m²]],"")</f>
        <v/>
      </c>
      <c r="M4" s="7"/>
      <c r="N4" s="1"/>
      <c r="O4" s="18" t="str">
        <f>IFERROR(10^-3*tab_carré[[#This Row],[Poids au mètre(kg)]]*tab_carré[[#This Row],[Stock réel (mm)]],"")</f>
        <v/>
      </c>
      <c r="P4" s="21" t="str">
        <f>IFERROR(tab_carré[[#This Row],[Poids du stock réel (Kg)]]*VLOOKUP(tab_carré[[#This Row],[Matériaux]],tab_matériaux[],4,FALSE),"")</f>
        <v/>
      </c>
      <c r="Q4" s="13"/>
      <c r="R4" s="13"/>
      <c r="S4" s="6"/>
    </row>
  </sheetData>
  <sheetProtection algorithmName="SHA-512" hashValue="LYJDikTIUHUMrdvqRVqha22mLeM4Q7esbCPLZqCbcKWMvNqwjTO4Ex5ook+IyccU6r1FF3yZ2howzHu5lu9b5w==" saltValue="D6eHg7p4+Z3OlyBeVbhYTw==" spinCount="100000" sheet="1" formatCells="0" formatColumns="0" sort="0" autoFilter="0" pivotTables="0"/>
  <dataValidations count="3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  <dataValidation type="decimal" operator="greaterThan" allowBlank="1" showInputMessage="1" showErrorMessage="1" error="Valeur supérieur à zero obligatoir" sqref="Q3:R4">
      <formula1>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tock3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9" width="10.7109375" style="24" hidden="1" customWidth="1"/>
    <col min="10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7" customWidth="1"/>
    <col min="19" max="19" width="25.7109375" style="27" customWidth="1"/>
    <col min="20" max="16384" width="9.140625" style="27"/>
  </cols>
  <sheetData>
    <row r="1" spans="1:21" ht="149.25" customHeight="1" x14ac:dyDescent="0.25">
      <c r="Q1" s="70"/>
    </row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64</v>
      </c>
      <c r="N2" s="30" t="s">
        <v>4</v>
      </c>
      <c r="O2" s="31" t="s">
        <v>53</v>
      </c>
      <c r="P2" s="31" t="s">
        <v>3</v>
      </c>
      <c r="Q2" s="48" t="s">
        <v>71</v>
      </c>
      <c r="R2" s="48" t="s">
        <v>72</v>
      </c>
      <c r="S2" s="30" t="s">
        <v>66</v>
      </c>
      <c r="U2" s="56">
        <f>SUBTOTAL(9,tab_plaque[[Valeur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Plaque</v>
      </c>
      <c r="E3" s="1"/>
      <c r="F3" s="15" t="e">
        <f>VLOOKUP(tab_plaque[[#This Row],[Matériaux]],tab_matériaux[],2,FALSE)</f>
        <v>#N/A</v>
      </c>
      <c r="G3" s="1"/>
      <c r="H3" s="1"/>
      <c r="I3" s="1"/>
      <c r="J3" s="1"/>
      <c r="K3" s="18">
        <f>IFERROR(10^-3*tab_plaque[[#This Row],[épaisseur (mm)]],"")</f>
        <v>0</v>
      </c>
      <c r="L3" s="18" t="str">
        <f>IFERROR(VLOOKUP(tab_plaque[[#This Row],[Matériaux]],tab_matériaux[],3,FALSE)*tab_plaque[[#This Row],[Surface m²]],"")</f>
        <v/>
      </c>
      <c r="M3" s="7"/>
      <c r="N3" s="1"/>
      <c r="O3" s="18" t="str">
        <f>IFERROR(tab_plaque[[#This Row],[Poids au mètre(kg)]]*tab_plaque[[#This Row],[Stock réel (m²)]],"")</f>
        <v/>
      </c>
      <c r="P3" s="21" t="str">
        <f>IFERROR(tab_plaque[[#This Row],[Poids du stock réel (Kg)]]*VLOOKUP(tab_plaque[[#This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Plaque</v>
      </c>
      <c r="E4" s="1"/>
      <c r="F4" s="15" t="e">
        <f>VLOOKUP(tab_plaque[[#This Row],[Matériaux]],tab_matériaux[],2,FALSE)</f>
        <v>#N/A</v>
      </c>
      <c r="G4" s="1"/>
      <c r="H4" s="1"/>
      <c r="I4" s="1"/>
      <c r="J4" s="1"/>
      <c r="K4" s="18">
        <f>IFERROR(10^-3*tab_plaque[[#This Row],[épaisseur (mm)]],"")</f>
        <v>0</v>
      </c>
      <c r="L4" s="18" t="str">
        <f>IFERROR(VLOOKUP(tab_plaque[[#This Row],[Matériaux]],tab_matériaux[],3,FALSE)*tab_plaque[[#This Row],[Surface m²]],"")</f>
        <v/>
      </c>
      <c r="M4" s="7"/>
      <c r="N4" s="1"/>
      <c r="O4" s="18" t="str">
        <f>IFERROR(tab_plaque[[#This Row],[Poids au mètre(kg)]]*tab_plaque[[#This Row],[Stock réel (m²)]],"")</f>
        <v/>
      </c>
      <c r="P4" s="21" t="str">
        <f>IFERROR(tab_plaque[[#This Row],[Poids du stock réel (Kg)]]*VLOOKUP(tab_plaque[[#This Row],[Matériaux]],tab_matériaux[],4,FALSE),"")</f>
        <v/>
      </c>
      <c r="Q4" s="13"/>
      <c r="R4" s="13"/>
      <c r="S4" s="6"/>
    </row>
  </sheetData>
  <sheetProtection algorithmName="SHA-512" hashValue="qy8KLgBaftekb3N2RSYMow0vw1j4RjEtngHqoyuZ7NrqA1IuhXLbH+oCPE1/Z12rTdaeu2TOz5QBt4DksE7c0Q==" saltValue="rAknjOnOpvvFhvnY3m5Ttw==" spinCount="100000" sheet="1" formatCells="0" formatColumns="0" sort="0" autoFilter="0" pivotTables="0"/>
  <dataValidations count="2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31" r:id="rId4" name="CommandButton1">
          <controlPr defaultSize="0" autoLine="0" r:id="rId5">
            <anchor moveWithCells="1">
              <from>
                <xdr:col>13</xdr:col>
                <xdr:colOff>885825</xdr:colOff>
                <xdr:row>0</xdr:row>
                <xdr:rowOff>866775</xdr:rowOff>
              </from>
              <to>
                <xdr:col>14</xdr:col>
                <xdr:colOff>619125</xdr:colOff>
                <xdr:row>0</xdr:row>
                <xdr:rowOff>1114425</xdr:rowOff>
              </to>
            </anchor>
          </controlPr>
        </control>
      </mc:Choice>
      <mc:Fallback>
        <control shapeId="5131" r:id="rId4" name="CommandButton1"/>
      </mc:Fallback>
    </mc:AlternateContent>
    <mc:AlternateContent xmlns:mc="http://schemas.openxmlformats.org/markup-compatibility/2006">
      <mc:Choice Requires="x14">
        <control shapeId="5125" r:id="rId6" name="TextBox3">
          <controlPr defaultSize="0" autoLine="0" r:id="rId7">
            <anchor moveWithCells="1">
              <from>
                <xdr:col>13</xdr:col>
                <xdr:colOff>885825</xdr:colOff>
                <xdr:row>0</xdr:row>
                <xdr:rowOff>1228725</xdr:rowOff>
              </from>
              <to>
                <xdr:col>14</xdr:col>
                <xdr:colOff>609600</xdr:colOff>
                <xdr:row>0</xdr:row>
                <xdr:rowOff>1466850</xdr:rowOff>
              </to>
            </anchor>
          </controlPr>
        </control>
      </mc:Choice>
      <mc:Fallback>
        <control shapeId="5125" r:id="rId6" name="TextBox3"/>
      </mc:Fallback>
    </mc:AlternateContent>
    <mc:AlternateContent xmlns:mc="http://schemas.openxmlformats.org/markup-compatibility/2006">
      <mc:Choice Requires="x14">
        <control shapeId="5124" r:id="rId8" name="TextBox2">
          <controlPr defaultSize="0" autoLine="0" r:id="rId9">
            <anchor moveWithCells="1">
              <from>
                <xdr:col>13</xdr:col>
                <xdr:colOff>885825</xdr:colOff>
                <xdr:row>0</xdr:row>
                <xdr:rowOff>571500</xdr:rowOff>
              </from>
              <to>
                <xdr:col>14</xdr:col>
                <xdr:colOff>609600</xdr:colOff>
                <xdr:row>0</xdr:row>
                <xdr:rowOff>781050</xdr:rowOff>
              </to>
            </anchor>
          </controlPr>
        </control>
      </mc:Choice>
      <mc:Fallback>
        <control shapeId="5124" r:id="rId8" name="TextBox2"/>
      </mc:Fallback>
    </mc:AlternateContent>
    <mc:AlternateContent xmlns:mc="http://schemas.openxmlformats.org/markup-compatibility/2006">
      <mc:Choice Requires="x14">
        <control shapeId="5123" r:id="rId10" name="TextBox1">
          <controlPr defaultSize="0" autoLine="0" r:id="rId11">
            <anchor moveWithCells="1">
              <from>
                <xdr:col>13</xdr:col>
                <xdr:colOff>885825</xdr:colOff>
                <xdr:row>0</xdr:row>
                <xdr:rowOff>352425</xdr:rowOff>
              </from>
              <to>
                <xdr:col>14</xdr:col>
                <xdr:colOff>609600</xdr:colOff>
                <xdr:row>0</xdr:row>
                <xdr:rowOff>571500</xdr:rowOff>
              </to>
            </anchor>
          </controlPr>
        </control>
      </mc:Choice>
      <mc:Fallback>
        <control shapeId="5123" r:id="rId10" name="TextBox1"/>
      </mc:Fallback>
    </mc:AlternateContent>
    <mc:AlternateContent xmlns:mc="http://schemas.openxmlformats.org/markup-compatibility/2006">
      <mc:Choice Requires="x14">
        <control shapeId="5121" r:id="rId12" name="Label 1">
          <controlPr defaultSize="0" autoFill="0" autoLine="0" autoPict="0">
            <anchor moveWithCells="1" sizeWithCells="1">
              <from>
                <xdr:col>13</xdr:col>
                <xdr:colOff>400050</xdr:colOff>
                <xdr:row>0</xdr:row>
                <xdr:rowOff>400050</xdr:rowOff>
              </from>
              <to>
                <xdr:col>14</xdr:col>
                <xdr:colOff>95250</xdr:colOff>
                <xdr:row>0</xdr:row>
                <xdr:rowOff>638175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2" r:id="rId13" name="Label 2">
          <controlPr defaultSize="0" autoFill="0" autoLine="0" autoPict="0">
            <anchor moveWithCells="1" sizeWithCells="1">
              <from>
                <xdr:col>13</xdr:col>
                <xdr:colOff>400050</xdr:colOff>
                <xdr:row>0</xdr:row>
                <xdr:rowOff>600075</xdr:rowOff>
              </from>
              <to>
                <xdr:col>13</xdr:col>
                <xdr:colOff>990600</xdr:colOff>
                <xdr:row>0</xdr:row>
                <xdr:rowOff>847725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14" name="Label 7">
          <controlPr defaultSize="0" autoFill="0" autoLine="0" autoPict="0">
            <anchor moveWithCells="1" sizeWithCells="1">
              <from>
                <xdr:col>13</xdr:col>
                <xdr:colOff>419100</xdr:colOff>
                <xdr:row>0</xdr:row>
                <xdr:rowOff>1276350</xdr:rowOff>
              </from>
              <to>
                <xdr:col>13</xdr:col>
                <xdr:colOff>981075</xdr:colOff>
                <xdr:row>0</xdr:row>
                <xdr:rowOff>1543050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15" name="Label 8">
          <controlPr defaultSize="0" autoFill="0" autoLine="0" autoPict="0">
            <anchor moveWithCells="1" sizeWithCells="1">
              <from>
                <xdr:col>14</xdr:col>
                <xdr:colOff>628650</xdr:colOff>
                <xdr:row>0</xdr:row>
                <xdr:rowOff>371475</xdr:rowOff>
              </from>
              <to>
                <xdr:col>15</xdr:col>
                <xdr:colOff>95250</xdr:colOff>
                <xdr:row>0</xdr:row>
                <xdr:rowOff>619125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9" r:id="rId16" name="Label 9">
          <controlPr defaultSize="0" autoFill="0" autoLine="0" autoPict="0">
            <anchor moveWithCells="1" sizeWithCells="1">
              <from>
                <xdr:col>14</xdr:col>
                <xdr:colOff>628650</xdr:colOff>
                <xdr:row>0</xdr:row>
                <xdr:rowOff>590550</xdr:rowOff>
              </from>
              <to>
                <xdr:col>15</xdr:col>
                <xdr:colOff>95250</xdr:colOff>
                <xdr:row>0</xdr:row>
                <xdr:rowOff>838200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7" name="Label 10">
          <controlPr defaultSize="0" autoFill="0" autoLine="0" autoPict="0">
            <anchor moveWithCells="1" sizeWithCells="1">
              <from>
                <xdr:col>14</xdr:col>
                <xdr:colOff>638175</xdr:colOff>
                <xdr:row>0</xdr:row>
                <xdr:rowOff>1238250</xdr:rowOff>
              </from>
              <to>
                <xdr:col>15</xdr:col>
                <xdr:colOff>104775</xdr:colOff>
                <xdr:row>0</xdr:row>
                <xdr:rowOff>1485900</xdr:rowOff>
              </to>
            </anchor>
          </controlPr>
        </control>
      </mc:Choice>
    </mc:AlternateContent>
  </controls>
  <tableParts count="1">
    <tablePart r:id="rId18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9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tock4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9" width="10.7109375" style="24" hidden="1" customWidth="1"/>
    <col min="10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64</v>
      </c>
      <c r="N2" s="30" t="s">
        <v>4</v>
      </c>
      <c r="O2" s="31" t="s">
        <v>53</v>
      </c>
      <c r="P2" s="31" t="s">
        <v>3</v>
      </c>
      <c r="Q2" s="73" t="s">
        <v>71</v>
      </c>
      <c r="R2" s="74" t="s">
        <v>72</v>
      </c>
      <c r="S2" s="30" t="s">
        <v>66</v>
      </c>
      <c r="U2" s="56">
        <f>SUBTOTAL(9,tab_tole[[Valeur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Tole</v>
      </c>
      <c r="E3" s="1"/>
      <c r="F3" s="15" t="e">
        <f>VLOOKUP(tab_tole[[#This Row],[Matériaux]],tab_matériaux[],2,FALSE)</f>
        <v>#N/A</v>
      </c>
      <c r="G3" s="1"/>
      <c r="H3" s="1"/>
      <c r="I3" s="1"/>
      <c r="J3" s="1"/>
      <c r="K3" s="18">
        <f>IFERROR(10^-3*tab_tole[[#This Row],[épaisseur (mm)]],"")</f>
        <v>0</v>
      </c>
      <c r="L3" s="18" t="str">
        <f>IFERROR(VLOOKUP(tab_tole[[#This Row],[Matériaux]],tab_matériaux[],3,FALSE)*tab_tole[[#This Row],[Surface m²]],"")</f>
        <v/>
      </c>
      <c r="M3" s="7"/>
      <c r="N3" s="1"/>
      <c r="O3" s="18" t="str">
        <f>IFERROR(tab_tole[[#This Row],[Poids au mètre(kg)]]*tab_tole[[#This Row],[Stock réel (m²)]],"")</f>
        <v/>
      </c>
      <c r="P3" s="21" t="str">
        <f>IFERROR(tab_tole[[#This Row],[Poids du stock réel (Kg)]]*VLOOKUP(tab_tole[[#This Row],[Matériaux]],tab_matériaux[],4,FALSE),"")</f>
        <v/>
      </c>
      <c r="Q3" s="71"/>
      <c r="R3" s="71"/>
      <c r="S3" s="6"/>
    </row>
    <row r="4" spans="1:21" x14ac:dyDescent="0.25">
      <c r="A4" s="33"/>
      <c r="B4" s="3"/>
      <c r="C4" s="16"/>
      <c r="D4" s="15" t="str">
        <f t="shared" ca="1" si="0"/>
        <v>Tole</v>
      </c>
      <c r="E4" s="1"/>
      <c r="F4" s="15" t="e">
        <f>VLOOKUP(tab_tole[[#This Row],[Matériaux]],tab_matériaux[],2,FALSE)</f>
        <v>#N/A</v>
      </c>
      <c r="G4" s="1"/>
      <c r="H4" s="1"/>
      <c r="I4" s="1"/>
      <c r="J4" s="1"/>
      <c r="K4" s="18">
        <f>IFERROR(10^-3*tab_tole[[#This Row],[épaisseur (mm)]],"")</f>
        <v>0</v>
      </c>
      <c r="L4" s="18" t="str">
        <f>IFERROR(VLOOKUP(tab_tole[[#This Row],[Matériaux]],tab_matériaux[],3,FALSE)*tab_tole[[#This Row],[Surface m²]],"")</f>
        <v/>
      </c>
      <c r="M4" s="7"/>
      <c r="N4" s="1"/>
      <c r="O4" s="18" t="str">
        <f>IFERROR(tab_tole[[#This Row],[Poids au mètre(kg)]]*tab_tole[[#This Row],[Stock réel (m²)]],"")</f>
        <v/>
      </c>
      <c r="P4" s="21" t="str">
        <f>IFERROR(tab_tole[[#This Row],[Poids du stock réel (Kg)]]*VLOOKUP(tab_tole[[#This Row],[Matériaux]],tab_matériaux[],4,FALSE),"")</f>
        <v/>
      </c>
      <c r="Q4" s="13"/>
      <c r="R4" s="13"/>
      <c r="S4" s="6"/>
    </row>
  </sheetData>
  <sheetProtection algorithmName="SHA-512" hashValue="zJzLe6tosDMcIR/AfCL5ET41NNH7l2v6pJZulcC9DMFyJes+VXKOdjgs1Srb6SecKLBWyzmdgdD8EoC2ETZqwQ==" saltValue="O0PvVHPKkDAu4Bz4U0Qeuw==" spinCount="100000" sheet="1" formatCells="0" formatColumns="0" sort="0" autoFilter="0" pivotTables="0"/>
  <dataValidations count="2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4" r:id="rId4" name="CommandButton1">
          <controlPr defaultSize="0" autoLine="0" r:id="rId5">
            <anchor moveWithCells="1">
              <from>
                <xdr:col>13</xdr:col>
                <xdr:colOff>895350</xdr:colOff>
                <xdr:row>0</xdr:row>
                <xdr:rowOff>847725</xdr:rowOff>
              </from>
              <to>
                <xdr:col>14</xdr:col>
                <xdr:colOff>628650</xdr:colOff>
                <xdr:row>0</xdr:row>
                <xdr:rowOff>1095375</xdr:rowOff>
              </to>
            </anchor>
          </controlPr>
        </control>
      </mc:Choice>
      <mc:Fallback>
        <control shapeId="6154" r:id="rId4" name="CommandButton1"/>
      </mc:Fallback>
    </mc:AlternateContent>
    <mc:AlternateContent xmlns:mc="http://schemas.openxmlformats.org/markup-compatibility/2006">
      <mc:Choice Requires="x14">
        <control shapeId="6147" r:id="rId6" name="TextBox3">
          <controlPr defaultSize="0" autoLine="0" r:id="rId7">
            <anchor moveWithCells="1">
              <from>
                <xdr:col>13</xdr:col>
                <xdr:colOff>895350</xdr:colOff>
                <xdr:row>0</xdr:row>
                <xdr:rowOff>1209675</xdr:rowOff>
              </from>
              <to>
                <xdr:col>14</xdr:col>
                <xdr:colOff>619125</xdr:colOff>
                <xdr:row>0</xdr:row>
                <xdr:rowOff>1447800</xdr:rowOff>
              </to>
            </anchor>
          </controlPr>
        </control>
      </mc:Choice>
      <mc:Fallback>
        <control shapeId="6147" r:id="rId6" name="TextBox3"/>
      </mc:Fallback>
    </mc:AlternateContent>
    <mc:AlternateContent xmlns:mc="http://schemas.openxmlformats.org/markup-compatibility/2006">
      <mc:Choice Requires="x14">
        <control shapeId="6146" r:id="rId8" name="TextBox2">
          <controlPr defaultSize="0" autoLine="0" r:id="rId9">
            <anchor moveWithCells="1">
              <from>
                <xdr:col>13</xdr:col>
                <xdr:colOff>895350</xdr:colOff>
                <xdr:row>0</xdr:row>
                <xdr:rowOff>552450</xdr:rowOff>
              </from>
              <to>
                <xdr:col>14</xdr:col>
                <xdr:colOff>619125</xdr:colOff>
                <xdr:row>0</xdr:row>
                <xdr:rowOff>762000</xdr:rowOff>
              </to>
            </anchor>
          </controlPr>
        </control>
      </mc:Choice>
      <mc:Fallback>
        <control shapeId="6146" r:id="rId8" name="TextBox2"/>
      </mc:Fallback>
    </mc:AlternateContent>
    <mc:AlternateContent xmlns:mc="http://schemas.openxmlformats.org/markup-compatibility/2006">
      <mc:Choice Requires="x14">
        <control shapeId="6145" r:id="rId10" name="TextBox1">
          <controlPr defaultSize="0" autoLine="0" r:id="rId11">
            <anchor moveWithCells="1">
              <from>
                <xdr:col>13</xdr:col>
                <xdr:colOff>895350</xdr:colOff>
                <xdr:row>0</xdr:row>
                <xdr:rowOff>333375</xdr:rowOff>
              </from>
              <to>
                <xdr:col>14</xdr:col>
                <xdr:colOff>619125</xdr:colOff>
                <xdr:row>0</xdr:row>
                <xdr:rowOff>552450</xdr:rowOff>
              </to>
            </anchor>
          </controlPr>
        </control>
      </mc:Choice>
      <mc:Fallback>
        <control shapeId="6145" r:id="rId10" name="TextBox1"/>
      </mc:Fallback>
    </mc:AlternateContent>
    <mc:AlternateContent xmlns:mc="http://schemas.openxmlformats.org/markup-compatibility/2006">
      <mc:Choice Requires="x14">
        <control shapeId="6148" r:id="rId12" name="Label 4">
          <controlPr defaultSize="0" autoFill="0" autoLine="0" autoPict="0">
            <anchor moveWithCells="1" sizeWithCells="1">
              <from>
                <xdr:col>13</xdr:col>
                <xdr:colOff>409575</xdr:colOff>
                <xdr:row>0</xdr:row>
                <xdr:rowOff>381000</xdr:rowOff>
              </from>
              <to>
                <xdr:col>14</xdr:col>
                <xdr:colOff>104775</xdr:colOff>
                <xdr:row>0</xdr:row>
                <xdr:rowOff>619125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9" r:id="rId13" name="Label 5">
          <controlPr defaultSize="0" autoFill="0" autoLine="0" autoPict="0">
            <anchor moveWithCells="1" sizeWithCells="1">
              <from>
                <xdr:col>13</xdr:col>
                <xdr:colOff>409575</xdr:colOff>
                <xdr:row>0</xdr:row>
                <xdr:rowOff>581025</xdr:rowOff>
              </from>
              <to>
                <xdr:col>13</xdr:col>
                <xdr:colOff>1000125</xdr:colOff>
                <xdr:row>0</xdr:row>
                <xdr:rowOff>828675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0" r:id="rId14" name="Label 6">
          <controlPr defaultSize="0" autoFill="0" autoLine="0" autoPict="0">
            <anchor moveWithCells="1" sizeWithCells="1">
              <from>
                <xdr:col>13</xdr:col>
                <xdr:colOff>428625</xdr:colOff>
                <xdr:row>0</xdr:row>
                <xdr:rowOff>1257300</xdr:rowOff>
              </from>
              <to>
                <xdr:col>13</xdr:col>
                <xdr:colOff>990600</xdr:colOff>
                <xdr:row>0</xdr:row>
                <xdr:rowOff>1524000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1" r:id="rId15" name="Label 7">
          <controlPr defaultSize="0" autoFill="0" autoLine="0" autoPict="0">
            <anchor moveWithCells="1" sizeWithCells="1">
              <from>
                <xdr:col>14</xdr:col>
                <xdr:colOff>638175</xdr:colOff>
                <xdr:row>0</xdr:row>
                <xdr:rowOff>352425</xdr:rowOff>
              </from>
              <to>
                <xdr:col>15</xdr:col>
                <xdr:colOff>104775</xdr:colOff>
                <xdr:row>0</xdr:row>
                <xdr:rowOff>600075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2" r:id="rId16" name="Label 8">
          <controlPr defaultSize="0" autoFill="0" autoLine="0" autoPict="0">
            <anchor moveWithCells="1" sizeWithCells="1">
              <from>
                <xdr:col>14</xdr:col>
                <xdr:colOff>638175</xdr:colOff>
                <xdr:row>0</xdr:row>
                <xdr:rowOff>571500</xdr:rowOff>
              </from>
              <to>
                <xdr:col>15</xdr:col>
                <xdr:colOff>104775</xdr:colOff>
                <xdr:row>0</xdr:row>
                <xdr:rowOff>819150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3" r:id="rId17" name="Label 9">
          <controlPr defaultSize="0" autoFill="0" autoLine="0" autoPict="0">
            <anchor moveWithCells="1" sizeWithCells="1">
              <from>
                <xdr:col>14</xdr:col>
                <xdr:colOff>647700</xdr:colOff>
                <xdr:row>0</xdr:row>
                <xdr:rowOff>1219200</xdr:rowOff>
              </from>
              <to>
                <xdr:col>15</xdr:col>
                <xdr:colOff>114300</xdr:colOff>
                <xdr:row>0</xdr:row>
                <xdr:rowOff>1466850</xdr:rowOff>
              </to>
            </anchor>
          </controlPr>
        </control>
      </mc:Choice>
    </mc:AlternateContent>
  </controls>
  <tableParts count="1">
    <tablePart r:id="rId18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9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5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8" width="10.7109375" style="24" customWidth="1"/>
    <col min="9" max="9" width="10.7109375" style="24" hidden="1" customWidth="1"/>
    <col min="10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72" t="s">
        <v>67</v>
      </c>
      <c r="S2" s="30" t="s">
        <v>66</v>
      </c>
      <c r="U2" s="56">
        <f>SUBTOTAL(9,tab_plat[[Valeur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Plat</v>
      </c>
      <c r="E3" s="1"/>
      <c r="F3" s="15" t="e">
        <f>VLOOKUP(tab_plat[[#This Row],[Matériaux]],tab_matériaux[],2,FALSE)</f>
        <v>#N/A</v>
      </c>
      <c r="G3" s="1"/>
      <c r="H3" s="1"/>
      <c r="I3" s="1"/>
      <c r="J3" s="1"/>
      <c r="K3" s="18">
        <f>IFERROR(10^-6*tab_plat[[#This Row],[Largueur /
basse (mm)]]*tab_plat[[#This Row],[épaisseur (mm)]],"")</f>
        <v>0</v>
      </c>
      <c r="L3" s="18" t="str">
        <f>IFERROR(VLOOKUP(tab_plat[[#This Row],[Matériaux]],tab_matériaux[],3,FALSE)*tab_plat[[#This Row],[Surface m²]],"")</f>
        <v/>
      </c>
      <c r="M3" s="7"/>
      <c r="N3" s="1"/>
      <c r="O3" s="18" t="str">
        <f>IFERROR(10^-3*tab_plat[[#This Row],[Poids au mètre(kg)]]*tab_plat[[#This Row],[Stock réel (mm)]],"")</f>
        <v/>
      </c>
      <c r="P3" s="21" t="str">
        <f>IFERROR(tab_plat[[#This Row],[Poids du stock réel (Kg)]]*VLOOKUP(tab_plat[[#This Row],[Matériaux]],tab_matériaux[],4,FALSE),"")</f>
        <v/>
      </c>
      <c r="Q3" s="13"/>
      <c r="R3" s="71"/>
      <c r="S3" s="6"/>
    </row>
    <row r="4" spans="1:21" x14ac:dyDescent="0.25">
      <c r="A4" s="33"/>
      <c r="B4" s="3"/>
      <c r="C4" s="16"/>
      <c r="D4" s="15" t="str">
        <f t="shared" ca="1" si="0"/>
        <v>Plat</v>
      </c>
      <c r="E4" s="1"/>
      <c r="F4" s="15" t="e">
        <f>VLOOKUP(tab_plat[[#This Row],[Matériaux]],tab_matériaux[],2,FALSE)</f>
        <v>#N/A</v>
      </c>
      <c r="G4" s="1"/>
      <c r="H4" s="1"/>
      <c r="I4" s="1"/>
      <c r="J4" s="1"/>
      <c r="K4" s="18">
        <f>IFERROR(10^-6*tab_plat[[#This Row],[Largueur /
basse (mm)]]*tab_plat[[#This Row],[épaisseur (mm)]],"")</f>
        <v>0</v>
      </c>
      <c r="L4" s="18" t="str">
        <f>IFERROR(VLOOKUP(tab_plat[[#This Row],[Matériaux]],tab_matériaux[],3,FALSE)*tab_plat[[#This Row],[Surface m²]],"")</f>
        <v/>
      </c>
      <c r="M4" s="7"/>
      <c r="N4" s="1"/>
      <c r="O4" s="18" t="str">
        <f>IFERROR(10^-3*tab_plat[[#This Row],[Poids au mètre(kg)]]*tab_plat[[#This Row],[Stock réel (mm)]],"")</f>
        <v/>
      </c>
      <c r="P4" s="21" t="str">
        <f>IFERROR(tab_plat[[#This Row],[Poids du stock réel (Kg)]]*VLOOKUP(tab_plat[[#This Row],[Matériaux]],tab_matériaux[],4,FALSE),"")</f>
        <v/>
      </c>
      <c r="Q4" s="13"/>
      <c r="R4" s="13"/>
      <c r="S4" s="6"/>
    </row>
  </sheetData>
  <sheetProtection algorithmName="SHA-512" hashValue="pkveFtCKA2Q+G+a2HPYpFUgttCoBqflwEWnbqOP85/gB+9wtc1+0NK3n0SA4WfGyHTEZTcrECPb4sezXu3N4LQ==" saltValue="FPjEIw+yncQRDP6myEMjbQ==" spinCount="100000" sheet="1" formatCells="0" formatColumns="0" sort="0" autoFilter="0" pivotTables="0"/>
  <dataValidations count="2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6"/>
  <dimension ref="A1:U4"/>
  <sheetViews>
    <sheetView topLeftCell="B1" zoomScaleNormal="100" workbookViewId="0">
      <pane ySplit="2" topLeftCell="A3" activePane="bottomLeft" state="frozen"/>
      <selection activeCell="U14" sqref="U14:U15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72" t="s">
        <v>67</v>
      </c>
      <c r="S2" s="30" t="s">
        <v>66</v>
      </c>
      <c r="U2" s="56">
        <f>SUBTOTAL(9,tab_disque[[Valeur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Disque</v>
      </c>
      <c r="E3" s="1"/>
      <c r="F3" s="15" t="e">
        <f>VLOOKUP(tab_disque[[#This Row],[Matériaux]],tab_matériaux[],2,FALSE)</f>
        <v>#N/A</v>
      </c>
      <c r="G3" s="1"/>
      <c r="H3" s="1"/>
      <c r="I3" s="1"/>
      <c r="J3" s="1"/>
      <c r="K3" s="18">
        <f>IFERROR(10^-6*PI()*(tab_disque[[#This Row],[Ø (mm)]]/2)^2,"")</f>
        <v>0</v>
      </c>
      <c r="L3" s="18" t="str">
        <f>IFERROR(VLOOKUP(tab_disque[[#This Row],[Matériaux]],tab_matériaux[],3,FALSE)*tab_disque[[#This Row],[Surface m²]],"")</f>
        <v/>
      </c>
      <c r="M3" s="7"/>
      <c r="N3" s="11"/>
      <c r="O3" s="18" t="str">
        <f>IFERROR(10^-3*tab_disque[[#This Row],[Poids au mètre(kg)]]*tab_disque[[#This Row],[Stock réel (mm)]],"")</f>
        <v/>
      </c>
      <c r="P3" s="21" t="str">
        <f>IFERROR(tab_disque[[#This Row],[Poids du stock réel (Kg)]]*VLOOKUP(tab_disque[[#This Row],[Matériaux]],tab_matériaux[],4,FALSE),"")</f>
        <v/>
      </c>
      <c r="Q3" s="13"/>
      <c r="R3" s="71"/>
      <c r="S3" s="6"/>
    </row>
    <row r="4" spans="1:21" x14ac:dyDescent="0.25">
      <c r="A4" s="50"/>
      <c r="B4" s="4"/>
      <c r="C4" s="4"/>
      <c r="D4" s="15" t="str">
        <f t="shared" ca="1" si="0"/>
        <v>Disque</v>
      </c>
      <c r="E4" s="1"/>
      <c r="F4" s="17" t="e">
        <f>VLOOKUP(tab_disque[[#This Row],[Matériaux]],tab_matériaux[],2,FALSE)</f>
        <v>#N/A</v>
      </c>
      <c r="G4" s="1"/>
      <c r="H4" s="6"/>
      <c r="I4" s="6"/>
      <c r="J4" s="6"/>
      <c r="K4" s="20">
        <f>IFERROR(10^-6*PI()*(tab_disque[[#This Row],[Ø (mm)]]/2)^2,"")</f>
        <v>0</v>
      </c>
      <c r="L4" s="20" t="str">
        <f>IFERROR(VLOOKUP(tab_disque[[#This Row],[Matériaux]],tab_matériaux[],3,FALSE)*tab_disque[[#This Row],[Surface m²]],"")</f>
        <v/>
      </c>
      <c r="M4" s="9"/>
      <c r="N4" s="11"/>
      <c r="O4" s="20" t="str">
        <f>IFERROR(10^-3*tab_disque[[#This Row],[Poids au mètre(kg)]]*tab_disque[[#This Row],[Stock réel (mm)]],"")</f>
        <v/>
      </c>
      <c r="P4" s="22" t="str">
        <f>IFERROR(tab_disque[[#This Row],[Poids du stock réel (Kg)]]*VLOOKUP(tab_disque[[#This Row],[Matériaux]],tab_matériaux[],4,FALSE),"")</f>
        <v/>
      </c>
      <c r="Q4" s="13"/>
      <c r="R4" s="13"/>
      <c r="S4" s="63"/>
    </row>
  </sheetData>
  <sheetProtection algorithmName="SHA-512" hashValue="pVyffrDY9nLgMw2kSZncgSC/UpXxj5s9izTsx8JFe5+p0rdIZDlwqYK9fLauHxlYTE+arsUwDIoXSoP9xbuuvw==" saltValue="9mjkq9CyUpHhyRHv4hMaKw==" spinCount="100000" sheet="1" formatCells="0" formatColumns="0" sort="0" autoFilter="0" pivotTables="0"/>
  <dataValidations count="2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7"/>
  <dimension ref="A1:U16"/>
  <sheetViews>
    <sheetView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9" width="10.7109375" style="24" hidden="1" customWidth="1"/>
    <col min="10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72" t="s">
        <v>67</v>
      </c>
      <c r="S2" s="30" t="s">
        <v>66</v>
      </c>
      <c r="U2" s="56">
        <f>SUBTOTAL(9,tab_tube_rond[[Valeur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Tube_rond</v>
      </c>
      <c r="E3" s="1"/>
      <c r="F3" s="15" t="e">
        <f>VLOOKUP(tab_tube_rond[[#This Row],[Matériaux]],tab_matériaux[],2,FALSE)</f>
        <v>#N/A</v>
      </c>
      <c r="G3" s="1"/>
      <c r="H3" s="1"/>
      <c r="I3" s="1"/>
      <c r="J3" s="1"/>
      <c r="K3" s="18">
        <f>IFERROR(10^-6*PI()*((tab_tube_rond[[#This Row],[Ø (mm)]]/2)^2-((tab_tube_rond[[#This Row],[Ø (mm)]]/2)-tab_tube_rond[[#This Row],[épaisseur (mm)]])^2),"")</f>
        <v>0</v>
      </c>
      <c r="L3" s="18" t="str">
        <f>IFERROR(VLOOKUP(tab_tube_rond[[#This Row],[Matériaux]],tab_matériaux[],3,FALSE)*tab_tube_rond[[#This Row],[Surface m²]],"")</f>
        <v/>
      </c>
      <c r="M3" s="8"/>
      <c r="N3" s="1"/>
      <c r="O3" s="18" t="str">
        <f>IFERROR(10^-3*tab_tube_rond[[#This Row],[Poids au mètre(kg)]]*tab_tube_rond[[#This Row],[Stock réel (mm)]],"")</f>
        <v/>
      </c>
      <c r="P3" s="21" t="str">
        <f>IFERROR(tab_tube_rond[[#This Row],[Poids du stock réel (Kg)]]*VLOOKUP(tab_tube_rond[[#This Row],[Matériaux]],tab_matériaux[],4,FALSE),"")</f>
        <v/>
      </c>
      <c r="Q3" s="13"/>
      <c r="R3" s="71"/>
      <c r="S3" s="6"/>
    </row>
    <row r="4" spans="1:21" x14ac:dyDescent="0.25">
      <c r="A4" s="33"/>
      <c r="B4" s="3"/>
      <c r="C4" s="16"/>
      <c r="D4" s="15" t="str">
        <f t="shared" ca="1" si="0"/>
        <v>Tube_rond</v>
      </c>
      <c r="E4" s="1"/>
      <c r="F4" s="15" t="e">
        <f>VLOOKUP(tab_tube_rond[[#This Row],[Matériaux]],tab_matériaux[],2,FALSE)</f>
        <v>#N/A</v>
      </c>
      <c r="G4" s="1"/>
      <c r="H4" s="1"/>
      <c r="I4" s="1"/>
      <c r="J4" s="1"/>
      <c r="K4" s="18">
        <f>IFERROR(10^-6*PI()*((tab_tube_rond[[#This Row],[Ø (mm)]]/2)^2-((tab_tube_rond[[#This Row],[Ø (mm)]]/2)-tab_tube_rond[[#This Row],[épaisseur (mm)]])^2),"")</f>
        <v>0</v>
      </c>
      <c r="L4" s="18" t="str">
        <f>IFERROR(VLOOKUP(tab_tube_rond[[#This Row],[Matériaux]],tab_matériaux[],3,FALSE)*tab_tube_rond[[#This Row],[Surface m²]],"")</f>
        <v/>
      </c>
      <c r="M4" s="8"/>
      <c r="N4" s="1"/>
      <c r="O4" s="18" t="str">
        <f>IFERROR(10^-3*tab_tube_rond[[#This Row],[Poids au mètre(kg)]]*tab_tube_rond[[#This Row],[Stock réel (mm)]],"")</f>
        <v/>
      </c>
      <c r="P4" s="21" t="str">
        <f>IFERROR(tab_tube_rond[[#This Row],[Poids du stock réel (Kg)]]*VLOOKUP(tab_tube_rond[[#This Row],[Matériaux]],tab_matériaux[],4,FALSE),"")</f>
        <v/>
      </c>
      <c r="Q4" s="13"/>
      <c r="R4" s="13"/>
      <c r="S4" s="6"/>
    </row>
    <row r="5" spans="1:21" x14ac:dyDescent="0.25">
      <c r="A5" s="49"/>
      <c r="B5" s="51"/>
      <c r="C5" s="51"/>
      <c r="D5" s="59"/>
      <c r="E5" s="60"/>
      <c r="F5" s="52"/>
      <c r="G5" s="53"/>
      <c r="H5" s="53"/>
      <c r="I5" s="53"/>
      <c r="J5" s="53"/>
      <c r="K5" s="54"/>
      <c r="L5" s="54"/>
      <c r="M5" s="64"/>
      <c r="N5" s="1"/>
      <c r="O5" s="54"/>
      <c r="P5" s="55"/>
      <c r="Q5" s="26"/>
    </row>
    <row r="6" spans="1:21" x14ac:dyDescent="0.25">
      <c r="M6" s="64"/>
      <c r="Q6" s="26"/>
    </row>
    <row r="7" spans="1:21" x14ac:dyDescent="0.25">
      <c r="M7" s="64"/>
      <c r="Q7" s="26"/>
    </row>
    <row r="8" spans="1:21" x14ac:dyDescent="0.25">
      <c r="M8" s="64"/>
    </row>
    <row r="9" spans="1:21" x14ac:dyDescent="0.25">
      <c r="M9" s="64"/>
    </row>
    <row r="10" spans="1:21" x14ac:dyDescent="0.25">
      <c r="M10" s="64"/>
    </row>
    <row r="11" spans="1:21" x14ac:dyDescent="0.25">
      <c r="M11" s="64"/>
    </row>
    <row r="12" spans="1:21" x14ac:dyDescent="0.25">
      <c r="M12" s="64"/>
    </row>
    <row r="13" spans="1:21" x14ac:dyDescent="0.25">
      <c r="M13" s="64"/>
    </row>
    <row r="14" spans="1:21" x14ac:dyDescent="0.25">
      <c r="M14" s="64"/>
    </row>
    <row r="15" spans="1:21" x14ac:dyDescent="0.25">
      <c r="M15" s="64"/>
    </row>
    <row r="16" spans="1:21" x14ac:dyDescent="0.25">
      <c r="M16" s="64"/>
    </row>
  </sheetData>
  <sheetProtection algorithmName="SHA-512" hashValue="epF06Z09cjVNs8mvyr3rL/FAUg/6sSORbyCmyJ6ku3Km1VWmGPXzMwzFleEeNH4ROa8GsIibPvGbSBuHzJChnA==" saltValue="uXeqmtI5817sT662yZNPsA==" spinCount="100000" sheet="1" formatCells="0" formatColumns="0" sort="0" autoFilter="0" pivotTables="0"/>
  <dataValidations count="2">
    <dataValidation type="list" allowBlank="1" showInputMessage="1" showErrorMessage="1" sqref="E3:E5">
      <formula1>plag_matériaux</formula1>
    </dataValidation>
    <dataValidation type="list" allowBlank="1" showInputMessage="1" showErrorMessage="1" sqref="N3:N5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8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SUBTOTAL(9,tab_tube_carré[[Valeur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Tube_carré</v>
      </c>
      <c r="E3" s="1"/>
      <c r="F3" s="15" t="e">
        <f>VLOOKUP(tab_tube_carré[[#This Row],[Matériaux]],tab_matériaux[],2,FALSE)</f>
        <v>#N/A</v>
      </c>
      <c r="G3" s="1"/>
      <c r="H3" s="1"/>
      <c r="I3" s="1"/>
      <c r="J3" s="1"/>
      <c r="K3" s="18">
        <f>IFERROR(10^-6* (tab_tube_carré[[#This Row],[Largueur /
basse (mm)]] * tab_tube_carré[[#This Row],[hauteur (mm)]] - ((tab_tube_carré[[#This Row],[Largueur /
basse (mm)]] - 2 * tab_tube_carré[[#This Row],[épaisseur (mm)]]) * (tab_tube_carré[[#This Row],[hauteur (mm)]] - 2 *tab_tube_carré[[#This Row],[épaisseur (mm)]]))),"")</f>
        <v>0</v>
      </c>
      <c r="L3" s="18" t="str">
        <f>IFERROR(VLOOKUP(tab_tube_carré[[#This Row],[Matériaux]],tab_matériaux[],3,FALSE)*tab_tube_carré[[#This Row],[Surface m²]],"")</f>
        <v/>
      </c>
      <c r="M3" s="7"/>
      <c r="N3" s="1"/>
      <c r="O3" s="18" t="str">
        <f>IFERROR(10^-3*tab_tube_carré[[#This Row],[Poids au mètre(kg)]]*tab_tube_carré[[#This Row],[Stock réel (mm)]],"")</f>
        <v/>
      </c>
      <c r="P3" s="21" t="str">
        <f>IFERROR(tab_tube_carré[[#This Row],[Poids du stock réel (Kg)]]*VLOOKUP(tab_tube_carré[[#This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Tube_carré</v>
      </c>
      <c r="E4" s="1"/>
      <c r="F4" s="15" t="e">
        <f>VLOOKUP(tab_tube_carré[[#This Row],[Matériaux]],tab_matériaux[],2,FALSE)</f>
        <v>#N/A</v>
      </c>
      <c r="G4" s="1"/>
      <c r="H4" s="1"/>
      <c r="I4" s="1"/>
      <c r="J4" s="1"/>
      <c r="K4" s="18">
        <f>IFERROR(10^-6* (tab_tube_carré[[#This Row],[Largueur /
basse (mm)]] * tab_tube_carré[[#This Row],[hauteur (mm)]] - ((tab_tube_carré[[#This Row],[Largueur /
basse (mm)]] - 2 * tab_tube_carré[[#This Row],[épaisseur (mm)]]) * (tab_tube_carré[[#This Row],[hauteur (mm)]] - 2 *tab_tube_carré[[#This Row],[épaisseur (mm)]]))),"")</f>
        <v>0</v>
      </c>
      <c r="L4" s="18" t="str">
        <f>IFERROR(VLOOKUP(tab_tube_carré[[#This Row],[Matériaux]],tab_matériaux[],3,FALSE)*tab_tube_carré[[#This Row],[Surface m²]],"")</f>
        <v/>
      </c>
      <c r="M4" s="7"/>
      <c r="N4" s="5"/>
      <c r="O4" s="18" t="str">
        <f>IFERROR(10^-3*tab_tube_carré[[#This Row],[Poids au mètre(kg)]]*tab_tube_carré[[#This Row],[Stock réel (mm)]],"")</f>
        <v/>
      </c>
      <c r="P4" s="21" t="str">
        <f>IFERROR(tab_tube_carré[[#This Row],[Poids du stock réel (Kg)]]*VLOOKUP(tab_tube_carré[[#This Row],[Matériaux]],tab_matériaux[],4,FALSE),"")</f>
        <v/>
      </c>
      <c r="Q4" s="13"/>
      <c r="R4" s="13"/>
      <c r="S4" s="6"/>
    </row>
  </sheetData>
  <sheetProtection algorithmName="SHA-512" hashValue="gs5jp7+unj41ehgKc5NdXSjg8kiDknt/2v92btOQwqhsYo+F+3tV5tBzpA+nErLMePDtTZWtL9HChbT8gfD9Rw==" saltValue="nqlfJfSdXvvMkKXrk5soZQ==" spinCount="100000" sheet="1" formatCells="0" formatColumns="0" sort="0" autoFilter="0" pivotTables="0"/>
  <dataValidations count="2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9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6.42578125" style="24" customWidth="1"/>
    <col min="5" max="6" width="15.7109375" style="24" customWidth="1"/>
    <col min="7" max="7" width="7.7109375" style="24" hidden="1" customWidth="1"/>
    <col min="8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SUBTOTAL(9,tab_tube_rectangulaire[[Valeur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Tube_rectangulaire</v>
      </c>
      <c r="E3" s="1"/>
      <c r="F3" s="15" t="e">
        <f>VLOOKUP(tab_tube_rectangulaire[[#This Row],[Matériaux]],tab_matériaux[],2,FALSE)</f>
        <v>#N/A</v>
      </c>
      <c r="G3" s="1"/>
      <c r="H3" s="1"/>
      <c r="I3" s="1"/>
      <c r="J3" s="1"/>
      <c r="K3" s="18">
        <f>IFERROR(10^-6* (tab_tube_rectangulaire[[#This Row],[Largueur /
basse (mm)]] * tab_tube_rectangulaire[[#This Row],[hauteur (mm)]] - ((tab_tube_rectangulaire[[#This Row],[Largueur /
basse (mm)]] - 2 * tab_tube_rectangulaire[[#This Row],[épaisseur (mm)]]) * (tab_tube_rectangulaire[[#This Row],[hauteur (mm)]] - 2 *tab_tube_rectangulaire[[#This Row],[épaisseur (mm)]]))),"")</f>
        <v>0</v>
      </c>
      <c r="L3" s="35" t="str">
        <f>IFERROR(VLOOKUP(tab_tube_rectangulaire[[#This Row],[Matériaux]],tab_matériaux[],3,FALSE)*tab_tube_rectangulaire[[#This Row],[Surface m²]],"")</f>
        <v/>
      </c>
      <c r="M3" s="9"/>
      <c r="N3" s="1"/>
      <c r="O3" s="18" t="str">
        <f>IFERROR(10^-3*tab_tube_rectangulaire[[#This Row],[Poids au mètre(kg)]]*tab_tube_rectangulaire[[#This Row],[Stock réel (mm)]],"")</f>
        <v/>
      </c>
      <c r="P3" s="21" t="str">
        <f>IFERROR(tab_tube_rectangulaire[[#This Row],[Poids du stock réel (Kg)]]*VLOOKUP(tab_tube_rectangulaire[[#This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Tube_rectangulaire</v>
      </c>
      <c r="E4" s="1"/>
      <c r="F4" s="15" t="e">
        <f>VLOOKUP(tab_tube_rectangulaire[[#This Row],[Matériaux]],tab_matériaux[],2,FALSE)</f>
        <v>#N/A</v>
      </c>
      <c r="G4" s="1"/>
      <c r="H4" s="1"/>
      <c r="I4" s="1"/>
      <c r="J4" s="1"/>
      <c r="K4" s="18">
        <f>IFERROR(10^-6* (tab_tube_rectangulaire[[#This Row],[Largueur /
basse (mm)]] * tab_tube_rectangulaire[[#This Row],[hauteur (mm)]] - ((tab_tube_rectangulaire[[#This Row],[Largueur /
basse (mm)]] - 2 * tab_tube_rectangulaire[[#This Row],[épaisseur (mm)]]) * (tab_tube_rectangulaire[[#This Row],[hauteur (mm)]] - 2 *tab_tube_rectangulaire[[#This Row],[épaisseur (mm)]]))),"")</f>
        <v>0</v>
      </c>
      <c r="L4" s="35" t="str">
        <f>IFERROR(VLOOKUP(tab_tube_rectangulaire[[#This Row],[Matériaux]],tab_matériaux[],3,FALSE)*tab_tube_rectangulaire[[#This Row],[Surface m²]],"")</f>
        <v/>
      </c>
      <c r="M4" s="9"/>
      <c r="N4" s="5"/>
      <c r="O4" s="18" t="str">
        <f>IFERROR(10^-3*tab_tube_rectangulaire[[#This Row],[Poids au mètre(kg)]]*tab_tube_rectangulaire[[#This Row],[Stock réel (mm)]],"")</f>
        <v/>
      </c>
      <c r="P4" s="21" t="str">
        <f>IFERROR(tab_tube_rectangulaire[[#This Row],[Poids du stock réel (Kg)]]*VLOOKUP(tab_tube_rectangulaire[[#This Row],[Matériaux]],tab_matériaux[],4,FALSE),"")</f>
        <v/>
      </c>
      <c r="Q4" s="13"/>
      <c r="R4" s="13"/>
      <c r="S4" s="6"/>
    </row>
  </sheetData>
  <sheetProtection algorithmName="SHA-512" hashValue="ktdk/cyLWsyBmvRKgSc2oZdyk1JAd6Qir3cAFqUa/pNAcGKMkYWPLZ2s9m2mLauD9cmxLCCzF5HrbYI9TbISyw==" saltValue="miSksz6IWhBvaDbaVO2eVg==" spinCount="100000" sheet="1" formatCells="0" formatColumns="0" sort="0" autoFilter="0" pivotTables="0"/>
  <dataValidations count="2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1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SUBTOTAL(9,tab_T[[Valeur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T</v>
      </c>
      <c r="E3" s="1"/>
      <c r="F3" s="15" t="e">
        <f>VLOOKUP(tab_T[[#This Row],[Matériaux]],tab_matériaux[],2,FALSE)</f>
        <v>#N/A</v>
      </c>
      <c r="G3" s="1"/>
      <c r="H3" s="5"/>
      <c r="I3" s="5"/>
      <c r="J3" s="5"/>
      <c r="K3" s="18">
        <f>IFERROR(10^-6*(tab_T[[#This Row],[hauteur (mm)]] * tab_T[[#This Row],[Largueur /
basse (mm)]] - ((tab_T[[#This Row],[hauteur (mm)]] - tab_T[[#This Row],[épaisseur (mm)]]) * (tab_T[[#This Row],[Largueur /
basse (mm)]] - tab_T[[#This Row],[épaisseur (mm)]]))),"")</f>
        <v>0</v>
      </c>
      <c r="L3" s="35" t="str">
        <f>IFERROR(VLOOKUP(tab_T[[#This Row],[Matériaux]],tab_matériaux[],3,FALSE)*tab_T[[#This Row],[Surface m²]],"")</f>
        <v/>
      </c>
      <c r="M3" s="8"/>
      <c r="N3" s="1"/>
      <c r="O3" s="18" t="str">
        <f>IFERROR(10^-3*tab_T[[#This Row],[Poids au mètre(kg)]]*tab_T[[#This Row],[Stock réel (mm)]],"")</f>
        <v/>
      </c>
      <c r="P3" s="21" t="str">
        <f>IFERROR(tab_T[[#This Row],[Poids du stock réel (Kg)]]*VLOOKUP(tab_T[[#This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T</v>
      </c>
      <c r="E4" s="1"/>
      <c r="F4" s="15" t="e">
        <f>VLOOKUP(tab_T[[#This Row],[Matériaux]],tab_matériaux[],2,FALSE)</f>
        <v>#N/A</v>
      </c>
      <c r="G4" s="1"/>
      <c r="H4" s="5"/>
      <c r="I4" s="5"/>
      <c r="J4" s="5"/>
      <c r="K4" s="18">
        <f>IFERROR(10^-6*(tab_T[[#This Row],[hauteur (mm)]] * tab_T[[#This Row],[Largueur /
basse (mm)]] - ((tab_T[[#This Row],[hauteur (mm)]] - tab_T[[#This Row],[épaisseur (mm)]]) * (tab_T[[#This Row],[Largueur /
basse (mm)]] - tab_T[[#This Row],[épaisseur (mm)]]))),"")</f>
        <v>0</v>
      </c>
      <c r="L4" s="35" t="str">
        <f>IFERROR(VLOOKUP(tab_T[[#This Row],[Matériaux]],tab_matériaux[],3,FALSE)*tab_T[[#This Row],[Surface m²]],"")</f>
        <v/>
      </c>
      <c r="M4" s="8"/>
      <c r="N4" s="1"/>
      <c r="O4" s="18" t="str">
        <f>IFERROR(10^-3*tab_T[[#This Row],[Poids au mètre(kg)]]*tab_T[[#This Row],[Stock réel (mm)]],"")</f>
        <v/>
      </c>
      <c r="P4" s="21" t="str">
        <f>IFERROR(tab_T[[#This Row],[Poids du stock réel (Kg)]]*VLOOKUP(tab_T[[#This Row],[Matériaux]],tab_matériaux[],4,FALSE),"")</f>
        <v/>
      </c>
      <c r="Q4" s="13"/>
      <c r="R4" s="13"/>
      <c r="S4" s="6"/>
    </row>
  </sheetData>
  <sheetProtection algorithmName="SHA-512" hashValue="QHfZID7L7cyFc7oUXryWAHstxQH4T6ugtcanGH+9E77N8IlUz63zZpOsFAuFxr55UgqxSFeIhQzvrf1AwubhYQ==" saltValue="URjdUpeo1E1KLRn/R+NTTA==" spinCount="100000" sheet="1" formatCells="0" formatColumns="0" sort="0" autoFilter="0" pivotTables="0"/>
  <conditionalFormatting sqref="H3:H4">
    <cfRule type="expression" dxfId="532" priority="3">
      <formula>OR($D3="Carré",$D3="Plat",$D3="Cornière",$D3="Tube rectangulaire",$D3="Tube carré")</formula>
    </cfRule>
  </conditionalFormatting>
  <conditionalFormatting sqref="I3:I4">
    <cfRule type="expression" dxfId="531" priority="2">
      <formula>OR($D3="Carré",$D3="Cornière",$D3="Tube rectangulaire",$D3="Tube carré")</formula>
    </cfRule>
  </conditionalFormatting>
  <conditionalFormatting sqref="J3:J4">
    <cfRule type="expression" dxfId="530" priority="1">
      <formula>OR($D3="Plat",$D3="Cornière",$D3="Tube rectangulaire",$D3="Tube carré",$D3="Tole",$D3="Plaque",$D3="Tube rond")</formula>
    </cfRule>
  </conditionalFormatting>
  <dataValidations count="2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2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SUBTOTAL(9,tab_U[[Valeur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U</v>
      </c>
      <c r="E3" s="1"/>
      <c r="F3" s="15" t="e">
        <f>VLOOKUP(tab_U[[#This Row],[Matériaux]],tab_matériaux[],2,FALSE)</f>
        <v>#N/A</v>
      </c>
      <c r="G3" s="1"/>
      <c r="H3" s="5"/>
      <c r="I3" s="5"/>
      <c r="J3" s="5"/>
      <c r="K3" s="18">
        <f>IFERROR(10^-6*(tab_U[[#This Row],[hauteur (mm)]] * tab_U[[#This Row],[Largueur /
basse (mm)]] - ((tab_U[[#This Row],[hauteur (mm)]] - tab_U[[#This Row],[épaisseur (mm)]]) * (tab_U[[#This Row],[Largueur /
basse (mm)]] - 2*tab_U[[#This Row],[épaisseur (mm)]]))),"")</f>
        <v>0</v>
      </c>
      <c r="L3" s="35" t="str">
        <f>IFERROR(VLOOKUP(tab_U[[#This Row],[Matériaux]],tab_matériaux[],3,FALSE)*tab_U[[#This Row],[Surface m²]],"")</f>
        <v/>
      </c>
      <c r="M3" s="8"/>
      <c r="N3" s="1"/>
      <c r="O3" s="18" t="str">
        <f>IFERROR(10^-3*tab_U[[#This Row],[Poids au mètre(kg)]]*tab_U[[#This Row],[Stock réel (mm)]],"")</f>
        <v/>
      </c>
      <c r="P3" s="21" t="str">
        <f>IFERROR(tab_U[[#This Row],[Poids du stock réel (Kg)]]*VLOOKUP(tab_U[[#This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U</v>
      </c>
      <c r="E4" s="1"/>
      <c r="F4" s="15" t="e">
        <f>VLOOKUP(tab_U[[#This Row],[Matériaux]],tab_matériaux[],2,FALSE)</f>
        <v>#N/A</v>
      </c>
      <c r="G4" s="1"/>
      <c r="H4" s="5"/>
      <c r="I4" s="5"/>
      <c r="J4" s="5"/>
      <c r="K4" s="18">
        <f>IFERROR(10^-6*(tab_U[[#This Row],[hauteur (mm)]] * tab_U[[#This Row],[Largueur /
basse (mm)]] - ((tab_U[[#This Row],[hauteur (mm)]] - tab_U[[#This Row],[épaisseur (mm)]]) * (tab_U[[#This Row],[Largueur /
basse (mm)]] - 2*tab_U[[#This Row],[épaisseur (mm)]]))),"")</f>
        <v>0</v>
      </c>
      <c r="L4" s="35" t="str">
        <f>IFERROR(VLOOKUP(tab_U[[#This Row],[Matériaux]],tab_matériaux[],3,FALSE)*tab_U[[#This Row],[Surface m²]],"")</f>
        <v/>
      </c>
      <c r="M4" s="8"/>
      <c r="N4" s="1"/>
      <c r="O4" s="18" t="str">
        <f>IFERROR(10^-3*tab_U[[#This Row],[Poids au mètre(kg)]]*tab_U[[#This Row],[Stock réel (mm)]],"")</f>
        <v/>
      </c>
      <c r="P4" s="21" t="str">
        <f>IFERROR(tab_U[[#This Row],[Poids du stock réel (Kg)]]*VLOOKUP(tab_U[[#This Row],[Matériaux]],tab_matériaux[],4,FALSE),"")</f>
        <v/>
      </c>
      <c r="Q4" s="13"/>
      <c r="R4" s="13"/>
      <c r="S4" s="6"/>
    </row>
  </sheetData>
  <sheetProtection algorithmName="SHA-512" hashValue="9Rld/fIS+d8+Q3Nedv/TEx4tkNu+KnI0YX3n/On9djqYRLs7ja9AvH3VxM06LIqid5oIEnWEAc0tYZjSkQ9Khg==" saltValue="Xbv/UxZYWd5lhqTUJ2dyHQ==" spinCount="100000" sheet="1" formatCells="0" formatColumns="0" sort="0" autoFilter="0" pivotTables="0"/>
  <conditionalFormatting sqref="H3:H4">
    <cfRule type="expression" dxfId="492" priority="3">
      <formula>OR($D3="Carré",$D3="Plat",$D3="Cornière",$D3="Tube rectangulaire",$D3="Tube carré")</formula>
    </cfRule>
  </conditionalFormatting>
  <conditionalFormatting sqref="I3:I4">
    <cfRule type="expression" dxfId="491" priority="2">
      <formula>OR($D3="Carré",$D3="Cornière",$D3="Tube rectangulaire",$D3="Tube carré")</formula>
    </cfRule>
  </conditionalFormatting>
  <conditionalFormatting sqref="J3:J4">
    <cfRule type="expression" dxfId="490" priority="1">
      <formula>OR($D3="Plat",$D3="Cornière",$D3="Tube rectangulaire",$D3="Tube carré",$D3="Tole",$D3="Plaque",$D3="Tube rond")</formula>
    </cfRule>
  </conditionalFormatting>
  <dataValidations count="2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0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hidden="1" customWidth="1"/>
    <col min="8" max="10" width="10.7109375" style="24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51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SUBTOTAL(9,tab_L[[Valeur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L</v>
      </c>
      <c r="E3" s="1"/>
      <c r="F3" s="15" t="e">
        <f>VLOOKUP(tab_L[[#This Row],[Matériaux]],tab_matériaux[],2,FALSE)</f>
        <v>#N/A</v>
      </c>
      <c r="G3" s="1"/>
      <c r="H3" s="5"/>
      <c r="I3" s="5"/>
      <c r="J3" s="5"/>
      <c r="K3" s="18">
        <f>IFERROR(10^-6*(tab_L[[#This Row],[hauteur (mm)]] * tab_L[[#This Row],[Largueur /
basse (mm)]] - ((tab_L[[#This Row],[hauteur (mm)]] - tab_L[[#This Row],[épaisseur (mm)]]) * (tab_L[[#This Row],[Largueur /
basse (mm)]] - tab_L[[#This Row],[épaisseur (mm)]]))),"")</f>
        <v>0</v>
      </c>
      <c r="L3" s="35" t="str">
        <f>IFERROR(VLOOKUP(tab_L[[#This Row],[Matériaux]],tab_matériaux[],3,FALSE)*tab_L[[#This Row],[Surface m²]],"")</f>
        <v/>
      </c>
      <c r="M3" s="8"/>
      <c r="N3" s="1"/>
      <c r="O3" s="18" t="str">
        <f>IFERROR(10^-3*tab_L[[#This Row],[Poids au mètre(kg)]]*tab_L[[#This Row],[Stock réel (mm)]],"")</f>
        <v/>
      </c>
      <c r="P3" s="21" t="str">
        <f>IFERROR(tab_L[[#This Row],[Poids du stock réel (Kg)]]*VLOOKUP(tab_L[[#This Row],[Matériaux]],tab_matériaux[],4,FALSE),"")</f>
        <v/>
      </c>
      <c r="Q3" s="13"/>
      <c r="R3" s="13"/>
      <c r="S3" s="6"/>
    </row>
    <row r="4" spans="1:21" x14ac:dyDescent="0.25">
      <c r="A4" s="33"/>
      <c r="B4" s="3"/>
      <c r="C4" s="16"/>
      <c r="D4" s="15" t="str">
        <f t="shared" ca="1" si="0"/>
        <v>L</v>
      </c>
      <c r="E4" s="1"/>
      <c r="F4" s="15" t="e">
        <f>VLOOKUP(tab_L[[#This Row],[Matériaux]],tab_matériaux[],2,FALSE)</f>
        <v>#N/A</v>
      </c>
      <c r="G4" s="1"/>
      <c r="H4" s="5"/>
      <c r="I4" s="5"/>
      <c r="J4" s="5"/>
      <c r="K4" s="18">
        <f>IFERROR(10^-6*(tab_L[[#This Row],[hauteur (mm)]] * tab_L[[#This Row],[Largueur /
basse (mm)]] - ((tab_L[[#This Row],[hauteur (mm)]] - tab_L[[#This Row],[épaisseur (mm)]]) * (tab_L[[#This Row],[Largueur /
basse (mm)]] - tab_L[[#This Row],[épaisseur (mm)]]))),"")</f>
        <v>0</v>
      </c>
      <c r="L4" s="35" t="str">
        <f>IFERROR(VLOOKUP(tab_L[[#This Row],[Matériaux]],tab_matériaux[],3,FALSE)*tab_L[[#This Row],[Surface m²]],"")</f>
        <v/>
      </c>
      <c r="M4" s="8"/>
      <c r="N4" s="1"/>
      <c r="O4" s="18" t="str">
        <f>IFERROR(10^-3*tab_L[[#This Row],[Poids au mètre(kg)]]*tab_L[[#This Row],[Stock réel (mm)]],"")</f>
        <v/>
      </c>
      <c r="P4" s="21" t="str">
        <f>IFERROR(tab_L[[#This Row],[Poids du stock réel (Kg)]]*VLOOKUP(tab_L[[#This Row],[Matériaux]],tab_matériaux[],4,FALSE),"")</f>
        <v/>
      </c>
      <c r="Q4" s="13"/>
      <c r="R4" s="13"/>
      <c r="S4" s="6"/>
    </row>
  </sheetData>
  <sheetProtection algorithmName="SHA-512" hashValue="J0JWhOTuCFBETuu3rqXr7EeP0stHM0QpJfosLi+eNLhgxGCZGdyPB01dYtZhsnwyB3Btc7Ea/KhVU8vprByNhA==" saltValue="9FCBnUySCXN5PsEYdkz+Iw==" spinCount="100000" sheet="1" formatCells="0" formatColumns="0" sort="0" autoFilter="0" pivotTables="0"/>
  <conditionalFormatting sqref="H3:H4">
    <cfRule type="expression" dxfId="452" priority="3">
      <formula>OR($D3="Carré",$D3="Plat",$D3="Cornière",$D3="Tube rectangulaire",$D3="Tube carré")</formula>
    </cfRule>
  </conditionalFormatting>
  <conditionalFormatting sqref="I3:I4">
    <cfRule type="expression" dxfId="451" priority="2">
      <formula>OR($D3="Carré",$D3="Cornière",$D3="Tube rectangulaire",$D3="Tube carré")</formula>
    </cfRule>
  </conditionalFormatting>
  <conditionalFormatting sqref="J3:J4">
    <cfRule type="expression" dxfId="450" priority="1">
      <formula>OR($D3="Plat",$D3="Cornière",$D3="Tube rectangulaire",$D3="Tube carré",$D3="Tole",$D3="Plaque",$D3="Tube rond")</formula>
    </cfRule>
  </conditionalFormatting>
  <dataValidations count="2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3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SUBTOTAL(9,tab_IPE[[Valeur marchande du stock réel ]])</f>
        <v>0</v>
      </c>
    </row>
    <row r="3" spans="1:21" x14ac:dyDescent="0.25">
      <c r="A3" s="33"/>
      <c r="B3" s="3"/>
      <c r="C3" s="16"/>
      <c r="D3" s="15" t="str">
        <f ca="1">RIGHT(CELL("filename",$A$1),LEN(CELL("filename",$A$1))-SEARCH("]",CELL("filename",$A$1)))</f>
        <v>IPE</v>
      </c>
      <c r="E3" s="1"/>
      <c r="F3" s="15" t="e">
        <f>VLOOKUP(tab_IPE[[#This Row],[Matériaux]],tab_matériaux[],2,FALSE)</f>
        <v>#N/A</v>
      </c>
      <c r="G3" s="5"/>
      <c r="H3" s="5"/>
      <c r="I3" s="5"/>
      <c r="J3" s="5"/>
      <c r="K3" s="18"/>
      <c r="L3" s="35" t="e">
        <f>VLOOKUP(tab_IPE[[#This Row],[Profils]],tab__donnee_ipe[],2,FALSE)</f>
        <v>#N/A</v>
      </c>
      <c r="M3" s="1"/>
      <c r="N3" s="1"/>
      <c r="O3" s="18" t="str">
        <f>IFERROR(10^-3*tab_IPE[[#This Row],[Poids au mètre(kg)]]*tab_IPE[[#This Row],[Stock réel (mm)]],"")</f>
        <v/>
      </c>
      <c r="P3" s="21" t="str">
        <f>IFERROR(tab_IPE[[#This Row],[Poids du stock réel (Kg)]]*VLOOKUP(tab_IPE[[#This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ca="1">RIGHT(CELL("filename",$A$1),LEN(CELL("filename",$A$1))-SEARCH("]",CELL("filename",$A$1)))</f>
        <v>IPE</v>
      </c>
      <c r="E4" s="1"/>
      <c r="F4" s="15" t="e">
        <f>VLOOKUP(tab_IPE[[#This Row],[Matériaux]],tab_matériaux[],2,FALSE)</f>
        <v>#N/A</v>
      </c>
      <c r="G4" s="5"/>
      <c r="H4" s="5"/>
      <c r="I4" s="5"/>
      <c r="J4" s="5"/>
      <c r="K4" s="19"/>
      <c r="L4" s="19" t="e">
        <f>VLOOKUP(tab_IPE[[#This Row],[Profils]],tab__donnee_ipe[],2,FALSE)</f>
        <v>#N/A</v>
      </c>
      <c r="M4" s="8"/>
      <c r="N4" s="11"/>
      <c r="O4" s="19" t="str">
        <f>IFERROR(10^-3*tab_IPE[[#This Row],[Poids au mètre(kg)]]*tab_IPE[[#This Row],[Stock réel (mm)]],"")</f>
        <v/>
      </c>
      <c r="P4" s="21" t="str">
        <f>IFERROR(tab_IPE[[#This Row],[Poids du stock réel (Kg)]]*VLOOKUP(tab_IPE[[#This Row],[Matériaux]],tab_matériaux[],4,FALSE),"")</f>
        <v/>
      </c>
      <c r="Q4" s="14"/>
      <c r="R4" s="13"/>
      <c r="S4" s="63"/>
    </row>
  </sheetData>
  <sheetProtection algorithmName="SHA-512" hashValue="2+tSRBe/kR//rvuTBLlVmBlDy8/PPkICfEETu46Duu43LGQkdC+yP/or2DOoVUrwRLMhGpCHch0lOsG19LjLkg==" saltValue="rXbppHkG35y5jhUazutZ7Q==" spinCount="100000" sheet="1" formatCells="0" formatColumns="0" sort="0" autoFilter="0" pivotTables="0"/>
  <conditionalFormatting sqref="H3:H4">
    <cfRule type="expression" dxfId="412" priority="3">
      <formula>OR($D3="Carré",$D3="Plat",$D3="Cornière",$D3="Tube rectangulaire",$D3="Tube carré")</formula>
    </cfRule>
  </conditionalFormatting>
  <conditionalFormatting sqref="I3:I4">
    <cfRule type="expression" dxfId="411" priority="2">
      <formula>OR($D3="Carré",$D3="Cornière",$D3="Tube rectangulaire",$D3="Tube carré")</formula>
    </cfRule>
  </conditionalFormatting>
  <conditionalFormatting sqref="J3:J4">
    <cfRule type="expression" dxfId="41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  <dataValidation type="list" allowBlank="1" showInputMessage="1" showErrorMessage="1" sqref="G3:G4">
      <formula1>plag_IPE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4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SUBTOTAL(9,tab_IPN[[Valeur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IPN</v>
      </c>
      <c r="E3" s="1"/>
      <c r="F3" s="15" t="e">
        <f>VLOOKUP(tab_IPN[[#This Row],[Matériaux]],tab_matériaux[],2,FALSE)</f>
        <v>#N/A</v>
      </c>
      <c r="G3" s="1"/>
      <c r="H3" s="5"/>
      <c r="I3" s="5"/>
      <c r="J3" s="5"/>
      <c r="K3" s="18"/>
      <c r="L3" s="35" t="e">
        <f>VLOOKUP(tab_IPN[[#This Row],[Profils]],tab_donnee_ipn[],2,FALSE)</f>
        <v>#N/A</v>
      </c>
      <c r="M3" s="8"/>
      <c r="N3" s="1"/>
      <c r="O3" s="18" t="str">
        <f>IFERROR(10^-3*tab_IPN[[#This Row],[Poids au mètre(kg)]]*tab_IPN[[#This Row],[Stock réel (mm)]],"")</f>
        <v/>
      </c>
      <c r="P3" s="21" t="str">
        <f>IFERROR(tab_IPN[[#This Row],[Poids du stock réel (Kg)]]*VLOOKUP(tab_IPN[[#This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IPN</v>
      </c>
      <c r="E4" s="1"/>
      <c r="F4" s="15" t="e">
        <f>VLOOKUP(tab_IPN[[#This Row],[Matériaux]],tab_matériaux[],2,FALSE)</f>
        <v>#N/A</v>
      </c>
      <c r="G4" s="5"/>
      <c r="H4" s="5"/>
      <c r="I4" s="5"/>
      <c r="J4" s="5"/>
      <c r="K4" s="19"/>
      <c r="L4" s="19" t="e">
        <f>VLOOKUP(tab_IPN[[#This Row],[Profils]],tab_donnee_ipn[],2,FALSE)</f>
        <v>#N/A</v>
      </c>
      <c r="M4" s="8"/>
      <c r="N4" s="11"/>
      <c r="O4" s="19" t="str">
        <f>IFERROR(10^-3*tab_IPN[[#This Row],[Poids au mètre(kg)]]*tab_IPN[[#This Row],[Stock réel (mm)]],"")</f>
        <v/>
      </c>
      <c r="P4" s="21" t="str">
        <f>IFERROR(tab_IPN[[#This Row],[Poids du stock réel (Kg)]]*VLOOKUP(tab_IPN[[#This Row],[Matériaux]],tab_matériaux[],4,FALSE),"")</f>
        <v/>
      </c>
      <c r="Q4" s="14"/>
      <c r="R4" s="13"/>
      <c r="S4" s="63"/>
    </row>
  </sheetData>
  <sheetProtection algorithmName="SHA-512" hashValue="islDfSE03oZQKkfPIjIH4ClDKF5z94m87AG4cDAOo+faWimITD+ncAv+THJLcUaEbOb7Zm1HZbgcHLJ9P/5k+w==" saltValue="G4wH/gJ2VexyDt3+J9mULw==" spinCount="100000" sheet="1" formatCells="0" formatColumns="0" sort="0" autoFilter="0" pivotTables="0"/>
  <conditionalFormatting sqref="H3:H4">
    <cfRule type="expression" dxfId="372" priority="3">
      <formula>OR($D3="Carré",$D3="Plat",$D3="Cornière",$D3="Tube rectangulaire",$D3="Tube carré")</formula>
    </cfRule>
  </conditionalFormatting>
  <conditionalFormatting sqref="I3:I4">
    <cfRule type="expression" dxfId="371" priority="2">
      <formula>OR($D3="Carré",$D3="Cornière",$D3="Tube rectangulaire",$D3="Tube carré")</formula>
    </cfRule>
  </conditionalFormatting>
  <conditionalFormatting sqref="J3:J4">
    <cfRule type="expression" dxfId="37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G3:G4">
      <formula1>plag_IPN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5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SUBTOTAL(9,tab_IPEA[[Valeur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IPEA</v>
      </c>
      <c r="E3" s="1"/>
      <c r="F3" s="15" t="e">
        <f>VLOOKUP(tab_IPEA[[#This Row],[Matériaux]],tab_matériaux[],2,FALSE)</f>
        <v>#N/A</v>
      </c>
      <c r="G3" s="1"/>
      <c r="H3" s="5"/>
      <c r="I3" s="5"/>
      <c r="J3" s="5"/>
      <c r="K3" s="18"/>
      <c r="L3" s="35" t="e">
        <f>VLOOKUP(tab_IPEA[[#This Row],[Profils]],tab_donnee_ipea[],2,FALSE)</f>
        <v>#N/A</v>
      </c>
      <c r="M3" s="8"/>
      <c r="N3" s="1"/>
      <c r="O3" s="18" t="str">
        <f>IFERROR(10^-3*tab_IPEA[[#This Row],[Poids au mètre(kg)]]*tab_IPEA[[#This Row],[Stock réel (mm)]],"")</f>
        <v/>
      </c>
      <c r="P3" s="21" t="str">
        <f>IFERROR(tab_IPEA[[#This Row],[Poids du stock réel (Kg)]]*VLOOKUP(tab_IPEA[[#This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IPEA</v>
      </c>
      <c r="E4" s="1"/>
      <c r="F4" s="15" t="e">
        <f>VLOOKUP(tab_IPEA[[#This Row],[Matériaux]],tab_matériaux[],2,FALSE)</f>
        <v>#N/A</v>
      </c>
      <c r="G4" s="5"/>
      <c r="H4" s="5"/>
      <c r="I4" s="5"/>
      <c r="J4" s="5"/>
      <c r="K4" s="19"/>
      <c r="L4" s="19" t="e">
        <f>VLOOKUP(tab_IPEA[[#This Row],[Profils]],tab_donnee_ipea[],2,FALSE)</f>
        <v>#N/A</v>
      </c>
      <c r="M4" s="8"/>
      <c r="N4" s="11"/>
      <c r="O4" s="19" t="str">
        <f>IFERROR(10^-3*tab_IPEA[[#This Row],[Poids au mètre(kg)]]*tab_IPEA[[#This Row],[Stock réel (mm)]],"")</f>
        <v/>
      </c>
      <c r="P4" s="21" t="str">
        <f>IFERROR(tab_IPEA[[#This Row],[Poids du stock réel (Kg)]]*VLOOKUP(tab_IPEA[[#This Row],[Matériaux]],tab_matériaux[],4,FALSE),"")</f>
        <v/>
      </c>
      <c r="Q4" s="14"/>
      <c r="R4" s="13"/>
      <c r="S4" s="63"/>
    </row>
  </sheetData>
  <sheetProtection algorithmName="SHA-512" hashValue="ZPaaD1FzdbRnrJ0PYaNVhzeBGmA51HBDyknnpuuytGGnrWzZ9UAHNJoMPoIaGOT+yGmvwvEdcKnZ675SJOsjHA==" saltValue="qU+Ala9yqnmi5ypd84P/1A==" spinCount="100000" sheet="1" formatCells="0" formatColumns="0" sort="0" autoFilter="0" pivotTables="0"/>
  <conditionalFormatting sqref="H3:H4">
    <cfRule type="expression" dxfId="332" priority="3">
      <formula>OR($D3="Carré",$D3="Plat",$D3="Cornière",$D3="Tube rectangulaire",$D3="Tube carré")</formula>
    </cfRule>
  </conditionalFormatting>
  <conditionalFormatting sqref="I3:I4">
    <cfRule type="expression" dxfId="331" priority="2">
      <formula>OR($D3="Carré",$D3="Cornière",$D3="Tube rectangulaire",$D3="Tube carré")</formula>
    </cfRule>
  </conditionalFormatting>
  <conditionalFormatting sqref="J3:J4">
    <cfRule type="expression" dxfId="33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G3:G4">
      <formula1>plag_IPEA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6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SUBTOTAL(9,tab_HEA[[Valeur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HEA</v>
      </c>
      <c r="E3" s="1"/>
      <c r="F3" s="15" t="e">
        <f>VLOOKUP(tab_HEA[[#This Row],[Matériaux]],tab_matériaux[],2,FALSE)</f>
        <v>#N/A</v>
      </c>
      <c r="G3" s="1"/>
      <c r="H3" s="5"/>
      <c r="I3" s="5"/>
      <c r="J3" s="5"/>
      <c r="K3" s="18"/>
      <c r="L3" s="35" t="e">
        <f>VLOOKUP(tab_HEA[[#This Row],[Profils]],tab_donnee_hea[],2,FALSE)</f>
        <v>#N/A</v>
      </c>
      <c r="M3" s="8"/>
      <c r="N3" s="1"/>
      <c r="O3" s="18" t="str">
        <f>IFERROR(10^-3*tab_HEA[[#This Row],[Poids au mètre(kg)]]*tab_HEA[[#This Row],[Stock réel (mm)]],"")</f>
        <v/>
      </c>
      <c r="P3" s="21" t="str">
        <f>IFERROR(tab_HEA[[#This Row],[Poids du stock réel (Kg)]]*VLOOKUP(tab_HEA[[#This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HEA</v>
      </c>
      <c r="E4" s="1"/>
      <c r="F4" s="15" t="e">
        <f>VLOOKUP(tab_HEA[[#This Row],[Matériaux]],tab_matériaux[],2,FALSE)</f>
        <v>#N/A</v>
      </c>
      <c r="G4" s="5"/>
      <c r="H4" s="5"/>
      <c r="I4" s="5"/>
      <c r="J4" s="5"/>
      <c r="K4" s="19"/>
      <c r="L4" s="19" t="e">
        <f>VLOOKUP(tab_HEA[[#This Row],[Profils]],tab_donnee_hea[],2,FALSE)</f>
        <v>#N/A</v>
      </c>
      <c r="M4" s="8"/>
      <c r="N4" s="11"/>
      <c r="O4" s="19" t="str">
        <f>IFERROR(10^-3*tab_HEA[[#This Row],[Poids au mètre(kg)]]*tab_HEA[[#This Row],[Stock réel (mm)]],"")</f>
        <v/>
      </c>
      <c r="P4" s="21" t="str">
        <f>IFERROR(tab_HEA[[#This Row],[Poids du stock réel (Kg)]]*VLOOKUP(tab_HEA[[#This Row],[Matériaux]],tab_matériaux[],4,FALSE),"")</f>
        <v/>
      </c>
      <c r="Q4" s="14"/>
      <c r="R4" s="13"/>
      <c r="S4" s="63"/>
    </row>
  </sheetData>
  <sheetProtection algorithmName="SHA-512" hashValue="QS2PJ6quniqLxvxxSrSh2m+XVNE7IwPMpY/8nU8oKFWhd+n1UQNKVhNW+zv+xTLUlDUZCnPhCSvZQ8hI/6BkCw==" saltValue="xsSRB7tTJjMjjwJBMR7aGg==" spinCount="100000" sheet="1" formatCells="0" formatColumns="0" sort="0" autoFilter="0" pivotTables="0"/>
  <conditionalFormatting sqref="H3:H4">
    <cfRule type="expression" dxfId="292" priority="3">
      <formula>OR($D3="Carré",$D3="Plat",$D3="Cornière",$D3="Tube rectangulaire",$D3="Tube carré")</formula>
    </cfRule>
  </conditionalFormatting>
  <conditionalFormatting sqref="I3:I4">
    <cfRule type="expression" dxfId="291" priority="2">
      <formula>OR($D3="Carré",$D3="Cornière",$D3="Tube rectangulaire",$D3="Tube carré")</formula>
    </cfRule>
  </conditionalFormatting>
  <conditionalFormatting sqref="J3:J4">
    <cfRule type="expression" dxfId="29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G3:G4">
      <formula1>plag_HEA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7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SUBTOTAL(9,tab_HEB[[Valeur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HEB</v>
      </c>
      <c r="E3" s="1"/>
      <c r="F3" s="15" t="e">
        <f>VLOOKUP(tab_HEB[[#This Row],[Matériaux]],tab_matériaux[],2,FALSE)</f>
        <v>#N/A</v>
      </c>
      <c r="G3" s="1"/>
      <c r="H3" s="5"/>
      <c r="I3" s="5"/>
      <c r="J3" s="5"/>
      <c r="K3" s="18"/>
      <c r="L3" s="35" t="e">
        <f>VLOOKUP(tab_HEB[[#This Row],[Profils]],tab_donnee_heb[],2,FALSE)</f>
        <v>#N/A</v>
      </c>
      <c r="M3" s="8"/>
      <c r="N3" s="1"/>
      <c r="O3" s="18" t="str">
        <f>IFERROR(10^-3*tab_HEB[[#This Row],[Poids au mètre(kg)]]*tab_HEB[[#This Row],[Stock réel (mm)]],"")</f>
        <v/>
      </c>
      <c r="P3" s="21" t="str">
        <f>IFERROR(tab_HEB[[#This Row],[Poids du stock réel (Kg)]]*VLOOKUP(tab_HEB[[#This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HEB</v>
      </c>
      <c r="E4" s="1"/>
      <c r="F4" s="15" t="e">
        <f>VLOOKUP(tab_HEB[[#This Row],[Matériaux]],tab_matériaux[],2,FALSE)</f>
        <v>#N/A</v>
      </c>
      <c r="G4" s="5"/>
      <c r="H4" s="5"/>
      <c r="I4" s="5"/>
      <c r="J4" s="5"/>
      <c r="K4" s="19"/>
      <c r="L4" s="19" t="e">
        <f>VLOOKUP(tab_HEB[[#This Row],[Profils]],tab_donnee_heb[],2,FALSE)</f>
        <v>#N/A</v>
      </c>
      <c r="M4" s="8"/>
      <c r="N4" s="1"/>
      <c r="O4" s="19" t="str">
        <f>IFERROR(10^-3*tab_HEB[[#This Row],[Poids au mètre(kg)]]*tab_HEB[[#This Row],[Stock réel (mm)]],"")</f>
        <v/>
      </c>
      <c r="P4" s="21" t="str">
        <f>IFERROR(tab_HEB[[#This Row],[Poids du stock réel (Kg)]]*VLOOKUP(tab_HEB[[#This Row],[Matériaux]],tab_matériaux[],4,FALSE),"")</f>
        <v/>
      </c>
      <c r="Q4" s="14"/>
      <c r="R4" s="13"/>
      <c r="S4" s="63"/>
    </row>
  </sheetData>
  <sheetProtection algorithmName="SHA-512" hashValue="SQFYAv5AmD4oQ8qaBPlcQ25epoDGFLU/vKSoIib0msjRsUYz5GEopw12o7/qL8TGuc9oUnXWyrGi8r55MbFw6g==" saltValue="nyBQrEvkbG/g5XYe2NWW7Q==" spinCount="100000" sheet="1" formatCells="0" formatColumns="0" sort="0" autoFilter="0" pivotTables="0"/>
  <conditionalFormatting sqref="H3:H4">
    <cfRule type="expression" dxfId="252" priority="3">
      <formula>OR($D3="Carré",$D3="Plat",$D3="Cornière",$D3="Tube rectangulaire",$D3="Tube carré")</formula>
    </cfRule>
  </conditionalFormatting>
  <conditionalFormatting sqref="I3:I4">
    <cfRule type="expression" dxfId="251" priority="2">
      <formula>OR($D3="Carré",$D3="Cornière",$D3="Tube rectangulaire",$D3="Tube carré")</formula>
    </cfRule>
  </conditionalFormatting>
  <conditionalFormatting sqref="J3:J4">
    <cfRule type="expression" dxfId="25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G3:G4">
      <formula1>plag_HEB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8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SUBTOTAL(9,tab_HEM[[Valeur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HEM</v>
      </c>
      <c r="E3" s="1"/>
      <c r="F3" s="15" t="e">
        <f>VLOOKUP(tab_HEM[[#This Row],[Matériaux]],tab_matériaux[],2,FALSE)</f>
        <v>#N/A</v>
      </c>
      <c r="G3" s="1"/>
      <c r="H3" s="5"/>
      <c r="I3" s="5"/>
      <c r="J3" s="5"/>
      <c r="K3" s="18"/>
      <c r="L3" s="35"/>
      <c r="M3" s="8"/>
      <c r="N3" s="1"/>
      <c r="O3" s="18">
        <f>IFERROR(10^-3*tab_HEM[[#This Row],[Poids au mètre(kg)]]*tab_HEM[[#This Row],[Stock réel (mm)]],"")</f>
        <v>0</v>
      </c>
      <c r="P3" s="21" t="str">
        <f>IFERROR(tab_HEM[[#This Row],[Poids du stock réel (Kg)]]*VLOOKUP(tab_HEM[[#This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HEM</v>
      </c>
      <c r="E4" s="1"/>
      <c r="F4" s="15" t="e">
        <f>VLOOKUP(tab_HEM[[#This Row],[Matériaux]],tab_matériaux[],2,FALSE)</f>
        <v>#N/A</v>
      </c>
      <c r="G4" s="5"/>
      <c r="H4" s="5"/>
      <c r="I4" s="5"/>
      <c r="J4" s="5"/>
      <c r="K4" s="19"/>
      <c r="L4" s="19" t="e">
        <f>VLOOKUP(tab_HEM[[#This Row],[Profils]],tab_donnee_hem[],2,FALSE)</f>
        <v>#N/A</v>
      </c>
      <c r="M4" s="8"/>
      <c r="N4" s="11"/>
      <c r="O4" s="19" t="str">
        <f>IFERROR(10^-3*tab_HEM[[#This Row],[Poids au mètre(kg)]]*tab_HEM[[#This Row],[Stock réel (mm)]],"")</f>
        <v/>
      </c>
      <c r="P4" s="21" t="str">
        <f>IFERROR(tab_HEM[[#This Row],[Poids du stock réel (Kg)]]*VLOOKUP(tab_HEM[[#This Row],[Matériaux]],tab_matériaux[],4,FALSE),"")</f>
        <v/>
      </c>
      <c r="Q4" s="14"/>
      <c r="R4" s="13"/>
      <c r="S4" s="63"/>
    </row>
  </sheetData>
  <sheetProtection algorithmName="SHA-512" hashValue="UpdGrfVcAo12B72l026krcbe5s1tQIDohoijycDP+np0BLtahf/rkuc9QslHEJsdkXdPumHCBsWyV5DGEgi5IQ==" saltValue="wN6c7h1yx7OdArbuDRFtuw==" spinCount="100000" sheet="1" formatCells="0" formatColumns="0" sort="0" autoFilter="0" pivotTables="0"/>
  <conditionalFormatting sqref="H3:H4">
    <cfRule type="expression" dxfId="212" priority="3">
      <formula>OR($D3="Carré",$D3="Plat",$D3="Cornière",$D3="Tube rectangulaire",$D3="Tube carré")</formula>
    </cfRule>
  </conditionalFormatting>
  <conditionalFormatting sqref="I3:I4">
    <cfRule type="expression" dxfId="211" priority="2">
      <formula>OR($D3="Carré",$D3="Cornière",$D3="Tube rectangulaire",$D3="Tube carré")</formula>
    </cfRule>
  </conditionalFormatting>
  <conditionalFormatting sqref="J3:J4">
    <cfRule type="expression" dxfId="21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G3:G4">
      <formula1>plag_HEM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19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SUBTOTAL(9,tab_UPN[[Valeur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UPN</v>
      </c>
      <c r="E3" s="1"/>
      <c r="F3" s="15" t="e">
        <f>VLOOKUP(tab_UPN[[#This Row],[Matériaux]],tab_matériaux[],2,FALSE)</f>
        <v>#N/A</v>
      </c>
      <c r="G3" s="1"/>
      <c r="H3" s="5"/>
      <c r="I3" s="5"/>
      <c r="J3" s="5"/>
      <c r="K3" s="18"/>
      <c r="L3" s="35" t="e">
        <f>VLOOKUP(tab_UPN[[#This Row],[Profils]],tab_donnee_upn[],2,FALSE)</f>
        <v>#N/A</v>
      </c>
      <c r="M3" s="8"/>
      <c r="N3" s="1"/>
      <c r="O3" s="18" t="str">
        <f>IFERROR(10^-3*tab_UPN[[#This Row],[Poids au mètre(kg)]]*tab_UPN[[#This Row],[Stock réel (mm)]],"")</f>
        <v/>
      </c>
      <c r="P3" s="21" t="str">
        <f>IFERROR(tab_UPN[[#This Row],[Poids du stock réel (Kg)]]*VLOOKUP(tab_UPN[[#This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UPN</v>
      </c>
      <c r="E4" s="1"/>
      <c r="F4" s="15" t="e">
        <f>VLOOKUP(tab_UPN[[#This Row],[Matériaux]],tab_matériaux[],2,FALSE)</f>
        <v>#N/A</v>
      </c>
      <c r="G4" s="5"/>
      <c r="H4" s="5"/>
      <c r="I4" s="5"/>
      <c r="J4" s="5"/>
      <c r="K4" s="19"/>
      <c r="L4" s="19" t="e">
        <f>VLOOKUP(tab_UPN[[#This Row],[Profils]],tab_donnee_upn[],2,FALSE)</f>
        <v>#N/A</v>
      </c>
      <c r="M4" s="8"/>
      <c r="N4" s="11"/>
      <c r="O4" s="19" t="str">
        <f>IFERROR(10^-3*tab_UPN[[#This Row],[Poids au mètre(kg)]]*tab_UPN[[#This Row],[Stock réel (mm)]],"")</f>
        <v/>
      </c>
      <c r="P4" s="21" t="str">
        <f>IFERROR(tab_UPN[[#This Row],[Poids du stock réel (Kg)]]*VLOOKUP(tab_UPN[[#This Row],[Matériaux]],tab_matériaux[],4,FALSE),"")</f>
        <v/>
      </c>
      <c r="Q4" s="14"/>
      <c r="R4" s="13"/>
      <c r="S4" s="63"/>
    </row>
  </sheetData>
  <sheetProtection algorithmName="SHA-512" hashValue="qtgmKf3sWlun03iimh+f192aW3K4BA0bVoKOxQ/Bo7P9Ci+HG8SB6Fg6R7Mu/zAC9qJXTXL6W7ND3pcpNfu1tg==" saltValue="ZJfHumYhOAEedge3WqjEuQ==" spinCount="100000" sheet="1" formatCells="0" formatColumns="0" sort="0" autoFilter="0" pivotTables="0"/>
  <conditionalFormatting sqref="H3:H4">
    <cfRule type="expression" dxfId="172" priority="3">
      <formula>OR($D3="Carré",$D3="Plat",$D3="Cornière",$D3="Tube rectangulaire",$D3="Tube carré")</formula>
    </cfRule>
  </conditionalFormatting>
  <conditionalFormatting sqref="I3:I4">
    <cfRule type="expression" dxfId="171" priority="2">
      <formula>OR($D3="Carré",$D3="Cornière",$D3="Tube rectangulaire",$D3="Tube carré")</formula>
    </cfRule>
  </conditionalFormatting>
  <conditionalFormatting sqref="J3:J4">
    <cfRule type="expression" dxfId="17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G3:G4">
      <formula1>plag_UPN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20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SUBTOTAL(9,tab_UPE[[Valeur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UPE</v>
      </c>
      <c r="E3" s="1"/>
      <c r="F3" s="15" t="e">
        <f>VLOOKUP(tab_UPE[[#This Row],[Matériaux]],tab_matériaux[],2,FALSE)</f>
        <v>#N/A</v>
      </c>
      <c r="G3" s="1"/>
      <c r="H3" s="5"/>
      <c r="I3" s="5"/>
      <c r="J3" s="5"/>
      <c r="K3" s="18"/>
      <c r="L3" s="35" t="e">
        <f>VLOOKUP(tab_UPE[[#This Row],[Profils]],tab_donnee_upe[],2,FALSE)</f>
        <v>#N/A</v>
      </c>
      <c r="M3" s="8"/>
      <c r="N3" s="1"/>
      <c r="O3" s="18" t="str">
        <f>IFERROR(10^-3*tab_UPE[[#This Row],[Poids au mètre(kg)]]*tab_UPE[[#This Row],[Stock réel (mm)]],"")</f>
        <v/>
      </c>
      <c r="P3" s="21" t="str">
        <f>IFERROR(tab_UPE[[#This Row],[Poids du stock réel (Kg)]]*VLOOKUP(tab_UPE[[#This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UPE</v>
      </c>
      <c r="E4" s="1"/>
      <c r="F4" s="15" t="e">
        <f>VLOOKUP(tab_UPE[[#This Row],[Matériaux]],tab_matériaux[],2,FALSE)</f>
        <v>#N/A</v>
      </c>
      <c r="G4" s="5"/>
      <c r="H4" s="5"/>
      <c r="I4" s="5"/>
      <c r="J4" s="5"/>
      <c r="K4" s="19"/>
      <c r="L4" s="19" t="e">
        <f>VLOOKUP(tab_UPE[[#This Row],[Profils]],tab_donnee_upe[],2,FALSE)</f>
        <v>#N/A</v>
      </c>
      <c r="M4" s="8"/>
      <c r="N4" s="11"/>
      <c r="O4" s="19" t="str">
        <f>IFERROR(10^-3*tab_UPE[[#This Row],[Poids au mètre(kg)]]*tab_UPE[[#This Row],[Stock réel (mm)]],"")</f>
        <v/>
      </c>
      <c r="P4" s="21" t="str">
        <f>IFERROR(tab_UPE[[#This Row],[Poids du stock réel (Kg)]]*VLOOKUP(tab_UPE[[#This Row],[Matériaux]],tab_matériaux[],4,FALSE),"")</f>
        <v/>
      </c>
      <c r="Q4" s="14"/>
      <c r="R4" s="13"/>
      <c r="S4" s="63"/>
    </row>
  </sheetData>
  <sheetProtection algorithmName="SHA-512" hashValue="RE4BfI8E55weI0EytGB9OisWLX4BglURP51x+u0M0S6ylQRFp02Ga/FCWnFYSdpZ1odfpRVsE04TRAFo8TBjKg==" saltValue="2IA5E0vEETbb36pcK/tRpw==" spinCount="100000" sheet="1" formatCells="0" formatColumns="0" sort="0" autoFilter="0" pivotTables="0"/>
  <conditionalFormatting sqref="H3:H4">
    <cfRule type="expression" dxfId="132" priority="3">
      <formula>OR($D3="Carré",$D3="Plat",$D3="Cornière",$D3="Tube rectangulaire",$D3="Tube carré")</formula>
    </cfRule>
  </conditionalFormatting>
  <conditionalFormatting sqref="I3:I4">
    <cfRule type="expression" dxfId="131" priority="2">
      <formula>OR($D3="Carré",$D3="Cornière",$D3="Tube rectangulaire",$D3="Tube carré")</formula>
    </cfRule>
  </conditionalFormatting>
  <conditionalFormatting sqref="J3:J4">
    <cfRule type="expression" dxfId="13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N3:N4">
      <formula1>plag_emplacement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G3:G4">
      <formula1>plag_UPE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21"/>
  <dimension ref="A1:U4"/>
  <sheetViews>
    <sheetView topLeftCell="B1" zoomScaleNormal="100" workbookViewId="0">
      <pane ySplit="2" topLeftCell="A3" activePane="bottomLeft" state="frozen"/>
      <selection activeCell="W14" sqref="W14"/>
      <selection pane="bottomLeft" activeCell="A3" sqref="A3:S4"/>
    </sheetView>
  </sheetViews>
  <sheetFormatPr baseColWidth="10" defaultColWidth="9.140625" defaultRowHeight="15" x14ac:dyDescent="0.25"/>
  <cols>
    <col min="1" max="1" width="4.7109375" style="24" hidden="1" customWidth="1"/>
    <col min="2" max="2" width="15.7109375" style="24" customWidth="1"/>
    <col min="3" max="3" width="15.5703125" style="24" hidden="1" customWidth="1"/>
    <col min="4" max="4" width="15.42578125" style="24" customWidth="1"/>
    <col min="5" max="6" width="15.7109375" style="24" customWidth="1"/>
    <col min="7" max="7" width="7.7109375" style="24" customWidth="1"/>
    <col min="8" max="10" width="10.7109375" style="24" hidden="1" customWidth="1"/>
    <col min="11" max="11" width="10.7109375" style="25" hidden="1" customWidth="1"/>
    <col min="12" max="12" width="20.7109375" style="25" hidden="1" customWidth="1"/>
    <col min="13" max="13" width="12.7109375" style="25" customWidth="1"/>
    <col min="14" max="14" width="15.7109375" style="24" customWidth="1"/>
    <col min="15" max="15" width="12.7109375" style="25" customWidth="1"/>
    <col min="16" max="17" width="12.7109375" style="24" customWidth="1"/>
    <col min="18" max="18" width="12.7109375" style="26" customWidth="1"/>
    <col min="19" max="19" width="25.7109375" style="27" customWidth="1"/>
    <col min="20" max="20" width="12" style="27" customWidth="1"/>
    <col min="21" max="16384" width="9.140625" style="27"/>
  </cols>
  <sheetData>
    <row r="1" spans="1:21" ht="149.25" customHeight="1" x14ac:dyDescent="0.25"/>
    <row r="2" spans="1:21" ht="45" customHeight="1" x14ac:dyDescent="0.25">
      <c r="A2" s="47" t="s">
        <v>52</v>
      </c>
      <c r="B2" s="29" t="s">
        <v>0</v>
      </c>
      <c r="C2" s="30" t="s">
        <v>1</v>
      </c>
      <c r="D2" s="30" t="s">
        <v>6</v>
      </c>
      <c r="E2" s="30" t="s">
        <v>8</v>
      </c>
      <c r="F2" s="30" t="s">
        <v>7</v>
      </c>
      <c r="G2" s="30" t="s">
        <v>65</v>
      </c>
      <c r="H2" s="30" t="s">
        <v>62</v>
      </c>
      <c r="I2" s="30" t="s">
        <v>48</v>
      </c>
      <c r="J2" s="30" t="s">
        <v>49</v>
      </c>
      <c r="K2" s="31" t="s">
        <v>46</v>
      </c>
      <c r="L2" s="31" t="s">
        <v>2</v>
      </c>
      <c r="M2" s="31" t="s">
        <v>63</v>
      </c>
      <c r="N2" s="30" t="s">
        <v>4</v>
      </c>
      <c r="O2" s="31" t="s">
        <v>53</v>
      </c>
      <c r="P2" s="31" t="s">
        <v>3</v>
      </c>
      <c r="Q2" s="48" t="s">
        <v>70</v>
      </c>
      <c r="R2" s="48" t="s">
        <v>67</v>
      </c>
      <c r="S2" s="30" t="s">
        <v>66</v>
      </c>
      <c r="U2" s="56">
        <f>SUBTOTAL(9,tab_UAP[[Valeur marchande du stock réel ]])</f>
        <v>0</v>
      </c>
    </row>
    <row r="3" spans="1:21" x14ac:dyDescent="0.25">
      <c r="A3" s="33"/>
      <c r="B3" s="3"/>
      <c r="C3" s="16"/>
      <c r="D3" s="15" t="str">
        <f t="shared" ref="D3:D4" ca="1" si="0">RIGHT(CELL("filename",$A$1),LEN(CELL("filename",$A$1))-SEARCH("]",CELL("filename",$A$1)))</f>
        <v>UAP</v>
      </c>
      <c r="E3" s="1"/>
      <c r="F3" s="15" t="e">
        <f>VLOOKUP(tab_UAP[[#This Row],[Matériaux]],tab_matériaux[],2,FALSE)</f>
        <v>#N/A</v>
      </c>
      <c r="G3" s="1"/>
      <c r="H3" s="5"/>
      <c r="I3" s="5"/>
      <c r="J3" s="5"/>
      <c r="K3" s="18"/>
      <c r="L3" s="35"/>
      <c r="M3" s="8"/>
      <c r="N3" s="1"/>
      <c r="O3" s="18">
        <f>IFERROR(10^-3*tab_UAP[[#This Row],[Poids au mètre(kg)]]*tab_UAP[[#This Row],[Stock réel (mm)]],"")</f>
        <v>0</v>
      </c>
      <c r="P3" s="21" t="str">
        <f>IFERROR(tab_UAP[[#This Row],[Poids du stock réel (Kg)]]*VLOOKUP(tab_UAP[[#This Row],[Matériaux]],tab_matériaux[],4,FALSE),"")</f>
        <v/>
      </c>
      <c r="Q3" s="13"/>
      <c r="R3" s="13"/>
      <c r="S3" s="6"/>
    </row>
    <row r="4" spans="1:21" x14ac:dyDescent="0.25">
      <c r="A4" s="49"/>
      <c r="B4" s="3"/>
      <c r="C4" s="3"/>
      <c r="D4" s="58" t="str">
        <f t="shared" ca="1" si="0"/>
        <v>UAP</v>
      </c>
      <c r="E4" s="1"/>
      <c r="F4" s="15" t="e">
        <f>VLOOKUP(tab_UAP[[#This Row],[Matériaux]],tab_matériaux[],2,FALSE)</f>
        <v>#N/A</v>
      </c>
      <c r="G4" s="5"/>
      <c r="H4" s="5"/>
      <c r="I4" s="5"/>
      <c r="J4" s="5"/>
      <c r="K4" s="19"/>
      <c r="L4" s="19" t="e">
        <f>VLOOKUP(tab_UAP[[#This Row],[Profils]],tab_donnee_uap[],2,FALSE)</f>
        <v>#N/A</v>
      </c>
      <c r="M4" s="8"/>
      <c r="N4" s="11"/>
      <c r="O4" s="19" t="str">
        <f>IFERROR(10^-3*tab_UAP[[#This Row],[Poids au mètre(kg)]]*tab_UAP[[#This Row],[Stock réel (mm)]],"")</f>
        <v/>
      </c>
      <c r="P4" s="21" t="str">
        <f>IFERROR(tab_UAP[[#This Row],[Poids du stock réel (Kg)]]*VLOOKUP(tab_UAP[[#This Row],[Matériaux]],tab_matériaux[],4,FALSE),"")</f>
        <v/>
      </c>
      <c r="Q4" s="14"/>
      <c r="R4" s="13"/>
      <c r="S4" s="63"/>
    </row>
  </sheetData>
  <sheetProtection algorithmName="SHA-512" hashValue="k0CW4mazFlIg79X6FIeFGA4lD0bMn+ZaqyjC4mnfSgYsx/BHwGQr3y34LwBjf0uTCScxBe27+BUax20YVx35AQ==" saltValue="xKmSp99xrSsYhJD3xR5fSQ==" spinCount="100000" sheet="1" formatCells="0" formatColumns="0" sort="0" autoFilter="0" pivotTables="0"/>
  <conditionalFormatting sqref="H3:H4">
    <cfRule type="expression" dxfId="92" priority="3">
      <formula>OR($D3="Carré",$D3="Plat",$D3="Cornière",$D3="Tube rectangulaire",$D3="Tube carré")</formula>
    </cfRule>
  </conditionalFormatting>
  <conditionalFormatting sqref="I3:I4">
    <cfRule type="expression" dxfId="91" priority="2">
      <formula>OR($D3="Carré",$D3="Cornière",$D3="Tube rectangulaire",$D3="Tube carré")</formula>
    </cfRule>
  </conditionalFormatting>
  <conditionalFormatting sqref="J3:J4">
    <cfRule type="expression" dxfId="90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G3:G4">
      <formula1>plag_UAP</formula1>
    </dataValidation>
    <dataValidation type="list" allowBlank="1" showInputMessage="1" showErrorMessage="1" sqref="E3:E4">
      <formula1>plag_matériaux</formula1>
    </dataValidation>
    <dataValidation type="list" allowBlank="1" showInputMessage="1" showErrorMessage="1" sqref="N3:N4">
      <formula1>plag_emplacement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ouvement"/>
  <dimension ref="A1:Q3"/>
  <sheetViews>
    <sheetView zoomScaleNormal="100" workbookViewId="0">
      <pane ySplit="2" topLeftCell="A3" activePane="bottomLeft" state="frozen"/>
      <selection activeCell="D18" sqref="D18"/>
      <selection pane="bottomLeft" activeCell="I9" sqref="I9"/>
    </sheetView>
  </sheetViews>
  <sheetFormatPr baseColWidth="10" defaultColWidth="9.140625" defaultRowHeight="15" x14ac:dyDescent="0.25"/>
  <cols>
    <col min="1" max="1" width="13.140625" style="24" customWidth="1"/>
    <col min="2" max="3" width="15.7109375" style="24" customWidth="1"/>
    <col min="4" max="4" width="12.140625" style="24" customWidth="1"/>
    <col min="5" max="5" width="10.7109375" style="24" customWidth="1"/>
    <col min="6" max="6" width="8.42578125" style="24" customWidth="1"/>
    <col min="7" max="10" width="9.7109375" style="24" customWidth="1"/>
    <col min="11" max="13" width="12.7109375" style="25" customWidth="1"/>
    <col min="14" max="14" width="15.7109375" style="24" customWidth="1"/>
    <col min="15" max="15" width="17.7109375" style="26" customWidth="1"/>
    <col min="16" max="16" width="25.7109375" style="27" customWidth="1"/>
    <col min="17" max="17" width="9.140625" style="27" customWidth="1"/>
    <col min="18" max="16384" width="9.140625" style="27"/>
  </cols>
  <sheetData>
    <row r="1" spans="1:17" ht="149.25" customHeight="1" x14ac:dyDescent="0.25"/>
    <row r="2" spans="1:17" ht="45" customHeight="1" x14ac:dyDescent="0.25">
      <c r="A2" s="28" t="s">
        <v>59</v>
      </c>
      <c r="B2" s="29" t="s">
        <v>0</v>
      </c>
      <c r="C2" s="30" t="s">
        <v>6</v>
      </c>
      <c r="D2" s="30" t="s">
        <v>8</v>
      </c>
      <c r="E2" s="30" t="s">
        <v>7</v>
      </c>
      <c r="F2" s="30" t="s">
        <v>51</v>
      </c>
      <c r="G2" s="30" t="s">
        <v>47</v>
      </c>
      <c r="H2" s="30" t="s">
        <v>48</v>
      </c>
      <c r="I2" s="30" t="s">
        <v>49</v>
      </c>
      <c r="J2" s="30" t="s">
        <v>65</v>
      </c>
      <c r="K2" s="31" t="s">
        <v>60</v>
      </c>
      <c r="L2" s="31" t="s">
        <v>69</v>
      </c>
      <c r="M2" s="31" t="s">
        <v>68</v>
      </c>
      <c r="N2" s="31" t="s">
        <v>61</v>
      </c>
      <c r="O2" s="30" t="s">
        <v>4</v>
      </c>
      <c r="P2" s="30" t="s">
        <v>66</v>
      </c>
      <c r="Q2" s="32"/>
    </row>
    <row r="3" spans="1:17" hidden="1" x14ac:dyDescent="0.25">
      <c r="A3" s="57"/>
      <c r="B3" s="34"/>
      <c r="C3" s="15"/>
      <c r="D3" s="58"/>
      <c r="E3" s="15" t="str">
        <f>IFERROR(VLOOKUP(tab_mouvement[[#This Row],[Matériaux]],tab_matériaux[],2,FALSE),"")</f>
        <v/>
      </c>
      <c r="F3" s="15"/>
      <c r="G3" s="15"/>
      <c r="H3" s="15"/>
      <c r="I3" s="15"/>
      <c r="J3" s="15"/>
      <c r="K3" s="18">
        <f>tab_mouvement[[#This Row],[Stock après ajustement]]-tab_mouvement[[#This Row],[Entrée
+]]+tab_mouvement[[#This Row],[Sortie
-]]</f>
        <v>0</v>
      </c>
      <c r="L3" s="18"/>
      <c r="M3" s="18"/>
      <c r="N3" s="18"/>
      <c r="O3" s="15"/>
      <c r="P3" s="6"/>
    </row>
  </sheetData>
  <sheetProtection algorithmName="SHA-512" hashValue="3rchC+O111+3qOd1lPwNK6NSIfndhoDj3lmuEa5YKJghTjxxW4feFMG6ZvwrWEg0SmDFZEy6K4YW1Aulhza5mw==" saltValue="zxTFjrTkZUcZbicsCmZblg==" spinCount="100000" sheet="1" formatCells="0" formatColumns="0" sort="0" autoFilter="0" pivotTables="0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22"/>
  <dimension ref="A1:M8"/>
  <sheetViews>
    <sheetView zoomScaleNormal="100" workbookViewId="0">
      <pane ySplit="2" topLeftCell="A3" activePane="bottomLeft" state="frozen"/>
      <selection activeCell="U14" sqref="U14:U15"/>
      <selection pane="bottomLeft" activeCell="A3" sqref="A3:K8"/>
    </sheetView>
  </sheetViews>
  <sheetFormatPr baseColWidth="10" defaultColWidth="9.140625" defaultRowHeight="15" x14ac:dyDescent="0.25"/>
  <cols>
    <col min="1" max="1" width="4.7109375" style="75" hidden="1" customWidth="1"/>
    <col min="2" max="2" width="15.7109375" style="75" customWidth="1"/>
    <col min="3" max="3" width="15.42578125" style="75" customWidth="1"/>
    <col min="4" max="5" width="15.7109375" style="75" customWidth="1"/>
    <col min="6" max="6" width="25.5703125" style="75" customWidth="1"/>
    <col min="7" max="7" width="12.7109375" style="76" customWidth="1"/>
    <col min="8" max="8" width="15.7109375" style="75" customWidth="1"/>
    <col min="9" max="9" width="12.7109375" style="76" customWidth="1"/>
    <col min="10" max="10" width="12.7109375" style="75" customWidth="1"/>
    <col min="11" max="11" width="25.7109375" style="2" customWidth="1"/>
    <col min="12" max="12" width="12" style="2" customWidth="1"/>
    <col min="13" max="16384" width="9.140625" style="2"/>
  </cols>
  <sheetData>
    <row r="1" spans="1:13" ht="149.25" customHeight="1" x14ac:dyDescent="0.25"/>
    <row r="2" spans="1:13" ht="45" customHeight="1" x14ac:dyDescent="0.25">
      <c r="A2" s="77" t="s">
        <v>52</v>
      </c>
      <c r="B2" s="78" t="s">
        <v>0</v>
      </c>
      <c r="C2" s="79" t="s">
        <v>6</v>
      </c>
      <c r="D2" s="79" t="s">
        <v>8</v>
      </c>
      <c r="E2" s="79" t="s">
        <v>7</v>
      </c>
      <c r="F2" s="79" t="s">
        <v>74</v>
      </c>
      <c r="G2" s="80" t="s">
        <v>63</v>
      </c>
      <c r="H2" s="79" t="s">
        <v>4</v>
      </c>
      <c r="I2" s="80" t="s">
        <v>53</v>
      </c>
      <c r="J2" s="80" t="s">
        <v>3</v>
      </c>
      <c r="K2" s="79" t="s">
        <v>66</v>
      </c>
      <c r="M2" s="81"/>
    </row>
    <row r="3" spans="1:13" x14ac:dyDescent="0.25">
      <c r="A3" s="82"/>
      <c r="B3" s="3"/>
      <c r="C3" s="1"/>
      <c r="D3" s="1"/>
      <c r="E3" s="1"/>
      <c r="F3" s="1"/>
      <c r="G3" s="8"/>
      <c r="H3" s="1"/>
      <c r="I3" s="7"/>
      <c r="J3" s="83"/>
      <c r="K3" s="6"/>
    </row>
    <row r="4" spans="1:13" x14ac:dyDescent="0.25">
      <c r="A4" s="84"/>
      <c r="B4" s="3"/>
      <c r="C4" s="85"/>
      <c r="D4" s="1"/>
      <c r="E4" s="1"/>
      <c r="F4" s="5"/>
      <c r="G4" s="8"/>
      <c r="H4" s="11"/>
      <c r="I4" s="8"/>
      <c r="J4" s="83"/>
      <c r="K4" s="63"/>
    </row>
    <row r="5" spans="1:13" x14ac:dyDescent="0.25">
      <c r="A5" s="84"/>
      <c r="B5" s="3"/>
      <c r="C5" s="85"/>
      <c r="D5" s="1"/>
      <c r="E5" s="1"/>
      <c r="F5" s="5"/>
      <c r="G5" s="8"/>
      <c r="H5" s="11"/>
      <c r="I5" s="8"/>
      <c r="J5" s="83"/>
      <c r="K5" s="5"/>
    </row>
    <row r="6" spans="1:13" x14ac:dyDescent="0.25">
      <c r="A6" s="84"/>
      <c r="B6" s="3"/>
      <c r="C6" s="85"/>
      <c r="D6" s="1"/>
      <c r="E6" s="1"/>
      <c r="F6" s="5"/>
      <c r="G6" s="8"/>
      <c r="H6" s="11"/>
      <c r="I6" s="8"/>
      <c r="J6" s="83"/>
      <c r="K6" s="5"/>
    </row>
    <row r="7" spans="1:13" x14ac:dyDescent="0.25">
      <c r="A7" s="84"/>
      <c r="B7" s="3"/>
      <c r="C7" s="85"/>
      <c r="D7" s="1"/>
      <c r="E7" s="1"/>
      <c r="F7" s="5"/>
      <c r="G7" s="8"/>
      <c r="H7" s="11"/>
      <c r="I7" s="8"/>
      <c r="J7" s="83"/>
      <c r="K7" s="5"/>
    </row>
    <row r="8" spans="1:13" x14ac:dyDescent="0.25">
      <c r="A8" s="86"/>
      <c r="B8" s="4"/>
      <c r="C8" s="87"/>
      <c r="D8" s="61"/>
      <c r="E8" s="61"/>
      <c r="F8" s="6"/>
      <c r="G8" s="10"/>
      <c r="H8" s="62"/>
      <c r="I8" s="10"/>
      <c r="J8" s="88"/>
      <c r="K8" s="6"/>
    </row>
  </sheetData>
  <sheetProtection algorithmName="SHA-512" hashValue="OhP7oNTuU0nuh+mQYRZB4bHJVKNDtruUJXEqxCPmLK7BoYfmAmTabddDlr0eNe+IB08RHxpet95RvPTTttzlQw==" saltValue="4PSVeolwRLO4cYSAczQO9w==" spinCount="100000" sheet="1" formatCells="0" formatColumns="0" sort="0" autoFilter="0" pivotTables="0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23</vt:i4>
      </vt:variant>
    </vt:vector>
  </HeadingPairs>
  <TitlesOfParts>
    <vt:vector size="48" baseType="lpstr">
      <vt:lpstr>Accueil</vt:lpstr>
      <vt:lpstr>Paramètre</vt:lpstr>
      <vt:lpstr>Rond</vt:lpstr>
      <vt:lpstr>Carré</vt:lpstr>
      <vt:lpstr>Plaque</vt:lpstr>
      <vt:lpstr>Tole</vt:lpstr>
      <vt:lpstr>Plat</vt:lpstr>
      <vt:lpstr>Disque</vt:lpstr>
      <vt:lpstr>Tube_rond</vt:lpstr>
      <vt:lpstr>Tube_carré</vt:lpstr>
      <vt:lpstr>Tube_rectangulaire</vt:lpstr>
      <vt:lpstr>T</vt:lpstr>
      <vt:lpstr>U</vt:lpstr>
      <vt:lpstr>L</vt:lpstr>
      <vt:lpstr>IPE</vt:lpstr>
      <vt:lpstr>IPN</vt:lpstr>
      <vt:lpstr>IPEA</vt:lpstr>
      <vt:lpstr>HEA</vt:lpstr>
      <vt:lpstr>HEB</vt:lpstr>
      <vt:lpstr>HEM</vt:lpstr>
      <vt:lpstr>UPN</vt:lpstr>
      <vt:lpstr>UPE</vt:lpstr>
      <vt:lpstr>UAP</vt:lpstr>
      <vt:lpstr>Mouvement</vt:lpstr>
      <vt:lpstr>Divers</vt:lpstr>
      <vt:lpstr>Divers!plag_emplacement</vt:lpstr>
      <vt:lpstr>plag_emplacement</vt:lpstr>
      <vt:lpstr>Divers!plag_HEA</vt:lpstr>
      <vt:lpstr>plag_HEA</vt:lpstr>
      <vt:lpstr>Divers!plag_HEB</vt:lpstr>
      <vt:lpstr>plag_HEB</vt:lpstr>
      <vt:lpstr>Divers!plag_HEM</vt:lpstr>
      <vt:lpstr>plag_HEM</vt:lpstr>
      <vt:lpstr>Divers!plag_IPE</vt:lpstr>
      <vt:lpstr>plag_IPE</vt:lpstr>
      <vt:lpstr>Divers!plag_IPEA</vt:lpstr>
      <vt:lpstr>plag_IPEA</vt:lpstr>
      <vt:lpstr>Divers!plag_IPN</vt:lpstr>
      <vt:lpstr>plag_IPN</vt:lpstr>
      <vt:lpstr>Divers!plag_matériaux</vt:lpstr>
      <vt:lpstr>plag_matériaux</vt:lpstr>
      <vt:lpstr>Divers!plag_UAP</vt:lpstr>
      <vt:lpstr>plag_UAP</vt:lpstr>
      <vt:lpstr>Divers!plag_UPE</vt:lpstr>
      <vt:lpstr>plag_UPE</vt:lpstr>
      <vt:lpstr>Divers!plag_UPN</vt:lpstr>
      <vt:lpstr>plag_UPN</vt:lpstr>
      <vt:lpstr>Paramètre!Zone_d_impression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WEIGEL Guillaume (ISL-STI-PE)</dc:creator>
  <cp:lastModifiedBy>WEIGEL Guillaume (ISL-STI-PE)</cp:lastModifiedBy>
  <cp:lastPrinted>2016-10-10T11:18:03Z</cp:lastPrinted>
  <dcterms:created xsi:type="dcterms:W3CDTF">2006-09-16T00:00:00Z</dcterms:created>
  <dcterms:modified xsi:type="dcterms:W3CDTF">2016-10-17T13:26:19Z</dcterms:modified>
</cp:coreProperties>
</file>