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135" windowWidth="23715" windowHeight="9780" tabRatio="818"/>
  </bookViews>
  <sheets>
    <sheet name="Base de données" sheetId="3" r:id="rId1"/>
    <sheet name="Menu" sheetId="2" r:id="rId2"/>
    <sheet name="Matériel d'entraiment" sheetId="4" r:id="rId3"/>
    <sheet name="Engins et haies" sheetId="5" r:id="rId4"/>
    <sheet name="perches" sheetId="6" r:id="rId5"/>
    <sheet name="Matériels de juge" sheetId="8" r:id="rId6"/>
    <sheet name="Equipements sportif" sheetId="7" r:id="rId7"/>
    <sheet name="Trousseaux de clefs" sheetId="12" r:id="rId8"/>
    <sheet name="historique des saisie" sheetId="9" r:id="rId9"/>
    <sheet name="Statistique" sheetId="11" r:id="rId10"/>
  </sheets>
  <definedNames>
    <definedName name="_xlnm._FilterDatabase" localSheetId="0" hidden="1">'Base de données'!$A$2:$C$6</definedName>
    <definedName name="Année_Calendaire">'historique des saisie'!$V$1</definedName>
    <definedName name="Aoû_Dim1">DATE(Année_Calendaire,8,1)-WEEKDAY(DATE(Année_Calendaire,8,1))+1</definedName>
    <definedName name="Avr_Dim1">DATE(Année_Calendaire,4,1)-WEEKDAY(DATE(Année_Calendaire,4,1))+1</definedName>
    <definedName name="Déc_Dim1">DATE(Année_Calendaire,12,1)-WEEKDAY(DATE(Année_Calendaire,12,1))+1</definedName>
    <definedName name="Fév_Dim1">DATE(Année_Calendaire,2,1)-WEEKDAY(DATE(Année_Calendaire,2,1))+1</definedName>
    <definedName name="Jan_Dim1">DATE(Année_Calendaire,1,1)-WEEKDAY(DATE(Année_Calendaire,1,1))+1</definedName>
    <definedName name="Juil_Dim1">DATE(Année_Calendaire,7,1)-WEEKDAY(DATE(Année_Calendaire,7,1))+1</definedName>
    <definedName name="Juin_Dim1">DATE(Année_Calendaire,6,1)-WEEKDAY(DATE(Année_Calendaire,6,1))+1</definedName>
    <definedName name="Mai_Dim1">DATE(Année_Calendaire,5,1)-WEEKDAY(DATE(Année_Calendaire,5,1))+1</definedName>
    <definedName name="Mar_Dim1">DATE(Année_Calendaire,3,1)-WEEKDAY(DATE(Année_Calendaire,3,1))+1</definedName>
    <definedName name="Nov_Dim1">DATE(Année_Calendaire,11,1)-WEEKDAY(DATE(Année_Calendaire,11,1))+1</definedName>
    <definedName name="Oct_Dim1">DATE(Année_Calendaire,10,1)-WEEKDAY(DATE(Année_Calendaire,10,1))+1</definedName>
    <definedName name="Sep_Dim1">DATE(Année_Calendaire,9,1)-WEEKDAY(DATE(Année_Calendaire,9,1))+1</definedName>
  </definedNames>
  <calcPr calcId="125725"/>
</workbook>
</file>

<file path=xl/calcChain.xml><?xml version="1.0" encoding="utf-8"?>
<calcChain xmlns="http://schemas.openxmlformats.org/spreadsheetml/2006/main">
  <c r="AF30" i="9"/>
  <c r="AE30"/>
  <c r="AD30"/>
  <c r="AC30"/>
  <c r="AB30"/>
  <c r="AA30"/>
  <c r="Z30"/>
  <c r="X30"/>
  <c r="W30"/>
  <c r="V30"/>
  <c r="U30"/>
  <c r="T30"/>
  <c r="S30"/>
  <c r="R30"/>
  <c r="P30"/>
  <c r="O30"/>
  <c r="N30"/>
  <c r="M30"/>
  <c r="L30"/>
  <c r="K30"/>
  <c r="J30"/>
  <c r="H30"/>
  <c r="G30"/>
  <c r="F30"/>
  <c r="E30"/>
  <c r="D30"/>
  <c r="C30"/>
  <c r="B30"/>
  <c r="AF29"/>
  <c r="AE29"/>
  <c r="AD29"/>
  <c r="AC29"/>
  <c r="AB29"/>
  <c r="AA29"/>
  <c r="Z29"/>
  <c r="X29"/>
  <c r="W29"/>
  <c r="V29"/>
  <c r="U29"/>
  <c r="T29"/>
  <c r="S29"/>
  <c r="R29"/>
  <c r="P29"/>
  <c r="O29"/>
  <c r="N29"/>
  <c r="M29"/>
  <c r="L29"/>
  <c r="K29"/>
  <c r="J29"/>
  <c r="H29"/>
  <c r="G29"/>
  <c r="F29"/>
  <c r="E29"/>
  <c r="D29"/>
  <c r="C29"/>
  <c r="B29"/>
  <c r="AF28"/>
  <c r="AE28"/>
  <c r="AD28"/>
  <c r="AC28"/>
  <c r="AB28"/>
  <c r="AA28"/>
  <c r="Z28"/>
  <c r="X28"/>
  <c r="W28"/>
  <c r="V28"/>
  <c r="U28"/>
  <c r="T28"/>
  <c r="S28"/>
  <c r="R28"/>
  <c r="P28"/>
  <c r="O28"/>
  <c r="N28"/>
  <c r="M28"/>
  <c r="L28"/>
  <c r="K28"/>
  <c r="J28"/>
  <c r="H28"/>
  <c r="G28"/>
  <c r="F28"/>
  <c r="E28"/>
  <c r="D28"/>
  <c r="C28"/>
  <c r="B28"/>
  <c r="AF27"/>
  <c r="AE27"/>
  <c r="AD27"/>
  <c r="AC27"/>
  <c r="AB27"/>
  <c r="AA27"/>
  <c r="Z27"/>
  <c r="X27"/>
  <c r="W27"/>
  <c r="V27"/>
  <c r="U27"/>
  <c r="T27"/>
  <c r="S27"/>
  <c r="R27"/>
  <c r="P27"/>
  <c r="O27"/>
  <c r="N27"/>
  <c r="M27"/>
  <c r="L27"/>
  <c r="K27"/>
  <c r="J27"/>
  <c r="H27"/>
  <c r="G27"/>
  <c r="F27"/>
  <c r="E27"/>
  <c r="D27"/>
  <c r="C27"/>
  <c r="B27"/>
  <c r="AF26"/>
  <c r="AE26"/>
  <c r="AD26"/>
  <c r="AC26"/>
  <c r="AB26"/>
  <c r="AA26"/>
  <c r="Z26"/>
  <c r="X26"/>
  <c r="W26"/>
  <c r="V26"/>
  <c r="U26"/>
  <c r="T26"/>
  <c r="S26"/>
  <c r="R26"/>
  <c r="P26"/>
  <c r="O26"/>
  <c r="N26"/>
  <c r="M26"/>
  <c r="L26"/>
  <c r="K26"/>
  <c r="J26"/>
  <c r="H26"/>
  <c r="G26"/>
  <c r="F26"/>
  <c r="E26"/>
  <c r="D26"/>
  <c r="C26"/>
  <c r="B26"/>
  <c r="P20"/>
  <c r="O20"/>
  <c r="N20"/>
  <c r="M20"/>
  <c r="L20"/>
  <c r="K20"/>
  <c r="J20"/>
  <c r="H20"/>
  <c r="G20"/>
  <c r="F20"/>
  <c r="E20"/>
  <c r="D20"/>
  <c r="C20"/>
  <c r="B20"/>
  <c r="AF19"/>
  <c r="AE19"/>
  <c r="AD19"/>
  <c r="AC19"/>
  <c r="AB19"/>
  <c r="AA19"/>
  <c r="Z19"/>
  <c r="X19"/>
  <c r="W19"/>
  <c r="V19"/>
  <c r="U19"/>
  <c r="T19"/>
  <c r="S19"/>
  <c r="R19"/>
  <c r="P19"/>
  <c r="O19"/>
  <c r="N19"/>
  <c r="M19"/>
  <c r="L19"/>
  <c r="K19"/>
  <c r="J19"/>
  <c r="H19"/>
  <c r="G19"/>
  <c r="F19"/>
  <c r="E19"/>
  <c r="D19"/>
  <c r="C19"/>
  <c r="B19"/>
  <c r="AF18"/>
  <c r="AE18"/>
  <c r="AD18"/>
  <c r="AC18"/>
  <c r="AB18"/>
  <c r="AA18"/>
  <c r="Z18"/>
  <c r="X18"/>
  <c r="W18"/>
  <c r="V18"/>
  <c r="U18"/>
  <c r="T18"/>
  <c r="S18"/>
  <c r="R18"/>
  <c r="P18"/>
  <c r="O18"/>
  <c r="N18"/>
  <c r="M18"/>
  <c r="L18"/>
  <c r="K18"/>
  <c r="J18"/>
  <c r="H18"/>
  <c r="G18"/>
  <c r="F18"/>
  <c r="E18"/>
  <c r="D18"/>
  <c r="C18"/>
  <c r="B18"/>
  <c r="AF17"/>
  <c r="AE17"/>
  <c r="AD17"/>
  <c r="AC17"/>
  <c r="AB17"/>
  <c r="AA17"/>
  <c r="Z17"/>
  <c r="X17"/>
  <c r="W17"/>
  <c r="V17"/>
  <c r="U17"/>
  <c r="T17"/>
  <c r="S17"/>
  <c r="R17"/>
  <c r="P17"/>
  <c r="O17"/>
  <c r="N17"/>
  <c r="M17"/>
  <c r="L17"/>
  <c r="K17"/>
  <c r="J17"/>
  <c r="H17"/>
  <c r="G17"/>
  <c r="F17"/>
  <c r="E17"/>
  <c r="D17"/>
  <c r="C17"/>
  <c r="B17"/>
  <c r="AF16"/>
  <c r="AE16"/>
  <c r="AD16"/>
  <c r="AC16"/>
  <c r="AB16"/>
  <c r="AA16"/>
  <c r="Z16"/>
  <c r="X16"/>
  <c r="W16"/>
  <c r="V16"/>
  <c r="U16"/>
  <c r="T16"/>
  <c r="S16"/>
  <c r="R16"/>
  <c r="P16"/>
  <c r="O16"/>
  <c r="N16"/>
  <c r="M16"/>
  <c r="L16"/>
  <c r="K16"/>
  <c r="J16"/>
  <c r="H16"/>
  <c r="G16"/>
  <c r="F16"/>
  <c r="E16"/>
  <c r="D16"/>
  <c r="C16"/>
  <c r="B16"/>
  <c r="AF15"/>
  <c r="AE15"/>
  <c r="AD15"/>
  <c r="AC15"/>
  <c r="AB15"/>
  <c r="AA15"/>
  <c r="Z15"/>
  <c r="X15"/>
  <c r="W15"/>
  <c r="V15"/>
  <c r="U15"/>
  <c r="T15"/>
  <c r="S15"/>
  <c r="R15"/>
  <c r="P15"/>
  <c r="O15"/>
  <c r="N15"/>
  <c r="M15"/>
  <c r="L15"/>
  <c r="K15"/>
  <c r="J15"/>
  <c r="H15"/>
  <c r="G15"/>
  <c r="F15"/>
  <c r="E15"/>
  <c r="D15"/>
  <c r="C15"/>
  <c r="B15"/>
  <c r="AF10"/>
  <c r="AE10"/>
  <c r="AD10"/>
  <c r="AC10"/>
  <c r="AB10"/>
  <c r="AA10"/>
  <c r="Z10"/>
  <c r="X10"/>
  <c r="W10"/>
  <c r="V10"/>
  <c r="U10"/>
  <c r="T10"/>
  <c r="S10"/>
  <c r="R10"/>
  <c r="P10"/>
  <c r="O10"/>
  <c r="N10"/>
  <c r="M10"/>
  <c r="L10"/>
  <c r="K10"/>
  <c r="J10"/>
  <c r="H10"/>
  <c r="G10"/>
  <c r="F10"/>
  <c r="E10"/>
  <c r="D10"/>
  <c r="C10"/>
  <c r="B10"/>
  <c r="AF9"/>
  <c r="AE9"/>
  <c r="AD9"/>
  <c r="AC9"/>
  <c r="AB9"/>
  <c r="AA9"/>
  <c r="Z9"/>
  <c r="X9"/>
  <c r="W9"/>
  <c r="V9"/>
  <c r="U9"/>
  <c r="T9"/>
  <c r="S9"/>
  <c r="R9"/>
  <c r="P9"/>
  <c r="O9"/>
  <c r="N9"/>
  <c r="M9"/>
  <c r="L9"/>
  <c r="K9"/>
  <c r="J9"/>
  <c r="H9"/>
  <c r="G9"/>
  <c r="F9"/>
  <c r="E9"/>
  <c r="D9"/>
  <c r="C9"/>
  <c r="B9"/>
  <c r="AF8"/>
  <c r="AE8"/>
  <c r="AD8"/>
  <c r="AC8"/>
  <c r="AB8"/>
  <c r="AA8"/>
  <c r="Z8"/>
  <c r="X8"/>
  <c r="W8"/>
  <c r="V8"/>
  <c r="U8"/>
  <c r="T8"/>
  <c r="S8"/>
  <c r="R8"/>
  <c r="P8"/>
  <c r="O8"/>
  <c r="N8"/>
  <c r="M8"/>
  <c r="L8"/>
  <c r="K8"/>
  <c r="J8"/>
  <c r="H8"/>
  <c r="G8"/>
  <c r="F8"/>
  <c r="E8"/>
  <c r="D8"/>
  <c r="C8"/>
  <c r="B8"/>
  <c r="AF7"/>
  <c r="AE7"/>
  <c r="AD7"/>
  <c r="AC7"/>
  <c r="AB7"/>
  <c r="AA7"/>
  <c r="Z7"/>
  <c r="X7"/>
  <c r="W7"/>
  <c r="V7"/>
  <c r="U7"/>
  <c r="T7"/>
  <c r="S7"/>
  <c r="R7"/>
  <c r="P7"/>
  <c r="O7"/>
  <c r="N7"/>
  <c r="M7"/>
  <c r="L7"/>
  <c r="K7"/>
  <c r="J7"/>
  <c r="H7"/>
  <c r="G7"/>
  <c r="F7"/>
  <c r="E7"/>
  <c r="D7"/>
  <c r="C7"/>
  <c r="B7"/>
  <c r="AF6"/>
  <c r="AE6"/>
  <c r="AD6"/>
  <c r="AC6"/>
  <c r="AB6"/>
  <c r="AA6"/>
  <c r="Z6"/>
  <c r="X6"/>
  <c r="W6"/>
  <c r="V6"/>
  <c r="U6"/>
  <c r="T6"/>
  <c r="S6"/>
  <c r="R6"/>
  <c r="P6"/>
  <c r="O6"/>
  <c r="N6"/>
  <c r="M6"/>
  <c r="L6"/>
  <c r="K6"/>
  <c r="J6"/>
  <c r="H6"/>
  <c r="G6"/>
  <c r="F6"/>
  <c r="E6"/>
  <c r="D6"/>
  <c r="C6"/>
  <c r="B6"/>
  <c r="AF5"/>
  <c r="AE5"/>
  <c r="AD5"/>
  <c r="AC5"/>
  <c r="AB5"/>
  <c r="AA5"/>
  <c r="Z5"/>
  <c r="X5"/>
  <c r="W5"/>
  <c r="V5"/>
  <c r="U5"/>
  <c r="T5"/>
  <c r="S5"/>
  <c r="R5"/>
  <c r="P5"/>
  <c r="O5"/>
  <c r="N5"/>
  <c r="M5"/>
  <c r="L5"/>
  <c r="K5"/>
  <c r="J5"/>
  <c r="H5"/>
  <c r="G5"/>
  <c r="F5"/>
  <c r="E5"/>
  <c r="D5"/>
  <c r="C5"/>
  <c r="B5"/>
</calcChain>
</file>

<file path=xl/sharedStrings.xml><?xml version="1.0" encoding="utf-8"?>
<sst xmlns="http://schemas.openxmlformats.org/spreadsheetml/2006/main" count="166" uniqueCount="41">
  <si>
    <t>Type</t>
  </si>
  <si>
    <t>nombres</t>
  </si>
  <si>
    <t>lieu de rangement</t>
  </si>
  <si>
    <t>taille</t>
  </si>
  <si>
    <t>dureté</t>
  </si>
  <si>
    <t>Matériel de juge</t>
  </si>
  <si>
    <t>Perches</t>
  </si>
  <si>
    <t>type</t>
  </si>
  <si>
    <t>Engins et Haies</t>
  </si>
  <si>
    <t>Equipement sportif</t>
  </si>
  <si>
    <t>marque</t>
  </si>
  <si>
    <t>prix</t>
  </si>
  <si>
    <t>Total sélectionnné</t>
  </si>
  <si>
    <t>Total de produits</t>
  </si>
  <si>
    <t>Total de sortie temporaire</t>
  </si>
  <si>
    <t>Historique des saisies année</t>
  </si>
  <si>
    <t>JANVIER</t>
  </si>
  <si>
    <t>FÉVRIER</t>
  </si>
  <si>
    <t>MARS</t>
  </si>
  <si>
    <t>AVRIL</t>
  </si>
  <si>
    <t>L</t>
  </si>
  <si>
    <t>M</t>
  </si>
  <si>
    <t>J</t>
  </si>
  <si>
    <t>V</t>
  </si>
  <si>
    <t>S</t>
  </si>
  <si>
    <t>D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</si>
  <si>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</si>
  <si>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</si>
  <si>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</si>
  <si>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</si>
  <si>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</si>
  <si>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</si>
  <si>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</si>
  <si>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</si>
  <si>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Trousseaux de clefs</t>
  </si>
  <si>
    <t>N°</t>
  </si>
  <si>
    <t>Propriétaire</t>
  </si>
  <si>
    <t>Détail</t>
  </si>
  <si>
    <t>Nombres</t>
  </si>
  <si>
    <t>Nombres de clefs</t>
  </si>
  <si>
    <t>Matériel d'entraînement</t>
  </si>
</sst>
</file>

<file path=xl/styles.xml><?xml version="1.0" encoding="utf-8"?>
<styleSheet xmlns="http://schemas.openxmlformats.org/spreadsheetml/2006/main">
  <numFmts count="1">
    <numFmt numFmtId="164" formatCode="d"/>
  </numFmts>
  <fonts count="1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48"/>
      <color theme="1"/>
      <name val="Cambr"/>
    </font>
    <font>
      <sz val="8"/>
      <color theme="0"/>
      <name val="Calibri"/>
      <family val="2"/>
      <scheme val="minor"/>
    </font>
    <font>
      <sz val="8"/>
      <color rgb="FFC00000"/>
      <name val="Calibri"/>
      <family val="2"/>
      <scheme val="minor"/>
    </font>
    <font>
      <sz val="8"/>
      <color theme="0" tint="-0.34998626667073579"/>
      <name val="Calibri"/>
      <family val="2"/>
      <scheme val="minor"/>
    </font>
    <font>
      <b/>
      <sz val="8"/>
      <color theme="0" tint="-0.34998626667073579"/>
      <name val="Calibri"/>
      <family val="2"/>
      <scheme val="minor"/>
    </font>
    <font>
      <b/>
      <sz val="9.5"/>
      <color rgb="FFC00000"/>
      <name val="Calibri"/>
      <family val="2"/>
      <scheme val="minor"/>
    </font>
    <font>
      <sz val="8"/>
      <color theme="8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sz val="9"/>
      <color theme="0" tint="-0.34998626667073579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8" borderId="0" xfId="0" applyFont="1" applyFill="1"/>
    <xf numFmtId="0" fontId="5" fillId="8" borderId="0" xfId="0" applyFont="1" applyFill="1"/>
    <xf numFmtId="0" fontId="0" fillId="2" borderId="0" xfId="0" applyFont="1" applyFill="1" applyBorder="1"/>
    <xf numFmtId="49" fontId="0" fillId="2" borderId="0" xfId="0" applyNumberFormat="1" applyFont="1" applyFill="1" applyBorder="1" applyAlignment="1">
      <alignment horizontal="left"/>
    </xf>
    <xf numFmtId="49" fontId="10" fillId="2" borderId="0" xfId="0" applyNumberFormat="1" applyFont="1" applyFill="1" applyBorder="1" applyAlignment="1">
      <alignment horizontal="left"/>
    </xf>
    <xf numFmtId="164" fontId="0" fillId="2" borderId="0" xfId="0" applyNumberFormat="1" applyFont="1" applyFill="1" applyBorder="1"/>
    <xf numFmtId="49" fontId="11" fillId="2" borderId="0" xfId="0" applyNumberFormat="1" applyFont="1" applyFill="1" applyBorder="1" applyAlignment="1">
      <alignment horizontal="left"/>
    </xf>
    <xf numFmtId="0" fontId="0" fillId="2" borderId="0" xfId="0" applyFont="1" applyFill="1"/>
    <xf numFmtId="0" fontId="6" fillId="2" borderId="0" xfId="0" applyFont="1" applyFill="1"/>
    <xf numFmtId="0" fontId="6" fillId="2" borderId="0" xfId="0" applyFont="1" applyFill="1" applyBorder="1"/>
    <xf numFmtId="164" fontId="6" fillId="2" borderId="0" xfId="0" applyNumberFormat="1" applyFont="1" applyFill="1" applyBorder="1"/>
    <xf numFmtId="0" fontId="7" fillId="2" borderId="0" xfId="0" applyFont="1" applyFill="1"/>
    <xf numFmtId="0" fontId="8" fillId="2" borderId="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2" borderId="0" xfId="0" applyFont="1" applyFill="1" applyBorder="1"/>
    <xf numFmtId="164" fontId="0" fillId="2" borderId="0" xfId="0" applyNumberFormat="1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164" fontId="6" fillId="2" borderId="0" xfId="0" applyNumberFormat="1" applyFont="1" applyFill="1" applyBorder="1" applyAlignment="1">
      <alignment horizontal="center"/>
    </xf>
    <xf numFmtId="0" fontId="9" fillId="2" borderId="0" xfId="0" applyFont="1" applyFill="1"/>
    <xf numFmtId="164" fontId="7" fillId="2" borderId="0" xfId="0" applyNumberFormat="1" applyFont="1" applyFill="1" applyBorder="1"/>
    <xf numFmtId="164" fontId="7" fillId="2" borderId="0" xfId="0" applyNumberFormat="1" applyFont="1" applyFill="1" applyBorder="1" applyAlignment="1">
      <alignment horizontal="center"/>
    </xf>
    <xf numFmtId="0" fontId="12" fillId="2" borderId="0" xfId="0" applyFont="1" applyFill="1"/>
    <xf numFmtId="0" fontId="5" fillId="8" borderId="0" xfId="0" applyFont="1" applyFill="1" applyBorder="1"/>
    <xf numFmtId="0" fontId="13" fillId="8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horizontal="left"/>
    </xf>
    <xf numFmtId="0" fontId="14" fillId="2" borderId="0" xfId="0" applyFont="1" applyFill="1" applyBorder="1" applyAlignment="1"/>
    <xf numFmtId="0" fontId="9" fillId="2" borderId="0" xfId="0" applyFont="1" applyFill="1" applyBorder="1" applyAlignment="1"/>
    <xf numFmtId="0" fontId="15" fillId="2" borderId="0" xfId="0" applyFont="1" applyFill="1" applyBorder="1" applyAlignment="1"/>
    <xf numFmtId="0" fontId="16" fillId="2" borderId="0" xfId="0" applyFont="1" applyFill="1" applyBorder="1" applyAlignment="1"/>
    <xf numFmtId="20" fontId="0" fillId="2" borderId="0" xfId="0" applyNumberFormat="1" applyFill="1" applyBorder="1" applyAlignment="1">
      <alignment horizontal="center" vertical="center"/>
    </xf>
    <xf numFmtId="3" fontId="0" fillId="2" borderId="0" xfId="0" applyNumberForma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3" fontId="0" fillId="2" borderId="0" xfId="0" applyNumberFormat="1" applyFill="1" applyAlignment="1">
      <alignment horizontal="center" vertical="center"/>
    </xf>
    <xf numFmtId="0" fontId="0" fillId="2" borderId="7" xfId="0" applyFill="1" applyBorder="1"/>
    <xf numFmtId="0" fontId="0" fillId="2" borderId="0" xfId="0" applyFont="1" applyFill="1" applyBorder="1" applyAlignment="1">
      <alignment horizontal="center" vertical="center"/>
    </xf>
    <xf numFmtId="3" fontId="0" fillId="2" borderId="0" xfId="0" applyNumberFormat="1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3" fillId="8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114300</xdr:rowOff>
    </xdr:from>
    <xdr:to>
      <xdr:col>1</xdr:col>
      <xdr:colOff>514350</xdr:colOff>
      <xdr:row>3</xdr:row>
      <xdr:rowOff>66675</xdr:rowOff>
    </xdr:to>
    <xdr:sp macro="[0]!menu" textlink="">
      <xdr:nvSpPr>
        <xdr:cNvPr id="2" name="Rectangle 1"/>
        <xdr:cNvSpPr/>
      </xdr:nvSpPr>
      <xdr:spPr>
        <a:xfrm>
          <a:off x="95250" y="114300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Menu principal</a:t>
          </a:r>
        </a:p>
      </xdr:txBody>
    </xdr:sp>
    <xdr:clientData/>
  </xdr:twoCellAnchor>
  <xdr:twoCellAnchor>
    <xdr:from>
      <xdr:col>11</xdr:col>
      <xdr:colOff>476250</xdr:colOff>
      <xdr:row>0</xdr:row>
      <xdr:rowOff>85725</xdr:rowOff>
    </xdr:from>
    <xdr:to>
      <xdr:col>13</xdr:col>
      <xdr:colOff>133349</xdr:colOff>
      <xdr:row>3</xdr:row>
      <xdr:rowOff>47625</xdr:rowOff>
    </xdr:to>
    <xdr:sp macro="[0]!statistiques" textlink="">
      <xdr:nvSpPr>
        <xdr:cNvPr id="3" name="Rectangle 2"/>
        <xdr:cNvSpPr/>
      </xdr:nvSpPr>
      <xdr:spPr>
        <a:xfrm>
          <a:off x="9991725" y="85725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/>
            <a:t>Statistiques</a:t>
          </a:r>
        </a:p>
      </xdr:txBody>
    </xdr:sp>
    <xdr:clientData/>
  </xdr:twoCellAnchor>
  <xdr:twoCellAnchor>
    <xdr:from>
      <xdr:col>9</xdr:col>
      <xdr:colOff>628650</xdr:colOff>
      <xdr:row>0</xdr:row>
      <xdr:rowOff>95250</xdr:rowOff>
    </xdr:from>
    <xdr:to>
      <xdr:col>11</xdr:col>
      <xdr:colOff>285749</xdr:colOff>
      <xdr:row>3</xdr:row>
      <xdr:rowOff>57150</xdr:rowOff>
    </xdr:to>
    <xdr:sp macro="[0]!historiquedessaisies" textlink="">
      <xdr:nvSpPr>
        <xdr:cNvPr id="8" name="Rectangle 7"/>
        <xdr:cNvSpPr/>
      </xdr:nvSpPr>
      <xdr:spPr>
        <a:xfrm>
          <a:off x="8620125" y="95250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Historique</a:t>
          </a:r>
          <a:r>
            <a:rPr lang="fr-FR" sz="1200" b="1" baseline="0"/>
            <a:t>             des saisies</a:t>
          </a:r>
          <a:endParaRPr lang="fr-FR" sz="1200" b="1"/>
        </a:p>
      </xdr:txBody>
    </xdr:sp>
    <xdr:clientData/>
  </xdr:twoCellAnchor>
  <xdr:twoCellAnchor>
    <xdr:from>
      <xdr:col>2</xdr:col>
      <xdr:colOff>447675</xdr:colOff>
      <xdr:row>0</xdr:row>
      <xdr:rowOff>123825</xdr:rowOff>
    </xdr:from>
    <xdr:to>
      <xdr:col>3</xdr:col>
      <xdr:colOff>333374</xdr:colOff>
      <xdr:row>3</xdr:row>
      <xdr:rowOff>85725</xdr:rowOff>
    </xdr:to>
    <xdr:sp macro="[0]!Lancer_formulaire" textlink="">
      <xdr:nvSpPr>
        <xdr:cNvPr id="10" name="Rectangle 9"/>
        <xdr:cNvSpPr/>
      </xdr:nvSpPr>
      <xdr:spPr>
        <a:xfrm>
          <a:off x="1800225" y="123825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/>
            <a:t>Ajouter             des</a:t>
          </a:r>
          <a:r>
            <a:rPr lang="fr-FR" sz="1200" b="1" i="0" baseline="0"/>
            <a:t> produits</a:t>
          </a:r>
          <a:endParaRPr lang="fr-FR" sz="1200" b="1" i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8</xdr:row>
      <xdr:rowOff>142874</xdr:rowOff>
    </xdr:from>
    <xdr:to>
      <xdr:col>7</xdr:col>
      <xdr:colOff>466725</xdr:colOff>
      <xdr:row>11</xdr:row>
      <xdr:rowOff>95249</xdr:rowOff>
    </xdr:to>
    <xdr:sp macro="[0]!matérieldentrainement" textlink="">
      <xdr:nvSpPr>
        <xdr:cNvPr id="2" name="Rectangle 1"/>
        <xdr:cNvSpPr/>
      </xdr:nvSpPr>
      <xdr:spPr>
        <a:xfrm>
          <a:off x="4619625" y="2257424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Matériel</a:t>
          </a:r>
          <a:r>
            <a:rPr lang="fr-FR" sz="1200" b="1" baseline="0"/>
            <a:t>s d'entraînement</a:t>
          </a:r>
          <a:endParaRPr lang="fr-FR" sz="1200" b="1"/>
        </a:p>
      </xdr:txBody>
    </xdr:sp>
    <xdr:clientData/>
  </xdr:twoCellAnchor>
  <xdr:twoCellAnchor>
    <xdr:from>
      <xdr:col>8</xdr:col>
      <xdr:colOff>85725</xdr:colOff>
      <xdr:row>8</xdr:row>
      <xdr:rowOff>142874</xdr:rowOff>
    </xdr:from>
    <xdr:to>
      <xdr:col>9</xdr:col>
      <xdr:colOff>504825</xdr:colOff>
      <xdr:row>11</xdr:row>
      <xdr:rowOff>95249</xdr:rowOff>
    </xdr:to>
    <xdr:sp macro="[0]!enginsethaies" textlink="">
      <xdr:nvSpPr>
        <xdr:cNvPr id="3" name="Rectangle 2"/>
        <xdr:cNvSpPr/>
      </xdr:nvSpPr>
      <xdr:spPr>
        <a:xfrm>
          <a:off x="6181725" y="1666874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Engins et haies</a:t>
          </a:r>
        </a:p>
      </xdr:txBody>
    </xdr:sp>
    <xdr:clientData/>
  </xdr:twoCellAnchor>
  <xdr:twoCellAnchor>
    <xdr:from>
      <xdr:col>10</xdr:col>
      <xdr:colOff>76200</xdr:colOff>
      <xdr:row>8</xdr:row>
      <xdr:rowOff>152400</xdr:rowOff>
    </xdr:from>
    <xdr:to>
      <xdr:col>11</xdr:col>
      <xdr:colOff>495300</xdr:colOff>
      <xdr:row>11</xdr:row>
      <xdr:rowOff>104775</xdr:rowOff>
    </xdr:to>
    <xdr:sp macro="[0]!perches" textlink="">
      <xdr:nvSpPr>
        <xdr:cNvPr id="4" name="Rectangle 3"/>
        <xdr:cNvSpPr/>
      </xdr:nvSpPr>
      <xdr:spPr>
        <a:xfrm>
          <a:off x="7696200" y="1676400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Perches</a:t>
          </a:r>
        </a:p>
      </xdr:txBody>
    </xdr:sp>
    <xdr:clientData/>
  </xdr:twoCellAnchor>
  <xdr:twoCellAnchor>
    <xdr:from>
      <xdr:col>6</xdr:col>
      <xdr:colOff>38100</xdr:colOff>
      <xdr:row>13</xdr:row>
      <xdr:rowOff>171450</xdr:rowOff>
    </xdr:from>
    <xdr:to>
      <xdr:col>7</xdr:col>
      <xdr:colOff>457200</xdr:colOff>
      <xdr:row>16</xdr:row>
      <xdr:rowOff>123825</xdr:rowOff>
    </xdr:to>
    <xdr:sp macro="[0]!matérielsdejuge" textlink="">
      <xdr:nvSpPr>
        <xdr:cNvPr id="5" name="Rectangle 4"/>
        <xdr:cNvSpPr/>
      </xdr:nvSpPr>
      <xdr:spPr>
        <a:xfrm>
          <a:off x="4610100" y="2647950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Matériel</a:t>
          </a:r>
          <a:r>
            <a:rPr lang="fr-FR" sz="1200" b="1" baseline="0"/>
            <a:t>s              de juge</a:t>
          </a:r>
          <a:endParaRPr lang="fr-FR" sz="1200" b="1"/>
        </a:p>
      </xdr:txBody>
    </xdr:sp>
    <xdr:clientData/>
  </xdr:twoCellAnchor>
  <xdr:twoCellAnchor>
    <xdr:from>
      <xdr:col>8</xdr:col>
      <xdr:colOff>114300</xdr:colOff>
      <xdr:row>13</xdr:row>
      <xdr:rowOff>180975</xdr:rowOff>
    </xdr:from>
    <xdr:to>
      <xdr:col>9</xdr:col>
      <xdr:colOff>533400</xdr:colOff>
      <xdr:row>16</xdr:row>
      <xdr:rowOff>133350</xdr:rowOff>
    </xdr:to>
    <xdr:sp macro="[0]!equipementsportif" textlink="">
      <xdr:nvSpPr>
        <xdr:cNvPr id="6" name="Rectangle 5"/>
        <xdr:cNvSpPr/>
      </xdr:nvSpPr>
      <xdr:spPr>
        <a:xfrm>
          <a:off x="6210300" y="2657475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Equiement</a:t>
          </a:r>
          <a:r>
            <a:rPr lang="fr-FR" sz="1200" b="1" baseline="0"/>
            <a:t> sportif</a:t>
          </a:r>
          <a:endParaRPr lang="fr-FR" sz="1200" b="1"/>
        </a:p>
      </xdr:txBody>
    </xdr:sp>
    <xdr:clientData/>
  </xdr:twoCellAnchor>
  <xdr:twoCellAnchor>
    <xdr:from>
      <xdr:col>1</xdr:col>
      <xdr:colOff>657225</xdr:colOff>
      <xdr:row>8</xdr:row>
      <xdr:rowOff>66675</xdr:rowOff>
    </xdr:from>
    <xdr:to>
      <xdr:col>4</xdr:col>
      <xdr:colOff>295275</xdr:colOff>
      <xdr:row>18</xdr:row>
      <xdr:rowOff>0</xdr:rowOff>
    </xdr:to>
    <xdr:sp macro="[0]!basededonnées" textlink="">
      <xdr:nvSpPr>
        <xdr:cNvPr id="8" name="Rectangle 7"/>
        <xdr:cNvSpPr/>
      </xdr:nvSpPr>
      <xdr:spPr>
        <a:xfrm>
          <a:off x="1419225" y="1590675"/>
          <a:ext cx="1924050" cy="183832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BASE DE DONNEES</a:t>
          </a:r>
        </a:p>
      </xdr:txBody>
    </xdr:sp>
    <xdr:clientData/>
  </xdr:twoCellAnchor>
  <xdr:twoCellAnchor>
    <xdr:from>
      <xdr:col>10</xdr:col>
      <xdr:colOff>76200</xdr:colOff>
      <xdr:row>13</xdr:row>
      <xdr:rowOff>171450</xdr:rowOff>
    </xdr:from>
    <xdr:to>
      <xdr:col>11</xdr:col>
      <xdr:colOff>495299</xdr:colOff>
      <xdr:row>16</xdr:row>
      <xdr:rowOff>133350</xdr:rowOff>
    </xdr:to>
    <xdr:sp macro="[0]!trousseauxdeclefs" textlink="">
      <xdr:nvSpPr>
        <xdr:cNvPr id="9" name="Rectangle 8"/>
        <xdr:cNvSpPr/>
      </xdr:nvSpPr>
      <xdr:spPr>
        <a:xfrm>
          <a:off x="7696200" y="2647950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Trousseaux          de clefs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419100</xdr:colOff>
      <xdr:row>3</xdr:row>
      <xdr:rowOff>133350</xdr:rowOff>
    </xdr:to>
    <xdr:sp macro="[0]!menu" textlink="">
      <xdr:nvSpPr>
        <xdr:cNvPr id="3" name="Rectangle 2"/>
        <xdr:cNvSpPr/>
      </xdr:nvSpPr>
      <xdr:spPr>
        <a:xfrm>
          <a:off x="4972050" y="247650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Menu principal</a:t>
          </a:r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7</xdr:col>
      <xdr:colOff>419099</xdr:colOff>
      <xdr:row>11</xdr:row>
      <xdr:rowOff>152400</xdr:rowOff>
    </xdr:to>
    <xdr:sp macro="" textlink="">
      <xdr:nvSpPr>
        <xdr:cNvPr id="6" name="Rectangle 5"/>
        <xdr:cNvSpPr/>
      </xdr:nvSpPr>
      <xdr:spPr>
        <a:xfrm>
          <a:off x="4972050" y="1809750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/>
            <a:t>Imprimmer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419100</xdr:colOff>
      <xdr:row>3</xdr:row>
      <xdr:rowOff>133350</xdr:rowOff>
    </xdr:to>
    <xdr:sp macro="[0]!menu" textlink="">
      <xdr:nvSpPr>
        <xdr:cNvPr id="6" name="Rectangle 5"/>
        <xdr:cNvSpPr/>
      </xdr:nvSpPr>
      <xdr:spPr>
        <a:xfrm>
          <a:off x="4972050" y="247650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Menu principal</a:t>
          </a:r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7</xdr:col>
      <xdr:colOff>419099</xdr:colOff>
      <xdr:row>11</xdr:row>
      <xdr:rowOff>152400</xdr:rowOff>
    </xdr:to>
    <xdr:sp macro="" textlink="">
      <xdr:nvSpPr>
        <xdr:cNvPr id="5" name="Rectangle 4"/>
        <xdr:cNvSpPr/>
      </xdr:nvSpPr>
      <xdr:spPr>
        <a:xfrm>
          <a:off x="4972050" y="1809750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/>
            <a:t>Imprimmer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419100</xdr:colOff>
      <xdr:row>3</xdr:row>
      <xdr:rowOff>133350</xdr:rowOff>
    </xdr:to>
    <xdr:sp macro="[0]!menu" textlink="">
      <xdr:nvSpPr>
        <xdr:cNvPr id="3" name="Rectangle 2"/>
        <xdr:cNvSpPr/>
      </xdr:nvSpPr>
      <xdr:spPr>
        <a:xfrm>
          <a:off x="4572000" y="247650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Menu principal</a:t>
          </a:r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7</xdr:col>
      <xdr:colOff>419099</xdr:colOff>
      <xdr:row>11</xdr:row>
      <xdr:rowOff>152400</xdr:rowOff>
    </xdr:to>
    <xdr:sp macro="" textlink="">
      <xdr:nvSpPr>
        <xdr:cNvPr id="6" name="Rectangle 5"/>
        <xdr:cNvSpPr/>
      </xdr:nvSpPr>
      <xdr:spPr>
        <a:xfrm>
          <a:off x="4572000" y="1809750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/>
            <a:t>Imprimmer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419100</xdr:colOff>
      <xdr:row>3</xdr:row>
      <xdr:rowOff>133350</xdr:rowOff>
    </xdr:to>
    <xdr:sp macro="[0]!menu" textlink="">
      <xdr:nvSpPr>
        <xdr:cNvPr id="3" name="Rectangle 2"/>
        <xdr:cNvSpPr/>
      </xdr:nvSpPr>
      <xdr:spPr>
        <a:xfrm>
          <a:off x="4972050" y="247650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Menu principal</a:t>
          </a:r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7</xdr:col>
      <xdr:colOff>419099</xdr:colOff>
      <xdr:row>11</xdr:row>
      <xdr:rowOff>152400</xdr:rowOff>
    </xdr:to>
    <xdr:sp macro="" textlink="">
      <xdr:nvSpPr>
        <xdr:cNvPr id="6" name="Rectangle 5"/>
        <xdr:cNvSpPr/>
      </xdr:nvSpPr>
      <xdr:spPr>
        <a:xfrm>
          <a:off x="4972050" y="1809750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/>
            <a:t>Imprimmer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0</xdr:rowOff>
    </xdr:from>
    <xdr:to>
      <xdr:col>8</xdr:col>
      <xdr:colOff>419100</xdr:colOff>
      <xdr:row>3</xdr:row>
      <xdr:rowOff>133350</xdr:rowOff>
    </xdr:to>
    <xdr:sp macro="[0]!menu" textlink="">
      <xdr:nvSpPr>
        <xdr:cNvPr id="3" name="Rectangle 2"/>
        <xdr:cNvSpPr/>
      </xdr:nvSpPr>
      <xdr:spPr>
        <a:xfrm>
          <a:off x="4572000" y="247650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Menu principal</a:t>
          </a:r>
        </a:p>
      </xdr:txBody>
    </xdr:sp>
    <xdr:clientData/>
  </xdr:twoCellAnchor>
  <xdr:twoCellAnchor>
    <xdr:from>
      <xdr:col>7</xdr:col>
      <xdr:colOff>0</xdr:colOff>
      <xdr:row>9</xdr:row>
      <xdr:rowOff>0</xdr:rowOff>
    </xdr:from>
    <xdr:to>
      <xdr:col>8</xdr:col>
      <xdr:colOff>419099</xdr:colOff>
      <xdr:row>11</xdr:row>
      <xdr:rowOff>152400</xdr:rowOff>
    </xdr:to>
    <xdr:sp macro="" textlink="">
      <xdr:nvSpPr>
        <xdr:cNvPr id="6" name="Rectangle 5"/>
        <xdr:cNvSpPr/>
      </xdr:nvSpPr>
      <xdr:spPr>
        <a:xfrm>
          <a:off x="4572000" y="1809750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/>
            <a:t>Imprimmer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6</xdr:row>
      <xdr:rowOff>0</xdr:rowOff>
    </xdr:from>
    <xdr:to>
      <xdr:col>8</xdr:col>
      <xdr:colOff>419100</xdr:colOff>
      <xdr:row>8</xdr:row>
      <xdr:rowOff>142875</xdr:rowOff>
    </xdr:to>
    <xdr:sp macro="[0]!menu" textlink="">
      <xdr:nvSpPr>
        <xdr:cNvPr id="2" name="Rectangle 1"/>
        <xdr:cNvSpPr/>
      </xdr:nvSpPr>
      <xdr:spPr>
        <a:xfrm>
          <a:off x="5334000" y="1143000"/>
          <a:ext cx="1181100" cy="52387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Menu principal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5</xdr:row>
      <xdr:rowOff>9525</xdr:rowOff>
    </xdr:from>
    <xdr:to>
      <xdr:col>0</xdr:col>
      <xdr:colOff>1466849</xdr:colOff>
      <xdr:row>8</xdr:row>
      <xdr:rowOff>0</xdr:rowOff>
    </xdr:to>
    <xdr:sp macro="[0]!basededonnées" textlink="">
      <xdr:nvSpPr>
        <xdr:cNvPr id="3" name="Rectangle 2"/>
        <xdr:cNvSpPr/>
      </xdr:nvSpPr>
      <xdr:spPr>
        <a:xfrm>
          <a:off x="285750" y="1152525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Base</a:t>
          </a:r>
          <a:r>
            <a:rPr lang="fr-FR" sz="1200" b="1" baseline="0"/>
            <a:t>                      de données</a:t>
          </a:r>
          <a:endParaRPr lang="fr-FR" sz="1200" b="1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</xdr:colOff>
      <xdr:row>3</xdr:row>
      <xdr:rowOff>57150</xdr:rowOff>
    </xdr:from>
    <xdr:to>
      <xdr:col>15</xdr:col>
      <xdr:colOff>466724</xdr:colOff>
      <xdr:row>6</xdr:row>
      <xdr:rowOff>19050</xdr:rowOff>
    </xdr:to>
    <xdr:sp macro="[0]!basededonnées" textlink="">
      <xdr:nvSpPr>
        <xdr:cNvPr id="2" name="Rectangle 1"/>
        <xdr:cNvSpPr/>
      </xdr:nvSpPr>
      <xdr:spPr>
        <a:xfrm>
          <a:off x="10715625" y="628650"/>
          <a:ext cx="1181099" cy="533400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Base</a:t>
          </a:r>
          <a:r>
            <a:rPr lang="fr-FR" sz="1200" b="1" baseline="0"/>
            <a:t>                      de données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C00000"/>
        </a:solidFill>
        <a:ln>
          <a:solidFill>
            <a:schemeClr val="tx1"/>
          </a:solidFill>
        </a:ln>
      </a:spPr>
      <a:bodyPr vertOverflow="clip" rtlCol="0" anchor="ctr"/>
      <a:lstStyle>
        <a:defPPr algn="ctr">
          <a:defRPr sz="14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5:Z8"/>
  <sheetViews>
    <sheetView tabSelected="1" zoomScaleNormal="100" workbookViewId="0">
      <selection activeCell="F5" sqref="F5"/>
    </sheetView>
  </sheetViews>
  <sheetFormatPr baseColWidth="10" defaultRowHeight="15"/>
  <cols>
    <col min="1" max="1" width="11.42578125" style="41" customWidth="1"/>
    <col min="2" max="2" width="8.85546875" style="42" bestFit="1" customWidth="1"/>
    <col min="3" max="3" width="19.42578125" style="41" customWidth="1"/>
    <col min="4" max="5" width="11.42578125" style="4"/>
    <col min="6" max="6" width="8.85546875" style="37" bestFit="1" customWidth="1"/>
    <col min="7" max="7" width="18.28515625" style="4" bestFit="1" customWidth="1"/>
    <col min="8" max="10" width="11.42578125" style="4"/>
    <col min="11" max="11" width="11.42578125" style="37"/>
    <col min="12" max="13" width="11.42578125" style="4"/>
    <col min="14" max="14" width="11.42578125" style="37"/>
    <col min="15" max="15" width="18.28515625" style="4" bestFit="1" customWidth="1"/>
    <col min="16" max="21" width="11.42578125" style="4"/>
    <col min="22" max="22" width="11.42578125" style="1"/>
    <col min="23" max="23" width="3.140625" style="1" bestFit="1" customWidth="1"/>
    <col min="24" max="24" width="19.42578125" style="39" bestFit="1" customWidth="1"/>
    <col min="25" max="25" width="11.42578125" style="1"/>
    <col min="26" max="26" width="11.7109375" style="1" bestFit="1" customWidth="1"/>
    <col min="27" max="16384" width="11.42578125" style="1"/>
  </cols>
  <sheetData>
    <row r="5" spans="1:26">
      <c r="G5" s="36"/>
    </row>
    <row r="6" spans="1:26" ht="15.75" thickBot="1"/>
    <row r="7" spans="1:26" ht="19.5" thickBot="1">
      <c r="A7" s="49" t="s">
        <v>40</v>
      </c>
      <c r="B7" s="50"/>
      <c r="C7" s="51"/>
      <c r="E7" s="52" t="s">
        <v>8</v>
      </c>
      <c r="F7" s="53"/>
      <c r="G7" s="54"/>
      <c r="H7" s="5"/>
      <c r="I7" s="55" t="s">
        <v>6</v>
      </c>
      <c r="J7" s="56"/>
      <c r="K7" s="57"/>
      <c r="L7" s="5"/>
      <c r="M7" s="58" t="s">
        <v>5</v>
      </c>
      <c r="N7" s="59"/>
      <c r="O7" s="60"/>
      <c r="P7" s="5"/>
      <c r="Q7" s="46" t="s">
        <v>9</v>
      </c>
      <c r="R7" s="47"/>
      <c r="S7" s="47"/>
      <c r="T7" s="47"/>
      <c r="U7" s="48"/>
      <c r="W7" s="43" t="s">
        <v>34</v>
      </c>
      <c r="X7" s="44"/>
      <c r="Y7" s="44"/>
      <c r="Z7" s="45"/>
    </row>
    <row r="8" spans="1:26" ht="15.75" thickBot="1">
      <c r="A8" s="2" t="s">
        <v>0</v>
      </c>
      <c r="B8" s="38" t="s">
        <v>1</v>
      </c>
      <c r="C8" s="2" t="s">
        <v>2</v>
      </c>
      <c r="E8" s="2" t="s">
        <v>0</v>
      </c>
      <c r="F8" s="38" t="s">
        <v>1</v>
      </c>
      <c r="G8" s="2" t="s">
        <v>2</v>
      </c>
      <c r="H8" s="5"/>
      <c r="I8" s="2" t="s">
        <v>3</v>
      </c>
      <c r="J8" s="2" t="s">
        <v>4</v>
      </c>
      <c r="K8" s="38" t="s">
        <v>1</v>
      </c>
      <c r="L8" s="5"/>
      <c r="M8" s="2" t="s">
        <v>7</v>
      </c>
      <c r="N8" s="38" t="s">
        <v>1</v>
      </c>
      <c r="O8" s="2" t="s">
        <v>2</v>
      </c>
      <c r="P8" s="5"/>
      <c r="Q8" s="2" t="s">
        <v>7</v>
      </c>
      <c r="R8" s="2" t="s">
        <v>3</v>
      </c>
      <c r="S8" s="2" t="s">
        <v>38</v>
      </c>
      <c r="T8" s="2" t="s">
        <v>10</v>
      </c>
      <c r="U8" s="2" t="s">
        <v>11</v>
      </c>
      <c r="W8" s="2" t="s">
        <v>35</v>
      </c>
      <c r="X8" s="38" t="s">
        <v>39</v>
      </c>
      <c r="Y8" s="2" t="s">
        <v>37</v>
      </c>
      <c r="Z8" s="2" t="s">
        <v>36</v>
      </c>
    </row>
  </sheetData>
  <mergeCells count="6">
    <mergeCell ref="W7:Z7"/>
    <mergeCell ref="Q7:U7"/>
    <mergeCell ref="A7:C7"/>
    <mergeCell ref="E7:G7"/>
    <mergeCell ref="I7:K7"/>
    <mergeCell ref="M7:O7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E2:L3"/>
  <sheetViews>
    <sheetView workbookViewId="0">
      <selection activeCell="P9" sqref="P9"/>
    </sheetView>
  </sheetViews>
  <sheetFormatPr baseColWidth="10" defaultRowHeight="15"/>
  <cols>
    <col min="1" max="16384" width="11.42578125" style="3"/>
  </cols>
  <sheetData>
    <row r="2" spans="5:12" ht="61.5" customHeight="1">
      <c r="E2" s="61"/>
      <c r="F2" s="61"/>
      <c r="G2" s="61"/>
      <c r="H2" s="61"/>
      <c r="I2" s="61"/>
      <c r="J2" s="61"/>
      <c r="K2" s="61"/>
      <c r="L2" s="61"/>
    </row>
    <row r="3" spans="5:12">
      <c r="E3" s="61"/>
      <c r="F3" s="61"/>
      <c r="G3" s="61"/>
      <c r="H3" s="61"/>
      <c r="I3" s="61"/>
      <c r="J3" s="61"/>
      <c r="K3" s="61"/>
      <c r="L3" s="61"/>
    </row>
  </sheetData>
  <mergeCells count="1">
    <mergeCell ref="E2:L3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7"/>
  <sheetViews>
    <sheetView workbookViewId="0">
      <selection activeCell="I14" sqref="I14"/>
    </sheetView>
  </sheetViews>
  <sheetFormatPr baseColWidth="10" defaultRowHeight="15"/>
  <cols>
    <col min="1" max="2" width="11.42578125" style="6"/>
    <col min="3" max="3" width="17.42578125" style="6" bestFit="1" customWidth="1"/>
    <col min="4" max="9" width="11.42578125" style="3"/>
    <col min="10" max="10" width="24.42578125" style="3" bestFit="1" customWidth="1"/>
    <col min="11" max="16384" width="11.42578125" style="3"/>
  </cols>
  <sheetData>
    <row r="1" spans="1:11" ht="19.5" thickBot="1">
      <c r="A1" s="49" t="s">
        <v>40</v>
      </c>
      <c r="B1" s="50"/>
      <c r="C1" s="51"/>
    </row>
    <row r="2" spans="1:11" ht="15.75" thickBot="1">
      <c r="A2" s="2" t="s">
        <v>0</v>
      </c>
      <c r="B2" s="2" t="s">
        <v>1</v>
      </c>
      <c r="C2" s="2" t="s">
        <v>2</v>
      </c>
      <c r="J2" s="62" t="s">
        <v>13</v>
      </c>
      <c r="K2" s="64"/>
    </row>
    <row r="3" spans="1:11" ht="15.75" thickBot="1">
      <c r="A3" s="40"/>
      <c r="B3" s="40"/>
      <c r="C3" s="40"/>
      <c r="J3" s="63"/>
      <c r="K3" s="65"/>
    </row>
    <row r="4" spans="1:11">
      <c r="J4" s="62" t="s">
        <v>12</v>
      </c>
      <c r="K4" s="64"/>
    </row>
    <row r="5" spans="1:11" ht="15.75" thickBot="1">
      <c r="J5" s="63"/>
      <c r="K5" s="65"/>
    </row>
    <row r="6" spans="1:11">
      <c r="J6" s="62" t="s">
        <v>14</v>
      </c>
      <c r="K6" s="64"/>
    </row>
    <row r="7" spans="1:11" ht="15.75" thickBot="1">
      <c r="J7" s="63"/>
      <c r="K7" s="65"/>
    </row>
  </sheetData>
  <mergeCells count="7">
    <mergeCell ref="A1:C1"/>
    <mergeCell ref="J2:J3"/>
    <mergeCell ref="K2:K3"/>
    <mergeCell ref="K4:K5"/>
    <mergeCell ref="K6:K7"/>
    <mergeCell ref="J6:J7"/>
    <mergeCell ref="J4:J5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7"/>
  <sheetViews>
    <sheetView workbookViewId="0">
      <selection activeCell="B8" sqref="B8"/>
    </sheetView>
  </sheetViews>
  <sheetFormatPr baseColWidth="10" defaultRowHeight="15"/>
  <cols>
    <col min="1" max="2" width="11.42578125" style="6"/>
    <col min="3" max="3" width="17.42578125" style="6" bestFit="1" customWidth="1"/>
    <col min="4" max="9" width="11.42578125" style="3"/>
    <col min="10" max="10" width="24.42578125" style="3" bestFit="1" customWidth="1"/>
    <col min="11" max="16384" width="11.42578125" style="3"/>
  </cols>
  <sheetData>
    <row r="1" spans="1:11" ht="19.5" thickBot="1">
      <c r="A1" s="52" t="s">
        <v>8</v>
      </c>
      <c r="B1" s="53"/>
      <c r="C1" s="54"/>
    </row>
    <row r="2" spans="1:11" ht="15.75" thickBot="1">
      <c r="A2" s="2" t="s">
        <v>0</v>
      </c>
      <c r="B2" s="2" t="s">
        <v>1</v>
      </c>
      <c r="C2" s="2" t="s">
        <v>2</v>
      </c>
      <c r="J2" s="62" t="s">
        <v>13</v>
      </c>
      <c r="K2" s="64"/>
    </row>
    <row r="3" spans="1:11" ht="15.75" thickBot="1">
      <c r="A3" s="40"/>
      <c r="B3" s="40"/>
      <c r="C3" s="40"/>
      <c r="J3" s="63"/>
      <c r="K3" s="65"/>
    </row>
    <row r="4" spans="1:11">
      <c r="J4" s="62" t="s">
        <v>12</v>
      </c>
      <c r="K4" s="64"/>
    </row>
    <row r="5" spans="1:11" ht="15.75" thickBot="1">
      <c r="J5" s="63"/>
      <c r="K5" s="65"/>
    </row>
    <row r="6" spans="1:11">
      <c r="J6" s="62" t="s">
        <v>14</v>
      </c>
      <c r="K6" s="64"/>
    </row>
    <row r="7" spans="1:11" ht="15.75" thickBot="1">
      <c r="J7" s="63"/>
      <c r="K7" s="65"/>
    </row>
  </sheetData>
  <mergeCells count="7">
    <mergeCell ref="J6:J7"/>
    <mergeCell ref="K6:K7"/>
    <mergeCell ref="A1:C1"/>
    <mergeCell ref="J2:J3"/>
    <mergeCell ref="K2:K3"/>
    <mergeCell ref="J4:J5"/>
    <mergeCell ref="K4:K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K7"/>
  <sheetViews>
    <sheetView workbookViewId="0">
      <selection activeCell="B8" sqref="B8"/>
    </sheetView>
  </sheetViews>
  <sheetFormatPr baseColWidth="10" defaultRowHeight="15"/>
  <cols>
    <col min="1" max="3" width="11.42578125" style="6"/>
    <col min="4" max="9" width="11.42578125" style="3"/>
    <col min="10" max="10" width="24.42578125" style="3" bestFit="1" customWidth="1"/>
    <col min="11" max="16384" width="11.42578125" style="3"/>
  </cols>
  <sheetData>
    <row r="1" spans="1:11" ht="19.5" thickBot="1">
      <c r="A1" s="55" t="s">
        <v>6</v>
      </c>
      <c r="B1" s="56"/>
      <c r="C1" s="57"/>
    </row>
    <row r="2" spans="1:11" ht="15.75" thickBot="1">
      <c r="A2" s="2" t="s">
        <v>3</v>
      </c>
      <c r="B2" s="2" t="s">
        <v>4</v>
      </c>
      <c r="C2" s="2" t="s">
        <v>1</v>
      </c>
      <c r="J2" s="62" t="s">
        <v>13</v>
      </c>
      <c r="K2" s="64"/>
    </row>
    <row r="3" spans="1:11" ht="15.75" thickBot="1">
      <c r="A3" s="40"/>
      <c r="B3" s="40"/>
      <c r="C3" s="40"/>
      <c r="J3" s="63"/>
      <c r="K3" s="65"/>
    </row>
    <row r="4" spans="1:11">
      <c r="J4" s="62" t="s">
        <v>12</v>
      </c>
      <c r="K4" s="64"/>
    </row>
    <row r="5" spans="1:11" ht="15.75" thickBot="1">
      <c r="J5" s="63"/>
      <c r="K5" s="65"/>
    </row>
    <row r="6" spans="1:11">
      <c r="J6" s="62" t="s">
        <v>14</v>
      </c>
      <c r="K6" s="64"/>
    </row>
    <row r="7" spans="1:11" ht="15.75" thickBot="1">
      <c r="J7" s="63"/>
      <c r="K7" s="65"/>
    </row>
  </sheetData>
  <mergeCells count="7">
    <mergeCell ref="J6:J7"/>
    <mergeCell ref="K6:K7"/>
    <mergeCell ref="A1:C1"/>
    <mergeCell ref="J2:J3"/>
    <mergeCell ref="K2:K3"/>
    <mergeCell ref="J4:J5"/>
    <mergeCell ref="K4:K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K7"/>
  <sheetViews>
    <sheetView workbookViewId="0">
      <selection activeCell="B11" sqref="B11"/>
    </sheetView>
  </sheetViews>
  <sheetFormatPr baseColWidth="10" defaultRowHeight="15"/>
  <cols>
    <col min="1" max="2" width="11.42578125" style="6"/>
    <col min="3" max="3" width="17.42578125" style="6" bestFit="1" customWidth="1"/>
    <col min="4" max="9" width="11.42578125" style="3"/>
    <col min="10" max="10" width="24.42578125" style="3" bestFit="1" customWidth="1"/>
    <col min="11" max="16384" width="11.42578125" style="3"/>
  </cols>
  <sheetData>
    <row r="1" spans="1:11" ht="19.5" thickBot="1">
      <c r="A1" s="58" t="s">
        <v>5</v>
      </c>
      <c r="B1" s="59"/>
      <c r="C1" s="60"/>
    </row>
    <row r="2" spans="1:11" ht="15.75" thickBot="1">
      <c r="A2" s="2" t="s">
        <v>7</v>
      </c>
      <c r="B2" s="2" t="s">
        <v>1</v>
      </c>
      <c r="C2" s="2" t="s">
        <v>2</v>
      </c>
      <c r="J2" s="62" t="s">
        <v>13</v>
      </c>
      <c r="K2" s="64"/>
    </row>
    <row r="3" spans="1:11" ht="15.75" thickBot="1">
      <c r="A3" s="40"/>
      <c r="B3" s="40"/>
      <c r="C3" s="40"/>
      <c r="J3" s="63"/>
      <c r="K3" s="65"/>
    </row>
    <row r="4" spans="1:11">
      <c r="J4" s="62" t="s">
        <v>12</v>
      </c>
      <c r="K4" s="64"/>
    </row>
    <row r="5" spans="1:11" ht="15.75" thickBot="1">
      <c r="J5" s="63"/>
      <c r="K5" s="65"/>
    </row>
    <row r="6" spans="1:11">
      <c r="J6" s="62" t="s">
        <v>14</v>
      </c>
      <c r="K6" s="64"/>
    </row>
    <row r="7" spans="1:11" ht="15.75" thickBot="1">
      <c r="J7" s="63"/>
      <c r="K7" s="65"/>
    </row>
  </sheetData>
  <mergeCells count="7">
    <mergeCell ref="J6:J7"/>
    <mergeCell ref="K6:K7"/>
    <mergeCell ref="A1:C1"/>
    <mergeCell ref="J2:J3"/>
    <mergeCell ref="K2:K3"/>
    <mergeCell ref="J4:J5"/>
    <mergeCell ref="K4:K5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L7"/>
  <sheetViews>
    <sheetView workbookViewId="0">
      <selection activeCell="E13" sqref="E13"/>
    </sheetView>
  </sheetViews>
  <sheetFormatPr baseColWidth="10" defaultRowHeight="15"/>
  <cols>
    <col min="1" max="1" width="11.42578125" style="6" customWidth="1"/>
    <col min="2" max="5" width="11.42578125" style="6"/>
    <col min="6" max="10" width="11.42578125" style="3"/>
    <col min="11" max="11" width="24.42578125" style="3" bestFit="1" customWidth="1"/>
    <col min="12" max="16384" width="11.42578125" style="3"/>
  </cols>
  <sheetData>
    <row r="1" spans="1:12" ht="19.5" thickBot="1">
      <c r="A1" s="46" t="s">
        <v>9</v>
      </c>
      <c r="B1" s="47"/>
      <c r="C1" s="47"/>
      <c r="D1" s="47"/>
      <c r="E1" s="66"/>
    </row>
    <row r="2" spans="1:12" ht="15.75" thickBot="1">
      <c r="A2" s="2" t="s">
        <v>7</v>
      </c>
      <c r="B2" s="2" t="s">
        <v>3</v>
      </c>
      <c r="C2" s="2" t="s">
        <v>38</v>
      </c>
      <c r="D2" s="2" t="s">
        <v>10</v>
      </c>
      <c r="E2" s="2" t="s">
        <v>11</v>
      </c>
      <c r="K2" s="62" t="s">
        <v>13</v>
      </c>
      <c r="L2" s="64"/>
    </row>
    <row r="3" spans="1:12" ht="15.75" thickBot="1">
      <c r="A3" s="40"/>
      <c r="B3" s="40"/>
      <c r="C3" s="40"/>
      <c r="D3" s="40"/>
      <c r="E3" s="40"/>
      <c r="K3" s="63"/>
      <c r="L3" s="65"/>
    </row>
    <row r="4" spans="1:12">
      <c r="K4" s="62" t="s">
        <v>12</v>
      </c>
      <c r="L4" s="64"/>
    </row>
    <row r="5" spans="1:12" ht="15.75" thickBot="1">
      <c r="K5" s="63"/>
      <c r="L5" s="65"/>
    </row>
    <row r="6" spans="1:12">
      <c r="K6" s="62" t="s">
        <v>14</v>
      </c>
      <c r="L6" s="64"/>
    </row>
    <row r="7" spans="1:12" ht="15.75" thickBot="1">
      <c r="K7" s="63"/>
      <c r="L7" s="65"/>
    </row>
  </sheetData>
  <mergeCells count="7">
    <mergeCell ref="K6:K7"/>
    <mergeCell ref="L6:L7"/>
    <mergeCell ref="A1:E1"/>
    <mergeCell ref="K2:K3"/>
    <mergeCell ref="L2:L3"/>
    <mergeCell ref="K4:K5"/>
    <mergeCell ref="L4:L5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D3"/>
  <sheetViews>
    <sheetView workbookViewId="0">
      <selection activeCell="E8" sqref="E8"/>
    </sheetView>
  </sheetViews>
  <sheetFormatPr baseColWidth="10" defaultRowHeight="15"/>
  <cols>
    <col min="1" max="1" width="3.140625" style="3" bestFit="1" customWidth="1"/>
    <col min="2" max="2" width="19.42578125" style="3" bestFit="1" customWidth="1"/>
    <col min="3" max="3" width="11.42578125" style="3"/>
    <col min="4" max="4" width="11.7109375" style="3" bestFit="1" customWidth="1"/>
    <col min="5" max="16384" width="11.42578125" style="3"/>
  </cols>
  <sheetData>
    <row r="1" spans="1:4" ht="19.5" thickBot="1">
      <c r="A1" s="43" t="s">
        <v>34</v>
      </c>
      <c r="B1" s="44"/>
      <c r="C1" s="44"/>
      <c r="D1" s="45"/>
    </row>
    <row r="2" spans="1:4" ht="15.75" thickBot="1">
      <c r="A2" s="2" t="s">
        <v>35</v>
      </c>
      <c r="B2" s="2" t="s">
        <v>39</v>
      </c>
      <c r="C2" s="2" t="s">
        <v>37</v>
      </c>
      <c r="D2" s="2" t="s">
        <v>36</v>
      </c>
    </row>
    <row r="3" spans="1:4">
      <c r="A3" s="40"/>
      <c r="B3" s="40"/>
      <c r="C3" s="40"/>
      <c r="D3" s="40"/>
    </row>
  </sheetData>
  <mergeCells count="1">
    <mergeCell ref="A1:D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L31"/>
  <sheetViews>
    <sheetView workbookViewId="0">
      <selection activeCell="U17" sqref="U17"/>
    </sheetView>
  </sheetViews>
  <sheetFormatPr baseColWidth="10" defaultRowHeight="15"/>
  <cols>
    <col min="1" max="1" width="27.5703125" style="14" customWidth="1"/>
    <col min="2" max="8" width="4.85546875" style="14" customWidth="1"/>
    <col min="9" max="9" width="5" style="14" customWidth="1"/>
    <col min="10" max="16" width="4.85546875" style="14" customWidth="1"/>
    <col min="17" max="17" width="5" style="14" customWidth="1"/>
    <col min="18" max="24" width="4.85546875" style="14" customWidth="1"/>
    <col min="25" max="25" width="5" style="14" customWidth="1"/>
    <col min="26" max="32" width="4.85546875" style="14" customWidth="1"/>
    <col min="33" max="16384" width="11.42578125" style="14"/>
  </cols>
  <sheetData>
    <row r="1" spans="1:38" ht="33" customHeight="1">
      <c r="A1" s="30"/>
      <c r="B1" s="30"/>
      <c r="C1" s="30"/>
      <c r="D1" s="7"/>
      <c r="E1" s="7"/>
      <c r="F1" s="7"/>
      <c r="G1" s="7"/>
      <c r="H1" s="7"/>
      <c r="I1" s="30" t="s">
        <v>15</v>
      </c>
      <c r="J1" s="30"/>
      <c r="K1" s="8"/>
      <c r="L1" s="8"/>
      <c r="M1" s="8"/>
      <c r="N1" s="8"/>
      <c r="O1" s="8"/>
      <c r="P1" s="8"/>
      <c r="Q1" s="8"/>
      <c r="R1" s="29"/>
      <c r="S1" s="29"/>
      <c r="T1" s="29"/>
      <c r="U1" s="7"/>
      <c r="V1" s="67">
        <v>2014</v>
      </c>
      <c r="W1" s="67"/>
      <c r="X1" s="67"/>
      <c r="Y1" s="6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</row>
    <row r="2" spans="1:38" ht="14.85" customHeight="1"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</row>
    <row r="3" spans="1:38" ht="14.85" customHeight="1">
      <c r="A3" s="15"/>
      <c r="B3" s="31" t="s">
        <v>16</v>
      </c>
      <c r="C3" s="32"/>
      <c r="D3" s="32"/>
      <c r="E3" s="32"/>
      <c r="F3" s="32"/>
      <c r="G3" s="32"/>
      <c r="H3" s="32"/>
      <c r="I3" s="32"/>
      <c r="J3" s="33" t="s">
        <v>17</v>
      </c>
      <c r="K3" s="32"/>
      <c r="L3" s="32"/>
      <c r="M3" s="32"/>
      <c r="N3" s="32"/>
      <c r="O3" s="32"/>
      <c r="P3" s="32"/>
      <c r="Q3" s="16"/>
      <c r="R3" s="33" t="s">
        <v>18</v>
      </c>
      <c r="S3" s="32"/>
      <c r="T3" s="32"/>
      <c r="U3" s="32"/>
      <c r="V3" s="32"/>
      <c r="W3" s="32"/>
      <c r="X3" s="32"/>
      <c r="Y3" s="17"/>
      <c r="Z3" s="33" t="s">
        <v>19</v>
      </c>
      <c r="AA3" s="32"/>
      <c r="AB3" s="32"/>
      <c r="AC3" s="32"/>
      <c r="AD3" s="32"/>
      <c r="AE3" s="32"/>
      <c r="AF3" s="34"/>
    </row>
    <row r="4" spans="1:38" ht="14.85" customHeight="1">
      <c r="A4" s="18"/>
      <c r="B4" s="19" t="s">
        <v>20</v>
      </c>
      <c r="C4" s="19" t="s">
        <v>21</v>
      </c>
      <c r="D4" s="19" t="s">
        <v>21</v>
      </c>
      <c r="E4" s="19" t="s">
        <v>22</v>
      </c>
      <c r="F4" s="19" t="s">
        <v>23</v>
      </c>
      <c r="G4" s="19" t="s">
        <v>24</v>
      </c>
      <c r="H4" s="19" t="s">
        <v>25</v>
      </c>
      <c r="I4" s="20"/>
      <c r="J4" s="19" t="s">
        <v>20</v>
      </c>
      <c r="K4" s="19" t="s">
        <v>21</v>
      </c>
      <c r="L4" s="19" t="s">
        <v>21</v>
      </c>
      <c r="M4" s="19" t="s">
        <v>22</v>
      </c>
      <c r="N4" s="19" t="s">
        <v>23</v>
      </c>
      <c r="O4" s="19" t="s">
        <v>24</v>
      </c>
      <c r="P4" s="19" t="s">
        <v>25</v>
      </c>
      <c r="Q4" s="21"/>
      <c r="R4" s="19" t="s">
        <v>20</v>
      </c>
      <c r="S4" s="19" t="s">
        <v>21</v>
      </c>
      <c r="T4" s="19" t="s">
        <v>21</v>
      </c>
      <c r="U4" s="19" t="s">
        <v>22</v>
      </c>
      <c r="V4" s="19" t="s">
        <v>23</v>
      </c>
      <c r="W4" s="19" t="s">
        <v>24</v>
      </c>
      <c r="X4" s="19" t="s">
        <v>25</v>
      </c>
      <c r="Y4" s="35"/>
      <c r="Z4" s="19" t="s">
        <v>20</v>
      </c>
      <c r="AA4" s="19" t="s">
        <v>21</v>
      </c>
      <c r="AB4" s="19" t="s">
        <v>21</v>
      </c>
      <c r="AC4" s="19" t="s">
        <v>22</v>
      </c>
      <c r="AD4" s="19" t="s">
        <v>23</v>
      </c>
      <c r="AE4" s="19" t="s">
        <v>24</v>
      </c>
      <c r="AF4" s="19" t="s">
        <v>25</v>
      </c>
    </row>
    <row r="5" spans="1:38" ht="14.85" customHeight="1">
      <c r="B5" s="22" t="str">
        <f>IF(DAY(Jan_Dim1)=1,"",IF(AND(YEAR(Jan_Dim1+1)=Année_Calendaire,MONTH(Jan_Dim1+1)=1),Jan_Dim1+1,""))</f>
        <v/>
      </c>
      <c r="C5" s="22" t="str">
        <f>IF(DAY(Jan_Dim1)=1,"",IF(AND(YEAR(Jan_Dim1+2)=Année_Calendaire,MONTH(Jan_Dim1+2)=1),Jan_Dim1+2,""))</f>
        <v/>
      </c>
      <c r="D5" s="22">
        <f>IF(DAY(Jan_Dim1)=1,"",IF(AND(YEAR(Jan_Dim1+3)=Année_Calendaire,MONTH(Jan_Dim1+3)=1),Jan_Dim1+3,""))</f>
        <v>41640</v>
      </c>
      <c r="E5" s="22">
        <f>IF(DAY(Jan_Dim1)=1,"",IF(AND(YEAR(Jan_Dim1+4)=Année_Calendaire,MONTH(Jan_Dim1+4)=1),Jan_Dim1+4,""))</f>
        <v>41641</v>
      </c>
      <c r="F5" s="22">
        <f>IF(DAY(Jan_Dim1)=1,"",IF(AND(YEAR(Jan_Dim1+5)=Année_Calendaire,MONTH(Jan_Dim1+5)=1),Jan_Dim1+5,""))</f>
        <v>41642</v>
      </c>
      <c r="G5" s="22">
        <f>IF(DAY(Jan_Dim1)=1,"",IF(AND(YEAR(Jan_Dim1+6)=Année_Calendaire,MONTH(Jan_Dim1+6)=1),Jan_Dim1+6,""))</f>
        <v>41643</v>
      </c>
      <c r="H5" s="22">
        <f>IF(DAY(Jan_Dim1)=1,IF(AND(YEAR(Jan_Dim1)=Année_Calendaire,MONTH(Jan_Dim1)=1),Jan_Dim1,""),IF(AND(YEAR(Jan_Dim1+7)=Année_Calendaire,MONTH(Jan_Dim1+7)=1),Jan_Dim1+7,""))</f>
        <v>41644</v>
      </c>
      <c r="I5" s="22"/>
      <c r="J5" s="22" t="str">
        <f>IF(DAY(Fév_Dim1)=1,"",IF(AND(YEAR(Fév_Dim1+1)=Année_Calendaire,MONTH(Fév_Dim1+1)=2),Fév_Dim1+1,""))</f>
        <v/>
      </c>
      <c r="K5" s="22" t="str">
        <f>IF(DAY(Fév_Dim1)=1,"",IF(AND(YEAR(Fév_Dim1+2)=Année_Calendaire,MONTH(Fév_Dim1+2)=2),Fév_Dim1+2,""))</f>
        <v/>
      </c>
      <c r="L5" s="22" t="str">
        <f>IF(DAY(Fév_Dim1)=1,"",IF(AND(YEAR(Fév_Dim1+3)=Année_Calendaire,MONTH(Fév_Dim1+3)=2),Fév_Dim1+3,""))</f>
        <v/>
      </c>
      <c r="M5" s="22" t="str">
        <f>IF(DAY(Fév_Dim1)=1,"",IF(AND(YEAR(Fév_Dim1+4)=Année_Calendaire,MONTH(Fév_Dim1+4)=2),Fév_Dim1+4,""))</f>
        <v/>
      </c>
      <c r="N5" s="22" t="str">
        <f>IF(DAY(Fév_Dim1)=1,"",IF(AND(YEAR(Fév_Dim1+5)=Année_Calendaire,MONTH(Fév_Dim1+5)=2),Fév_Dim1+5,""))</f>
        <v/>
      </c>
      <c r="O5" s="22">
        <f>IF(DAY(Fév_Dim1)=1,"",IF(AND(YEAR(Fév_Dim1+6)=Année_Calendaire,MONTH(Fév_Dim1+6)=2),Fév_Dim1+6,""))</f>
        <v>41671</v>
      </c>
      <c r="P5" s="22">
        <f>IF(DAY(Fév_Dim1)=1,IF(AND(YEAR(Fév_Dim1)=Année_Calendaire,MONTH(Fév_Dim1)=2),Fév_Dim1,""),IF(AND(YEAR(Fév_Dim1+7)=Année_Calendaire,MONTH(Fév_Dim1+7)=2),Fév_Dim1+7,""))</f>
        <v>41672</v>
      </c>
      <c r="Q5" s="9"/>
      <c r="R5" s="22" t="str">
        <f>IF(DAY(Mar_Dim1)=1,"",IF(AND(YEAR(Mar_Dim1+1)=Année_Calendaire,MONTH(Mar_Dim1+1)=3),Mar_Dim1+1,""))</f>
        <v/>
      </c>
      <c r="S5" s="22" t="str">
        <f>IF(DAY(Mar_Dim1)=1,"",IF(AND(YEAR(Mar_Dim1+2)=Année_Calendaire,MONTH(Mar_Dim1+2)=3),Mar_Dim1+2,""))</f>
        <v/>
      </c>
      <c r="T5" s="22" t="str">
        <f>IF(DAY(Mar_Dim1)=1,"",IF(AND(YEAR(Mar_Dim1+3)=Année_Calendaire,MONTH(Mar_Dim1+3)=3),Mar_Dim1+3,""))</f>
        <v/>
      </c>
      <c r="U5" s="22" t="str">
        <f>IF(DAY(Mar_Dim1)=1,"",IF(AND(YEAR(Mar_Dim1+4)=Année_Calendaire,MONTH(Mar_Dim1+4)=3),Mar_Dim1+4,""))</f>
        <v/>
      </c>
      <c r="V5" s="22" t="str">
        <f>IF(DAY(Mar_Dim1)=1,"",IF(AND(YEAR(Mar_Dim1+5)=Année_Calendaire,MONTH(Mar_Dim1+5)=3),Mar_Dim1+5,""))</f>
        <v/>
      </c>
      <c r="W5" s="22">
        <f>IF(DAY(Mar_Dim1)=1,"",IF(AND(YEAR(Mar_Dim1+6)=Année_Calendaire,MONTH(Mar_Dim1+6)=3),Mar_Dim1+6,""))</f>
        <v>41699</v>
      </c>
      <c r="X5" s="22">
        <f>IF(DAY(Mar_Dim1)=1,IF(AND(YEAR(Mar_Dim1)=Année_Calendaire,MONTH(Mar_Dim1)=3),Mar_Dim1,""),IF(AND(YEAR(Mar_Dim1+7)=Année_Calendaire,MONTH(Mar_Dim1+7)=3),Mar_Dim1+7,""))</f>
        <v>41700</v>
      </c>
      <c r="Y5" s="23"/>
      <c r="Z5" s="22" t="str">
        <f>IF(DAY(Avr_Dim1)=1,"",IF(AND(YEAR(Avr_Dim1+1)=Année_Calendaire,MONTH(Avr_Dim1+1)=4),Avr_Dim1+1,""))</f>
        <v/>
      </c>
      <c r="AA5" s="22">
        <f>IF(DAY(Avr_Dim1)=1,"",IF(AND(YEAR(Avr_Dim1+2)=Année_Calendaire,MONTH(Avr_Dim1+2)=4),Avr_Dim1+2,""))</f>
        <v>41730</v>
      </c>
      <c r="AB5" s="22">
        <f>IF(DAY(Avr_Dim1)=1,"",IF(AND(YEAR(Avr_Dim1+3)=Année_Calendaire,MONTH(Avr_Dim1+3)=4),Avr_Dim1+3,""))</f>
        <v>41731</v>
      </c>
      <c r="AC5" s="22">
        <f>IF(DAY(Avr_Dim1)=1,"",IF(AND(YEAR(Avr_Dim1+4)=Année_Calendaire,MONTH(Avr_Dim1+4)=4),Avr_Dim1+4,""))</f>
        <v>41732</v>
      </c>
      <c r="AD5" s="22">
        <f>IF(DAY(Avr_Dim1)=1,"",IF(AND(YEAR(Avr_Dim1+5)=Année_Calendaire,MONTH(Avr_Dim1+5)=4),Avr_Dim1+5,""))</f>
        <v>41733</v>
      </c>
      <c r="AE5" s="22">
        <f>IF(DAY(Avr_Dim1)=1,"",IF(AND(YEAR(Avr_Dim1+6)=Année_Calendaire,MONTH(Avr_Dim1+6)=4),Avr_Dim1+6,""))</f>
        <v>41734</v>
      </c>
      <c r="AF5" s="22">
        <f>IF(DAY(Avr_Dim1)=1,IF(AND(YEAR(Avr_Dim1)=Année_Calendaire,MONTH(Avr_Dim1)=4),Avr_Dim1,""),IF(AND(YEAR(Avr_Dim1+7)=Année_Calendaire,MONTH(Avr_Dim1+7)=4),Avr_Dim1+7,""))</f>
        <v>41735</v>
      </c>
    </row>
    <row r="6" spans="1:38" ht="14.85" customHeight="1">
      <c r="B6" s="22">
        <f>IF(DAY(Jan_Dim1)=1,IF(AND(YEAR(Jan_Dim1+1)=Année_Calendaire,MONTH(Jan_Dim1+1)=1),Jan_Dim1+1,""),IF(AND(YEAR(Jan_Dim1+8)=Année_Calendaire,MONTH(Jan_Dim1+8)=1),Jan_Dim1+8,""))</f>
        <v>41645</v>
      </c>
      <c r="C6" s="22">
        <f>IF(DAY(Jan_Dim1)=1,IF(AND(YEAR(Jan_Dim1+2)=Année_Calendaire,MONTH(Jan_Dim1+2)=1),Jan_Dim1+2,""),IF(AND(YEAR(Jan_Dim1+9)=Année_Calendaire,MONTH(Jan_Dim1+9)=1),Jan_Dim1+9,""))</f>
        <v>41646</v>
      </c>
      <c r="D6" s="22">
        <f>IF(DAY(Jan_Dim1)=1,IF(AND(YEAR(Jan_Dim1+3)=Année_Calendaire,MONTH(Jan_Dim1+3)=1),Jan_Dim1+3,""),IF(AND(YEAR(Jan_Dim1+10)=Année_Calendaire,MONTH(Jan_Dim1+10)=1),Jan_Dim1+10,""))</f>
        <v>41647</v>
      </c>
      <c r="E6" s="22">
        <f>IF(DAY(Jan_Dim1)=1,IF(AND(YEAR(Jan_Dim1+4)=Année_Calendaire,MONTH(Jan_Dim1+4)=1),Jan_Dim1+4,""),IF(AND(YEAR(Jan_Dim1+11)=Année_Calendaire,MONTH(Jan_Dim1+11)=1),Jan_Dim1+11,""))</f>
        <v>41648</v>
      </c>
      <c r="F6" s="22">
        <f>IF(DAY(Jan_Dim1)=1,IF(AND(YEAR(Jan_Dim1+5)=Année_Calendaire,MONTH(Jan_Dim1+5)=1),Jan_Dim1+5,""),IF(AND(YEAR(Jan_Dim1+12)=Année_Calendaire,MONTH(Jan_Dim1+12)=1),Jan_Dim1+12,""))</f>
        <v>41649</v>
      </c>
      <c r="G6" s="22">
        <f>IF(DAY(Jan_Dim1)=1,IF(AND(YEAR(Jan_Dim1+6)=Année_Calendaire,MONTH(Jan_Dim1+6)=1),Jan_Dim1+6,""),IF(AND(YEAR(Jan_Dim1+13)=Année_Calendaire,MONTH(Jan_Dim1+13)=1),Jan_Dim1+13,""))</f>
        <v>41650</v>
      </c>
      <c r="H6" s="22">
        <f>IF(DAY(Jan_Dim1)=1,IF(AND(YEAR(Jan_Dim1+7)=Année_Calendaire,MONTH(Jan_Dim1+7)=1),Jan_Dim1+7,""),IF(AND(YEAR(Jan_Dim1+14)=Année_Calendaire,MONTH(Jan_Dim1+14)=1),Jan_Dim1+14,""))</f>
        <v>41651</v>
      </c>
      <c r="I6" s="22"/>
      <c r="J6" s="22">
        <f>IF(DAY(Fév_Dim1)=1,IF(AND(YEAR(Fév_Dim1+1)=Année_Calendaire,MONTH(Fév_Dim1+1)=2),Fév_Dim1+1,""),IF(AND(YEAR(Fév_Dim1+8)=Année_Calendaire,MONTH(Fév_Dim1+8)=2),Fév_Dim1+8,""))</f>
        <v>41673</v>
      </c>
      <c r="K6" s="22">
        <f>IF(DAY(Fév_Dim1)=1,IF(AND(YEAR(Fév_Dim1+2)=Année_Calendaire,MONTH(Fév_Dim1+2)=2),Fév_Dim1+2,""),IF(AND(YEAR(Fév_Dim1+9)=Année_Calendaire,MONTH(Fév_Dim1+9)=2),Fév_Dim1+9,""))</f>
        <v>41674</v>
      </c>
      <c r="L6" s="22">
        <f>IF(DAY(Fév_Dim1)=1,IF(AND(YEAR(Fév_Dim1+3)=Année_Calendaire,MONTH(Fév_Dim1+3)=2),Fév_Dim1+3,""),IF(AND(YEAR(Fév_Dim1+10)=Année_Calendaire,MONTH(Fév_Dim1+10)=2),Fév_Dim1+10,""))</f>
        <v>41675</v>
      </c>
      <c r="M6" s="22">
        <f>IF(DAY(Fév_Dim1)=1,IF(AND(YEAR(Fév_Dim1+4)=Année_Calendaire,MONTH(Fév_Dim1+4)=2),Fév_Dim1+4,""),IF(AND(YEAR(Fév_Dim1+11)=Année_Calendaire,MONTH(Fév_Dim1+11)=2),Fév_Dim1+11,""))</f>
        <v>41676</v>
      </c>
      <c r="N6" s="22">
        <f>IF(DAY(Fév_Dim1)=1,IF(AND(YEAR(Fév_Dim1+5)=Année_Calendaire,MONTH(Fév_Dim1+5)=2),Fév_Dim1+5,""),IF(AND(YEAR(Fév_Dim1+12)=Année_Calendaire,MONTH(Fév_Dim1+12)=2),Fév_Dim1+12,""))</f>
        <v>41677</v>
      </c>
      <c r="O6" s="22">
        <f>IF(DAY(Fév_Dim1)=1,IF(AND(YEAR(Fév_Dim1+6)=Année_Calendaire,MONTH(Fév_Dim1+6)=2),Fév_Dim1+6,""),IF(AND(YEAR(Fév_Dim1+13)=Année_Calendaire,MONTH(Fév_Dim1+13)=2),Fév_Dim1+13,""))</f>
        <v>41678</v>
      </c>
      <c r="P6" s="22">
        <f>IF(DAY(Fév_Dim1)=1,IF(AND(YEAR(Fév_Dim1+7)=Année_Calendaire,MONTH(Fév_Dim1+7)=2),Fév_Dim1+7,""),IF(AND(YEAR(Fév_Dim1+14)=Année_Calendaire,MONTH(Fév_Dim1+14)=2),Fév_Dim1+14,""))</f>
        <v>41679</v>
      </c>
      <c r="Q6" s="9"/>
      <c r="R6" s="22">
        <f>IF(DAY(Mar_Dim1)=1,IF(AND(YEAR(Mar_Dim1+1)=Année_Calendaire,MONTH(Mar_Dim1+1)=3),Mar_Dim1+1,""),IF(AND(YEAR(Mar_Dim1+8)=Année_Calendaire,MONTH(Mar_Dim1+8)=3),Mar_Dim1+8,""))</f>
        <v>41701</v>
      </c>
      <c r="S6" s="22">
        <f>IF(DAY(Mar_Dim1)=1,IF(AND(YEAR(Mar_Dim1+2)=Année_Calendaire,MONTH(Mar_Dim1+2)=3),Mar_Dim1+2,""),IF(AND(YEAR(Mar_Dim1+9)=Année_Calendaire,MONTH(Mar_Dim1+9)=3),Mar_Dim1+9,""))</f>
        <v>41702</v>
      </c>
      <c r="T6" s="22">
        <f>IF(DAY(Mar_Dim1)=1,IF(AND(YEAR(Mar_Dim1+3)=Année_Calendaire,MONTH(Mar_Dim1+3)=3),Mar_Dim1+3,""),IF(AND(YEAR(Mar_Dim1+10)=Année_Calendaire,MONTH(Mar_Dim1+10)=3),Mar_Dim1+10,""))</f>
        <v>41703</v>
      </c>
      <c r="U6" s="22">
        <f>IF(DAY(Mar_Dim1)=1,IF(AND(YEAR(Mar_Dim1+4)=Année_Calendaire,MONTH(Mar_Dim1+4)=3),Mar_Dim1+4,""),IF(AND(YEAR(Mar_Dim1+11)=Année_Calendaire,MONTH(Mar_Dim1+11)=3),Mar_Dim1+11,""))</f>
        <v>41704</v>
      </c>
      <c r="V6" s="22">
        <f>IF(DAY(Mar_Dim1)=1,IF(AND(YEAR(Mar_Dim1+5)=Année_Calendaire,MONTH(Mar_Dim1+5)=3),Mar_Dim1+5,""),IF(AND(YEAR(Mar_Dim1+12)=Année_Calendaire,MONTH(Mar_Dim1+12)=3),Mar_Dim1+12,""))</f>
        <v>41705</v>
      </c>
      <c r="W6" s="22">
        <f>IF(DAY(Mar_Dim1)=1,IF(AND(YEAR(Mar_Dim1+6)=Année_Calendaire,MONTH(Mar_Dim1+6)=3),Mar_Dim1+6,""),IF(AND(YEAR(Mar_Dim1+13)=Année_Calendaire,MONTH(Mar_Dim1+13)=3),Mar_Dim1+13,""))</f>
        <v>41706</v>
      </c>
      <c r="X6" s="22">
        <f>IF(DAY(Mar_Dim1)=1,IF(AND(YEAR(Mar_Dim1+7)=Année_Calendaire,MONTH(Mar_Dim1+7)=3),Mar_Dim1+7,""),IF(AND(YEAR(Mar_Dim1+14)=Année_Calendaire,MONTH(Mar_Dim1+14)=3),Mar_Dim1+14,""))</f>
        <v>41707</v>
      </c>
      <c r="Y6" s="22"/>
      <c r="Z6" s="22">
        <f>IF(DAY(Avr_Dim1)=1,IF(AND(YEAR(Avr_Dim1+1)=Année_Calendaire,MONTH(Avr_Dim1+1)=4),Avr_Dim1+1,""),IF(AND(YEAR(Avr_Dim1+8)=Année_Calendaire,MONTH(Avr_Dim1+8)=4),Avr_Dim1+8,""))</f>
        <v>41736</v>
      </c>
      <c r="AA6" s="22">
        <f>IF(DAY(Avr_Dim1)=1,IF(AND(YEAR(Avr_Dim1+2)=Année_Calendaire,MONTH(Avr_Dim1+2)=4),Avr_Dim1+2,""),IF(AND(YEAR(Avr_Dim1+9)=Année_Calendaire,MONTH(Avr_Dim1+9)=4),Avr_Dim1+9,""))</f>
        <v>41737</v>
      </c>
      <c r="AB6" s="22">
        <f>IF(DAY(Avr_Dim1)=1,IF(AND(YEAR(Avr_Dim1+3)=Année_Calendaire,MONTH(Avr_Dim1+3)=4),Avr_Dim1+3,""),IF(AND(YEAR(Avr_Dim1+10)=Année_Calendaire,MONTH(Avr_Dim1+10)=4),Avr_Dim1+10,""))</f>
        <v>41738</v>
      </c>
      <c r="AC6" s="22">
        <f>IF(DAY(Avr_Dim1)=1,IF(AND(YEAR(Avr_Dim1+4)=Année_Calendaire,MONTH(Avr_Dim1+4)=4),Avr_Dim1+4,""),IF(AND(YEAR(Avr_Dim1+11)=Année_Calendaire,MONTH(Avr_Dim1+11)=4),Avr_Dim1+11,""))</f>
        <v>41739</v>
      </c>
      <c r="AD6" s="22">
        <f>IF(DAY(Avr_Dim1)=1,IF(AND(YEAR(Avr_Dim1+5)=Année_Calendaire,MONTH(Avr_Dim1+5)=4),Avr_Dim1+5,""),IF(AND(YEAR(Avr_Dim1+12)=Année_Calendaire,MONTH(Avr_Dim1+12)=4),Avr_Dim1+12,""))</f>
        <v>41740</v>
      </c>
      <c r="AE6" s="22">
        <f>IF(DAY(Avr_Dim1)=1,IF(AND(YEAR(Avr_Dim1+6)=Année_Calendaire,MONTH(Avr_Dim1+6)=4),Avr_Dim1+6,""),IF(AND(YEAR(Avr_Dim1+13)=Année_Calendaire,MONTH(Avr_Dim1+13)=4),Avr_Dim1+13,""))</f>
        <v>41741</v>
      </c>
      <c r="AF6" s="22">
        <f>IF(DAY(Avr_Dim1)=1,IF(AND(YEAR(Avr_Dim1+7)=Année_Calendaire,MONTH(Avr_Dim1+7)=4),Avr_Dim1+7,""),IF(AND(YEAR(Avr_Dim1+14)=Année_Calendaire,MONTH(Avr_Dim1+14)=4),Avr_Dim1+14,""))</f>
        <v>41742</v>
      </c>
    </row>
    <row r="7" spans="1:38" ht="14.85" customHeight="1">
      <c r="B7" s="22">
        <f>IF(DAY(Jan_Dim1)=1,IF(AND(YEAR(Jan_Dim1+8)=Année_Calendaire,MONTH(Jan_Dim1+8)=1),Jan_Dim1+8,""),IF(AND(YEAR(Jan_Dim1+15)=Année_Calendaire,MONTH(Jan_Dim1+15)=1),Jan_Dim1+15,""))</f>
        <v>41652</v>
      </c>
      <c r="C7" s="22">
        <f>IF(DAY(Jan_Dim1)=1,IF(AND(YEAR(Jan_Dim1+9)=Année_Calendaire,MONTH(Jan_Dim1+9)=1),Jan_Dim1+9,""),IF(AND(YEAR(Jan_Dim1+16)=Année_Calendaire,MONTH(Jan_Dim1+16)=1),Jan_Dim1+16,""))</f>
        <v>41653</v>
      </c>
      <c r="D7" s="22">
        <f>IF(DAY(Jan_Dim1)=1,IF(AND(YEAR(Jan_Dim1+10)=Année_Calendaire,MONTH(Jan_Dim1+10)=1),Jan_Dim1+10,""),IF(AND(YEAR(Jan_Dim1+17)=Année_Calendaire,MONTH(Jan_Dim1+17)=1),Jan_Dim1+17,""))</f>
        <v>41654</v>
      </c>
      <c r="E7" s="22">
        <f>IF(DAY(Jan_Dim1)=1,IF(AND(YEAR(Jan_Dim1+11)=Année_Calendaire,MONTH(Jan_Dim1+11)=1),Jan_Dim1+11,""),IF(AND(YEAR(Jan_Dim1+18)=Année_Calendaire,MONTH(Jan_Dim1+18)=1),Jan_Dim1+18,""))</f>
        <v>41655</v>
      </c>
      <c r="F7" s="22">
        <f>IF(DAY(Jan_Dim1)=1,IF(AND(YEAR(Jan_Dim1+12)=Année_Calendaire,MONTH(Jan_Dim1+12)=1),Jan_Dim1+12,""),IF(AND(YEAR(Jan_Dim1+19)=Année_Calendaire,MONTH(Jan_Dim1+19)=1),Jan_Dim1+19,""))</f>
        <v>41656</v>
      </c>
      <c r="G7" s="22">
        <f>IF(DAY(Jan_Dim1)=1,IF(AND(YEAR(Jan_Dim1+13)=Année_Calendaire,MONTH(Jan_Dim1+13)=1),Jan_Dim1+13,""),IF(AND(YEAR(Jan_Dim1+20)=Année_Calendaire,MONTH(Jan_Dim1+20)=1),Jan_Dim1+20,""))</f>
        <v>41657</v>
      </c>
      <c r="H7" s="22">
        <f>IF(DAY(Jan_Dim1)=1,IF(AND(YEAR(Jan_Dim1+14)=Année_Calendaire,MONTH(Jan_Dim1+14)=1),Jan_Dim1+14,""),IF(AND(YEAR(Jan_Dim1+21)=Année_Calendaire,MONTH(Jan_Dim1+21)=1),Jan_Dim1+21,""))</f>
        <v>41658</v>
      </c>
      <c r="I7" s="22"/>
      <c r="J7" s="22">
        <f>IF(DAY(Fév_Dim1)=1,IF(AND(YEAR(Fév_Dim1+8)=Année_Calendaire,MONTH(Fév_Dim1+8)=2),Fév_Dim1+8,""),IF(AND(YEAR(Fév_Dim1+15)=Année_Calendaire,MONTH(Fév_Dim1+15)=2),Fév_Dim1+15,""))</f>
        <v>41680</v>
      </c>
      <c r="K7" s="22">
        <f>IF(DAY(Fév_Dim1)=1,IF(AND(YEAR(Fév_Dim1+9)=Année_Calendaire,MONTH(Fév_Dim1+9)=2),Fév_Dim1+9,""),IF(AND(YEAR(Fév_Dim1+16)=Année_Calendaire,MONTH(Fév_Dim1+16)=2),Fév_Dim1+16,""))</f>
        <v>41681</v>
      </c>
      <c r="L7" s="22">
        <f>IF(DAY(Fév_Dim1)=1,IF(AND(YEAR(Fév_Dim1+10)=Année_Calendaire,MONTH(Fév_Dim1+10)=2),Fév_Dim1+10,""),IF(AND(YEAR(Fév_Dim1+17)=Année_Calendaire,MONTH(Fév_Dim1+17)=2),Fév_Dim1+17,""))</f>
        <v>41682</v>
      </c>
      <c r="M7" s="22">
        <f>IF(DAY(Fév_Dim1)=1,IF(AND(YEAR(Fév_Dim1+11)=Année_Calendaire,MONTH(Fév_Dim1+11)=2),Fév_Dim1+11,""),IF(AND(YEAR(Fév_Dim1+18)=Année_Calendaire,MONTH(Fév_Dim1+18)=2),Fév_Dim1+18,""))</f>
        <v>41683</v>
      </c>
      <c r="N7" s="22">
        <f>IF(DAY(Fév_Dim1)=1,IF(AND(YEAR(Fév_Dim1+12)=Année_Calendaire,MONTH(Fév_Dim1+12)=2),Fév_Dim1+12,""),IF(AND(YEAR(Fév_Dim1+19)=Année_Calendaire,MONTH(Fév_Dim1+19)=2),Fév_Dim1+19,""))</f>
        <v>41684</v>
      </c>
      <c r="O7" s="22">
        <f>IF(DAY(Fév_Dim1)=1,IF(AND(YEAR(Fév_Dim1+13)=Année_Calendaire,MONTH(Fév_Dim1+13)=2),Fév_Dim1+13,""),IF(AND(YEAR(Fév_Dim1+20)=Année_Calendaire,MONTH(Fév_Dim1+20)=2),Fév_Dim1+20,""))</f>
        <v>41685</v>
      </c>
      <c r="P7" s="22">
        <f>IF(DAY(Fév_Dim1)=1,IF(AND(YEAR(Fév_Dim1+14)=Année_Calendaire,MONTH(Fév_Dim1+14)=2),Fév_Dim1+14,""),IF(AND(YEAR(Fév_Dim1+21)=Année_Calendaire,MONTH(Fév_Dim1+21)=2),Fév_Dim1+21,""))</f>
        <v>41686</v>
      </c>
      <c r="Q7" s="9"/>
      <c r="R7" s="22">
        <f>IF(DAY(Mar_Dim1)=1,IF(AND(YEAR(Mar_Dim1+8)=Année_Calendaire,MONTH(Mar_Dim1+8)=3),Mar_Dim1+8,""),IF(AND(YEAR(Mar_Dim1+15)=Année_Calendaire,MONTH(Mar_Dim1+15)=3),Mar_Dim1+15,""))</f>
        <v>41708</v>
      </c>
      <c r="S7" s="22">
        <f>IF(DAY(Mar_Dim1)=1,IF(AND(YEAR(Mar_Dim1+9)=Année_Calendaire,MONTH(Mar_Dim1+9)=3),Mar_Dim1+9,""),IF(AND(YEAR(Mar_Dim1+16)=Année_Calendaire,MONTH(Mar_Dim1+16)=3),Mar_Dim1+16,""))</f>
        <v>41709</v>
      </c>
      <c r="T7" s="22">
        <f>IF(DAY(Mar_Dim1)=1,IF(AND(YEAR(Mar_Dim1+10)=Année_Calendaire,MONTH(Mar_Dim1+10)=3),Mar_Dim1+10,""),IF(AND(YEAR(Mar_Dim1+17)=Année_Calendaire,MONTH(Mar_Dim1+17)=3),Mar_Dim1+17,""))</f>
        <v>41710</v>
      </c>
      <c r="U7" s="22">
        <f>IF(DAY(Mar_Dim1)=1,IF(AND(YEAR(Mar_Dim1+11)=Année_Calendaire,MONTH(Mar_Dim1+11)=3),Mar_Dim1+11,""),IF(AND(YEAR(Mar_Dim1+18)=Année_Calendaire,MONTH(Mar_Dim1+18)=3),Mar_Dim1+18,""))</f>
        <v>41711</v>
      </c>
      <c r="V7" s="22">
        <f>IF(DAY(Mar_Dim1)=1,IF(AND(YEAR(Mar_Dim1+12)=Année_Calendaire,MONTH(Mar_Dim1+12)=3),Mar_Dim1+12,""),IF(AND(YEAR(Mar_Dim1+19)=Année_Calendaire,MONTH(Mar_Dim1+19)=3),Mar_Dim1+19,""))</f>
        <v>41712</v>
      </c>
      <c r="W7" s="22">
        <f>IF(DAY(Mar_Dim1)=1,IF(AND(YEAR(Mar_Dim1+13)=Année_Calendaire,MONTH(Mar_Dim1+13)=3),Mar_Dim1+13,""),IF(AND(YEAR(Mar_Dim1+20)=Année_Calendaire,MONTH(Mar_Dim1+20)=3),Mar_Dim1+20,""))</f>
        <v>41713</v>
      </c>
      <c r="X7" s="22">
        <f>IF(DAY(Mar_Dim1)=1,IF(AND(YEAR(Mar_Dim1+14)=Année_Calendaire,MONTH(Mar_Dim1+14)=3),Mar_Dim1+14,""),IF(AND(YEAR(Mar_Dim1+21)=Année_Calendaire,MONTH(Mar_Dim1+21)=3),Mar_Dim1+21,""))</f>
        <v>41714</v>
      </c>
      <c r="Y7" s="22"/>
      <c r="Z7" s="22">
        <f>IF(DAY(Avr_Dim1)=1,IF(AND(YEAR(Avr_Dim1+8)=Année_Calendaire,MONTH(Avr_Dim1+8)=4),Avr_Dim1+8,""),IF(AND(YEAR(Avr_Dim1+15)=Année_Calendaire,MONTH(Avr_Dim1+15)=4),Avr_Dim1+15,""))</f>
        <v>41743</v>
      </c>
      <c r="AA7" s="22">
        <f>IF(DAY(Avr_Dim1)=1,IF(AND(YEAR(Avr_Dim1+9)=Année_Calendaire,MONTH(Avr_Dim1+9)=4),Avr_Dim1+9,""),IF(AND(YEAR(Avr_Dim1+16)=Année_Calendaire,MONTH(Avr_Dim1+16)=4),Avr_Dim1+16,""))</f>
        <v>41744</v>
      </c>
      <c r="AB7" s="22">
        <f>IF(DAY(Avr_Dim1)=1,IF(AND(YEAR(Avr_Dim1+10)=Année_Calendaire,MONTH(Avr_Dim1+10)=4),Avr_Dim1+10,""),IF(AND(YEAR(Avr_Dim1+17)=Année_Calendaire,MONTH(Avr_Dim1+17)=4),Avr_Dim1+17,""))</f>
        <v>41745</v>
      </c>
      <c r="AC7" s="22">
        <f>IF(DAY(Avr_Dim1)=1,IF(AND(YEAR(Avr_Dim1+11)=Année_Calendaire,MONTH(Avr_Dim1+11)=4),Avr_Dim1+11,""),IF(AND(YEAR(Avr_Dim1+18)=Année_Calendaire,MONTH(Avr_Dim1+18)=4),Avr_Dim1+18,""))</f>
        <v>41746</v>
      </c>
      <c r="AD7" s="22">
        <f>IF(DAY(Avr_Dim1)=1,IF(AND(YEAR(Avr_Dim1+12)=Année_Calendaire,MONTH(Avr_Dim1+12)=4),Avr_Dim1+12,""),IF(AND(YEAR(Avr_Dim1+19)=Année_Calendaire,MONTH(Avr_Dim1+19)=4),Avr_Dim1+19,""))</f>
        <v>41747</v>
      </c>
      <c r="AE7" s="22">
        <f>IF(DAY(Avr_Dim1)=1,IF(AND(YEAR(Avr_Dim1+13)=Année_Calendaire,MONTH(Avr_Dim1+13)=4),Avr_Dim1+13,""),IF(AND(YEAR(Avr_Dim1+20)=Année_Calendaire,MONTH(Avr_Dim1+20)=4),Avr_Dim1+20,""))</f>
        <v>41748</v>
      </c>
      <c r="AF7" s="22">
        <f>IF(DAY(Avr_Dim1)=1,IF(AND(YEAR(Avr_Dim1+14)=Année_Calendaire,MONTH(Avr_Dim1+14)=4),Avr_Dim1+14,""),IF(AND(YEAR(Avr_Dim1+21)=Année_Calendaire,MONTH(Avr_Dim1+21)=4),Avr_Dim1+21,""))</f>
        <v>41749</v>
      </c>
    </row>
    <row r="8" spans="1:38" ht="14.85" customHeight="1">
      <c r="B8" s="22">
        <f>IF(DAY(Jan_Dim1)=1,IF(AND(YEAR(Jan_Dim1+15)=Année_Calendaire,MONTH(Jan_Dim1+15)=1),Jan_Dim1+15,""),IF(AND(YEAR(Jan_Dim1+22)=Année_Calendaire,MONTH(Jan_Dim1+22)=1),Jan_Dim1+22,""))</f>
        <v>41659</v>
      </c>
      <c r="C8" s="22">
        <f>IF(DAY(Jan_Dim1)=1,IF(AND(YEAR(Jan_Dim1+16)=Année_Calendaire,MONTH(Jan_Dim1+16)=1),Jan_Dim1+16,""),IF(AND(YEAR(Jan_Dim1+23)=Année_Calendaire,MONTH(Jan_Dim1+23)=1),Jan_Dim1+23,""))</f>
        <v>41660</v>
      </c>
      <c r="D8" s="22">
        <f>IF(DAY(Jan_Dim1)=1,IF(AND(YEAR(Jan_Dim1+17)=Année_Calendaire,MONTH(Jan_Dim1+17)=1),Jan_Dim1+17,""),IF(AND(YEAR(Jan_Dim1+24)=Année_Calendaire,MONTH(Jan_Dim1+24)=1),Jan_Dim1+24,""))</f>
        <v>41661</v>
      </c>
      <c r="E8" s="22">
        <f>IF(DAY(Jan_Dim1)=1,IF(AND(YEAR(Jan_Dim1+18)=Année_Calendaire,MONTH(Jan_Dim1+18)=1),Jan_Dim1+18,""),IF(AND(YEAR(Jan_Dim1+25)=Année_Calendaire,MONTH(Jan_Dim1+25)=1),Jan_Dim1+25,""))</f>
        <v>41662</v>
      </c>
      <c r="F8" s="22">
        <f>IF(DAY(Jan_Dim1)=1,IF(AND(YEAR(Jan_Dim1+19)=Année_Calendaire,MONTH(Jan_Dim1+19)=1),Jan_Dim1+19,""),IF(AND(YEAR(Jan_Dim1+26)=Année_Calendaire,MONTH(Jan_Dim1+26)=1),Jan_Dim1+26,""))</f>
        <v>41663</v>
      </c>
      <c r="G8" s="22">
        <f>IF(DAY(Jan_Dim1)=1,IF(AND(YEAR(Jan_Dim1+20)=Année_Calendaire,MONTH(Jan_Dim1+20)=1),Jan_Dim1+20,""),IF(AND(YEAR(Jan_Dim1+27)=Année_Calendaire,MONTH(Jan_Dim1+27)=1),Jan_Dim1+27,""))</f>
        <v>41664</v>
      </c>
      <c r="H8" s="22">
        <f>IF(DAY(Jan_Dim1)=1,IF(AND(YEAR(Jan_Dim1+21)=Année_Calendaire,MONTH(Jan_Dim1+21)=1),Jan_Dim1+21,""),IF(AND(YEAR(Jan_Dim1+28)=Année_Calendaire,MONTH(Jan_Dim1+28)=1),Jan_Dim1+28,""))</f>
        <v>41665</v>
      </c>
      <c r="I8" s="22"/>
      <c r="J8" s="22">
        <f>IF(DAY(Fév_Dim1)=1,IF(AND(YEAR(Fév_Dim1+15)=Année_Calendaire,MONTH(Fév_Dim1+15)=2),Fév_Dim1+15,""),IF(AND(YEAR(Fév_Dim1+22)=Année_Calendaire,MONTH(Fév_Dim1+22)=2),Fév_Dim1+22,""))</f>
        <v>41687</v>
      </c>
      <c r="K8" s="22">
        <f>IF(DAY(Fév_Dim1)=1,IF(AND(YEAR(Fév_Dim1+16)=Année_Calendaire,MONTH(Fév_Dim1+16)=2),Fév_Dim1+16,""),IF(AND(YEAR(Fév_Dim1+23)=Année_Calendaire,MONTH(Fév_Dim1+23)=2),Fév_Dim1+23,""))</f>
        <v>41688</v>
      </c>
      <c r="L8" s="22">
        <f>IF(DAY(Fév_Dim1)=1,IF(AND(YEAR(Fév_Dim1+17)=Année_Calendaire,MONTH(Fév_Dim1+17)=2),Fév_Dim1+17,""),IF(AND(YEAR(Fév_Dim1+24)=Année_Calendaire,MONTH(Fév_Dim1+24)=2),Fév_Dim1+24,""))</f>
        <v>41689</v>
      </c>
      <c r="M8" s="22">
        <f>IF(DAY(Fév_Dim1)=1,IF(AND(YEAR(Fév_Dim1+18)=Année_Calendaire,MONTH(Fév_Dim1+18)=2),Fév_Dim1+18,""),IF(AND(YEAR(Fév_Dim1+25)=Année_Calendaire,MONTH(Fév_Dim1+25)=2),Fév_Dim1+25,""))</f>
        <v>41690</v>
      </c>
      <c r="N8" s="22">
        <f>IF(DAY(Fév_Dim1)=1,IF(AND(YEAR(Fév_Dim1+19)=Année_Calendaire,MONTH(Fév_Dim1+19)=2),Fév_Dim1+19,""),IF(AND(YEAR(Fév_Dim1+26)=Année_Calendaire,MONTH(Fév_Dim1+26)=2),Fév_Dim1+26,""))</f>
        <v>41691</v>
      </c>
      <c r="O8" s="22">
        <f>IF(DAY(Fév_Dim1)=1,IF(AND(YEAR(Fév_Dim1+20)=Année_Calendaire,MONTH(Fév_Dim1+20)=2),Fév_Dim1+20,""),IF(AND(YEAR(Fév_Dim1+27)=Année_Calendaire,MONTH(Fév_Dim1+27)=2),Fév_Dim1+27,""))</f>
        <v>41692</v>
      </c>
      <c r="P8" s="22">
        <f>IF(DAY(Fév_Dim1)=1,IF(AND(YEAR(Fév_Dim1+21)=Année_Calendaire,MONTH(Fév_Dim1+21)=2),Fév_Dim1+21,""),IF(AND(YEAR(Fév_Dim1+28)=Année_Calendaire,MONTH(Fév_Dim1+28)=2),Fév_Dim1+28,""))</f>
        <v>41693</v>
      </c>
      <c r="Q8" s="9"/>
      <c r="R8" s="22">
        <f>IF(DAY(Mar_Dim1)=1,IF(AND(YEAR(Mar_Dim1+15)=Année_Calendaire,MONTH(Mar_Dim1+15)=3),Mar_Dim1+15,""),IF(AND(YEAR(Mar_Dim1+22)=Année_Calendaire,MONTH(Mar_Dim1+22)=3),Mar_Dim1+22,""))</f>
        <v>41715</v>
      </c>
      <c r="S8" s="22">
        <f>IF(DAY(Mar_Dim1)=1,IF(AND(YEAR(Mar_Dim1+16)=Année_Calendaire,MONTH(Mar_Dim1+16)=3),Mar_Dim1+16,""),IF(AND(YEAR(Mar_Dim1+23)=Année_Calendaire,MONTH(Mar_Dim1+23)=3),Mar_Dim1+23,""))</f>
        <v>41716</v>
      </c>
      <c r="T8" s="22">
        <f>IF(DAY(Mar_Dim1)=1,IF(AND(YEAR(Mar_Dim1+17)=Année_Calendaire,MONTH(Mar_Dim1+17)=3),Mar_Dim1+17,""),IF(AND(YEAR(Mar_Dim1+24)=Année_Calendaire,MONTH(Mar_Dim1+24)=3),Mar_Dim1+24,""))</f>
        <v>41717</v>
      </c>
      <c r="U8" s="22">
        <f>IF(DAY(Mar_Dim1)=1,IF(AND(YEAR(Mar_Dim1+18)=Année_Calendaire,MONTH(Mar_Dim1+18)=3),Mar_Dim1+18,""),IF(AND(YEAR(Mar_Dim1+25)=Année_Calendaire,MONTH(Mar_Dim1+25)=3),Mar_Dim1+25,""))</f>
        <v>41718</v>
      </c>
      <c r="V8" s="22">
        <f>IF(DAY(Mar_Dim1)=1,IF(AND(YEAR(Mar_Dim1+19)=Année_Calendaire,MONTH(Mar_Dim1+19)=3),Mar_Dim1+19,""),IF(AND(YEAR(Mar_Dim1+26)=Année_Calendaire,MONTH(Mar_Dim1+26)=3),Mar_Dim1+26,""))</f>
        <v>41719</v>
      </c>
      <c r="W8" s="22">
        <f>IF(DAY(Mar_Dim1)=1,IF(AND(YEAR(Mar_Dim1+20)=Année_Calendaire,MONTH(Mar_Dim1+20)=3),Mar_Dim1+20,""),IF(AND(YEAR(Mar_Dim1+27)=Année_Calendaire,MONTH(Mar_Dim1+27)=3),Mar_Dim1+27,""))</f>
        <v>41720</v>
      </c>
      <c r="X8" s="22">
        <f>IF(DAY(Mar_Dim1)=1,IF(AND(YEAR(Mar_Dim1+21)=Année_Calendaire,MONTH(Mar_Dim1+21)=3),Mar_Dim1+21,""),IF(AND(YEAR(Mar_Dim1+28)=Année_Calendaire,MONTH(Mar_Dim1+28)=3),Mar_Dim1+28,""))</f>
        <v>41721</v>
      </c>
      <c r="Y8" s="22"/>
      <c r="Z8" s="22">
        <f>IF(DAY(Avr_Dim1)=1,IF(AND(YEAR(Avr_Dim1+15)=Année_Calendaire,MONTH(Avr_Dim1+15)=4),Avr_Dim1+15,""),IF(AND(YEAR(Avr_Dim1+22)=Année_Calendaire,MONTH(Avr_Dim1+22)=4),Avr_Dim1+22,""))</f>
        <v>41750</v>
      </c>
      <c r="AA8" s="22">
        <f>IF(DAY(Avr_Dim1)=1,IF(AND(YEAR(Avr_Dim1+16)=Année_Calendaire,MONTH(Avr_Dim1+16)=4),Avr_Dim1+16,""),IF(AND(YEAR(Avr_Dim1+23)=Année_Calendaire,MONTH(Avr_Dim1+23)=4),Avr_Dim1+23,""))</f>
        <v>41751</v>
      </c>
      <c r="AB8" s="22">
        <f>IF(DAY(Avr_Dim1)=1,IF(AND(YEAR(Avr_Dim1+17)=Année_Calendaire,MONTH(Avr_Dim1+17)=4),Avr_Dim1+17,""),IF(AND(YEAR(Avr_Dim1+24)=Année_Calendaire,MONTH(Avr_Dim1+24)=4),Avr_Dim1+24,""))</f>
        <v>41752</v>
      </c>
      <c r="AC8" s="22">
        <f>IF(DAY(Avr_Dim1)=1,IF(AND(YEAR(Avr_Dim1+18)=Année_Calendaire,MONTH(Avr_Dim1+18)=4),Avr_Dim1+18,""),IF(AND(YEAR(Avr_Dim1+25)=Année_Calendaire,MONTH(Avr_Dim1+25)=4),Avr_Dim1+25,""))</f>
        <v>41753</v>
      </c>
      <c r="AD8" s="22">
        <f>IF(DAY(Avr_Dim1)=1,IF(AND(YEAR(Avr_Dim1+19)=Année_Calendaire,MONTH(Avr_Dim1+19)=4),Avr_Dim1+19,""),IF(AND(YEAR(Avr_Dim1+26)=Année_Calendaire,MONTH(Avr_Dim1+26)=4),Avr_Dim1+26,""))</f>
        <v>41754</v>
      </c>
      <c r="AE8" s="22">
        <f>IF(DAY(Avr_Dim1)=1,IF(AND(YEAR(Avr_Dim1+20)=Année_Calendaire,MONTH(Avr_Dim1+20)=4),Avr_Dim1+20,""),IF(AND(YEAR(Avr_Dim1+27)=Année_Calendaire,MONTH(Avr_Dim1+27)=4),Avr_Dim1+27,""))</f>
        <v>41755</v>
      </c>
      <c r="AF8" s="22">
        <f>IF(DAY(Avr_Dim1)=1,IF(AND(YEAR(Avr_Dim1+21)=Année_Calendaire,MONTH(Avr_Dim1+21)=4),Avr_Dim1+21,""),IF(AND(YEAR(Avr_Dim1+28)=Année_Calendaire,MONTH(Avr_Dim1+28)=4),Avr_Dim1+28,""))</f>
        <v>41756</v>
      </c>
    </row>
    <row r="9" spans="1:38" ht="14.85" customHeight="1">
      <c r="B9" s="22">
        <f>IF(DAY(Jan_Dim1)=1,IF(AND(YEAR(Jan_Dim1+22)=Année_Calendaire,MONTH(Jan_Dim1+22)=1),Jan_Dim1+22,""),IF(AND(YEAR(Jan_Dim1+29)=Année_Calendaire,MONTH(Jan_Dim1+29)=1),Jan_Dim1+29,""))</f>
        <v>41666</v>
      </c>
      <c r="C9" s="22">
        <f>IF(DAY(Jan_Dim1)=1,IF(AND(YEAR(Jan_Dim1+23)=Année_Calendaire,MONTH(Jan_Dim1+23)=1),Jan_Dim1+23,""),IF(AND(YEAR(Jan_Dim1+30)=Année_Calendaire,MONTH(Jan_Dim1+30)=1),Jan_Dim1+30,""))</f>
        <v>41667</v>
      </c>
      <c r="D9" s="22">
        <f>IF(DAY(Jan_Dim1)=1,IF(AND(YEAR(Jan_Dim1+24)=Année_Calendaire,MONTH(Jan_Dim1+24)=1),Jan_Dim1+24,""),IF(AND(YEAR(Jan_Dim1+31)=Année_Calendaire,MONTH(Jan_Dim1+31)=1),Jan_Dim1+31,""))</f>
        <v>41668</v>
      </c>
      <c r="E9" s="22">
        <f>IF(DAY(Jan_Dim1)=1,IF(AND(YEAR(Jan_Dim1+25)=Année_Calendaire,MONTH(Jan_Dim1+25)=1),Jan_Dim1+25,""),IF(AND(YEAR(Jan_Dim1+32)=Année_Calendaire,MONTH(Jan_Dim1+32)=1),Jan_Dim1+32,""))</f>
        <v>41669</v>
      </c>
      <c r="F9" s="22">
        <f>IF(DAY(Jan_Dim1)=1,IF(AND(YEAR(Jan_Dim1+26)=Année_Calendaire,MONTH(Jan_Dim1+26)=1),Jan_Dim1+26,""),IF(AND(YEAR(Jan_Dim1+33)=Année_Calendaire,MONTH(Jan_Dim1+33)=1),Jan_Dim1+33,""))</f>
        <v>41670</v>
      </c>
      <c r="G9" s="22" t="str">
        <f>IF(DAY(Jan_Dim1)=1,IF(AND(YEAR(Jan_Dim1+27)=Année_Calendaire,MONTH(Jan_Dim1+27)=1),Jan_Dim1+27,""),IF(AND(YEAR(Jan_Dim1+34)=Année_Calendaire,MONTH(Jan_Dim1+34)=1),Jan_Dim1+34,""))</f>
        <v/>
      </c>
      <c r="H9" s="22" t="str">
        <f>IF(DAY(Jan_Dim1)=1,IF(AND(YEAR(Jan_Dim1+28)=Année_Calendaire,MONTH(Jan_Dim1+28)=1),Jan_Dim1+28,""),IF(AND(YEAR(Jan_Dim1+35)=Année_Calendaire,MONTH(Jan_Dim1+35)=1),Jan_Dim1+35,""))</f>
        <v/>
      </c>
      <c r="I9" s="22"/>
      <c r="J9" s="22">
        <f>IF(DAY(Fév_Dim1)=1,IF(AND(YEAR(Fév_Dim1+22)=Année_Calendaire,MONTH(Fév_Dim1+22)=2),Fév_Dim1+22,""),IF(AND(YEAR(Fév_Dim1+29)=Année_Calendaire,MONTH(Fév_Dim1+29)=2),Fév_Dim1+29,""))</f>
        <v>41694</v>
      </c>
      <c r="K9" s="22">
        <f>IF(DAY(Fév_Dim1)=1,IF(AND(YEAR(Fév_Dim1+23)=Année_Calendaire,MONTH(Fév_Dim1+23)=2),Fév_Dim1+23,""),IF(AND(YEAR(Fév_Dim1+30)=Année_Calendaire,MONTH(Fév_Dim1+30)=2),Fév_Dim1+30,""))</f>
        <v>41695</v>
      </c>
      <c r="L9" s="22">
        <f>IF(DAY(Fév_Dim1)=1,IF(AND(YEAR(Fév_Dim1+24)=Année_Calendaire,MONTH(Fév_Dim1+24)=2),Fév_Dim1+24,""),IF(AND(YEAR(Fév_Dim1+31)=Année_Calendaire,MONTH(Fév_Dim1+31)=2),Fév_Dim1+31,""))</f>
        <v>41696</v>
      </c>
      <c r="M9" s="22">
        <f>IF(DAY(Fév_Dim1)=1,IF(AND(YEAR(Fév_Dim1+25)=Année_Calendaire,MONTH(Fév_Dim1+25)=2),Fév_Dim1+25,""),IF(AND(YEAR(Fév_Dim1+32)=Année_Calendaire,MONTH(Fév_Dim1+32)=2),Fév_Dim1+32,""))</f>
        <v>41697</v>
      </c>
      <c r="N9" s="22">
        <f>IF(DAY(Fév_Dim1)=1,IF(AND(YEAR(Fév_Dim1+26)=Année_Calendaire,MONTH(Fév_Dim1+26)=2),Fév_Dim1+26,""),IF(AND(YEAR(Fév_Dim1+33)=Année_Calendaire,MONTH(Fév_Dim1+33)=2),Fév_Dim1+33,""))</f>
        <v>41698</v>
      </c>
      <c r="O9" s="22" t="str">
        <f>IF(DAY(Fév_Dim1)=1,IF(AND(YEAR(Fév_Dim1+27)=Année_Calendaire,MONTH(Fév_Dim1+27)=2),Fév_Dim1+27,""),IF(AND(YEAR(Fév_Dim1+34)=Année_Calendaire,MONTH(Fév_Dim1+34)=2),Fév_Dim1+34,""))</f>
        <v/>
      </c>
      <c r="P9" s="22" t="str">
        <f>IF(DAY(Fév_Dim1)=1,IF(AND(YEAR(Fév_Dim1+28)=Année_Calendaire,MONTH(Fév_Dim1+28)=2),Fév_Dim1+28,""),IF(AND(YEAR(Fév_Dim1+35)=Année_Calendaire,MONTH(Fév_Dim1+35)=2),Fév_Dim1+35,""))</f>
        <v/>
      </c>
      <c r="Q9" s="9"/>
      <c r="R9" s="22">
        <f>IF(DAY(Mar_Dim1)=1,IF(AND(YEAR(Mar_Dim1+22)=Année_Calendaire,MONTH(Mar_Dim1+22)=3),Mar_Dim1+22,""),IF(AND(YEAR(Mar_Dim1+29)=Année_Calendaire,MONTH(Mar_Dim1+29)=3),Mar_Dim1+29,""))</f>
        <v>41722</v>
      </c>
      <c r="S9" s="22">
        <f>IF(DAY(Mar_Dim1)=1,IF(AND(YEAR(Mar_Dim1+23)=Année_Calendaire,MONTH(Mar_Dim1+23)=3),Mar_Dim1+23,""),IF(AND(YEAR(Mar_Dim1+30)=Année_Calendaire,MONTH(Mar_Dim1+30)=3),Mar_Dim1+30,""))</f>
        <v>41723</v>
      </c>
      <c r="T9" s="22">
        <f>IF(DAY(Mar_Dim1)=1,IF(AND(YEAR(Mar_Dim1+24)=Année_Calendaire,MONTH(Mar_Dim1+24)=3),Mar_Dim1+24,""),IF(AND(YEAR(Mar_Dim1+31)=Année_Calendaire,MONTH(Mar_Dim1+31)=3),Mar_Dim1+31,""))</f>
        <v>41724</v>
      </c>
      <c r="U9" s="22">
        <f>IF(DAY(Mar_Dim1)=1,IF(AND(YEAR(Mar_Dim1+25)=Année_Calendaire,MONTH(Mar_Dim1+25)=3),Mar_Dim1+25,""),IF(AND(YEAR(Mar_Dim1+32)=Année_Calendaire,MONTH(Mar_Dim1+32)=3),Mar_Dim1+32,""))</f>
        <v>41725</v>
      </c>
      <c r="V9" s="22">
        <f>IF(DAY(Mar_Dim1)=1,IF(AND(YEAR(Mar_Dim1+26)=Année_Calendaire,MONTH(Mar_Dim1+26)=3),Mar_Dim1+26,""),IF(AND(YEAR(Mar_Dim1+33)=Année_Calendaire,MONTH(Mar_Dim1+33)=3),Mar_Dim1+33,""))</f>
        <v>41726</v>
      </c>
      <c r="W9" s="22">
        <f>IF(DAY(Mar_Dim1)=1,IF(AND(YEAR(Mar_Dim1+27)=Année_Calendaire,MONTH(Mar_Dim1+27)=3),Mar_Dim1+27,""),IF(AND(YEAR(Mar_Dim1+34)=Année_Calendaire,MONTH(Mar_Dim1+34)=3),Mar_Dim1+34,""))</f>
        <v>41727</v>
      </c>
      <c r="X9" s="22">
        <f>IF(DAY(Mar_Dim1)=1,IF(AND(YEAR(Mar_Dim1+28)=Année_Calendaire,MONTH(Mar_Dim1+28)=3),Mar_Dim1+28,""),IF(AND(YEAR(Mar_Dim1+35)=Année_Calendaire,MONTH(Mar_Dim1+35)=3),Mar_Dim1+35,""))</f>
        <v>41728</v>
      </c>
      <c r="Y9" s="22"/>
      <c r="Z9" s="22">
        <f>IF(DAY(Avr_Dim1)=1,IF(AND(YEAR(Avr_Dim1+22)=Année_Calendaire,MONTH(Avr_Dim1+22)=4),Avr_Dim1+22,""),IF(AND(YEAR(Avr_Dim1+29)=Année_Calendaire,MONTH(Avr_Dim1+29)=4),Avr_Dim1+29,""))</f>
        <v>41757</v>
      </c>
      <c r="AA9" s="22">
        <f>IF(DAY(Avr_Dim1)=1,IF(AND(YEAR(Avr_Dim1+23)=Année_Calendaire,MONTH(Avr_Dim1+23)=4),Avr_Dim1+23,""),IF(AND(YEAR(Avr_Dim1+30)=Année_Calendaire,MONTH(Avr_Dim1+30)=4),Avr_Dim1+30,""))</f>
        <v>41758</v>
      </c>
      <c r="AB9" s="22">
        <f>IF(DAY(Avr_Dim1)=1,IF(AND(YEAR(Avr_Dim1+24)=Année_Calendaire,MONTH(Avr_Dim1+24)=4),Avr_Dim1+24,""),IF(AND(YEAR(Avr_Dim1+31)=Année_Calendaire,MONTH(Avr_Dim1+31)=4),Avr_Dim1+31,""))</f>
        <v>41759</v>
      </c>
      <c r="AC9" s="22" t="str">
        <f>IF(DAY(Avr_Dim1)=1,IF(AND(YEAR(Avr_Dim1+25)=Année_Calendaire,MONTH(Avr_Dim1+25)=4),Avr_Dim1+25,""),IF(AND(YEAR(Avr_Dim1+32)=Année_Calendaire,MONTH(Avr_Dim1+32)=4),Avr_Dim1+32,""))</f>
        <v/>
      </c>
      <c r="AD9" s="22" t="str">
        <f>IF(DAY(Avr_Dim1)=1,IF(AND(YEAR(Avr_Dim1+26)=Année_Calendaire,MONTH(Avr_Dim1+26)=4),Avr_Dim1+26,""),IF(AND(YEAR(Avr_Dim1+33)=Année_Calendaire,MONTH(Avr_Dim1+33)=4),Avr_Dim1+33,""))</f>
        <v/>
      </c>
      <c r="AE9" s="22" t="str">
        <f>IF(DAY(Avr_Dim1)=1,IF(AND(YEAR(Avr_Dim1+27)=Année_Calendaire,MONTH(Avr_Dim1+27)=4),Avr_Dim1+27,""),IF(AND(YEAR(Avr_Dim1+34)=Année_Calendaire,MONTH(Avr_Dim1+34)=4),Avr_Dim1+34,""))</f>
        <v/>
      </c>
      <c r="AF9" s="22" t="str">
        <f>IF(DAY(Avr_Dim1)=1,IF(AND(YEAR(Avr_Dim1+28)=Année_Calendaire,MONTH(Avr_Dim1+28)=4),Avr_Dim1+28,""),IF(AND(YEAR(Avr_Dim1+35)=Année_Calendaire,MONTH(Avr_Dim1+35)=4),Avr_Dim1+35,""))</f>
        <v/>
      </c>
    </row>
    <row r="10" spans="1:38" ht="14.85" customHeight="1">
      <c r="B10" s="22" t="str">
        <f>IF(DAY(Jan_Dim1)=1,IF(AND(YEAR(Jan_Dim1+29)=Année_Calendaire,MONTH(Jan_Dim1+29)=1),Jan_Dim1+29,""),IF(AND(YEAR(Jan_Dim1+36)=Année_Calendaire,MONTH(Jan_Dim1+36)=1),Jan_Dim1+36,""))</f>
        <v/>
      </c>
      <c r="C10" s="22" t="str">
        <f>IF(DAY(Jan_Dim1)=1,IF(AND(YEAR(Jan_Dim1+30)=Année_Calendaire,MONTH(Jan_Dim1+30)=1),Jan_Dim1+30,""),IF(AND(YEAR(Jan_Dim1+37)=Année_Calendaire,MONTH(Jan_Dim1+37)=1),Jan_Dim1+37,""))</f>
        <v/>
      </c>
      <c r="D10" s="22" t="str">
        <f>IF(DAY(Jan_Dim1)=1,IF(AND(YEAR(Jan_Dim1+31)=Année_Calendaire,MONTH(Jan_Dim1+31)=1),Jan_Dim1+31,""),IF(AND(YEAR(Jan_Dim1+38)=Année_Calendaire,MONTH(Jan_Dim1+38)=1),Jan_Dim1+38,""))</f>
        <v/>
      </c>
      <c r="E10" s="22" t="str">
        <f>IF(DAY(Jan_Dim1)=1,IF(AND(YEAR(Jan_Dim1+32)=Année_Calendaire,MONTH(Jan_Dim1+32)=1),Jan_Dim1+32,""),IF(AND(YEAR(Jan_Dim1+39)=Année_Calendaire,MONTH(Jan_Dim1+39)=1),Jan_Dim1+39,""))</f>
        <v/>
      </c>
      <c r="F10" s="22" t="str">
        <f>IF(DAY(Jan_Dim1)=1,IF(AND(YEAR(Jan_Dim1+33)=Année_Calendaire,MONTH(Jan_Dim1+33)=1),Jan_Dim1+33,""),IF(AND(YEAR(Jan_Dim1+40)=Année_Calendaire,MONTH(Jan_Dim1+40)=1),Jan_Dim1+40,""))</f>
        <v/>
      </c>
      <c r="G10" s="22" t="str">
        <f>IF(DAY(Jan_Dim1)=1,IF(AND(YEAR(Jan_Dim1+34)=Année_Calendaire,MONTH(Jan_Dim1+34)=1),Jan_Dim1+34,""),IF(AND(YEAR(Jan_Dim1+41)=Année_Calendaire,MONTH(Jan_Dim1+41)=1),Jan_Dim1+41,""))</f>
        <v/>
      </c>
      <c r="H10" s="22" t="str">
        <f>IF(DAY(Jan_Dim1)=1,IF(AND(YEAR(Jan_Dim1+35)=Année_Calendaire,MONTH(Jan_Dim1+35)=1),Jan_Dim1+35,""),IF(AND(YEAR(Jan_Dim1+42)=Année_Calendaire,MONTH(Jan_Dim1+42)=1),Jan_Dim1+42,""))</f>
        <v/>
      </c>
      <c r="I10" s="22"/>
      <c r="J10" s="22" t="str">
        <f>IF(DAY(Fév_Dim1)=1,IF(AND(YEAR(Fév_Dim1+29)=Année_Calendaire,MONTH(Fév_Dim1+29)=2),Fév_Dim1+29,""),IF(AND(YEAR(Fév_Dim1+36)=Année_Calendaire,MONTH(Fév_Dim1+36)=2),Fév_Dim1+36,""))</f>
        <v/>
      </c>
      <c r="K10" s="22" t="str">
        <f>IF(DAY(Fév_Dim1)=1,IF(AND(YEAR(Fév_Dim1+30)=Année_Calendaire,MONTH(Fév_Dim1+30)=2),Fév_Dim1+30,""),IF(AND(YEAR(Fév_Dim1+37)=Année_Calendaire,MONTH(Fév_Dim1+37)=2),Fév_Dim1+37,""))</f>
        <v/>
      </c>
      <c r="L10" s="22" t="str">
        <f>IF(DAY(Fév_Dim1)=1,IF(AND(YEAR(Fév_Dim1+31)=Année_Calendaire,MONTH(Fév_Dim1+31)=2),Fév_Dim1+31,""),IF(AND(YEAR(Fév_Dim1+38)=Année_Calendaire,MONTH(Fév_Dim1+38)=2),Fév_Dim1+38,""))</f>
        <v/>
      </c>
      <c r="M10" s="22" t="str">
        <f>IF(DAY(Fév_Dim1)=1,IF(AND(YEAR(Fév_Dim1+32)=Année_Calendaire,MONTH(Fév_Dim1+32)=2),Fév_Dim1+32,""),IF(AND(YEAR(Fév_Dim1+39)=Année_Calendaire,MONTH(Fév_Dim1+39)=2),Fév_Dim1+39,""))</f>
        <v/>
      </c>
      <c r="N10" s="22" t="str">
        <f>IF(DAY(Fév_Dim1)=1,IF(AND(YEAR(Fév_Dim1+33)=Année_Calendaire,MONTH(Fév_Dim1+33)=2),Fév_Dim1+33,""),IF(AND(YEAR(Fév_Dim1+40)=Année_Calendaire,MONTH(Fév_Dim1+40)=2),Fév_Dim1+40,""))</f>
        <v/>
      </c>
      <c r="O10" s="22" t="str">
        <f>IF(DAY(Fév_Dim1)=1,IF(AND(YEAR(Fév_Dim1+34)=Année_Calendaire,MONTH(Fév_Dim1+34)=2),Fév_Dim1+34,""),IF(AND(YEAR(Fév_Dim1+41)=Année_Calendaire,MONTH(Fév_Dim1+41)=2),Fév_Dim1+41,""))</f>
        <v/>
      </c>
      <c r="P10" s="22" t="str">
        <f>IF(DAY(Fév_Dim1)=1,IF(AND(YEAR(Fév_Dim1+35)=Année_Calendaire,MONTH(Fév_Dim1+35)=2),Fév_Dim1+35,""),IF(AND(YEAR(Fév_Dim1+42)=Année_Calendaire,MONTH(Fév_Dim1+42)=2),Fév_Dim1+42,""))</f>
        <v/>
      </c>
      <c r="Q10" s="9"/>
      <c r="R10" s="22">
        <f>IF(DAY(Mar_Dim1)=1,IF(AND(YEAR(Mar_Dim1+29)=Année_Calendaire,MONTH(Mar_Dim1+29)=3),Mar_Dim1+29,""),IF(AND(YEAR(Mar_Dim1+36)=Année_Calendaire,MONTH(Mar_Dim1+36)=3),Mar_Dim1+36,""))</f>
        <v>41729</v>
      </c>
      <c r="S10" s="22" t="str">
        <f>IF(DAY(Mar_Dim1)=1,IF(AND(YEAR(Mar_Dim1+30)=Année_Calendaire,MONTH(Mar_Dim1+30)=3),Mar_Dim1+30,""),IF(AND(YEAR(Mar_Dim1+37)=Année_Calendaire,MONTH(Mar_Dim1+37)=3),Mar_Dim1+37,""))</f>
        <v/>
      </c>
      <c r="T10" s="22" t="str">
        <f>IF(DAY(Mar_Dim1)=1,IF(AND(YEAR(Mar_Dim1+31)=Année_Calendaire,MONTH(Mar_Dim1+31)=3),Mar_Dim1+31,""),IF(AND(YEAR(Mar_Dim1+38)=Année_Calendaire,MONTH(Mar_Dim1+38)=3),Mar_Dim1+38,""))</f>
        <v/>
      </c>
      <c r="U10" s="22" t="str">
        <f>IF(DAY(Mar_Dim1)=1,IF(AND(YEAR(Mar_Dim1+32)=Année_Calendaire,MONTH(Mar_Dim1+32)=3),Mar_Dim1+32,""),IF(AND(YEAR(Mar_Dim1+39)=Année_Calendaire,MONTH(Mar_Dim1+39)=3),Mar_Dim1+39,""))</f>
        <v/>
      </c>
      <c r="V10" s="22" t="str">
        <f>IF(DAY(Mar_Dim1)=1,IF(AND(YEAR(Mar_Dim1+33)=Année_Calendaire,MONTH(Mar_Dim1+33)=3),Mar_Dim1+33,""),IF(AND(YEAR(Mar_Dim1+40)=Année_Calendaire,MONTH(Mar_Dim1+40)=3),Mar_Dim1+40,""))</f>
        <v/>
      </c>
      <c r="W10" s="22" t="str">
        <f>IF(DAY(Mar_Dim1)=1,IF(AND(YEAR(Mar_Dim1+34)=Année_Calendaire,MONTH(Mar_Dim1+34)=3),Mar_Dim1+34,""),IF(AND(YEAR(Mar_Dim1+41)=Année_Calendaire,MONTH(Mar_Dim1+41)=3),Mar_Dim1+41,""))</f>
        <v/>
      </c>
      <c r="X10" s="22" t="str">
        <f>IF(DAY(Mar_Dim1)=1,IF(AND(YEAR(Mar_Dim1+35)=Année_Calendaire,MONTH(Mar_Dim1+35)=3),Mar_Dim1+35,""),IF(AND(YEAR(Mar_Dim1+42)=Année_Calendaire,MONTH(Mar_Dim1+42)=3),Mar_Dim1+42,""))</f>
        <v/>
      </c>
      <c r="Y10" s="22"/>
      <c r="Z10" s="22" t="str">
        <f>IF(DAY(Avr_Dim1)=1,IF(AND(YEAR(Avr_Dim1+29)=Année_Calendaire,MONTH(Avr_Dim1+29)=4),Avr_Dim1+29,""),IF(AND(YEAR(Avr_Dim1+36)=Année_Calendaire,MONTH(Avr_Dim1+36)=4),Avr_Dim1+36,""))</f>
        <v/>
      </c>
      <c r="AA10" s="22" t="str">
        <f>IF(DAY(Avr_Dim1)=1,IF(AND(YEAR(Avr_Dim1+30)=Année_Calendaire,MONTH(Avr_Dim1+30)=4),Avr_Dim1+30,""),IF(AND(YEAR(Avr_Dim1+37)=Année_Calendaire,MONTH(Avr_Dim1+37)=4),Avr_Dim1+37,""))</f>
        <v/>
      </c>
      <c r="AB10" s="22" t="str">
        <f>IF(DAY(Avr_Dim1)=1,IF(AND(YEAR(Avr_Dim1+31)=Année_Calendaire,MONTH(Avr_Dim1+31)=4),Avr_Dim1+31,""),IF(AND(YEAR(Avr_Dim1+38)=Année_Calendaire,MONTH(Avr_Dim1+38)=4),Avr_Dim1+38,""))</f>
        <v/>
      </c>
      <c r="AC10" s="22" t="str">
        <f>IF(DAY(Avr_Dim1)=1,IF(AND(YEAR(Avr_Dim1+32)=Année_Calendaire,MONTH(Avr_Dim1+32)=4),Avr_Dim1+32,""),IF(AND(YEAR(Avr_Dim1+39)=Année_Calendaire,MONTH(Avr_Dim1+39)=4),Avr_Dim1+39,""))</f>
        <v/>
      </c>
      <c r="AD10" s="22" t="str">
        <f>IF(DAY(Avr_Dim1)=1,IF(AND(YEAR(Avr_Dim1+33)=Année_Calendaire,MONTH(Avr_Dim1+33)=4),Avr_Dim1+33,""),IF(AND(YEAR(Avr_Dim1+40)=Année_Calendaire,MONTH(Avr_Dim1+40)=4),Avr_Dim1+40,""))</f>
        <v/>
      </c>
      <c r="AE10" s="22" t="str">
        <f>IF(DAY(Avr_Dim1)=1,IF(AND(YEAR(Avr_Dim1+34)=Année_Calendaire,MONTH(Avr_Dim1+34)=4),Avr_Dim1+34,""),IF(AND(YEAR(Avr_Dim1+41)=Année_Calendaire,MONTH(Avr_Dim1+41)=4),Avr_Dim1+41,""))</f>
        <v/>
      </c>
      <c r="AF10" s="22" t="str">
        <f>IF(DAY(Avr_Dim1)=1,IF(AND(YEAR(Avr_Dim1+35)=Année_Calendaire,MONTH(Avr_Dim1+35)=4),Avr_Dim1+35,""),IF(AND(YEAR(Avr_Dim1+42)=Année_Calendaire,MONTH(Avr_Dim1+42)=4),Avr_Dim1+42,""))</f>
        <v/>
      </c>
    </row>
    <row r="11" spans="1:38" ht="14.85" customHeight="1"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9"/>
      <c r="Y11" s="22"/>
    </row>
    <row r="12" spans="1:38" ht="14.85" customHeight="1">
      <c r="Q12" s="9"/>
      <c r="R12" s="9"/>
      <c r="S12" s="10"/>
      <c r="T12" s="9"/>
      <c r="U12" s="9"/>
      <c r="X12" s="9"/>
      <c r="AF12" s="9"/>
    </row>
    <row r="13" spans="1:38" ht="14.85" customHeight="1">
      <c r="A13" s="15"/>
      <c r="B13" s="33" t="s">
        <v>26</v>
      </c>
      <c r="C13" s="32"/>
      <c r="D13" s="32"/>
      <c r="E13" s="32"/>
      <c r="F13" s="32"/>
      <c r="G13" s="32"/>
      <c r="H13" s="32"/>
      <c r="I13" s="24"/>
      <c r="J13" s="33" t="s">
        <v>27</v>
      </c>
      <c r="K13" s="32"/>
      <c r="L13" s="32"/>
      <c r="M13" s="32"/>
      <c r="N13" s="32"/>
      <c r="O13" s="32"/>
      <c r="P13" s="32"/>
      <c r="Q13" s="16"/>
      <c r="R13" s="33" t="s">
        <v>28</v>
      </c>
      <c r="S13" s="32"/>
      <c r="T13" s="32"/>
      <c r="U13" s="32"/>
      <c r="V13" s="32"/>
      <c r="W13" s="32"/>
      <c r="X13" s="32"/>
      <c r="Y13" s="24"/>
      <c r="Z13" s="25" t="s">
        <v>29</v>
      </c>
      <c r="AA13" s="32"/>
      <c r="AB13" s="32"/>
      <c r="AC13" s="32"/>
      <c r="AD13" s="32"/>
      <c r="AE13" s="32"/>
      <c r="AF13" s="32"/>
    </row>
    <row r="14" spans="1:38" ht="14.85" customHeight="1">
      <c r="A14" s="18"/>
      <c r="B14" s="19" t="s">
        <v>20</v>
      </c>
      <c r="C14" s="19" t="s">
        <v>21</v>
      </c>
      <c r="D14" s="19" t="s">
        <v>21</v>
      </c>
      <c r="E14" s="19" t="s">
        <v>22</v>
      </c>
      <c r="F14" s="19" t="s">
        <v>23</v>
      </c>
      <c r="G14" s="19" t="s">
        <v>24</v>
      </c>
      <c r="H14" s="19" t="s">
        <v>25</v>
      </c>
      <c r="I14" s="26"/>
      <c r="J14" s="19" t="s">
        <v>20</v>
      </c>
      <c r="K14" s="19" t="s">
        <v>21</v>
      </c>
      <c r="L14" s="19" t="s">
        <v>21</v>
      </c>
      <c r="M14" s="19" t="s">
        <v>22</v>
      </c>
      <c r="N14" s="19" t="s">
        <v>23</v>
      </c>
      <c r="O14" s="19" t="s">
        <v>24</v>
      </c>
      <c r="P14" s="19" t="s">
        <v>25</v>
      </c>
      <c r="Q14" s="21"/>
      <c r="R14" s="19" t="s">
        <v>20</v>
      </c>
      <c r="S14" s="19" t="s">
        <v>21</v>
      </c>
      <c r="T14" s="19" t="s">
        <v>21</v>
      </c>
      <c r="U14" s="19" t="s">
        <v>22</v>
      </c>
      <c r="V14" s="19" t="s">
        <v>23</v>
      </c>
      <c r="W14" s="19" t="s">
        <v>24</v>
      </c>
      <c r="X14" s="19" t="s">
        <v>25</v>
      </c>
      <c r="Y14" s="27"/>
      <c r="Z14" s="19" t="s">
        <v>20</v>
      </c>
      <c r="AA14" s="19" t="s">
        <v>21</v>
      </c>
      <c r="AB14" s="19" t="s">
        <v>21</v>
      </c>
      <c r="AC14" s="19" t="s">
        <v>22</v>
      </c>
      <c r="AD14" s="19" t="s">
        <v>23</v>
      </c>
      <c r="AE14" s="19" t="s">
        <v>24</v>
      </c>
      <c r="AF14" s="19" t="s">
        <v>25</v>
      </c>
    </row>
    <row r="15" spans="1:38" ht="14.85" customHeight="1">
      <c r="B15" s="22" t="str">
        <f>IF(DAY(Mai_Dim1)=1,"",IF(AND(YEAR(Mai_Dim1+1)=Année_Calendaire,MONTH(Mai_Dim1+1)=5),Mai_Dim1+1,""))</f>
        <v/>
      </c>
      <c r="C15" s="22" t="str">
        <f>IF(DAY(Mai_Dim1)=1,"",IF(AND(YEAR(Mai_Dim1+2)=Année_Calendaire,MONTH(Mai_Dim1+2)=5),Mai_Dim1+2,""))</f>
        <v/>
      </c>
      <c r="D15" s="22" t="str">
        <f>IF(DAY(Mai_Dim1)=1,"",IF(AND(YEAR(Mai_Dim1+3)=Année_Calendaire,MONTH(Mai_Dim1+3)=5),Mai_Dim1+3,""))</f>
        <v/>
      </c>
      <c r="E15" s="22">
        <f>IF(DAY(Mai_Dim1)=1,"",IF(AND(YEAR(Mai_Dim1+4)=Année_Calendaire,MONTH(Mai_Dim1+4)=5),Mai_Dim1+4,""))</f>
        <v>41760</v>
      </c>
      <c r="F15" s="22">
        <f>IF(DAY(Mai_Dim1)=1,"",IF(AND(YEAR(Mai_Dim1+5)=Année_Calendaire,MONTH(Mai_Dim1+5)=5),Mai_Dim1+5,""))</f>
        <v>41761</v>
      </c>
      <c r="G15" s="22">
        <f>IF(DAY(Mai_Dim1)=1,"",IF(AND(YEAR(Mai_Dim1+6)=Année_Calendaire,MONTH(Mai_Dim1+6)=5),Mai_Dim1+6,""))</f>
        <v>41762</v>
      </c>
      <c r="H15" s="22">
        <f>IF(DAY(Mai_Dim1)=1,IF(AND(YEAR(Mai_Dim1)=Année_Calendaire,MONTH(Mai_Dim1)=5),Mai_Dim1,""),IF(AND(YEAR(Mai_Dim1+7)=Année_Calendaire,MONTH(Mai_Dim1+7)=5),Mai_Dim1+7,""))</f>
        <v>41763</v>
      </c>
      <c r="I15" s="34"/>
      <c r="J15" s="22" t="str">
        <f>IF(DAY(Juin_Dim1)=1,"",IF(AND(YEAR(Juin_Dim1+1)=Année_Calendaire,MONTH(Juin_Dim1+1)=6),Juin_Dim1+1,""))</f>
        <v/>
      </c>
      <c r="K15" s="22" t="str">
        <f>IF(DAY(Juin_Dim1)=1,"",IF(AND(YEAR(Juin_Dim1+2)=Année_Calendaire,MONTH(Juin_Dim1+2)=6),Juin_Dim1+2,""))</f>
        <v/>
      </c>
      <c r="L15" s="22" t="str">
        <f>IF(DAY(Juin_Dim1)=1,"",IF(AND(YEAR(Juin_Dim1+3)=Année_Calendaire,MONTH(Juin_Dim1+3)=6),Juin_Dim1+3,""))</f>
        <v/>
      </c>
      <c r="M15" s="22" t="str">
        <f>IF(DAY(Juin_Dim1)=1,"",IF(AND(YEAR(Juin_Dim1+4)=Année_Calendaire,MONTH(Juin_Dim1+4)=6),Juin_Dim1+4,""))</f>
        <v/>
      </c>
      <c r="N15" s="22" t="str">
        <f>IF(DAY(Juin_Dim1)=1,"",IF(AND(YEAR(Juin_Dim1+5)=Année_Calendaire,MONTH(Juin_Dim1+5)=6),Juin_Dim1+5,""))</f>
        <v/>
      </c>
      <c r="O15" s="22" t="str">
        <f>IF(DAY(Juin_Dim1)=1,"",IF(AND(YEAR(Juin_Dim1+6)=Année_Calendaire,MONTH(Juin_Dim1+6)=6),Juin_Dim1+6,""))</f>
        <v/>
      </c>
      <c r="P15" s="22">
        <f>IF(DAY(Juin_Dim1)=1,IF(AND(YEAR(Juin_Dim1)=Année_Calendaire,MONTH(Juin_Dim1)=6),Juin_Dim1,""),IF(AND(YEAR(Juin_Dim1+7)=Année_Calendaire,MONTH(Juin_Dim1+7)=6),Juin_Dim1+7,""))</f>
        <v>41791</v>
      </c>
      <c r="Q15" s="9"/>
      <c r="R15" s="22" t="str">
        <f>IF(DAY(Juil_Dim1)=1,"",IF(AND(YEAR(Juil_Dim1+1)=Année_Calendaire,MONTH(Juil_Dim1+1)=7),Juil_Dim1+1,""))</f>
        <v/>
      </c>
      <c r="S15" s="22">
        <f>IF(DAY(Juil_Dim1)=1,"",IF(AND(YEAR(Juil_Dim1+2)=Année_Calendaire,MONTH(Juil_Dim1+2)=7),Juil_Dim1+2,""))</f>
        <v>41821</v>
      </c>
      <c r="T15" s="22">
        <f>IF(DAY(Juil_Dim1)=1,"",IF(AND(YEAR(Juil_Dim1+3)=Année_Calendaire,MONTH(Juil_Dim1+3)=7),Juil_Dim1+3,""))</f>
        <v>41822</v>
      </c>
      <c r="U15" s="22">
        <f>IF(DAY(Juil_Dim1)=1,"",IF(AND(YEAR(Juil_Dim1+4)=Année_Calendaire,MONTH(Juil_Dim1+4)=7),Juil_Dim1+4,""))</f>
        <v>41823</v>
      </c>
      <c r="V15" s="22">
        <f>IF(DAY(Juil_Dim1)=1,"",IF(AND(YEAR(Juil_Dim1+5)=Année_Calendaire,MONTH(Juil_Dim1+5)=7),Juil_Dim1+5,""))</f>
        <v>41824</v>
      </c>
      <c r="W15" s="22">
        <f>IF(DAY(Juil_Dim1)=1,"",IF(AND(YEAR(Juil_Dim1+6)=Année_Calendaire,MONTH(Juil_Dim1+6)=7),Juil_Dim1+6,""))</f>
        <v>41825</v>
      </c>
      <c r="X15" s="22">
        <f>IF(DAY(Juil_Dim1)=1,IF(AND(YEAR(Juil_Dim1)=Année_Calendaire,MONTH(Juil_Dim1)=7),Juil_Dim1,""),IF(AND(YEAR(Juil_Dim1+7)=Année_Calendaire,MONTH(Juil_Dim1+7)=7),Juil_Dim1+7,""))</f>
        <v>41826</v>
      </c>
      <c r="Y15" s="9"/>
      <c r="Z15" s="22" t="str">
        <f>IF(DAY(Aoû_Dim1)=1,"",IF(AND(YEAR(Aoû_Dim1+1)=Année_Calendaire,MONTH(Aoû_Dim1+1)=8),Aoû_Dim1+1,""))</f>
        <v/>
      </c>
      <c r="AA15" s="22" t="str">
        <f>IF(DAY(Aoû_Dim1)=1,"",IF(AND(YEAR(Aoû_Dim1+2)=Année_Calendaire,MONTH(Aoû_Dim1+2)=8),Aoû_Dim1+2,""))</f>
        <v/>
      </c>
      <c r="AB15" s="22" t="str">
        <f>IF(DAY(Aoû_Dim1)=1,"",IF(AND(YEAR(Aoû_Dim1+3)=Année_Calendaire,MONTH(Aoû_Dim1+3)=8),Aoû_Dim1+3,""))</f>
        <v/>
      </c>
      <c r="AC15" s="22" t="str">
        <f>IF(DAY(Aoû_Dim1)=1,"",IF(AND(YEAR(Aoû_Dim1+4)=Année_Calendaire,MONTH(Aoû_Dim1+4)=8),Aoû_Dim1+4,""))</f>
        <v/>
      </c>
      <c r="AD15" s="22">
        <f>IF(DAY(Aoû_Dim1)=1,"",IF(AND(YEAR(Aoû_Dim1+5)=Année_Calendaire,MONTH(Aoû_Dim1+5)=8),Aoû_Dim1+5,""))</f>
        <v>41852</v>
      </c>
      <c r="AE15" s="22">
        <f>IF(DAY(Aoû_Dim1)=1,"",IF(AND(YEAR(Aoû_Dim1+6)=Année_Calendaire,MONTH(Aoû_Dim1+6)=8),Aoû_Dim1+6,""))</f>
        <v>41853</v>
      </c>
      <c r="AF15" s="22">
        <f>IF(DAY(Aoû_Dim1)=1,IF(AND(YEAR(Aoû_Dim1)=Année_Calendaire,MONTH(Aoû_Dim1)=8),Aoû_Dim1,""),IF(AND(YEAR(Aoû_Dim1+7)=Année_Calendaire,MONTH(Aoû_Dim1+7)=8),Aoû_Dim1+7,""))</f>
        <v>41854</v>
      </c>
    </row>
    <row r="16" spans="1:38" ht="14.85" customHeight="1">
      <c r="B16" s="22">
        <f>IF(DAY(Mai_Dim1)=1,IF(AND(YEAR(Mai_Dim1+1)=Année_Calendaire,MONTH(Mai_Dim1+1)=5),Mai_Dim1+1,""),IF(AND(YEAR(Mai_Dim1+8)=Année_Calendaire,MONTH(Mai_Dim1+8)=5),Mai_Dim1+8,""))</f>
        <v>41764</v>
      </c>
      <c r="C16" s="22">
        <f>IF(DAY(Mai_Dim1)=1,IF(AND(YEAR(Mai_Dim1+2)=Année_Calendaire,MONTH(Mai_Dim1+2)=5),Mai_Dim1+2,""),IF(AND(YEAR(Mai_Dim1+9)=Année_Calendaire,MONTH(Mai_Dim1+9)=5),Mai_Dim1+9,""))</f>
        <v>41765</v>
      </c>
      <c r="D16" s="22">
        <f>IF(DAY(Mai_Dim1)=1,IF(AND(YEAR(Mai_Dim1+3)=Année_Calendaire,MONTH(Mai_Dim1+3)=5),Mai_Dim1+3,""),IF(AND(YEAR(Mai_Dim1+10)=Année_Calendaire,MONTH(Mai_Dim1+10)=5),Mai_Dim1+10,""))</f>
        <v>41766</v>
      </c>
      <c r="E16" s="22">
        <f>IF(DAY(Mai_Dim1)=1,IF(AND(YEAR(Mai_Dim1+4)=Année_Calendaire,MONTH(Mai_Dim1+4)=5),Mai_Dim1+4,""),IF(AND(YEAR(Mai_Dim1+11)=Année_Calendaire,MONTH(Mai_Dim1+11)=5),Mai_Dim1+11,""))</f>
        <v>41767</v>
      </c>
      <c r="F16" s="22">
        <f>IF(DAY(Mai_Dim1)=1,IF(AND(YEAR(Mai_Dim1+5)=Année_Calendaire,MONTH(Mai_Dim1+5)=5),Mai_Dim1+5,""),IF(AND(YEAR(Mai_Dim1+12)=Année_Calendaire,MONTH(Mai_Dim1+12)=5),Mai_Dim1+12,""))</f>
        <v>41768</v>
      </c>
      <c r="G16" s="22">
        <f>IF(DAY(Mai_Dim1)=1,IF(AND(YEAR(Mai_Dim1+6)=Année_Calendaire,MONTH(Mai_Dim1+6)=5),Mai_Dim1+6,""),IF(AND(YEAR(Mai_Dim1+13)=Année_Calendaire,MONTH(Mai_Dim1+13)=5),Mai_Dim1+13,""))</f>
        <v>41769</v>
      </c>
      <c r="H16" s="22">
        <f>IF(DAY(Mai_Dim1)=1,IF(AND(YEAR(Mai_Dim1+7)=Année_Calendaire,MONTH(Mai_Dim1+7)=5),Mai_Dim1+7,""),IF(AND(YEAR(Mai_Dim1+14)=Année_Calendaire,MONTH(Mai_Dim1+14)=5),Mai_Dim1+14,""))</f>
        <v>41770</v>
      </c>
      <c r="I16" s="23"/>
      <c r="J16" s="22">
        <f>IF(DAY(Juin_Dim1)=1,IF(AND(YEAR(Juin_Dim1+1)=Année_Calendaire,MONTH(Juin_Dim1+1)=6),Juin_Dim1+1,""),IF(AND(YEAR(Juin_Dim1+8)=Année_Calendaire,MONTH(Juin_Dim1+8)=6),Juin_Dim1+8,""))</f>
        <v>41792</v>
      </c>
      <c r="K16" s="22">
        <f>IF(DAY(Juin_Dim1)=1,IF(AND(YEAR(Juin_Dim1+2)=Année_Calendaire,MONTH(Juin_Dim1+2)=6),Juin_Dim1+2,""),IF(AND(YEAR(Juin_Dim1+9)=Année_Calendaire,MONTH(Juin_Dim1+9)=6),Juin_Dim1+9,""))</f>
        <v>41793</v>
      </c>
      <c r="L16" s="22">
        <f>IF(DAY(Juin_Dim1)=1,IF(AND(YEAR(Juin_Dim1+3)=Année_Calendaire,MONTH(Juin_Dim1+3)=6),Juin_Dim1+3,""),IF(AND(YEAR(Juin_Dim1+10)=Année_Calendaire,MONTH(Juin_Dim1+10)=6),Juin_Dim1+10,""))</f>
        <v>41794</v>
      </c>
      <c r="M16" s="22">
        <f>IF(DAY(Juin_Dim1)=1,IF(AND(YEAR(Juin_Dim1+4)=Année_Calendaire,MONTH(Juin_Dim1+4)=6),Juin_Dim1+4,""),IF(AND(YEAR(Juin_Dim1+11)=Année_Calendaire,MONTH(Juin_Dim1+11)=6),Juin_Dim1+11,""))</f>
        <v>41795</v>
      </c>
      <c r="N16" s="22">
        <f>IF(DAY(Juin_Dim1)=1,IF(AND(YEAR(Juin_Dim1+5)=Année_Calendaire,MONTH(Juin_Dim1+5)=6),Juin_Dim1+5,""),IF(AND(YEAR(Juin_Dim1+12)=Année_Calendaire,MONTH(Juin_Dim1+12)=6),Juin_Dim1+12,""))</f>
        <v>41796</v>
      </c>
      <c r="O16" s="22">
        <f>IF(DAY(Juin_Dim1)=1,IF(AND(YEAR(Juin_Dim1+6)=Année_Calendaire,MONTH(Juin_Dim1+6)=6),Juin_Dim1+6,""),IF(AND(YEAR(Juin_Dim1+13)=Année_Calendaire,MONTH(Juin_Dim1+13)=6),Juin_Dim1+13,""))</f>
        <v>41797</v>
      </c>
      <c r="P16" s="22">
        <f>IF(DAY(Juin_Dim1)=1,IF(AND(YEAR(Juin_Dim1+7)=Année_Calendaire,MONTH(Juin_Dim1+7)=6),Juin_Dim1+7,""),IF(AND(YEAR(Juin_Dim1+14)=Année_Calendaire,MONTH(Juin_Dim1+14)=6),Juin_Dim1+14,""))</f>
        <v>41798</v>
      </c>
      <c r="Q16" s="9"/>
      <c r="R16" s="22">
        <f>IF(DAY(Juil_Dim1)=1,IF(AND(YEAR(Juil_Dim1+1)=Année_Calendaire,MONTH(Juil_Dim1+1)=7),Juil_Dim1+1,""),IF(AND(YEAR(Juil_Dim1+8)=Année_Calendaire,MONTH(Juil_Dim1+8)=7),Juil_Dim1+8,""))</f>
        <v>41827</v>
      </c>
      <c r="S16" s="22">
        <f>IF(DAY(Juil_Dim1)=1,IF(AND(YEAR(Juil_Dim1+2)=Année_Calendaire,MONTH(Juil_Dim1+2)=7),Juil_Dim1+2,""),IF(AND(YEAR(Juil_Dim1+9)=Année_Calendaire,MONTH(Juil_Dim1+9)=7),Juil_Dim1+9,""))</f>
        <v>41828</v>
      </c>
      <c r="T16" s="22">
        <f>IF(DAY(Juil_Dim1)=1,IF(AND(YEAR(Juil_Dim1+3)=Année_Calendaire,MONTH(Juil_Dim1+3)=7),Juil_Dim1+3,""),IF(AND(YEAR(Juil_Dim1+10)=Année_Calendaire,MONTH(Juil_Dim1+10)=7),Juil_Dim1+10,""))</f>
        <v>41829</v>
      </c>
      <c r="U16" s="22">
        <f>IF(DAY(Juil_Dim1)=1,IF(AND(YEAR(Juil_Dim1+4)=Année_Calendaire,MONTH(Juil_Dim1+4)=7),Juil_Dim1+4,""),IF(AND(YEAR(Juil_Dim1+11)=Année_Calendaire,MONTH(Juil_Dim1+11)=7),Juil_Dim1+11,""))</f>
        <v>41830</v>
      </c>
      <c r="V16" s="22">
        <f>IF(DAY(Juil_Dim1)=1,IF(AND(YEAR(Juil_Dim1+5)=Année_Calendaire,MONTH(Juil_Dim1+5)=7),Juil_Dim1+5,""),IF(AND(YEAR(Juil_Dim1+12)=Année_Calendaire,MONTH(Juil_Dim1+12)=7),Juil_Dim1+12,""))</f>
        <v>41831</v>
      </c>
      <c r="W16" s="22">
        <f>IF(DAY(Juil_Dim1)=1,IF(AND(YEAR(Juil_Dim1+6)=Année_Calendaire,MONTH(Juil_Dim1+6)=7),Juil_Dim1+6,""),IF(AND(YEAR(Juil_Dim1+13)=Année_Calendaire,MONTH(Juil_Dim1+13)=7),Juil_Dim1+13,""))</f>
        <v>41832</v>
      </c>
      <c r="X16" s="22">
        <f>IF(DAY(Juil_Dim1)=1,IF(AND(YEAR(Juil_Dim1+7)=Année_Calendaire,MONTH(Juil_Dim1+7)=7),Juil_Dim1+7,""),IF(AND(YEAR(Juil_Dim1+14)=Année_Calendaire,MONTH(Juil_Dim1+14)=7),Juil_Dim1+14,""))</f>
        <v>41833</v>
      </c>
      <c r="Z16" s="22">
        <f>IF(DAY(Aoû_Dim1)=1,IF(AND(YEAR(Aoû_Dim1+1)=Année_Calendaire,MONTH(Aoû_Dim1+1)=8),Aoû_Dim1+1,""),IF(AND(YEAR(Aoû_Dim1+8)=Année_Calendaire,MONTH(Aoû_Dim1+8)=8),Aoû_Dim1+8,""))</f>
        <v>41855</v>
      </c>
      <c r="AA16" s="22">
        <f>IF(DAY(Aoû_Dim1)=1,IF(AND(YEAR(Aoû_Dim1+2)=Année_Calendaire,MONTH(Aoû_Dim1+2)=8),Aoû_Dim1+2,""),IF(AND(YEAR(Aoû_Dim1+9)=Année_Calendaire,MONTH(Aoû_Dim1+9)=8),Aoû_Dim1+9,""))</f>
        <v>41856</v>
      </c>
      <c r="AB16" s="22">
        <f>IF(DAY(Aoû_Dim1)=1,IF(AND(YEAR(Aoû_Dim1+3)=Année_Calendaire,MONTH(Aoû_Dim1+3)=8),Aoû_Dim1+3,""),IF(AND(YEAR(Aoû_Dim1+10)=Année_Calendaire,MONTH(Aoû_Dim1+10)=8),Aoû_Dim1+10,""))</f>
        <v>41857</v>
      </c>
      <c r="AC16" s="22">
        <f>IF(DAY(Aoû_Dim1)=1,IF(AND(YEAR(Aoû_Dim1+4)=Année_Calendaire,MONTH(Aoû_Dim1+4)=8),Aoû_Dim1+4,""),IF(AND(YEAR(Aoû_Dim1+11)=Année_Calendaire,MONTH(Aoû_Dim1+11)=8),Aoû_Dim1+11,""))</f>
        <v>41858</v>
      </c>
      <c r="AD16" s="22">
        <f>IF(DAY(Aoû_Dim1)=1,IF(AND(YEAR(Aoû_Dim1+5)=Année_Calendaire,MONTH(Aoû_Dim1+5)=8),Aoû_Dim1+5,""),IF(AND(YEAR(Aoû_Dim1+12)=Année_Calendaire,MONTH(Aoû_Dim1+12)=8),Aoû_Dim1+12,""))</f>
        <v>41859</v>
      </c>
      <c r="AE16" s="22">
        <f>IF(DAY(Aoû_Dim1)=1,IF(AND(YEAR(Aoû_Dim1+6)=Année_Calendaire,MONTH(Aoû_Dim1+6)=8),Aoû_Dim1+6,""),IF(AND(YEAR(Aoû_Dim1+13)=Année_Calendaire,MONTH(Aoû_Dim1+13)=8),Aoû_Dim1+13,""))</f>
        <v>41860</v>
      </c>
      <c r="AF16" s="22">
        <f>IF(DAY(Aoû_Dim1)=1,IF(AND(YEAR(Aoû_Dim1+7)=Année_Calendaire,MONTH(Aoû_Dim1+7)=8),Aoû_Dim1+7,""),IF(AND(YEAR(Aoû_Dim1+14)=Année_Calendaire,MONTH(Aoû_Dim1+14)=8),Aoû_Dim1+14,""))</f>
        <v>41861</v>
      </c>
    </row>
    <row r="17" spans="1:32" ht="14.85" customHeight="1">
      <c r="B17" s="22">
        <f>IF(DAY(Mai_Dim1)=1,IF(AND(YEAR(Mai_Dim1+8)=Année_Calendaire,MONTH(Mai_Dim1+8)=5),Mai_Dim1+8,""),IF(AND(YEAR(Mai_Dim1+15)=Année_Calendaire,MONTH(Mai_Dim1+15)=5),Mai_Dim1+15,""))</f>
        <v>41771</v>
      </c>
      <c r="C17" s="22">
        <f>IF(DAY(Mai_Dim1)=1,IF(AND(YEAR(Mai_Dim1+9)=Année_Calendaire,MONTH(Mai_Dim1+9)=5),Mai_Dim1+9,""),IF(AND(YEAR(Mai_Dim1+16)=Année_Calendaire,MONTH(Mai_Dim1+16)=5),Mai_Dim1+16,""))</f>
        <v>41772</v>
      </c>
      <c r="D17" s="22">
        <f>IF(DAY(Mai_Dim1)=1,IF(AND(YEAR(Mai_Dim1+10)=Année_Calendaire,MONTH(Mai_Dim1+10)=5),Mai_Dim1+10,""),IF(AND(YEAR(Mai_Dim1+17)=Année_Calendaire,MONTH(Mai_Dim1+17)=5),Mai_Dim1+17,""))</f>
        <v>41773</v>
      </c>
      <c r="E17" s="22">
        <f>IF(DAY(Mai_Dim1)=1,IF(AND(YEAR(Mai_Dim1+11)=Année_Calendaire,MONTH(Mai_Dim1+11)=5),Mai_Dim1+11,""),IF(AND(YEAR(Mai_Dim1+18)=Année_Calendaire,MONTH(Mai_Dim1+18)=5),Mai_Dim1+18,""))</f>
        <v>41774</v>
      </c>
      <c r="F17" s="22">
        <f>IF(DAY(Mai_Dim1)=1,IF(AND(YEAR(Mai_Dim1+12)=Année_Calendaire,MONTH(Mai_Dim1+12)=5),Mai_Dim1+12,""),IF(AND(YEAR(Mai_Dim1+19)=Année_Calendaire,MONTH(Mai_Dim1+19)=5),Mai_Dim1+19,""))</f>
        <v>41775</v>
      </c>
      <c r="G17" s="22">
        <f>IF(DAY(Mai_Dim1)=1,IF(AND(YEAR(Mai_Dim1+13)=Année_Calendaire,MONTH(Mai_Dim1+13)=5),Mai_Dim1+13,""),IF(AND(YEAR(Mai_Dim1+20)=Année_Calendaire,MONTH(Mai_Dim1+20)=5),Mai_Dim1+20,""))</f>
        <v>41776</v>
      </c>
      <c r="H17" s="22">
        <f>IF(DAY(Mai_Dim1)=1,IF(AND(YEAR(Mai_Dim1+14)=Année_Calendaire,MONTH(Mai_Dim1+14)=5),Mai_Dim1+14,""),IF(AND(YEAR(Mai_Dim1+21)=Année_Calendaire,MONTH(Mai_Dim1+21)=5),Mai_Dim1+21,""))</f>
        <v>41777</v>
      </c>
      <c r="I17" s="22"/>
      <c r="J17" s="22">
        <f>IF(DAY(Juin_Dim1)=1,IF(AND(YEAR(Juin_Dim1+8)=Année_Calendaire,MONTH(Juin_Dim1+8)=6),Juin_Dim1+8,""),IF(AND(YEAR(Juin_Dim1+15)=Année_Calendaire,MONTH(Juin_Dim1+15)=6),Juin_Dim1+15,""))</f>
        <v>41799</v>
      </c>
      <c r="K17" s="22">
        <f>IF(DAY(Juin_Dim1)=1,IF(AND(YEAR(Juin_Dim1+9)=Année_Calendaire,MONTH(Juin_Dim1+9)=6),Juin_Dim1+9,""),IF(AND(YEAR(Juin_Dim1+16)=Année_Calendaire,MONTH(Juin_Dim1+16)=6),Juin_Dim1+16,""))</f>
        <v>41800</v>
      </c>
      <c r="L17" s="22">
        <f>IF(DAY(Juin_Dim1)=1,IF(AND(YEAR(Juin_Dim1+10)=Année_Calendaire,MONTH(Juin_Dim1+10)=6),Juin_Dim1+10,""),IF(AND(YEAR(Juin_Dim1+17)=Année_Calendaire,MONTH(Juin_Dim1+17)=6),Juin_Dim1+17,""))</f>
        <v>41801</v>
      </c>
      <c r="M17" s="22">
        <f>IF(DAY(Juin_Dim1)=1,IF(AND(YEAR(Juin_Dim1+11)=Année_Calendaire,MONTH(Juin_Dim1+11)=6),Juin_Dim1+11,""),IF(AND(YEAR(Juin_Dim1+18)=Année_Calendaire,MONTH(Juin_Dim1+18)=6),Juin_Dim1+18,""))</f>
        <v>41802</v>
      </c>
      <c r="N17" s="22">
        <f>IF(DAY(Juin_Dim1)=1,IF(AND(YEAR(Juin_Dim1+12)=Année_Calendaire,MONTH(Juin_Dim1+12)=6),Juin_Dim1+12,""),IF(AND(YEAR(Juin_Dim1+19)=Année_Calendaire,MONTH(Juin_Dim1+19)=6),Juin_Dim1+19,""))</f>
        <v>41803</v>
      </c>
      <c r="O17" s="22">
        <f>IF(DAY(Juin_Dim1)=1,IF(AND(YEAR(Juin_Dim1+13)=Année_Calendaire,MONTH(Juin_Dim1+13)=6),Juin_Dim1+13,""),IF(AND(YEAR(Juin_Dim1+20)=Année_Calendaire,MONTH(Juin_Dim1+20)=6),Juin_Dim1+20,""))</f>
        <v>41804</v>
      </c>
      <c r="P17" s="22">
        <f>IF(DAY(Juin_Dim1)=1,IF(AND(YEAR(Juin_Dim1+14)=Année_Calendaire,MONTH(Juin_Dim1+14)=6),Juin_Dim1+14,""),IF(AND(YEAR(Juin_Dim1+21)=Année_Calendaire,MONTH(Juin_Dim1+21)=6),Juin_Dim1+21,""))</f>
        <v>41805</v>
      </c>
      <c r="Q17" s="9"/>
      <c r="R17" s="22">
        <f>IF(DAY(Juil_Dim1)=1,IF(AND(YEAR(Juil_Dim1+8)=Année_Calendaire,MONTH(Juil_Dim1+8)=7),Juil_Dim1+8,""),IF(AND(YEAR(Juil_Dim1+15)=Année_Calendaire,MONTH(Juil_Dim1+15)=7),Juil_Dim1+15,""))</f>
        <v>41834</v>
      </c>
      <c r="S17" s="22">
        <f>IF(DAY(Juil_Dim1)=1,IF(AND(YEAR(Juil_Dim1+9)=Année_Calendaire,MONTH(Juil_Dim1+9)=7),Juil_Dim1+9,""),IF(AND(YEAR(Juil_Dim1+16)=Année_Calendaire,MONTH(Juil_Dim1+16)=7),Juil_Dim1+16,""))</f>
        <v>41835</v>
      </c>
      <c r="T17" s="22">
        <f>IF(DAY(Juil_Dim1)=1,IF(AND(YEAR(Juil_Dim1+10)=Année_Calendaire,MONTH(Juil_Dim1+10)=7),Juil_Dim1+10,""),IF(AND(YEAR(Juil_Dim1+17)=Année_Calendaire,MONTH(Juil_Dim1+17)=7),Juil_Dim1+17,""))</f>
        <v>41836</v>
      </c>
      <c r="U17" s="22">
        <f>IF(DAY(Juil_Dim1)=1,IF(AND(YEAR(Juil_Dim1+11)=Année_Calendaire,MONTH(Juil_Dim1+11)=7),Juil_Dim1+11,""),IF(AND(YEAR(Juil_Dim1+18)=Année_Calendaire,MONTH(Juil_Dim1+18)=7),Juil_Dim1+18,""))</f>
        <v>41837</v>
      </c>
      <c r="V17" s="22">
        <f>IF(DAY(Juil_Dim1)=1,IF(AND(YEAR(Juil_Dim1+12)=Année_Calendaire,MONTH(Juil_Dim1+12)=7),Juil_Dim1+12,""),IF(AND(YEAR(Juil_Dim1+19)=Année_Calendaire,MONTH(Juil_Dim1+19)=7),Juil_Dim1+19,""))</f>
        <v>41838</v>
      </c>
      <c r="W17" s="22">
        <f>IF(DAY(Juil_Dim1)=1,IF(AND(YEAR(Juil_Dim1+13)=Année_Calendaire,MONTH(Juil_Dim1+13)=7),Juil_Dim1+13,""),IF(AND(YEAR(Juil_Dim1+20)=Année_Calendaire,MONTH(Juil_Dim1+20)=7),Juil_Dim1+20,""))</f>
        <v>41839</v>
      </c>
      <c r="X17" s="22">
        <f>IF(DAY(Juil_Dim1)=1,IF(AND(YEAR(Juil_Dim1+14)=Année_Calendaire,MONTH(Juil_Dim1+14)=7),Juil_Dim1+14,""),IF(AND(YEAR(Juil_Dim1+21)=Année_Calendaire,MONTH(Juil_Dim1+21)=7),Juil_Dim1+21,""))</f>
        <v>41840</v>
      </c>
      <c r="Z17" s="22">
        <f>IF(DAY(Aoû_Dim1)=1,IF(AND(YEAR(Aoû_Dim1+8)=Année_Calendaire,MONTH(Aoû_Dim1+8)=8),Aoû_Dim1+8,""),IF(AND(YEAR(Aoû_Dim1+15)=Année_Calendaire,MONTH(Aoû_Dim1+15)=8),Aoû_Dim1+15,""))</f>
        <v>41862</v>
      </c>
      <c r="AA17" s="22">
        <f>IF(DAY(Aoû_Dim1)=1,IF(AND(YEAR(Aoû_Dim1+9)=Année_Calendaire,MONTH(Aoû_Dim1+9)=8),Aoû_Dim1+9,""),IF(AND(YEAR(Aoû_Dim1+16)=Année_Calendaire,MONTH(Aoû_Dim1+16)=8),Aoû_Dim1+16,""))</f>
        <v>41863</v>
      </c>
      <c r="AB17" s="22">
        <f>IF(DAY(Aoû_Dim1)=1,IF(AND(YEAR(Aoû_Dim1+10)=Année_Calendaire,MONTH(Aoû_Dim1+10)=8),Aoû_Dim1+10,""),IF(AND(YEAR(Aoû_Dim1+17)=Année_Calendaire,MONTH(Aoû_Dim1+17)=8),Aoû_Dim1+17,""))</f>
        <v>41864</v>
      </c>
      <c r="AC17" s="22">
        <f>IF(DAY(Aoû_Dim1)=1,IF(AND(YEAR(Aoû_Dim1+11)=Année_Calendaire,MONTH(Aoû_Dim1+11)=8),Aoû_Dim1+11,""),IF(AND(YEAR(Aoû_Dim1+18)=Année_Calendaire,MONTH(Aoû_Dim1+18)=8),Aoû_Dim1+18,""))</f>
        <v>41865</v>
      </c>
      <c r="AD17" s="22">
        <f>IF(DAY(Aoû_Dim1)=1,IF(AND(YEAR(Aoû_Dim1+12)=Année_Calendaire,MONTH(Aoû_Dim1+12)=8),Aoû_Dim1+12,""),IF(AND(YEAR(Aoû_Dim1+19)=Année_Calendaire,MONTH(Aoû_Dim1+19)=8),Aoû_Dim1+19,""))</f>
        <v>41866</v>
      </c>
      <c r="AE17" s="22">
        <f>IF(DAY(Aoû_Dim1)=1,IF(AND(YEAR(Aoû_Dim1+13)=Année_Calendaire,MONTH(Aoû_Dim1+13)=8),Aoû_Dim1+13,""),IF(AND(YEAR(Aoû_Dim1+20)=Année_Calendaire,MONTH(Aoû_Dim1+20)=8),Aoû_Dim1+20,""))</f>
        <v>41867</v>
      </c>
      <c r="AF17" s="22">
        <f>IF(DAY(Aoû_Dim1)=1,IF(AND(YEAR(Aoû_Dim1+14)=Année_Calendaire,MONTH(Aoû_Dim1+14)=8),Aoû_Dim1+14,""),IF(AND(YEAR(Aoû_Dim1+21)=Année_Calendaire,MONTH(Aoû_Dim1+21)=8),Aoû_Dim1+21,""))</f>
        <v>41868</v>
      </c>
    </row>
    <row r="18" spans="1:32" ht="14.85" customHeight="1">
      <c r="B18" s="22">
        <f>IF(DAY(Mai_Dim1)=1,IF(AND(YEAR(Mai_Dim1+15)=Année_Calendaire,MONTH(Mai_Dim1+15)=5),Mai_Dim1+15,""),IF(AND(YEAR(Mai_Dim1+22)=Année_Calendaire,MONTH(Mai_Dim1+22)=5),Mai_Dim1+22,""))</f>
        <v>41778</v>
      </c>
      <c r="C18" s="22">
        <f>IF(DAY(Mai_Dim1)=1,IF(AND(YEAR(Mai_Dim1+16)=Année_Calendaire,MONTH(Mai_Dim1+16)=5),Mai_Dim1+16,""),IF(AND(YEAR(Mai_Dim1+23)=Année_Calendaire,MONTH(Mai_Dim1+23)=5),Mai_Dim1+23,""))</f>
        <v>41779</v>
      </c>
      <c r="D18" s="22">
        <f>IF(DAY(Mai_Dim1)=1,IF(AND(YEAR(Mai_Dim1+17)=Année_Calendaire,MONTH(Mai_Dim1+17)=5),Mai_Dim1+17,""),IF(AND(YEAR(Mai_Dim1+24)=Année_Calendaire,MONTH(Mai_Dim1+24)=5),Mai_Dim1+24,""))</f>
        <v>41780</v>
      </c>
      <c r="E18" s="22">
        <f>IF(DAY(Mai_Dim1)=1,IF(AND(YEAR(Mai_Dim1+18)=Année_Calendaire,MONTH(Mai_Dim1+18)=5),Mai_Dim1+18,""),IF(AND(YEAR(Mai_Dim1+25)=Année_Calendaire,MONTH(Mai_Dim1+25)=5),Mai_Dim1+25,""))</f>
        <v>41781</v>
      </c>
      <c r="F18" s="22">
        <f>IF(DAY(Mai_Dim1)=1,IF(AND(YEAR(Mai_Dim1+19)=Année_Calendaire,MONTH(Mai_Dim1+19)=5),Mai_Dim1+19,""),IF(AND(YEAR(Mai_Dim1+26)=Année_Calendaire,MONTH(Mai_Dim1+26)=5),Mai_Dim1+26,""))</f>
        <v>41782</v>
      </c>
      <c r="G18" s="22">
        <f>IF(DAY(Mai_Dim1)=1,IF(AND(YEAR(Mai_Dim1+20)=Année_Calendaire,MONTH(Mai_Dim1+20)=5),Mai_Dim1+20,""),IF(AND(YEAR(Mai_Dim1+27)=Année_Calendaire,MONTH(Mai_Dim1+27)=5),Mai_Dim1+27,""))</f>
        <v>41783</v>
      </c>
      <c r="H18" s="22">
        <f>IF(DAY(Mai_Dim1)=1,IF(AND(YEAR(Mai_Dim1+21)=Année_Calendaire,MONTH(Mai_Dim1+21)=5),Mai_Dim1+21,""),IF(AND(YEAR(Mai_Dim1+28)=Année_Calendaire,MONTH(Mai_Dim1+28)=5),Mai_Dim1+28,""))</f>
        <v>41784</v>
      </c>
      <c r="I18" s="22"/>
      <c r="J18" s="22">
        <f>IF(DAY(Juin_Dim1)=1,IF(AND(YEAR(Juin_Dim1+15)=Année_Calendaire,MONTH(Juin_Dim1+15)=6),Juin_Dim1+15,""),IF(AND(YEAR(Juin_Dim1+22)=Année_Calendaire,MONTH(Juin_Dim1+22)=6),Juin_Dim1+22,""))</f>
        <v>41806</v>
      </c>
      <c r="K18" s="22">
        <f>IF(DAY(Juin_Dim1)=1,IF(AND(YEAR(Juin_Dim1+16)=Année_Calendaire,MONTH(Juin_Dim1+16)=6),Juin_Dim1+16,""),IF(AND(YEAR(Juin_Dim1+23)=Année_Calendaire,MONTH(Juin_Dim1+23)=6),Juin_Dim1+23,""))</f>
        <v>41807</v>
      </c>
      <c r="L18" s="22">
        <f>IF(DAY(Juin_Dim1)=1,IF(AND(YEAR(Juin_Dim1+17)=Année_Calendaire,MONTH(Juin_Dim1+17)=6),Juin_Dim1+17,""),IF(AND(YEAR(Juin_Dim1+24)=Année_Calendaire,MONTH(Juin_Dim1+24)=6),Juin_Dim1+24,""))</f>
        <v>41808</v>
      </c>
      <c r="M18" s="22">
        <f>IF(DAY(Juin_Dim1)=1,IF(AND(YEAR(Juin_Dim1+18)=Année_Calendaire,MONTH(Juin_Dim1+18)=6),Juin_Dim1+18,""),IF(AND(YEAR(Juin_Dim1+25)=Année_Calendaire,MONTH(Juin_Dim1+25)=6),Juin_Dim1+25,""))</f>
        <v>41809</v>
      </c>
      <c r="N18" s="22">
        <f>IF(DAY(Juin_Dim1)=1,IF(AND(YEAR(Juin_Dim1+19)=Année_Calendaire,MONTH(Juin_Dim1+19)=6),Juin_Dim1+19,""),IF(AND(YEAR(Juin_Dim1+26)=Année_Calendaire,MONTH(Juin_Dim1+26)=6),Juin_Dim1+26,""))</f>
        <v>41810</v>
      </c>
      <c r="O18" s="22">
        <f>IF(DAY(Juin_Dim1)=1,IF(AND(YEAR(Juin_Dim1+20)=Année_Calendaire,MONTH(Juin_Dim1+20)=6),Juin_Dim1+20,""),IF(AND(YEAR(Juin_Dim1+27)=Année_Calendaire,MONTH(Juin_Dim1+27)=6),Juin_Dim1+27,""))</f>
        <v>41811</v>
      </c>
      <c r="P18" s="22">
        <f>IF(DAY(Juin_Dim1)=1,IF(AND(YEAR(Juin_Dim1+21)=Année_Calendaire,MONTH(Juin_Dim1+21)=6),Juin_Dim1+21,""),IF(AND(YEAR(Juin_Dim1+28)=Année_Calendaire,MONTH(Juin_Dim1+28)=6),Juin_Dim1+28,""))</f>
        <v>41812</v>
      </c>
      <c r="Q18" s="9"/>
      <c r="R18" s="22">
        <f>IF(DAY(Juil_Dim1)=1,IF(AND(YEAR(Juil_Dim1+15)=Année_Calendaire,MONTH(Juil_Dim1+15)=7),Juil_Dim1+15,""),IF(AND(YEAR(Juil_Dim1+22)=Année_Calendaire,MONTH(Juil_Dim1+22)=7),Juil_Dim1+22,""))</f>
        <v>41841</v>
      </c>
      <c r="S18" s="22">
        <f>IF(DAY(Juil_Dim1)=1,IF(AND(YEAR(Juil_Dim1+16)=Année_Calendaire,MONTH(Juil_Dim1+16)=7),Juil_Dim1+16,""),IF(AND(YEAR(Juil_Dim1+23)=Année_Calendaire,MONTH(Juil_Dim1+23)=7),Juil_Dim1+23,""))</f>
        <v>41842</v>
      </c>
      <c r="T18" s="22">
        <f>IF(DAY(Juil_Dim1)=1,IF(AND(YEAR(Juil_Dim1+17)=Année_Calendaire,MONTH(Juil_Dim1+17)=7),Juil_Dim1+17,""),IF(AND(YEAR(Juil_Dim1+24)=Année_Calendaire,MONTH(Juil_Dim1+24)=7),Juil_Dim1+24,""))</f>
        <v>41843</v>
      </c>
      <c r="U18" s="22">
        <f>IF(DAY(Juil_Dim1)=1,IF(AND(YEAR(Juil_Dim1+18)=Année_Calendaire,MONTH(Juil_Dim1+18)=7),Juil_Dim1+18,""),IF(AND(YEAR(Juil_Dim1+25)=Année_Calendaire,MONTH(Juil_Dim1+25)=7),Juil_Dim1+25,""))</f>
        <v>41844</v>
      </c>
      <c r="V18" s="22">
        <f>IF(DAY(Juil_Dim1)=1,IF(AND(YEAR(Juil_Dim1+19)=Année_Calendaire,MONTH(Juil_Dim1+19)=7),Juil_Dim1+19,""),IF(AND(YEAR(Juil_Dim1+26)=Année_Calendaire,MONTH(Juil_Dim1+26)=7),Juil_Dim1+26,""))</f>
        <v>41845</v>
      </c>
      <c r="W18" s="22">
        <f>IF(DAY(Juil_Dim1)=1,IF(AND(YEAR(Juil_Dim1+20)=Année_Calendaire,MONTH(Juil_Dim1+20)=7),Juil_Dim1+20,""),IF(AND(YEAR(Juil_Dim1+27)=Année_Calendaire,MONTH(Juil_Dim1+27)=7),Juil_Dim1+27,""))</f>
        <v>41846</v>
      </c>
      <c r="X18" s="22">
        <f>IF(DAY(Juil_Dim1)=1,IF(AND(YEAR(Juil_Dim1+21)=Année_Calendaire,MONTH(Juil_Dim1+21)=7),Juil_Dim1+21,""),IF(AND(YEAR(Juil_Dim1+28)=Année_Calendaire,MONTH(Juil_Dim1+28)=7),Juil_Dim1+28,""))</f>
        <v>41847</v>
      </c>
      <c r="Z18" s="22">
        <f>IF(DAY(Aoû_Dim1)=1,IF(AND(YEAR(Aoû_Dim1+15)=Année_Calendaire,MONTH(Aoû_Dim1+15)=8),Aoû_Dim1+15,""),IF(AND(YEAR(Aoû_Dim1+22)=Année_Calendaire,MONTH(Aoû_Dim1+22)=8),Aoû_Dim1+22,""))</f>
        <v>41869</v>
      </c>
      <c r="AA18" s="22">
        <f>IF(DAY(Aoû_Dim1)=1,IF(AND(YEAR(Aoû_Dim1+16)=Année_Calendaire,MONTH(Aoû_Dim1+16)=8),Aoû_Dim1+16,""),IF(AND(YEAR(Aoû_Dim1+23)=Année_Calendaire,MONTH(Aoû_Dim1+23)=8),Aoû_Dim1+23,""))</f>
        <v>41870</v>
      </c>
      <c r="AB18" s="22">
        <f>IF(DAY(Aoû_Dim1)=1,IF(AND(YEAR(Aoû_Dim1+17)=Année_Calendaire,MONTH(Aoû_Dim1+17)=8),Aoû_Dim1+17,""),IF(AND(YEAR(Aoû_Dim1+24)=Année_Calendaire,MONTH(Aoû_Dim1+24)=8),Aoû_Dim1+24,""))</f>
        <v>41871</v>
      </c>
      <c r="AC18" s="22">
        <f>IF(DAY(Aoû_Dim1)=1,IF(AND(YEAR(Aoû_Dim1+18)=Année_Calendaire,MONTH(Aoû_Dim1+18)=8),Aoû_Dim1+18,""),IF(AND(YEAR(Aoû_Dim1+25)=Année_Calendaire,MONTH(Aoû_Dim1+25)=8),Aoû_Dim1+25,""))</f>
        <v>41872</v>
      </c>
      <c r="AD18" s="22">
        <f>IF(DAY(Aoû_Dim1)=1,IF(AND(YEAR(Aoû_Dim1+19)=Année_Calendaire,MONTH(Aoû_Dim1+19)=8),Aoû_Dim1+19,""),IF(AND(YEAR(Aoû_Dim1+26)=Année_Calendaire,MONTH(Aoû_Dim1+26)=8),Aoû_Dim1+26,""))</f>
        <v>41873</v>
      </c>
      <c r="AE18" s="22">
        <f>IF(DAY(Aoû_Dim1)=1,IF(AND(YEAR(Aoû_Dim1+20)=Année_Calendaire,MONTH(Aoû_Dim1+20)=8),Aoû_Dim1+20,""),IF(AND(YEAR(Aoû_Dim1+27)=Année_Calendaire,MONTH(Aoû_Dim1+27)=8),Aoû_Dim1+27,""))</f>
        <v>41874</v>
      </c>
      <c r="AF18" s="22">
        <f>IF(DAY(Aoû_Dim1)=1,IF(AND(YEAR(Aoû_Dim1+21)=Année_Calendaire,MONTH(Aoû_Dim1+21)=8),Aoû_Dim1+21,""),IF(AND(YEAR(Aoû_Dim1+28)=Année_Calendaire,MONTH(Aoû_Dim1+28)=8),Aoû_Dim1+28,""))</f>
        <v>41875</v>
      </c>
    </row>
    <row r="19" spans="1:32" ht="14.85" customHeight="1">
      <c r="B19" s="22">
        <f>IF(DAY(Mai_Dim1)=1,IF(AND(YEAR(Mai_Dim1+22)=Année_Calendaire,MONTH(Mai_Dim1+22)=5),Mai_Dim1+22,""),IF(AND(YEAR(Mai_Dim1+29)=Année_Calendaire,MONTH(Mai_Dim1+29)=5),Mai_Dim1+29,""))</f>
        <v>41785</v>
      </c>
      <c r="C19" s="22">
        <f>IF(DAY(Mai_Dim1)=1,IF(AND(YEAR(Mai_Dim1+23)=Année_Calendaire,MONTH(Mai_Dim1+23)=5),Mai_Dim1+23,""),IF(AND(YEAR(Mai_Dim1+30)=Année_Calendaire,MONTH(Mai_Dim1+30)=5),Mai_Dim1+30,""))</f>
        <v>41786</v>
      </c>
      <c r="D19" s="22">
        <f>IF(DAY(Mai_Dim1)=1,IF(AND(YEAR(Mai_Dim1+24)=Année_Calendaire,MONTH(Mai_Dim1+24)=5),Mai_Dim1+24,""),IF(AND(YEAR(Mai_Dim1+31)=Année_Calendaire,MONTH(Mai_Dim1+31)=5),Mai_Dim1+31,""))</f>
        <v>41787</v>
      </c>
      <c r="E19" s="22">
        <f>IF(DAY(Mai_Dim1)=1,IF(AND(YEAR(Mai_Dim1+25)=Année_Calendaire,MONTH(Mai_Dim1+25)=5),Mai_Dim1+25,""),IF(AND(YEAR(Mai_Dim1+32)=Année_Calendaire,MONTH(Mai_Dim1+32)=5),Mai_Dim1+32,""))</f>
        <v>41788</v>
      </c>
      <c r="F19" s="22">
        <f>IF(DAY(Mai_Dim1)=1,IF(AND(YEAR(Mai_Dim1+26)=Année_Calendaire,MONTH(Mai_Dim1+26)=5),Mai_Dim1+26,""),IF(AND(YEAR(Mai_Dim1+33)=Année_Calendaire,MONTH(Mai_Dim1+33)=5),Mai_Dim1+33,""))</f>
        <v>41789</v>
      </c>
      <c r="G19" s="22">
        <f>IF(DAY(Mai_Dim1)=1,IF(AND(YEAR(Mai_Dim1+27)=Année_Calendaire,MONTH(Mai_Dim1+27)=5),Mai_Dim1+27,""),IF(AND(YEAR(Mai_Dim1+34)=Année_Calendaire,MONTH(Mai_Dim1+34)=5),Mai_Dim1+34,""))</f>
        <v>41790</v>
      </c>
      <c r="H19" s="22" t="str">
        <f>IF(DAY(Mai_Dim1)=1,IF(AND(YEAR(Mai_Dim1+28)=Année_Calendaire,MONTH(Mai_Dim1+28)=5),Mai_Dim1+28,""),IF(AND(YEAR(Mai_Dim1+35)=Année_Calendaire,MONTH(Mai_Dim1+35)=5),Mai_Dim1+35,""))</f>
        <v/>
      </c>
      <c r="I19" s="22"/>
      <c r="J19" s="22">
        <f>IF(DAY(Juin_Dim1)=1,IF(AND(YEAR(Juin_Dim1+22)=Année_Calendaire,MONTH(Juin_Dim1+22)=6),Juin_Dim1+22,""),IF(AND(YEAR(Juin_Dim1+29)=Année_Calendaire,MONTH(Juin_Dim1+29)=6),Juin_Dim1+29,""))</f>
        <v>41813</v>
      </c>
      <c r="K19" s="22">
        <f>IF(DAY(Juin_Dim1)=1,IF(AND(YEAR(Juin_Dim1+23)=Année_Calendaire,MONTH(Juin_Dim1+23)=6),Juin_Dim1+23,""),IF(AND(YEAR(Juin_Dim1+30)=Année_Calendaire,MONTH(Juin_Dim1+30)=6),Juin_Dim1+30,""))</f>
        <v>41814</v>
      </c>
      <c r="L19" s="22">
        <f>IF(DAY(Juin_Dim1)=1,IF(AND(YEAR(Juin_Dim1+24)=Année_Calendaire,MONTH(Juin_Dim1+24)=6),Juin_Dim1+24,""),IF(AND(YEAR(Juin_Dim1+31)=Année_Calendaire,MONTH(Juin_Dim1+31)=6),Juin_Dim1+31,""))</f>
        <v>41815</v>
      </c>
      <c r="M19" s="22">
        <f>IF(DAY(Juin_Dim1)=1,IF(AND(YEAR(Juin_Dim1+25)=Année_Calendaire,MONTH(Juin_Dim1+25)=6),Juin_Dim1+25,""),IF(AND(YEAR(Juin_Dim1+32)=Année_Calendaire,MONTH(Juin_Dim1+32)=6),Juin_Dim1+32,""))</f>
        <v>41816</v>
      </c>
      <c r="N19" s="22">
        <f>IF(DAY(Juin_Dim1)=1,IF(AND(YEAR(Juin_Dim1+26)=Année_Calendaire,MONTH(Juin_Dim1+26)=6),Juin_Dim1+26,""),IF(AND(YEAR(Juin_Dim1+33)=Année_Calendaire,MONTH(Juin_Dim1+33)=6),Juin_Dim1+33,""))</f>
        <v>41817</v>
      </c>
      <c r="O19" s="22">
        <f>IF(DAY(Juin_Dim1)=1,IF(AND(YEAR(Juin_Dim1+27)=Année_Calendaire,MONTH(Juin_Dim1+27)=6),Juin_Dim1+27,""),IF(AND(YEAR(Juin_Dim1+34)=Année_Calendaire,MONTH(Juin_Dim1+34)=6),Juin_Dim1+34,""))</f>
        <v>41818</v>
      </c>
      <c r="P19" s="22">
        <f>IF(DAY(Juin_Dim1)=1,IF(AND(YEAR(Juin_Dim1+28)=Année_Calendaire,MONTH(Juin_Dim1+28)=6),Juin_Dim1+28,""),IF(AND(YEAR(Juin_Dim1+35)=Année_Calendaire,MONTH(Juin_Dim1+35)=6),Juin_Dim1+35,""))</f>
        <v>41819</v>
      </c>
      <c r="Q19" s="9"/>
      <c r="R19" s="22">
        <f>IF(DAY(Juil_Dim1)=1,IF(AND(YEAR(Juil_Dim1+22)=Année_Calendaire,MONTH(Juil_Dim1+22)=7),Juil_Dim1+22,""),IF(AND(YEAR(Juil_Dim1+29)=Année_Calendaire,MONTH(Juil_Dim1+29)=7),Juil_Dim1+29,""))</f>
        <v>41848</v>
      </c>
      <c r="S19" s="22">
        <f>IF(DAY(Juil_Dim1)=1,IF(AND(YEAR(Juil_Dim1+23)=Année_Calendaire,MONTH(Juil_Dim1+23)=7),Juil_Dim1+23,""),IF(AND(YEAR(Juil_Dim1+30)=Année_Calendaire,MONTH(Juil_Dim1+30)=7),Juil_Dim1+30,""))</f>
        <v>41849</v>
      </c>
      <c r="T19" s="22">
        <f>IF(DAY(Juil_Dim1)=1,IF(AND(YEAR(Juil_Dim1+24)=Année_Calendaire,MONTH(Juil_Dim1+24)=7),Juil_Dim1+24,""),IF(AND(YEAR(Juil_Dim1+31)=Année_Calendaire,MONTH(Juil_Dim1+31)=7),Juil_Dim1+31,""))</f>
        <v>41850</v>
      </c>
      <c r="U19" s="22">
        <f>IF(DAY(Juil_Dim1)=1,IF(AND(YEAR(Juil_Dim1+25)=Année_Calendaire,MONTH(Juil_Dim1+25)=7),Juil_Dim1+25,""),IF(AND(YEAR(Juil_Dim1+32)=Année_Calendaire,MONTH(Juil_Dim1+32)=7),Juil_Dim1+32,""))</f>
        <v>41851</v>
      </c>
      <c r="V19" s="22" t="str">
        <f>IF(DAY(Juil_Dim1)=1,IF(AND(YEAR(Juil_Dim1+26)=Année_Calendaire,MONTH(Juil_Dim1+26)=7),Juil_Dim1+26,""),IF(AND(YEAR(Juil_Dim1+33)=Année_Calendaire,MONTH(Juil_Dim1+33)=7),Juil_Dim1+33,""))</f>
        <v/>
      </c>
      <c r="W19" s="22" t="str">
        <f>IF(DAY(Juil_Dim1)=1,IF(AND(YEAR(Juil_Dim1+27)=Année_Calendaire,MONTH(Juil_Dim1+27)=7),Juil_Dim1+27,""),IF(AND(YEAR(Juil_Dim1+34)=Année_Calendaire,MONTH(Juil_Dim1+34)=7),Juil_Dim1+34,""))</f>
        <v/>
      </c>
      <c r="X19" s="22" t="str">
        <f>IF(DAY(Juil_Dim1)=1,IF(AND(YEAR(Juil_Dim1+28)=Année_Calendaire,MONTH(Juil_Dim1+28)=7),Juil_Dim1+28,""),IF(AND(YEAR(Juil_Dim1+35)=Année_Calendaire,MONTH(Juil_Dim1+35)=7),Juil_Dim1+35,""))</f>
        <v/>
      </c>
      <c r="Z19" s="22">
        <f>IF(DAY(Aoû_Dim1)=1,IF(AND(YEAR(Aoû_Dim1+22)=Année_Calendaire,MONTH(Aoû_Dim1+22)=8),Aoû_Dim1+22,""),IF(AND(YEAR(Aoû_Dim1+29)=Année_Calendaire,MONTH(Aoû_Dim1+29)=8),Aoû_Dim1+29,""))</f>
        <v>41876</v>
      </c>
      <c r="AA19" s="22">
        <f>IF(DAY(Aoû_Dim1)=1,IF(AND(YEAR(Aoû_Dim1+23)=Année_Calendaire,MONTH(Aoû_Dim1+23)=8),Aoû_Dim1+23,""),IF(AND(YEAR(Aoû_Dim1+30)=Année_Calendaire,MONTH(Aoû_Dim1+30)=8),Aoû_Dim1+30,""))</f>
        <v>41877</v>
      </c>
      <c r="AB19" s="22">
        <f>IF(DAY(Aoû_Dim1)=1,IF(AND(YEAR(Aoû_Dim1+24)=Année_Calendaire,MONTH(Aoû_Dim1+24)=8),Aoû_Dim1+24,""),IF(AND(YEAR(Aoû_Dim1+31)=Année_Calendaire,MONTH(Aoû_Dim1+31)=8),Aoû_Dim1+31,""))</f>
        <v>41878</v>
      </c>
      <c r="AC19" s="22">
        <f>IF(DAY(Aoû_Dim1)=1,IF(AND(YEAR(Aoû_Dim1+25)=Année_Calendaire,MONTH(Aoû_Dim1+25)=8),Aoû_Dim1+25,""),IF(AND(YEAR(Aoû_Dim1+32)=Année_Calendaire,MONTH(Aoû_Dim1+32)=8),Aoû_Dim1+32,""))</f>
        <v>41879</v>
      </c>
      <c r="AD19" s="22">
        <f>IF(DAY(Aoû_Dim1)=1,IF(AND(YEAR(Aoû_Dim1+26)=Année_Calendaire,MONTH(Aoû_Dim1+26)=8),Aoû_Dim1+26,""),IF(AND(YEAR(Aoû_Dim1+33)=Année_Calendaire,MONTH(Aoû_Dim1+33)=8),Aoû_Dim1+33,""))</f>
        <v>41880</v>
      </c>
      <c r="AE19" s="22">
        <f>IF(DAY(Aoû_Dim1)=1,IF(AND(YEAR(Aoû_Dim1+27)=Année_Calendaire,MONTH(Aoû_Dim1+27)=8),Aoû_Dim1+27,""),IF(AND(YEAR(Aoû_Dim1+34)=Année_Calendaire,MONTH(Aoû_Dim1+34)=8),Aoû_Dim1+34,""))</f>
        <v>41881</v>
      </c>
      <c r="AF19" s="22">
        <f>IF(DAY(Aoû_Dim1)=1,IF(AND(YEAR(Aoû_Dim1+28)=Année_Calendaire,MONTH(Aoû_Dim1+28)=8),Aoû_Dim1+28,""),IF(AND(YEAR(Aoû_Dim1+35)=Année_Calendaire,MONTH(Aoû_Dim1+35)=8),Aoû_Dim1+35,""))</f>
        <v>41882</v>
      </c>
    </row>
    <row r="20" spans="1:32" ht="14.85" customHeight="1">
      <c r="B20" s="22" t="str">
        <f>IF(DAY(Mai_Dim1)=1,IF(AND(YEAR(Mai_Dim1+29)=Année_Calendaire,MONTH(Mai_Dim1+29)=5),Mai_Dim1+29,""),IF(AND(YEAR(Mai_Dim1+36)=Année_Calendaire,MONTH(Mai_Dim1+36)=5),Mai_Dim1+36,""))</f>
        <v/>
      </c>
      <c r="C20" s="22" t="str">
        <f>IF(DAY(Mai_Dim1)=1,IF(AND(YEAR(Mai_Dim1+30)=Année_Calendaire,MONTH(Mai_Dim1+30)=5),Mai_Dim1+30,""),IF(AND(YEAR(Mai_Dim1+37)=Année_Calendaire,MONTH(Mai_Dim1+37)=5),Mai_Dim1+37,""))</f>
        <v/>
      </c>
      <c r="D20" s="22" t="str">
        <f>IF(DAY(Mai_Dim1)=1,IF(AND(YEAR(Mai_Dim1+31)=Année_Calendaire,MONTH(Mai_Dim1+31)=5),Mai_Dim1+31,""),IF(AND(YEAR(Mai_Dim1+38)=Année_Calendaire,MONTH(Mai_Dim1+38)=5),Mai_Dim1+38,""))</f>
        <v/>
      </c>
      <c r="E20" s="22" t="str">
        <f>IF(DAY(Mai_Dim1)=1,IF(AND(YEAR(Mai_Dim1+32)=Année_Calendaire,MONTH(Mai_Dim1+32)=5),Mai_Dim1+32,""),IF(AND(YEAR(Mai_Dim1+39)=Année_Calendaire,MONTH(Mai_Dim1+39)=5),Mai_Dim1+39,""))</f>
        <v/>
      </c>
      <c r="F20" s="22" t="str">
        <f>IF(DAY(Mai_Dim1)=1,IF(AND(YEAR(Mai_Dim1+33)=Année_Calendaire,MONTH(Mai_Dim1+33)=5),Mai_Dim1+33,""),IF(AND(YEAR(Mai_Dim1+40)=Année_Calendaire,MONTH(Mai_Dim1+40)=5),Mai_Dim1+40,""))</f>
        <v/>
      </c>
      <c r="G20" s="22" t="str">
        <f>IF(DAY(Mai_Dim1)=1,IF(AND(YEAR(Mai_Dim1+34)=Année_Calendaire,MONTH(Mai_Dim1+34)=5),Mai_Dim1+34,""),IF(AND(YEAR(Mai_Dim1+41)=Année_Calendaire,MONTH(Mai_Dim1+41)=5),Mai_Dim1+41,""))</f>
        <v/>
      </c>
      <c r="H20" s="22" t="str">
        <f>IF(DAY(Mai_Dim1)=1,IF(AND(YEAR(Mai_Dim1+35)=Année_Calendaire,MONTH(Mai_Dim1+35)=5),Mai_Dim1+35,""),IF(AND(YEAR(Mai_Dim1+42)=Année_Calendaire,MONTH(Mai_Dim1+42)=5),Mai_Dim1+42,""))</f>
        <v/>
      </c>
      <c r="I20" s="22"/>
      <c r="J20" s="22">
        <f>IF(DAY(Juin_Dim1)=1,IF(AND(YEAR(Juin_Dim1+29)=Année_Calendaire,MONTH(Juin_Dim1+29)=6),Juin_Dim1+29,""),IF(AND(YEAR(Juin_Dim1+36)=Année_Calendaire,MONTH(Juin_Dim1+36)=6),Juin_Dim1+36,""))</f>
        <v>41820</v>
      </c>
      <c r="K20" s="22" t="str">
        <f>IF(DAY(Juin_Dim1)=1,IF(AND(YEAR(Juin_Dim1+30)=Année_Calendaire,MONTH(Juin_Dim1+30)=6),Juin_Dim1+30,""),IF(AND(YEAR(Juin_Dim1+37)=Année_Calendaire,MONTH(Juin_Dim1+37)=6),Juin_Dim1+37,""))</f>
        <v/>
      </c>
      <c r="L20" s="22" t="str">
        <f>IF(DAY(Juin_Dim1)=1,IF(AND(YEAR(Juin_Dim1+31)=Année_Calendaire,MONTH(Juin_Dim1+31)=6),Juin_Dim1+31,""),IF(AND(YEAR(Juin_Dim1+38)=Année_Calendaire,MONTH(Juin_Dim1+38)=6),Juin_Dim1+38,""))</f>
        <v/>
      </c>
      <c r="M20" s="22" t="str">
        <f>IF(DAY(Juin_Dim1)=1,IF(AND(YEAR(Juin_Dim1+32)=Année_Calendaire,MONTH(Juin_Dim1+32)=6),Juin_Dim1+32,""),IF(AND(YEAR(Juin_Dim1+39)=Année_Calendaire,MONTH(Juin_Dim1+39)=6),Juin_Dim1+39,""))</f>
        <v/>
      </c>
      <c r="N20" s="22" t="str">
        <f>IF(DAY(Juin_Dim1)=1,IF(AND(YEAR(Juin_Dim1+33)=Année_Calendaire,MONTH(Juin_Dim1+33)=6),Juin_Dim1+33,""),IF(AND(YEAR(Juin_Dim1+40)=Année_Calendaire,MONTH(Juin_Dim1+40)=6),Juin_Dim1+40,""))</f>
        <v/>
      </c>
      <c r="O20" s="22" t="str">
        <f>IF(DAY(Juin_Dim1)=1,IF(AND(YEAR(Juin_Dim1+34)=Année_Calendaire,MONTH(Juin_Dim1+34)=6),Juin_Dim1+34,""),IF(AND(YEAR(Juin_Dim1+41)=Année_Calendaire,MONTH(Juin_Dim1+41)=6),Juin_Dim1+41,""))</f>
        <v/>
      </c>
      <c r="P20" s="22" t="str">
        <f>IF(DAY(Juin_Dim1)=1,IF(AND(YEAR(Juin_Dim1+35)=Année_Calendaire,MONTH(Juin_Dim1+35)=6),Juin_Dim1+35,""),IF(AND(YEAR(Juin_Dim1+42)=Année_Calendaire,MONTH(Juin_Dim1+42)=6),Juin_Dim1+42,""))</f>
        <v/>
      </c>
      <c r="Q20" s="9"/>
      <c r="R20" s="9"/>
      <c r="S20" s="10"/>
      <c r="T20" s="9"/>
      <c r="U20" s="9"/>
      <c r="X20" s="9"/>
      <c r="AF20" s="9"/>
    </row>
    <row r="21" spans="1:32" ht="14.85" customHeight="1">
      <c r="I21" s="22"/>
      <c r="Q21" s="9"/>
      <c r="R21" s="9"/>
      <c r="S21" s="11"/>
      <c r="T21" s="12"/>
      <c r="U21" s="12"/>
      <c r="V21" s="12"/>
      <c r="W21" s="12"/>
      <c r="X21" s="9"/>
      <c r="Y21" s="12"/>
      <c r="Z21" s="12"/>
      <c r="AA21" s="12"/>
      <c r="AB21" s="12"/>
      <c r="AC21" s="12"/>
      <c r="AD21" s="12"/>
      <c r="AE21" s="12"/>
      <c r="AF21" s="9"/>
    </row>
    <row r="22" spans="1:32" ht="14.85" customHeight="1">
      <c r="Q22" s="9"/>
      <c r="R22" s="9"/>
      <c r="S22" s="13"/>
      <c r="T22" s="9"/>
      <c r="U22" s="9"/>
      <c r="X22" s="9"/>
      <c r="AF22" s="9"/>
    </row>
    <row r="23" spans="1:32" ht="14.85" customHeight="1">
      <c r="Q23" s="9"/>
      <c r="R23" s="9"/>
      <c r="S23" s="10"/>
      <c r="T23" s="9"/>
      <c r="U23" s="9"/>
      <c r="X23" s="9"/>
      <c r="AF23" s="9"/>
    </row>
    <row r="24" spans="1:32" ht="14.85" customHeight="1">
      <c r="A24" s="15"/>
      <c r="B24" s="33" t="s">
        <v>30</v>
      </c>
      <c r="C24" s="32"/>
      <c r="D24" s="32"/>
      <c r="E24" s="32"/>
      <c r="F24" s="32"/>
      <c r="G24" s="32"/>
      <c r="H24" s="32"/>
      <c r="I24" s="15"/>
      <c r="J24" s="33" t="s">
        <v>31</v>
      </c>
      <c r="K24" s="32"/>
      <c r="L24" s="32"/>
      <c r="M24" s="32"/>
      <c r="N24" s="32"/>
      <c r="O24" s="32"/>
      <c r="P24" s="32"/>
      <c r="Q24" s="16"/>
      <c r="R24" s="33" t="s">
        <v>32</v>
      </c>
      <c r="S24" s="32"/>
      <c r="T24" s="32"/>
      <c r="U24" s="32"/>
      <c r="V24" s="32"/>
      <c r="W24" s="32"/>
      <c r="X24" s="32"/>
      <c r="Y24" s="15"/>
      <c r="Z24" s="33" t="s">
        <v>33</v>
      </c>
      <c r="AA24" s="32"/>
      <c r="AB24" s="32"/>
      <c r="AC24" s="32"/>
      <c r="AD24" s="32"/>
      <c r="AE24" s="32"/>
      <c r="AF24" s="32"/>
    </row>
    <row r="25" spans="1:32" ht="14.85" customHeight="1">
      <c r="A25" s="18"/>
      <c r="B25" s="19" t="s">
        <v>20</v>
      </c>
      <c r="C25" s="19" t="s">
        <v>21</v>
      </c>
      <c r="D25" s="19" t="s">
        <v>21</v>
      </c>
      <c r="E25" s="19" t="s">
        <v>22</v>
      </c>
      <c r="F25" s="19" t="s">
        <v>23</v>
      </c>
      <c r="G25" s="19" t="s">
        <v>24</v>
      </c>
      <c r="H25" s="19" t="s">
        <v>25</v>
      </c>
      <c r="I25" s="18"/>
      <c r="J25" s="19" t="s">
        <v>20</v>
      </c>
      <c r="K25" s="19" t="s">
        <v>21</v>
      </c>
      <c r="L25" s="19" t="s">
        <v>21</v>
      </c>
      <c r="M25" s="19" t="s">
        <v>22</v>
      </c>
      <c r="N25" s="19" t="s">
        <v>23</v>
      </c>
      <c r="O25" s="19" t="s">
        <v>24</v>
      </c>
      <c r="P25" s="19" t="s">
        <v>25</v>
      </c>
      <c r="Q25" s="21"/>
      <c r="R25" s="19" t="s">
        <v>20</v>
      </c>
      <c r="S25" s="19" t="s">
        <v>21</v>
      </c>
      <c r="T25" s="19" t="s">
        <v>21</v>
      </c>
      <c r="U25" s="19" t="s">
        <v>22</v>
      </c>
      <c r="V25" s="19" t="s">
        <v>23</v>
      </c>
      <c r="W25" s="19" t="s">
        <v>24</v>
      </c>
      <c r="X25" s="19" t="s">
        <v>25</v>
      </c>
      <c r="Y25" s="28"/>
      <c r="Z25" s="19" t="s">
        <v>20</v>
      </c>
      <c r="AA25" s="19" t="s">
        <v>21</v>
      </c>
      <c r="AB25" s="19" t="s">
        <v>21</v>
      </c>
      <c r="AC25" s="19" t="s">
        <v>22</v>
      </c>
      <c r="AD25" s="19" t="s">
        <v>23</v>
      </c>
      <c r="AE25" s="19" t="s">
        <v>24</v>
      </c>
      <c r="AF25" s="19" t="s">
        <v>25</v>
      </c>
    </row>
    <row r="26" spans="1:32" ht="14.85" customHeight="1">
      <c r="B26" s="22">
        <f>IF(DAY(Sep_Dim1)=1,"",IF(AND(YEAR(Sep_Dim1+1)=Année_Calendaire,MONTH(Sep_Dim1+1)=9),Sep_Dim1+1,""))</f>
        <v>41883</v>
      </c>
      <c r="C26" s="22">
        <f>IF(DAY(Sep_Dim1)=1,"",IF(AND(YEAR(Sep_Dim1+2)=Année_Calendaire,MONTH(Sep_Dim1+2)=9),Sep_Dim1+2,""))</f>
        <v>41884</v>
      </c>
      <c r="D26" s="22">
        <f>IF(DAY(Sep_Dim1)=1,"",IF(AND(YEAR(Sep_Dim1+3)=Année_Calendaire,MONTH(Sep_Dim1+3)=9),Sep_Dim1+3,""))</f>
        <v>41885</v>
      </c>
      <c r="E26" s="22">
        <f>IF(DAY(Sep_Dim1)=1,"",IF(AND(YEAR(Sep_Dim1+4)=Année_Calendaire,MONTH(Sep_Dim1+4)=9),Sep_Dim1+4,""))</f>
        <v>41886</v>
      </c>
      <c r="F26" s="22">
        <f>IF(DAY(Sep_Dim1)=1,"",IF(AND(YEAR(Sep_Dim1+5)=Année_Calendaire,MONTH(Sep_Dim1+5)=9),Sep_Dim1+5,""))</f>
        <v>41887</v>
      </c>
      <c r="G26" s="22">
        <f>IF(DAY(Sep_Dim1)=1,"",IF(AND(YEAR(Sep_Dim1+6)=Année_Calendaire,MONTH(Sep_Dim1+6)=9),Sep_Dim1+6,""))</f>
        <v>41888</v>
      </c>
      <c r="H26" s="22">
        <f>IF(DAY(Sep_Dim1)=1,IF(AND(YEAR(Sep_Dim1)=Année_Calendaire,MONTH(Sep_Dim1)=9),Sep_Dim1,""),IF(AND(YEAR(Sep_Dim1+7)=Année_Calendaire,MONTH(Sep_Dim1+7)=9),Sep_Dim1+7,""))</f>
        <v>41889</v>
      </c>
      <c r="J26" s="22" t="str">
        <f>IF(DAY(Oct_Dim1)=1,"",IF(AND(YEAR(Oct_Dim1+1)=Année_Calendaire,MONTH(Oct_Dim1+1)=10),Oct_Dim1+1,""))</f>
        <v/>
      </c>
      <c r="K26" s="22" t="str">
        <f>IF(DAY(Oct_Dim1)=1,"",IF(AND(YEAR(Oct_Dim1+2)=Année_Calendaire,MONTH(Oct_Dim1+2)=10),Oct_Dim1+2,""))</f>
        <v/>
      </c>
      <c r="L26" s="22">
        <f>IF(DAY(Oct_Dim1)=1,"",IF(AND(YEAR(Oct_Dim1+3)=Année_Calendaire,MONTH(Oct_Dim1+3)=10),Oct_Dim1+3,""))</f>
        <v>41913</v>
      </c>
      <c r="M26" s="22">
        <f>IF(DAY(Oct_Dim1)=1,"",IF(AND(YEAR(Oct_Dim1+4)=Année_Calendaire,MONTH(Oct_Dim1+4)=10),Oct_Dim1+4,""))</f>
        <v>41914</v>
      </c>
      <c r="N26" s="22">
        <f>IF(DAY(Oct_Dim1)=1,"",IF(AND(YEAR(Oct_Dim1+5)=Année_Calendaire,MONTH(Oct_Dim1+5)=10),Oct_Dim1+5,""))</f>
        <v>41915</v>
      </c>
      <c r="O26" s="22">
        <f>IF(DAY(Oct_Dim1)=1,"",IF(AND(YEAR(Oct_Dim1+6)=Année_Calendaire,MONTH(Oct_Dim1+6)=10),Oct_Dim1+6,""))</f>
        <v>41916</v>
      </c>
      <c r="P26" s="22">
        <f>IF(DAY(Oct_Dim1)=1,IF(AND(YEAR(Oct_Dim1)=Année_Calendaire,MONTH(Oct_Dim1)=10),Oct_Dim1,""),IF(AND(YEAR(Oct_Dim1+7)=Année_Calendaire,MONTH(Oct_Dim1+7)=10),Oct_Dim1+7,""))</f>
        <v>41917</v>
      </c>
      <c r="Q26" s="9"/>
      <c r="R26" s="22" t="str">
        <f>IF(DAY(Nov_Dim1)=1,"",IF(AND(YEAR(Nov_Dim1+1)=Année_Calendaire,MONTH(Nov_Dim1+1)=11),Nov_Dim1+1,""))</f>
        <v/>
      </c>
      <c r="S26" s="22" t="str">
        <f>IF(DAY(Nov_Dim1)=1,"",IF(AND(YEAR(Nov_Dim1+2)=Année_Calendaire,MONTH(Nov_Dim1+2)=11),Nov_Dim1+2,""))</f>
        <v/>
      </c>
      <c r="T26" s="22" t="str">
        <f>IF(DAY(Nov_Dim1)=1,"",IF(AND(YEAR(Nov_Dim1+3)=Année_Calendaire,MONTH(Nov_Dim1+3)=11),Nov_Dim1+3,""))</f>
        <v/>
      </c>
      <c r="U26" s="22" t="str">
        <f>IF(DAY(Nov_Dim1)=1,"",IF(AND(YEAR(Nov_Dim1+4)=Année_Calendaire,MONTH(Nov_Dim1+4)=11),Nov_Dim1+4,""))</f>
        <v/>
      </c>
      <c r="V26" s="22" t="str">
        <f>IF(DAY(Nov_Dim1)=1,"",IF(AND(YEAR(Nov_Dim1+5)=Année_Calendaire,MONTH(Nov_Dim1+5)=11),Nov_Dim1+5,""))</f>
        <v/>
      </c>
      <c r="W26" s="22">
        <f>IF(DAY(Nov_Dim1)=1,"",IF(AND(YEAR(Nov_Dim1+6)=Année_Calendaire,MONTH(Nov_Dim1+6)=11),Nov_Dim1+6,""))</f>
        <v>41944</v>
      </c>
      <c r="X26" s="22">
        <f>IF(DAY(Nov_Dim1)=1,IF(AND(YEAR(Nov_Dim1)=Année_Calendaire,MONTH(Nov_Dim1)=11),Nov_Dim1,""),IF(AND(YEAR(Nov_Dim1+7)=Année_Calendaire,MONTH(Nov_Dim1+7)=11),Nov_Dim1+7,""))</f>
        <v>41945</v>
      </c>
      <c r="Z26" s="22">
        <f>IF(DAY(Déc_Dim1)=1,"",IF(AND(YEAR(Déc_Dim1+1)=Année_Calendaire,MONTH(Déc_Dim1+1)=12),Déc_Dim1+1,""))</f>
        <v>41974</v>
      </c>
      <c r="AA26" s="22">
        <f>IF(DAY(Déc_Dim1)=1,"",IF(AND(YEAR(Déc_Dim1+2)=Année_Calendaire,MONTH(Déc_Dim1+2)=12),Déc_Dim1+2,""))</f>
        <v>41975</v>
      </c>
      <c r="AB26" s="22">
        <f>IF(DAY(Déc_Dim1)=1,"",IF(AND(YEAR(Déc_Dim1+3)=Année_Calendaire,MONTH(Déc_Dim1+3)=12),Déc_Dim1+3,""))</f>
        <v>41976</v>
      </c>
      <c r="AC26" s="22">
        <f>IF(DAY(Déc_Dim1)=1,"",IF(AND(YEAR(Déc_Dim1+4)=Année_Calendaire,MONTH(Déc_Dim1+4)=12),Déc_Dim1+4,""))</f>
        <v>41977</v>
      </c>
      <c r="AD26" s="22">
        <f>IF(DAY(Déc_Dim1)=1,"",IF(AND(YEAR(Déc_Dim1+5)=Année_Calendaire,MONTH(Déc_Dim1+5)=12),Déc_Dim1+5,""))</f>
        <v>41978</v>
      </c>
      <c r="AE26" s="22">
        <f>IF(DAY(Déc_Dim1)=1,"",IF(AND(YEAR(Déc_Dim1+6)=Année_Calendaire,MONTH(Déc_Dim1+6)=12),Déc_Dim1+6,""))</f>
        <v>41979</v>
      </c>
      <c r="AF26" s="22">
        <f>IF(DAY(Déc_Dim1)=1,IF(AND(YEAR(Déc_Dim1)=Année_Calendaire,MONTH(Déc_Dim1)=12),Déc_Dim1,""),IF(AND(YEAR(Déc_Dim1+7)=Année_Calendaire,MONTH(Déc_Dim1+7)=12),Déc_Dim1+7,""))</f>
        <v>41980</v>
      </c>
    </row>
    <row r="27" spans="1:32" ht="14.85" customHeight="1">
      <c r="B27" s="22">
        <f>IF(DAY(Sep_Dim1)=1,IF(AND(YEAR(Sep_Dim1+1)=Année_Calendaire,MONTH(Sep_Dim1+1)=9),Sep_Dim1+1,""),IF(AND(YEAR(Sep_Dim1+8)=Année_Calendaire,MONTH(Sep_Dim1+8)=9),Sep_Dim1+8,""))</f>
        <v>41890</v>
      </c>
      <c r="C27" s="22">
        <f>IF(DAY(Sep_Dim1)=1,IF(AND(YEAR(Sep_Dim1+2)=Année_Calendaire,MONTH(Sep_Dim1+2)=9),Sep_Dim1+2,""),IF(AND(YEAR(Sep_Dim1+9)=Année_Calendaire,MONTH(Sep_Dim1+9)=9),Sep_Dim1+9,""))</f>
        <v>41891</v>
      </c>
      <c r="D27" s="22">
        <f>IF(DAY(Sep_Dim1)=1,IF(AND(YEAR(Sep_Dim1+3)=Année_Calendaire,MONTH(Sep_Dim1+3)=9),Sep_Dim1+3,""),IF(AND(YEAR(Sep_Dim1+10)=Année_Calendaire,MONTH(Sep_Dim1+10)=9),Sep_Dim1+10,""))</f>
        <v>41892</v>
      </c>
      <c r="E27" s="22">
        <f>IF(DAY(Sep_Dim1)=1,IF(AND(YEAR(Sep_Dim1+4)=Année_Calendaire,MONTH(Sep_Dim1+4)=9),Sep_Dim1+4,""),IF(AND(YEAR(Sep_Dim1+11)=Année_Calendaire,MONTH(Sep_Dim1+11)=9),Sep_Dim1+11,""))</f>
        <v>41893</v>
      </c>
      <c r="F27" s="22">
        <f>IF(DAY(Sep_Dim1)=1,IF(AND(YEAR(Sep_Dim1+5)=Année_Calendaire,MONTH(Sep_Dim1+5)=9),Sep_Dim1+5,""),IF(AND(YEAR(Sep_Dim1+12)=Année_Calendaire,MONTH(Sep_Dim1+12)=9),Sep_Dim1+12,""))</f>
        <v>41894</v>
      </c>
      <c r="G27" s="22">
        <f>IF(DAY(Sep_Dim1)=1,IF(AND(YEAR(Sep_Dim1+6)=Année_Calendaire,MONTH(Sep_Dim1+6)=9),Sep_Dim1+6,""),IF(AND(YEAR(Sep_Dim1+13)=Année_Calendaire,MONTH(Sep_Dim1+13)=9),Sep_Dim1+13,""))</f>
        <v>41895</v>
      </c>
      <c r="H27" s="22">
        <f>IF(DAY(Sep_Dim1)=1,IF(AND(YEAR(Sep_Dim1+7)=Année_Calendaire,MONTH(Sep_Dim1+7)=9),Sep_Dim1+7,""),IF(AND(YEAR(Sep_Dim1+14)=Année_Calendaire,MONTH(Sep_Dim1+14)=9),Sep_Dim1+14,""))</f>
        <v>41896</v>
      </c>
      <c r="J27" s="22">
        <f>IF(DAY(Oct_Dim1)=1,IF(AND(YEAR(Oct_Dim1+1)=Année_Calendaire,MONTH(Oct_Dim1+1)=10),Oct_Dim1+1,""),IF(AND(YEAR(Oct_Dim1+8)=Année_Calendaire,MONTH(Oct_Dim1+8)=10),Oct_Dim1+8,""))</f>
        <v>41918</v>
      </c>
      <c r="K27" s="22">
        <f>IF(DAY(Oct_Dim1)=1,IF(AND(YEAR(Oct_Dim1+2)=Année_Calendaire,MONTH(Oct_Dim1+2)=10),Oct_Dim1+2,""),IF(AND(YEAR(Oct_Dim1+9)=Année_Calendaire,MONTH(Oct_Dim1+9)=10),Oct_Dim1+9,""))</f>
        <v>41919</v>
      </c>
      <c r="L27" s="22">
        <f>IF(DAY(Oct_Dim1)=1,IF(AND(YEAR(Oct_Dim1+3)=Année_Calendaire,MONTH(Oct_Dim1+3)=10),Oct_Dim1+3,""),IF(AND(YEAR(Oct_Dim1+10)=Année_Calendaire,MONTH(Oct_Dim1+10)=10),Oct_Dim1+10,""))</f>
        <v>41920</v>
      </c>
      <c r="M27" s="22">
        <f>IF(DAY(Oct_Dim1)=1,IF(AND(YEAR(Oct_Dim1+4)=Année_Calendaire,MONTH(Oct_Dim1+4)=10),Oct_Dim1+4,""),IF(AND(YEAR(Oct_Dim1+11)=Année_Calendaire,MONTH(Oct_Dim1+11)=10),Oct_Dim1+11,""))</f>
        <v>41921</v>
      </c>
      <c r="N27" s="22">
        <f>IF(DAY(Oct_Dim1)=1,IF(AND(YEAR(Oct_Dim1+5)=Année_Calendaire,MONTH(Oct_Dim1+5)=10),Oct_Dim1+5,""),IF(AND(YEAR(Oct_Dim1+12)=Année_Calendaire,MONTH(Oct_Dim1+12)=10),Oct_Dim1+12,""))</f>
        <v>41922</v>
      </c>
      <c r="O27" s="22">
        <f>IF(DAY(Oct_Dim1)=1,IF(AND(YEAR(Oct_Dim1+6)=Année_Calendaire,MONTH(Oct_Dim1+6)=10),Oct_Dim1+6,""),IF(AND(YEAR(Oct_Dim1+13)=Année_Calendaire,MONTH(Oct_Dim1+13)=10),Oct_Dim1+13,""))</f>
        <v>41923</v>
      </c>
      <c r="P27" s="22">
        <f>IF(DAY(Oct_Dim1)=1,IF(AND(YEAR(Oct_Dim1+7)=Année_Calendaire,MONTH(Oct_Dim1+7)=10),Oct_Dim1+7,""),IF(AND(YEAR(Oct_Dim1+14)=Année_Calendaire,MONTH(Oct_Dim1+14)=10),Oct_Dim1+14,""))</f>
        <v>41924</v>
      </c>
      <c r="Q27" s="9"/>
      <c r="R27" s="22">
        <f>IF(DAY(Nov_Dim1)=1,IF(AND(YEAR(Nov_Dim1+1)=Année_Calendaire,MONTH(Nov_Dim1+1)=11),Nov_Dim1+1,""),IF(AND(YEAR(Nov_Dim1+8)=Année_Calendaire,MONTH(Nov_Dim1+8)=11),Nov_Dim1+8,""))</f>
        <v>41946</v>
      </c>
      <c r="S27" s="22">
        <f>IF(DAY(Nov_Dim1)=1,IF(AND(YEAR(Nov_Dim1+2)=Année_Calendaire,MONTH(Nov_Dim1+2)=11),Nov_Dim1+2,""),IF(AND(YEAR(Nov_Dim1+9)=Année_Calendaire,MONTH(Nov_Dim1+9)=11),Nov_Dim1+9,""))</f>
        <v>41947</v>
      </c>
      <c r="T27" s="22">
        <f>IF(DAY(Nov_Dim1)=1,IF(AND(YEAR(Nov_Dim1+3)=Année_Calendaire,MONTH(Nov_Dim1+3)=11),Nov_Dim1+3,""),IF(AND(YEAR(Nov_Dim1+10)=Année_Calendaire,MONTH(Nov_Dim1+10)=11),Nov_Dim1+10,""))</f>
        <v>41948</v>
      </c>
      <c r="U27" s="22">
        <f>IF(DAY(Nov_Dim1)=1,IF(AND(YEAR(Nov_Dim1+4)=Année_Calendaire,MONTH(Nov_Dim1+4)=11),Nov_Dim1+4,""),IF(AND(YEAR(Nov_Dim1+11)=Année_Calendaire,MONTH(Nov_Dim1+11)=11),Nov_Dim1+11,""))</f>
        <v>41949</v>
      </c>
      <c r="V27" s="22">
        <f>IF(DAY(Nov_Dim1)=1,IF(AND(YEAR(Nov_Dim1+5)=Année_Calendaire,MONTH(Nov_Dim1+5)=11),Nov_Dim1+5,""),IF(AND(YEAR(Nov_Dim1+12)=Année_Calendaire,MONTH(Nov_Dim1+12)=11),Nov_Dim1+12,""))</f>
        <v>41950</v>
      </c>
      <c r="W27" s="22">
        <f>IF(DAY(Nov_Dim1)=1,IF(AND(YEAR(Nov_Dim1+6)=Année_Calendaire,MONTH(Nov_Dim1+6)=11),Nov_Dim1+6,""),IF(AND(YEAR(Nov_Dim1+13)=Année_Calendaire,MONTH(Nov_Dim1+13)=11),Nov_Dim1+13,""))</f>
        <v>41951</v>
      </c>
      <c r="X27" s="22">
        <f>IF(DAY(Nov_Dim1)=1,IF(AND(YEAR(Nov_Dim1+7)=Année_Calendaire,MONTH(Nov_Dim1+7)=11),Nov_Dim1+7,""),IF(AND(YEAR(Nov_Dim1+14)=Année_Calendaire,MONTH(Nov_Dim1+14)=11),Nov_Dim1+14,""))</f>
        <v>41952</v>
      </c>
      <c r="Z27" s="22">
        <f>IF(DAY(Déc_Dim1)=1,IF(AND(YEAR(Déc_Dim1+1)=Année_Calendaire,MONTH(Déc_Dim1+1)=12),Déc_Dim1+1,""),IF(AND(YEAR(Déc_Dim1+8)=Année_Calendaire,MONTH(Déc_Dim1+8)=12),Déc_Dim1+8,""))</f>
        <v>41981</v>
      </c>
      <c r="AA27" s="22">
        <f>IF(DAY(Déc_Dim1)=1,IF(AND(YEAR(Déc_Dim1+2)=Année_Calendaire,MONTH(Déc_Dim1+2)=12),Déc_Dim1+2,""),IF(AND(YEAR(Déc_Dim1+9)=Année_Calendaire,MONTH(Déc_Dim1+9)=12),Déc_Dim1+9,""))</f>
        <v>41982</v>
      </c>
      <c r="AB27" s="22">
        <f>IF(DAY(Déc_Dim1)=1,IF(AND(YEAR(Déc_Dim1+3)=Année_Calendaire,MONTH(Déc_Dim1+3)=12),Déc_Dim1+3,""),IF(AND(YEAR(Déc_Dim1+10)=Année_Calendaire,MONTH(Déc_Dim1+10)=12),Déc_Dim1+10,""))</f>
        <v>41983</v>
      </c>
      <c r="AC27" s="22">
        <f>IF(DAY(Déc_Dim1)=1,IF(AND(YEAR(Déc_Dim1+4)=Année_Calendaire,MONTH(Déc_Dim1+4)=12),Déc_Dim1+4,""),IF(AND(YEAR(Déc_Dim1+11)=Année_Calendaire,MONTH(Déc_Dim1+11)=12),Déc_Dim1+11,""))</f>
        <v>41984</v>
      </c>
      <c r="AD27" s="22">
        <f>IF(DAY(Déc_Dim1)=1,IF(AND(YEAR(Déc_Dim1+5)=Année_Calendaire,MONTH(Déc_Dim1+5)=12),Déc_Dim1+5,""),IF(AND(YEAR(Déc_Dim1+12)=Année_Calendaire,MONTH(Déc_Dim1+12)=12),Déc_Dim1+12,""))</f>
        <v>41985</v>
      </c>
      <c r="AE27" s="22">
        <f>IF(DAY(Déc_Dim1)=1,IF(AND(YEAR(Déc_Dim1+6)=Année_Calendaire,MONTH(Déc_Dim1+6)=12),Déc_Dim1+6,""),IF(AND(YEAR(Déc_Dim1+13)=Année_Calendaire,MONTH(Déc_Dim1+13)=12),Déc_Dim1+13,""))</f>
        <v>41986</v>
      </c>
      <c r="AF27" s="22">
        <f>IF(DAY(Déc_Dim1)=1,IF(AND(YEAR(Déc_Dim1+7)=Année_Calendaire,MONTH(Déc_Dim1+7)=12),Déc_Dim1+7,""),IF(AND(YEAR(Déc_Dim1+14)=Année_Calendaire,MONTH(Déc_Dim1+14)=12),Déc_Dim1+14,""))</f>
        <v>41987</v>
      </c>
    </row>
    <row r="28" spans="1:32" ht="14.85" customHeight="1">
      <c r="B28" s="22">
        <f>IF(DAY(Sep_Dim1)=1,IF(AND(YEAR(Sep_Dim1+8)=Année_Calendaire,MONTH(Sep_Dim1+8)=9),Sep_Dim1+8,""),IF(AND(YEAR(Sep_Dim1+15)=Année_Calendaire,MONTH(Sep_Dim1+15)=9),Sep_Dim1+15,""))</f>
        <v>41897</v>
      </c>
      <c r="C28" s="22">
        <f>IF(DAY(Sep_Dim1)=1,IF(AND(YEAR(Sep_Dim1+9)=Année_Calendaire,MONTH(Sep_Dim1+9)=9),Sep_Dim1+9,""),IF(AND(YEAR(Sep_Dim1+16)=Année_Calendaire,MONTH(Sep_Dim1+16)=9),Sep_Dim1+16,""))</f>
        <v>41898</v>
      </c>
      <c r="D28" s="22">
        <f>IF(DAY(Sep_Dim1)=1,IF(AND(YEAR(Sep_Dim1+10)=Année_Calendaire,MONTH(Sep_Dim1+10)=9),Sep_Dim1+10,""),IF(AND(YEAR(Sep_Dim1+17)=Année_Calendaire,MONTH(Sep_Dim1+17)=9),Sep_Dim1+17,""))</f>
        <v>41899</v>
      </c>
      <c r="E28" s="22">
        <f>IF(DAY(Sep_Dim1)=1,IF(AND(YEAR(Sep_Dim1+11)=Année_Calendaire,MONTH(Sep_Dim1+11)=9),Sep_Dim1+11,""),IF(AND(YEAR(Sep_Dim1+18)=Année_Calendaire,MONTH(Sep_Dim1+18)=9),Sep_Dim1+18,""))</f>
        <v>41900</v>
      </c>
      <c r="F28" s="22">
        <f>IF(DAY(Sep_Dim1)=1,IF(AND(YEAR(Sep_Dim1+12)=Année_Calendaire,MONTH(Sep_Dim1+12)=9),Sep_Dim1+12,""),IF(AND(YEAR(Sep_Dim1+19)=Année_Calendaire,MONTH(Sep_Dim1+19)=9),Sep_Dim1+19,""))</f>
        <v>41901</v>
      </c>
      <c r="G28" s="22">
        <f>IF(DAY(Sep_Dim1)=1,IF(AND(YEAR(Sep_Dim1+13)=Année_Calendaire,MONTH(Sep_Dim1+13)=9),Sep_Dim1+13,""),IF(AND(YEAR(Sep_Dim1+20)=Année_Calendaire,MONTH(Sep_Dim1+20)=9),Sep_Dim1+20,""))</f>
        <v>41902</v>
      </c>
      <c r="H28" s="22">
        <f>IF(DAY(Sep_Dim1)=1,IF(AND(YEAR(Sep_Dim1+14)=Année_Calendaire,MONTH(Sep_Dim1+14)=9),Sep_Dim1+14,""),IF(AND(YEAR(Sep_Dim1+21)=Année_Calendaire,MONTH(Sep_Dim1+21)=9),Sep_Dim1+21,""))</f>
        <v>41903</v>
      </c>
      <c r="J28" s="22">
        <f>IF(DAY(Oct_Dim1)=1,IF(AND(YEAR(Oct_Dim1+8)=Année_Calendaire,MONTH(Oct_Dim1+8)=10),Oct_Dim1+8,""),IF(AND(YEAR(Oct_Dim1+15)=Année_Calendaire,MONTH(Oct_Dim1+15)=10),Oct_Dim1+15,""))</f>
        <v>41925</v>
      </c>
      <c r="K28" s="22">
        <f>IF(DAY(Oct_Dim1)=1,IF(AND(YEAR(Oct_Dim1+9)=Année_Calendaire,MONTH(Oct_Dim1+9)=10),Oct_Dim1+9,""),IF(AND(YEAR(Oct_Dim1+16)=Année_Calendaire,MONTH(Oct_Dim1+16)=10),Oct_Dim1+16,""))</f>
        <v>41926</v>
      </c>
      <c r="L28" s="22">
        <f>IF(DAY(Oct_Dim1)=1,IF(AND(YEAR(Oct_Dim1+10)=Année_Calendaire,MONTH(Oct_Dim1+10)=10),Oct_Dim1+10,""),IF(AND(YEAR(Oct_Dim1+17)=Année_Calendaire,MONTH(Oct_Dim1+17)=10),Oct_Dim1+17,""))</f>
        <v>41927</v>
      </c>
      <c r="M28" s="22">
        <f>IF(DAY(Oct_Dim1)=1,IF(AND(YEAR(Oct_Dim1+11)=Année_Calendaire,MONTH(Oct_Dim1+11)=10),Oct_Dim1+11,""),IF(AND(YEAR(Oct_Dim1+18)=Année_Calendaire,MONTH(Oct_Dim1+18)=10),Oct_Dim1+18,""))</f>
        <v>41928</v>
      </c>
      <c r="N28" s="22">
        <f>IF(DAY(Oct_Dim1)=1,IF(AND(YEAR(Oct_Dim1+12)=Année_Calendaire,MONTH(Oct_Dim1+12)=10),Oct_Dim1+12,""),IF(AND(YEAR(Oct_Dim1+19)=Année_Calendaire,MONTH(Oct_Dim1+19)=10),Oct_Dim1+19,""))</f>
        <v>41929</v>
      </c>
      <c r="O28" s="22">
        <f>IF(DAY(Oct_Dim1)=1,IF(AND(YEAR(Oct_Dim1+13)=Année_Calendaire,MONTH(Oct_Dim1+13)=10),Oct_Dim1+13,""),IF(AND(YEAR(Oct_Dim1+20)=Année_Calendaire,MONTH(Oct_Dim1+20)=10),Oct_Dim1+20,""))</f>
        <v>41930</v>
      </c>
      <c r="P28" s="22">
        <f>IF(DAY(Oct_Dim1)=1,IF(AND(YEAR(Oct_Dim1+14)=Année_Calendaire,MONTH(Oct_Dim1+14)=10),Oct_Dim1+14,""),IF(AND(YEAR(Oct_Dim1+21)=Année_Calendaire,MONTH(Oct_Dim1+21)=10),Oct_Dim1+21,""))</f>
        <v>41931</v>
      </c>
      <c r="Q28" s="9"/>
      <c r="R28" s="22">
        <f>IF(DAY(Nov_Dim1)=1,IF(AND(YEAR(Nov_Dim1+8)=Année_Calendaire,MONTH(Nov_Dim1+8)=11),Nov_Dim1+8,""),IF(AND(YEAR(Nov_Dim1+15)=Année_Calendaire,MONTH(Nov_Dim1+15)=11),Nov_Dim1+15,""))</f>
        <v>41953</v>
      </c>
      <c r="S28" s="22">
        <f>IF(DAY(Nov_Dim1)=1,IF(AND(YEAR(Nov_Dim1+9)=Année_Calendaire,MONTH(Nov_Dim1+9)=11),Nov_Dim1+9,""),IF(AND(YEAR(Nov_Dim1+16)=Année_Calendaire,MONTH(Nov_Dim1+16)=11),Nov_Dim1+16,""))</f>
        <v>41954</v>
      </c>
      <c r="T28" s="22">
        <f>IF(DAY(Nov_Dim1)=1,IF(AND(YEAR(Nov_Dim1+10)=Année_Calendaire,MONTH(Nov_Dim1+10)=11),Nov_Dim1+10,""),IF(AND(YEAR(Nov_Dim1+17)=Année_Calendaire,MONTH(Nov_Dim1+17)=11),Nov_Dim1+17,""))</f>
        <v>41955</v>
      </c>
      <c r="U28" s="22">
        <f>IF(DAY(Nov_Dim1)=1,IF(AND(YEAR(Nov_Dim1+11)=Année_Calendaire,MONTH(Nov_Dim1+11)=11),Nov_Dim1+11,""),IF(AND(YEAR(Nov_Dim1+18)=Année_Calendaire,MONTH(Nov_Dim1+18)=11),Nov_Dim1+18,""))</f>
        <v>41956</v>
      </c>
      <c r="V28" s="22">
        <f>IF(DAY(Nov_Dim1)=1,IF(AND(YEAR(Nov_Dim1+12)=Année_Calendaire,MONTH(Nov_Dim1+12)=11),Nov_Dim1+12,""),IF(AND(YEAR(Nov_Dim1+19)=Année_Calendaire,MONTH(Nov_Dim1+19)=11),Nov_Dim1+19,""))</f>
        <v>41957</v>
      </c>
      <c r="W28" s="22">
        <f>IF(DAY(Nov_Dim1)=1,IF(AND(YEAR(Nov_Dim1+13)=Année_Calendaire,MONTH(Nov_Dim1+13)=11),Nov_Dim1+13,""),IF(AND(YEAR(Nov_Dim1+20)=Année_Calendaire,MONTH(Nov_Dim1+20)=11),Nov_Dim1+20,""))</f>
        <v>41958</v>
      </c>
      <c r="X28" s="22">
        <f>IF(DAY(Nov_Dim1)=1,IF(AND(YEAR(Nov_Dim1+14)=Année_Calendaire,MONTH(Nov_Dim1+14)=11),Nov_Dim1+14,""),IF(AND(YEAR(Nov_Dim1+21)=Année_Calendaire,MONTH(Nov_Dim1+21)=11),Nov_Dim1+21,""))</f>
        <v>41959</v>
      </c>
      <c r="Z28" s="22">
        <f>IF(DAY(Déc_Dim1)=1,IF(AND(YEAR(Déc_Dim1+8)=Année_Calendaire,MONTH(Déc_Dim1+8)=12),Déc_Dim1+8,""),IF(AND(YEAR(Déc_Dim1+15)=Année_Calendaire,MONTH(Déc_Dim1+15)=12),Déc_Dim1+15,""))</f>
        <v>41988</v>
      </c>
      <c r="AA28" s="22">
        <f>IF(DAY(Déc_Dim1)=1,IF(AND(YEAR(Déc_Dim1+9)=Année_Calendaire,MONTH(Déc_Dim1+9)=12),Déc_Dim1+9,""),IF(AND(YEAR(Déc_Dim1+16)=Année_Calendaire,MONTH(Déc_Dim1+16)=12),Déc_Dim1+16,""))</f>
        <v>41989</v>
      </c>
      <c r="AB28" s="22">
        <f>IF(DAY(Déc_Dim1)=1,IF(AND(YEAR(Déc_Dim1+10)=Année_Calendaire,MONTH(Déc_Dim1+10)=12),Déc_Dim1+10,""),IF(AND(YEAR(Déc_Dim1+17)=Année_Calendaire,MONTH(Déc_Dim1+17)=12),Déc_Dim1+17,""))</f>
        <v>41990</v>
      </c>
      <c r="AC28" s="22">
        <f>IF(DAY(Déc_Dim1)=1,IF(AND(YEAR(Déc_Dim1+11)=Année_Calendaire,MONTH(Déc_Dim1+11)=12),Déc_Dim1+11,""),IF(AND(YEAR(Déc_Dim1+18)=Année_Calendaire,MONTH(Déc_Dim1+18)=12),Déc_Dim1+18,""))</f>
        <v>41991</v>
      </c>
      <c r="AD28" s="22">
        <f>IF(DAY(Déc_Dim1)=1,IF(AND(YEAR(Déc_Dim1+12)=Année_Calendaire,MONTH(Déc_Dim1+12)=12),Déc_Dim1+12,""),IF(AND(YEAR(Déc_Dim1+19)=Année_Calendaire,MONTH(Déc_Dim1+19)=12),Déc_Dim1+19,""))</f>
        <v>41992</v>
      </c>
      <c r="AE28" s="22">
        <f>IF(DAY(Déc_Dim1)=1,IF(AND(YEAR(Déc_Dim1+13)=Année_Calendaire,MONTH(Déc_Dim1+13)=12),Déc_Dim1+13,""),IF(AND(YEAR(Déc_Dim1+20)=Année_Calendaire,MONTH(Déc_Dim1+20)=12),Déc_Dim1+20,""))</f>
        <v>41993</v>
      </c>
      <c r="AF28" s="22">
        <f>IF(DAY(Déc_Dim1)=1,IF(AND(YEAR(Déc_Dim1+14)=Année_Calendaire,MONTH(Déc_Dim1+14)=12),Déc_Dim1+14,""),IF(AND(YEAR(Déc_Dim1+21)=Année_Calendaire,MONTH(Déc_Dim1+21)=12),Déc_Dim1+21,""))</f>
        <v>41994</v>
      </c>
    </row>
    <row r="29" spans="1:32" ht="14.85" customHeight="1">
      <c r="B29" s="22">
        <f>IF(DAY(Sep_Dim1)=1,IF(AND(YEAR(Sep_Dim1+15)=Année_Calendaire,MONTH(Sep_Dim1+15)=9),Sep_Dim1+15,""),IF(AND(YEAR(Sep_Dim1+22)=Année_Calendaire,MONTH(Sep_Dim1+22)=9),Sep_Dim1+22,""))</f>
        <v>41904</v>
      </c>
      <c r="C29" s="22">
        <f>IF(DAY(Sep_Dim1)=1,IF(AND(YEAR(Sep_Dim1+16)=Année_Calendaire,MONTH(Sep_Dim1+16)=9),Sep_Dim1+16,""),IF(AND(YEAR(Sep_Dim1+23)=Année_Calendaire,MONTH(Sep_Dim1+23)=9),Sep_Dim1+23,""))</f>
        <v>41905</v>
      </c>
      <c r="D29" s="22">
        <f>IF(DAY(Sep_Dim1)=1,IF(AND(YEAR(Sep_Dim1+17)=Année_Calendaire,MONTH(Sep_Dim1+17)=9),Sep_Dim1+17,""),IF(AND(YEAR(Sep_Dim1+24)=Année_Calendaire,MONTH(Sep_Dim1+24)=9),Sep_Dim1+24,""))</f>
        <v>41906</v>
      </c>
      <c r="E29" s="22">
        <f>IF(DAY(Sep_Dim1)=1,IF(AND(YEAR(Sep_Dim1+18)=Année_Calendaire,MONTH(Sep_Dim1+18)=9),Sep_Dim1+18,""),IF(AND(YEAR(Sep_Dim1+25)=Année_Calendaire,MONTH(Sep_Dim1+25)=9),Sep_Dim1+25,""))</f>
        <v>41907</v>
      </c>
      <c r="F29" s="22">
        <f>IF(DAY(Sep_Dim1)=1,IF(AND(YEAR(Sep_Dim1+19)=Année_Calendaire,MONTH(Sep_Dim1+19)=9),Sep_Dim1+19,""),IF(AND(YEAR(Sep_Dim1+26)=Année_Calendaire,MONTH(Sep_Dim1+26)=9),Sep_Dim1+26,""))</f>
        <v>41908</v>
      </c>
      <c r="G29" s="22">
        <f>IF(DAY(Sep_Dim1)=1,IF(AND(YEAR(Sep_Dim1+20)=Année_Calendaire,MONTH(Sep_Dim1+20)=9),Sep_Dim1+20,""),IF(AND(YEAR(Sep_Dim1+27)=Année_Calendaire,MONTH(Sep_Dim1+27)=9),Sep_Dim1+27,""))</f>
        <v>41909</v>
      </c>
      <c r="H29" s="22">
        <f>IF(DAY(Sep_Dim1)=1,IF(AND(YEAR(Sep_Dim1+21)=Année_Calendaire,MONTH(Sep_Dim1+21)=9),Sep_Dim1+21,""),IF(AND(YEAR(Sep_Dim1+28)=Année_Calendaire,MONTH(Sep_Dim1+28)=9),Sep_Dim1+28,""))</f>
        <v>41910</v>
      </c>
      <c r="J29" s="22">
        <f>IF(DAY(Oct_Dim1)=1,IF(AND(YEAR(Oct_Dim1+15)=Année_Calendaire,MONTH(Oct_Dim1+15)=10),Oct_Dim1+15,""),IF(AND(YEAR(Oct_Dim1+22)=Année_Calendaire,MONTH(Oct_Dim1+22)=10),Oct_Dim1+22,""))</f>
        <v>41932</v>
      </c>
      <c r="K29" s="22">
        <f>IF(DAY(Oct_Dim1)=1,IF(AND(YEAR(Oct_Dim1+16)=Année_Calendaire,MONTH(Oct_Dim1+16)=10),Oct_Dim1+16,""),IF(AND(YEAR(Oct_Dim1+23)=Année_Calendaire,MONTH(Oct_Dim1+23)=10),Oct_Dim1+23,""))</f>
        <v>41933</v>
      </c>
      <c r="L29" s="22">
        <f>IF(DAY(Oct_Dim1)=1,IF(AND(YEAR(Oct_Dim1+17)=Année_Calendaire,MONTH(Oct_Dim1+17)=10),Oct_Dim1+17,""),IF(AND(YEAR(Oct_Dim1+24)=Année_Calendaire,MONTH(Oct_Dim1+24)=10),Oct_Dim1+24,""))</f>
        <v>41934</v>
      </c>
      <c r="M29" s="22">
        <f>IF(DAY(Oct_Dim1)=1,IF(AND(YEAR(Oct_Dim1+18)=Année_Calendaire,MONTH(Oct_Dim1+18)=10),Oct_Dim1+18,""),IF(AND(YEAR(Oct_Dim1+25)=Année_Calendaire,MONTH(Oct_Dim1+25)=10),Oct_Dim1+25,""))</f>
        <v>41935</v>
      </c>
      <c r="N29" s="22">
        <f>IF(DAY(Oct_Dim1)=1,IF(AND(YEAR(Oct_Dim1+19)=Année_Calendaire,MONTH(Oct_Dim1+19)=10),Oct_Dim1+19,""),IF(AND(YEAR(Oct_Dim1+26)=Année_Calendaire,MONTH(Oct_Dim1+26)=10),Oct_Dim1+26,""))</f>
        <v>41936</v>
      </c>
      <c r="O29" s="22">
        <f>IF(DAY(Oct_Dim1)=1,IF(AND(YEAR(Oct_Dim1+20)=Année_Calendaire,MONTH(Oct_Dim1+20)=10),Oct_Dim1+20,""),IF(AND(YEAR(Oct_Dim1+27)=Année_Calendaire,MONTH(Oct_Dim1+27)=10),Oct_Dim1+27,""))</f>
        <v>41937</v>
      </c>
      <c r="P29" s="22">
        <f>IF(DAY(Oct_Dim1)=1,IF(AND(YEAR(Oct_Dim1+21)=Année_Calendaire,MONTH(Oct_Dim1+21)=10),Oct_Dim1+21,""),IF(AND(YEAR(Oct_Dim1+28)=Année_Calendaire,MONTH(Oct_Dim1+28)=10),Oct_Dim1+28,""))</f>
        <v>41938</v>
      </c>
      <c r="Q29" s="9"/>
      <c r="R29" s="22">
        <f>IF(DAY(Nov_Dim1)=1,IF(AND(YEAR(Nov_Dim1+15)=Année_Calendaire,MONTH(Nov_Dim1+15)=11),Nov_Dim1+15,""),IF(AND(YEAR(Nov_Dim1+22)=Année_Calendaire,MONTH(Nov_Dim1+22)=11),Nov_Dim1+22,""))</f>
        <v>41960</v>
      </c>
      <c r="S29" s="22">
        <f>IF(DAY(Nov_Dim1)=1,IF(AND(YEAR(Nov_Dim1+16)=Année_Calendaire,MONTH(Nov_Dim1+16)=11),Nov_Dim1+16,""),IF(AND(YEAR(Nov_Dim1+23)=Année_Calendaire,MONTH(Nov_Dim1+23)=11),Nov_Dim1+23,""))</f>
        <v>41961</v>
      </c>
      <c r="T29" s="22">
        <f>IF(DAY(Nov_Dim1)=1,IF(AND(YEAR(Nov_Dim1+17)=Année_Calendaire,MONTH(Nov_Dim1+17)=11),Nov_Dim1+17,""),IF(AND(YEAR(Nov_Dim1+24)=Année_Calendaire,MONTH(Nov_Dim1+24)=11),Nov_Dim1+24,""))</f>
        <v>41962</v>
      </c>
      <c r="U29" s="22">
        <f>IF(DAY(Nov_Dim1)=1,IF(AND(YEAR(Nov_Dim1+18)=Année_Calendaire,MONTH(Nov_Dim1+18)=11),Nov_Dim1+18,""),IF(AND(YEAR(Nov_Dim1+25)=Année_Calendaire,MONTH(Nov_Dim1+25)=11),Nov_Dim1+25,""))</f>
        <v>41963</v>
      </c>
      <c r="V29" s="22">
        <f>IF(DAY(Nov_Dim1)=1,IF(AND(YEAR(Nov_Dim1+19)=Année_Calendaire,MONTH(Nov_Dim1+19)=11),Nov_Dim1+19,""),IF(AND(YEAR(Nov_Dim1+26)=Année_Calendaire,MONTH(Nov_Dim1+26)=11),Nov_Dim1+26,""))</f>
        <v>41964</v>
      </c>
      <c r="W29" s="22">
        <f>IF(DAY(Nov_Dim1)=1,IF(AND(YEAR(Nov_Dim1+20)=Année_Calendaire,MONTH(Nov_Dim1+20)=11),Nov_Dim1+20,""),IF(AND(YEAR(Nov_Dim1+27)=Année_Calendaire,MONTH(Nov_Dim1+27)=11),Nov_Dim1+27,""))</f>
        <v>41965</v>
      </c>
      <c r="X29" s="22">
        <f>IF(DAY(Nov_Dim1)=1,IF(AND(YEAR(Nov_Dim1+21)=Année_Calendaire,MONTH(Nov_Dim1+21)=11),Nov_Dim1+21,""),IF(AND(YEAR(Nov_Dim1+28)=Année_Calendaire,MONTH(Nov_Dim1+28)=11),Nov_Dim1+28,""))</f>
        <v>41966</v>
      </c>
      <c r="Z29" s="22">
        <f>IF(DAY(Déc_Dim1)=1,IF(AND(YEAR(Déc_Dim1+15)=Année_Calendaire,MONTH(Déc_Dim1+15)=12),Déc_Dim1+15,""),IF(AND(YEAR(Déc_Dim1+22)=Année_Calendaire,MONTH(Déc_Dim1+22)=12),Déc_Dim1+22,""))</f>
        <v>41995</v>
      </c>
      <c r="AA29" s="22">
        <f>IF(DAY(Déc_Dim1)=1,IF(AND(YEAR(Déc_Dim1+16)=Année_Calendaire,MONTH(Déc_Dim1+16)=12),Déc_Dim1+16,""),IF(AND(YEAR(Déc_Dim1+23)=Année_Calendaire,MONTH(Déc_Dim1+23)=12),Déc_Dim1+23,""))</f>
        <v>41996</v>
      </c>
      <c r="AB29" s="22">
        <f>IF(DAY(Déc_Dim1)=1,IF(AND(YEAR(Déc_Dim1+17)=Année_Calendaire,MONTH(Déc_Dim1+17)=12),Déc_Dim1+17,""),IF(AND(YEAR(Déc_Dim1+24)=Année_Calendaire,MONTH(Déc_Dim1+24)=12),Déc_Dim1+24,""))</f>
        <v>41997</v>
      </c>
      <c r="AC29" s="22">
        <f>IF(DAY(Déc_Dim1)=1,IF(AND(YEAR(Déc_Dim1+18)=Année_Calendaire,MONTH(Déc_Dim1+18)=12),Déc_Dim1+18,""),IF(AND(YEAR(Déc_Dim1+25)=Année_Calendaire,MONTH(Déc_Dim1+25)=12),Déc_Dim1+25,""))</f>
        <v>41998</v>
      </c>
      <c r="AD29" s="22">
        <f>IF(DAY(Déc_Dim1)=1,IF(AND(YEAR(Déc_Dim1+19)=Année_Calendaire,MONTH(Déc_Dim1+19)=12),Déc_Dim1+19,""),IF(AND(YEAR(Déc_Dim1+26)=Année_Calendaire,MONTH(Déc_Dim1+26)=12),Déc_Dim1+26,""))</f>
        <v>41999</v>
      </c>
      <c r="AE29" s="22">
        <f>IF(DAY(Déc_Dim1)=1,IF(AND(YEAR(Déc_Dim1+20)=Année_Calendaire,MONTH(Déc_Dim1+20)=12),Déc_Dim1+20,""),IF(AND(YEAR(Déc_Dim1+27)=Année_Calendaire,MONTH(Déc_Dim1+27)=12),Déc_Dim1+27,""))</f>
        <v>42000</v>
      </c>
      <c r="AF29" s="22">
        <f>IF(DAY(Déc_Dim1)=1,IF(AND(YEAR(Déc_Dim1+21)=Année_Calendaire,MONTH(Déc_Dim1+21)=12),Déc_Dim1+21,""),IF(AND(YEAR(Déc_Dim1+28)=Année_Calendaire,MONTH(Déc_Dim1+28)=12),Déc_Dim1+28,""))</f>
        <v>42001</v>
      </c>
    </row>
    <row r="30" spans="1:32" ht="14.85" customHeight="1">
      <c r="B30" s="22">
        <f>IF(DAY(Sep_Dim1)=1,IF(AND(YEAR(Sep_Dim1+22)=Année_Calendaire,MONTH(Sep_Dim1+22)=9),Sep_Dim1+22,""),IF(AND(YEAR(Sep_Dim1+29)=Année_Calendaire,MONTH(Sep_Dim1+29)=9),Sep_Dim1+29,""))</f>
        <v>41911</v>
      </c>
      <c r="C30" s="22">
        <f>IF(DAY(Sep_Dim1)=1,IF(AND(YEAR(Sep_Dim1+23)=Année_Calendaire,MONTH(Sep_Dim1+23)=9),Sep_Dim1+23,""),IF(AND(YEAR(Sep_Dim1+30)=Année_Calendaire,MONTH(Sep_Dim1+30)=9),Sep_Dim1+30,""))</f>
        <v>41912</v>
      </c>
      <c r="D30" s="22" t="str">
        <f>IF(DAY(Sep_Dim1)=1,IF(AND(YEAR(Sep_Dim1+24)=Année_Calendaire,MONTH(Sep_Dim1+24)=9),Sep_Dim1+24,""),IF(AND(YEAR(Sep_Dim1+31)=Année_Calendaire,MONTH(Sep_Dim1+31)=9),Sep_Dim1+31,""))</f>
        <v/>
      </c>
      <c r="E30" s="22" t="str">
        <f>IF(DAY(Sep_Dim1)=1,IF(AND(YEAR(Sep_Dim1+25)=Année_Calendaire,MONTH(Sep_Dim1+25)=9),Sep_Dim1+25,""),IF(AND(YEAR(Sep_Dim1+32)=Année_Calendaire,MONTH(Sep_Dim1+32)=9),Sep_Dim1+32,""))</f>
        <v/>
      </c>
      <c r="F30" s="22" t="str">
        <f>IF(DAY(Sep_Dim1)=1,IF(AND(YEAR(Sep_Dim1+26)=Année_Calendaire,MONTH(Sep_Dim1+26)=9),Sep_Dim1+26,""),IF(AND(YEAR(Sep_Dim1+33)=Année_Calendaire,MONTH(Sep_Dim1+33)=9),Sep_Dim1+33,""))</f>
        <v/>
      </c>
      <c r="G30" s="22" t="str">
        <f>IF(DAY(Sep_Dim1)=1,IF(AND(YEAR(Sep_Dim1+27)=Année_Calendaire,MONTH(Sep_Dim1+27)=9),Sep_Dim1+27,""),IF(AND(YEAR(Sep_Dim1+34)=Année_Calendaire,MONTH(Sep_Dim1+34)=9),Sep_Dim1+34,""))</f>
        <v/>
      </c>
      <c r="H30" s="22" t="str">
        <f>IF(DAY(Sep_Dim1)=1,IF(AND(YEAR(Sep_Dim1+28)=Année_Calendaire,MONTH(Sep_Dim1+28)=9),Sep_Dim1+28,""),IF(AND(YEAR(Sep_Dim1+35)=Année_Calendaire,MONTH(Sep_Dim1+35)=9),Sep_Dim1+35,""))</f>
        <v/>
      </c>
      <c r="J30" s="22">
        <f>IF(DAY(Oct_Dim1)=1,IF(AND(YEAR(Oct_Dim1+22)=Année_Calendaire,MONTH(Oct_Dim1+22)=10),Oct_Dim1+22,""),IF(AND(YEAR(Oct_Dim1+29)=Année_Calendaire,MONTH(Oct_Dim1+29)=10),Oct_Dim1+29,""))</f>
        <v>41939</v>
      </c>
      <c r="K30" s="22">
        <f>IF(DAY(Oct_Dim1)=1,IF(AND(YEAR(Oct_Dim1+23)=Année_Calendaire,MONTH(Oct_Dim1+23)=10),Oct_Dim1+23,""),IF(AND(YEAR(Oct_Dim1+30)=Année_Calendaire,MONTH(Oct_Dim1+30)=10),Oct_Dim1+30,""))</f>
        <v>41940</v>
      </c>
      <c r="L30" s="22">
        <f>IF(DAY(Oct_Dim1)=1,IF(AND(YEAR(Oct_Dim1+24)=Année_Calendaire,MONTH(Oct_Dim1+24)=10),Oct_Dim1+24,""),IF(AND(YEAR(Oct_Dim1+31)=Année_Calendaire,MONTH(Oct_Dim1+31)=10),Oct_Dim1+31,""))</f>
        <v>41941</v>
      </c>
      <c r="M30" s="22">
        <f>IF(DAY(Oct_Dim1)=1,IF(AND(YEAR(Oct_Dim1+25)=Année_Calendaire,MONTH(Oct_Dim1+25)=10),Oct_Dim1+25,""),IF(AND(YEAR(Oct_Dim1+32)=Année_Calendaire,MONTH(Oct_Dim1+32)=10),Oct_Dim1+32,""))</f>
        <v>41942</v>
      </c>
      <c r="N30" s="22">
        <f>IF(DAY(Oct_Dim1)=1,IF(AND(YEAR(Oct_Dim1+26)=Année_Calendaire,MONTH(Oct_Dim1+26)=10),Oct_Dim1+26,""),IF(AND(YEAR(Oct_Dim1+33)=Année_Calendaire,MONTH(Oct_Dim1+33)=10),Oct_Dim1+33,""))</f>
        <v>41943</v>
      </c>
      <c r="O30" s="22" t="str">
        <f>IF(DAY(Oct_Dim1)=1,IF(AND(YEAR(Oct_Dim1+27)=Année_Calendaire,MONTH(Oct_Dim1+27)=10),Oct_Dim1+27,""),IF(AND(YEAR(Oct_Dim1+34)=Année_Calendaire,MONTH(Oct_Dim1+34)=10),Oct_Dim1+34,""))</f>
        <v/>
      </c>
      <c r="P30" s="22" t="str">
        <f>IF(DAY(Oct_Dim1)=1,IF(AND(YEAR(Oct_Dim1+28)=Année_Calendaire,MONTH(Oct_Dim1+28)=10),Oct_Dim1+28,""),IF(AND(YEAR(Oct_Dim1+35)=Année_Calendaire,MONTH(Oct_Dim1+35)=10),Oct_Dim1+35,""))</f>
        <v/>
      </c>
      <c r="R30" s="22">
        <f>IF(DAY(Nov_Dim1)=1,IF(AND(YEAR(Nov_Dim1+22)=Année_Calendaire,MONTH(Nov_Dim1+22)=11),Nov_Dim1+22,""),IF(AND(YEAR(Nov_Dim1+29)=Année_Calendaire,MONTH(Nov_Dim1+29)=11),Nov_Dim1+29,""))</f>
        <v>41967</v>
      </c>
      <c r="S30" s="22">
        <f>IF(DAY(Nov_Dim1)=1,IF(AND(YEAR(Nov_Dim1+23)=Année_Calendaire,MONTH(Nov_Dim1+23)=11),Nov_Dim1+23,""),IF(AND(YEAR(Nov_Dim1+30)=Année_Calendaire,MONTH(Nov_Dim1+30)=11),Nov_Dim1+30,""))</f>
        <v>41968</v>
      </c>
      <c r="T30" s="22">
        <f>IF(DAY(Nov_Dim1)=1,IF(AND(YEAR(Nov_Dim1+24)=Année_Calendaire,MONTH(Nov_Dim1+24)=11),Nov_Dim1+24,""),IF(AND(YEAR(Nov_Dim1+31)=Année_Calendaire,MONTH(Nov_Dim1+31)=11),Nov_Dim1+31,""))</f>
        <v>41969</v>
      </c>
      <c r="U30" s="22">
        <f>IF(DAY(Nov_Dim1)=1,IF(AND(YEAR(Nov_Dim1+25)=Année_Calendaire,MONTH(Nov_Dim1+25)=11),Nov_Dim1+25,""),IF(AND(YEAR(Nov_Dim1+32)=Année_Calendaire,MONTH(Nov_Dim1+32)=11),Nov_Dim1+32,""))</f>
        <v>41970</v>
      </c>
      <c r="V30" s="22">
        <f>IF(DAY(Nov_Dim1)=1,IF(AND(YEAR(Nov_Dim1+26)=Année_Calendaire,MONTH(Nov_Dim1+26)=11),Nov_Dim1+26,""),IF(AND(YEAR(Nov_Dim1+33)=Année_Calendaire,MONTH(Nov_Dim1+33)=11),Nov_Dim1+33,""))</f>
        <v>41971</v>
      </c>
      <c r="W30" s="22">
        <f>IF(DAY(Nov_Dim1)=1,IF(AND(YEAR(Nov_Dim1+27)=Année_Calendaire,MONTH(Nov_Dim1+27)=11),Nov_Dim1+27,""),IF(AND(YEAR(Nov_Dim1+34)=Année_Calendaire,MONTH(Nov_Dim1+34)=11),Nov_Dim1+34,""))</f>
        <v>41972</v>
      </c>
      <c r="X30" s="22">
        <f>IF(DAY(Nov_Dim1)=1,IF(AND(YEAR(Nov_Dim1+28)=Année_Calendaire,MONTH(Nov_Dim1+28)=11),Nov_Dim1+28,""),IF(AND(YEAR(Nov_Dim1+35)=Année_Calendaire,MONTH(Nov_Dim1+35)=11),Nov_Dim1+35,""))</f>
        <v>41973</v>
      </c>
      <c r="Z30" s="22">
        <f>IF(DAY(Déc_Dim1)=1,IF(AND(YEAR(Déc_Dim1+22)=Année_Calendaire,MONTH(Déc_Dim1+22)=12),Déc_Dim1+22,""),IF(AND(YEAR(Déc_Dim1+29)=Année_Calendaire,MONTH(Déc_Dim1+29)=12),Déc_Dim1+29,""))</f>
        <v>42002</v>
      </c>
      <c r="AA30" s="22">
        <f>IF(DAY(Déc_Dim1)=1,IF(AND(YEAR(Déc_Dim1+23)=Année_Calendaire,MONTH(Déc_Dim1+23)=12),Déc_Dim1+23,""),IF(AND(YEAR(Déc_Dim1+30)=Année_Calendaire,MONTH(Déc_Dim1+30)=12),Déc_Dim1+30,""))</f>
        <v>42003</v>
      </c>
      <c r="AB30" s="22">
        <f>IF(DAY(Déc_Dim1)=1,IF(AND(YEAR(Déc_Dim1+24)=Année_Calendaire,MONTH(Déc_Dim1+24)=12),Déc_Dim1+24,""),IF(AND(YEAR(Déc_Dim1+31)=Année_Calendaire,MONTH(Déc_Dim1+31)=12),Déc_Dim1+31,""))</f>
        <v>42004</v>
      </c>
      <c r="AC30" s="22" t="str">
        <f>IF(DAY(Déc_Dim1)=1,IF(AND(YEAR(Déc_Dim1+25)=Année_Calendaire,MONTH(Déc_Dim1+25)=12),Déc_Dim1+25,""),IF(AND(YEAR(Déc_Dim1+32)=Année_Calendaire,MONTH(Déc_Dim1+32)=12),Déc_Dim1+32,""))</f>
        <v/>
      </c>
      <c r="AD30" s="22" t="str">
        <f>IF(DAY(Déc_Dim1)=1,IF(AND(YEAR(Déc_Dim1+26)=Année_Calendaire,MONTH(Déc_Dim1+26)=12),Déc_Dim1+26,""),IF(AND(YEAR(Déc_Dim1+33)=Année_Calendaire,MONTH(Déc_Dim1+33)=12),Déc_Dim1+33,""))</f>
        <v/>
      </c>
      <c r="AE30" s="22" t="str">
        <f>IF(DAY(Déc_Dim1)=1,IF(AND(YEAR(Déc_Dim1+27)=Année_Calendaire,MONTH(Déc_Dim1+27)=12),Déc_Dim1+27,""),IF(AND(YEAR(Déc_Dim1+34)=Année_Calendaire,MONTH(Déc_Dim1+34)=12),Déc_Dim1+34,""))</f>
        <v/>
      </c>
      <c r="AF30" s="22" t="str">
        <f>IF(DAY(Déc_Dim1)=1,IF(AND(YEAR(Déc_Dim1+28)=Année_Calendaire,MONTH(Déc_Dim1+28)=12),Déc_Dim1+28,""),IF(AND(YEAR(Déc_Dim1+35)=Année_Calendaire,MONTH(Déc_Dim1+35)=12),Déc_Dim1+35,""))</f>
        <v/>
      </c>
    </row>
    <row r="31" spans="1:32" ht="14.85" customHeight="1"/>
  </sheetData>
  <mergeCells count="1">
    <mergeCell ref="V1:Y1"/>
  </mergeCells>
  <dataValidations count="1">
    <dataValidation allowBlank="1" showInputMessage="1" showErrorMessage="1" errorTitle="Invalid Year" error="Enter a year from 1900 to 9999, or use the scroll bar to find a year." sqref="V1"/>
  </dataValidations>
  <pageMargins left="0.7" right="0.7" top="0.75" bottom="0.75" header="0.3" footer="0.3"/>
  <drawing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O7" sqref="O7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Base de données</vt:lpstr>
      <vt:lpstr>Menu</vt:lpstr>
      <vt:lpstr>Matériel d'entraiment</vt:lpstr>
      <vt:lpstr>Engins et haies</vt:lpstr>
      <vt:lpstr>perches</vt:lpstr>
      <vt:lpstr>Matériels de juge</vt:lpstr>
      <vt:lpstr>Equipements sportif</vt:lpstr>
      <vt:lpstr>Trousseaux de clefs</vt:lpstr>
      <vt:lpstr>historique des saisie</vt:lpstr>
      <vt:lpstr>Statistique</vt:lpstr>
      <vt:lpstr>Année_Calendaire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Guillot</dc:creator>
  <cp:lastModifiedBy>Rémi Guillot</cp:lastModifiedBy>
  <dcterms:created xsi:type="dcterms:W3CDTF">2014-06-10T10:16:31Z</dcterms:created>
  <dcterms:modified xsi:type="dcterms:W3CDTF">2014-06-16T17:07:45Z</dcterms:modified>
</cp:coreProperties>
</file>