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Baileys\Desktop\SARL MODEX\MODEX PC JPD\AFFAIRES\Yussouf Mohamed\"/>
    </mc:Choice>
  </mc:AlternateContent>
  <bookViews>
    <workbookView xWindow="-12" yWindow="108" windowWidth="15576" windowHeight="8040" tabRatio="442" firstSheet="2" activeTab="2"/>
  </bookViews>
  <sheets>
    <sheet name="surfaces" sheetId="13" r:id="rId1"/>
    <sheet name="SYNTHESE" sheetId="22" r:id="rId2"/>
    <sheet name="Budget" sheetId="4" r:id="rId3"/>
    <sheet name="Estimation" sheetId="15" r:id="rId4"/>
    <sheet name="GRILLE" sheetId="14" r:id="rId5"/>
    <sheet name="Plan de trésorerie" sheetId="3" r:id="rId6"/>
    <sheet name="Amortissement" sheetId="19" r:id="rId7"/>
    <sheet name="Tab. Définitif 9-12-11" sheetId="21" r:id="rId8"/>
  </sheets>
  <externalReferences>
    <externalReference r:id="rId9"/>
    <externalReference r:id="rId10"/>
  </externalReferences>
  <definedNames>
    <definedName name="annee">Amortissement!$G$5</definedName>
    <definedName name="coutassurance">Amortissement!$F$24</definedName>
    <definedName name="coutinterets">Amortissement!$F$22</definedName>
    <definedName name="couttotal">Amortissement!$F$26</definedName>
    <definedName name="dureepret">Amortissement!$F$9</definedName>
    <definedName name="mensualiteassurance">Amortissement!$F$18</definedName>
    <definedName name="mensualitehorsassurance">Amortissement!$F$16</definedName>
    <definedName name="mensualitetotale">Amortissement!$F$20</definedName>
    <definedName name="mois">Amortissement!$F$5</definedName>
    <definedName name="pret">Amortissement!$F$7</definedName>
    <definedName name="tauxassurance">Amortissement!$F$13</definedName>
    <definedName name="tauxinteret">Amortissement!$F$11</definedName>
    <definedName name="test">Amortissement!$K$7</definedName>
    <definedName name="_xlnm.Print_Area" localSheetId="2">Budget!$A$1:$F$90</definedName>
    <definedName name="_xlnm.Print_Area" localSheetId="3">Estimation!$A$1:$J$31</definedName>
    <definedName name="_xlnm.Print_Area" localSheetId="4">GRILLE!$A$1:$K$29</definedName>
    <definedName name="_xlnm.Print_Area" localSheetId="5">'Plan de trésorerie'!$A$1:$AB$59</definedName>
    <definedName name="_xlnm.Print_Area" localSheetId="0">surfaces!$A$1:$L$16</definedName>
    <definedName name="_xlnm.Print_Area" localSheetId="1">SYNTHESE!$A$1:$F$90</definedName>
  </definedNames>
  <calcPr calcId="152511" concurrentCalc="0"/>
</workbook>
</file>

<file path=xl/calcChain.xml><?xml version="1.0" encoding="utf-8"?>
<calcChain xmlns="http://schemas.openxmlformats.org/spreadsheetml/2006/main">
  <c r="D15" i="4" l="1"/>
  <c r="F15" i="4"/>
  <c r="B14" i="3"/>
  <c r="F14" i="3"/>
  <c r="D16" i="4"/>
  <c r="F16" i="4"/>
  <c r="B15" i="3"/>
  <c r="F15" i="3"/>
  <c r="E32" i="4"/>
  <c r="F32" i="4"/>
  <c r="F8" i="15"/>
  <c r="E17" i="15"/>
  <c r="E19" i="15"/>
  <c r="E21" i="15"/>
  <c r="E22" i="15"/>
  <c r="E23" i="15"/>
  <c r="C8" i="15"/>
  <c r="E25" i="15"/>
  <c r="E27" i="15"/>
  <c r="E29" i="15"/>
  <c r="E31" i="15"/>
  <c r="D35" i="4"/>
  <c r="E35" i="4"/>
  <c r="F35" i="4"/>
  <c r="F38" i="4"/>
  <c r="B40" i="4"/>
  <c r="D40" i="4"/>
  <c r="E40" i="4"/>
  <c r="F40" i="4"/>
  <c r="B31" i="3"/>
  <c r="F31" i="3"/>
  <c r="B41" i="4"/>
  <c r="D41" i="4"/>
  <c r="E41" i="4"/>
  <c r="F41" i="4"/>
  <c r="B32" i="3"/>
  <c r="F32" i="3"/>
  <c r="D38" i="4"/>
  <c r="D42" i="4"/>
  <c r="E42" i="4"/>
  <c r="F42" i="4"/>
  <c r="D43" i="4"/>
  <c r="E43" i="4"/>
  <c r="F43" i="4"/>
  <c r="F45" i="4"/>
  <c r="B51" i="4"/>
  <c r="D51" i="4"/>
  <c r="F51" i="4"/>
  <c r="B39" i="3"/>
  <c r="F39" i="3"/>
  <c r="D52" i="4"/>
  <c r="F52" i="4"/>
  <c r="B40" i="3"/>
  <c r="F40" i="3"/>
  <c r="F23" i="4"/>
  <c r="F49" i="4"/>
  <c r="E45" i="4"/>
  <c r="E38" i="4"/>
  <c r="D90" i="4"/>
  <c r="K30" i="14"/>
  <c r="E90" i="4"/>
  <c r="D50" i="4"/>
  <c r="E50" i="4"/>
  <c r="F50" i="4"/>
  <c r="B37" i="3"/>
  <c r="H37" i="3"/>
  <c r="B24" i="3"/>
  <c r="H24" i="3"/>
  <c r="B28" i="3"/>
  <c r="H28" i="3"/>
  <c r="B29" i="3"/>
  <c r="H29" i="3"/>
  <c r="H31" i="3"/>
  <c r="B33" i="3"/>
  <c r="H33" i="3"/>
  <c r="B34" i="3"/>
  <c r="H34" i="3"/>
  <c r="B38" i="3"/>
  <c r="F38" i="3"/>
  <c r="K37" i="3"/>
  <c r="K28" i="3"/>
  <c r="K29" i="3"/>
  <c r="K32" i="3"/>
  <c r="K33" i="3"/>
  <c r="K34" i="3"/>
  <c r="B45" i="3"/>
  <c r="K45" i="3"/>
  <c r="B46" i="3"/>
  <c r="K46" i="3"/>
  <c r="N37" i="3"/>
  <c r="B21" i="3"/>
  <c r="N21" i="3"/>
  <c r="B22" i="3"/>
  <c r="N22" i="3"/>
  <c r="B23" i="3"/>
  <c r="N23" i="3"/>
  <c r="B26" i="3"/>
  <c r="N26" i="3"/>
  <c r="B27" i="3"/>
  <c r="N27" i="3"/>
  <c r="N28" i="3"/>
  <c r="N29" i="3"/>
  <c r="N32" i="3"/>
  <c r="N33" i="3"/>
  <c r="N34" i="3"/>
  <c r="N45" i="3"/>
  <c r="N46" i="3"/>
  <c r="Q37" i="3"/>
  <c r="Q24" i="3"/>
  <c r="B25" i="3"/>
  <c r="Q25" i="3"/>
  <c r="Q28" i="3"/>
  <c r="Q29" i="3"/>
  <c r="B30" i="3"/>
  <c r="Q30" i="3"/>
  <c r="Q32" i="3"/>
  <c r="Q33" i="3"/>
  <c r="Q34" i="3"/>
  <c r="Q45" i="3"/>
  <c r="Q46" i="3"/>
  <c r="F7" i="4"/>
  <c r="F17" i="15"/>
  <c r="F30" i="15"/>
  <c r="F19" i="15"/>
  <c r="F21" i="15"/>
  <c r="F22" i="15"/>
  <c r="F23" i="15"/>
  <c r="F25" i="15"/>
  <c r="F27" i="15"/>
  <c r="F29" i="15"/>
  <c r="F31" i="15"/>
  <c r="F9" i="15"/>
  <c r="F10" i="15"/>
  <c r="I10" i="15"/>
  <c r="F8" i="4"/>
  <c r="F6" i="4"/>
  <c r="D9" i="4"/>
  <c r="I8" i="15"/>
  <c r="B13" i="3"/>
  <c r="F13" i="3"/>
  <c r="B16" i="3"/>
  <c r="F16" i="3"/>
  <c r="B18" i="3"/>
  <c r="F18" i="3"/>
  <c r="B19" i="3"/>
  <c r="F19" i="3"/>
  <c r="B20" i="3"/>
  <c r="F20" i="3"/>
  <c r="B75" i="4"/>
  <c r="D75" i="4"/>
  <c r="E75" i="4"/>
  <c r="F75" i="4"/>
  <c r="F77" i="4"/>
  <c r="G29" i="3"/>
  <c r="G31" i="3"/>
  <c r="G32" i="3"/>
  <c r="G24" i="3"/>
  <c r="G28" i="3"/>
  <c r="G50" i="3"/>
  <c r="I29" i="3"/>
  <c r="I31" i="3"/>
  <c r="I32" i="3"/>
  <c r="I33" i="3"/>
  <c r="I34" i="3"/>
  <c r="I28" i="3"/>
  <c r="I45" i="3"/>
  <c r="I46" i="3"/>
  <c r="J29" i="3"/>
  <c r="J32" i="3"/>
  <c r="J33" i="3"/>
  <c r="J34" i="3"/>
  <c r="J28" i="3"/>
  <c r="J45" i="3"/>
  <c r="J46" i="3"/>
  <c r="L29" i="3"/>
  <c r="L32" i="3"/>
  <c r="L33" i="3"/>
  <c r="L34" i="3"/>
  <c r="L28" i="3"/>
  <c r="L45" i="3"/>
  <c r="L46" i="3"/>
  <c r="M29" i="3"/>
  <c r="M32" i="3"/>
  <c r="M33" i="3"/>
  <c r="M34" i="3"/>
  <c r="M24" i="3"/>
  <c r="M28" i="3"/>
  <c r="M45" i="3"/>
  <c r="M46" i="3"/>
  <c r="D25" i="4"/>
  <c r="F25" i="4"/>
  <c r="D26" i="4"/>
  <c r="F26" i="4"/>
  <c r="D27" i="4"/>
  <c r="F27" i="4"/>
  <c r="O29" i="3"/>
  <c r="O32" i="3"/>
  <c r="O33" i="3"/>
  <c r="O34" i="3"/>
  <c r="O24" i="3"/>
  <c r="O25" i="3"/>
  <c r="O26" i="3"/>
  <c r="O27" i="3"/>
  <c r="O28" i="3"/>
  <c r="O30" i="3"/>
  <c r="O45" i="3"/>
  <c r="O46" i="3"/>
  <c r="P29" i="3"/>
  <c r="P32" i="3"/>
  <c r="P33" i="3"/>
  <c r="P34" i="3"/>
  <c r="P24" i="3"/>
  <c r="P25" i="3"/>
  <c r="P26" i="3"/>
  <c r="P27" i="3"/>
  <c r="P28" i="3"/>
  <c r="P30" i="3"/>
  <c r="P45" i="3"/>
  <c r="P46" i="3"/>
  <c r="R29" i="3"/>
  <c r="R32" i="3"/>
  <c r="R33" i="3"/>
  <c r="R34" i="3"/>
  <c r="R24" i="3"/>
  <c r="R25" i="3"/>
  <c r="R28" i="3"/>
  <c r="R30" i="3"/>
  <c r="R45" i="3"/>
  <c r="R46" i="3"/>
  <c r="S29" i="3"/>
  <c r="S32" i="3"/>
  <c r="S33" i="3"/>
  <c r="S34" i="3"/>
  <c r="T29" i="3"/>
  <c r="T32" i="3"/>
  <c r="T33" i="3"/>
  <c r="T34" i="3"/>
  <c r="U29" i="3"/>
  <c r="U32" i="3"/>
  <c r="U33" i="3"/>
  <c r="U34" i="3"/>
  <c r="V29" i="3"/>
  <c r="V32" i="3"/>
  <c r="V33" i="3"/>
  <c r="V34" i="3"/>
  <c r="W29" i="3"/>
  <c r="W32" i="3"/>
  <c r="W33" i="3"/>
  <c r="W34" i="3"/>
  <c r="X29" i="3"/>
  <c r="X32" i="3"/>
  <c r="Y29" i="3"/>
  <c r="Y32" i="3"/>
  <c r="Y37" i="3"/>
  <c r="Y45" i="3"/>
  <c r="Y46" i="3"/>
  <c r="B47" i="3"/>
  <c r="Y47" i="3"/>
  <c r="Y50" i="3"/>
  <c r="Y52" i="3"/>
  <c r="Z21" i="3"/>
  <c r="Z22" i="3"/>
  <c r="Z23" i="3"/>
  <c r="Z45" i="3"/>
  <c r="Z46" i="3"/>
  <c r="Z47" i="3"/>
  <c r="Z50" i="3"/>
  <c r="AA45" i="3"/>
  <c r="AA46" i="3"/>
  <c r="AA47" i="3"/>
  <c r="AA50" i="3"/>
  <c r="AB29" i="3"/>
  <c r="AB32" i="3"/>
  <c r="AB24" i="3"/>
  <c r="AB25" i="3"/>
  <c r="AB28" i="3"/>
  <c r="AB30" i="3"/>
  <c r="AB45" i="3"/>
  <c r="AB46" i="3"/>
  <c r="AB47" i="3"/>
  <c r="AB52" i="3"/>
  <c r="B44" i="3"/>
  <c r="E44" i="3"/>
  <c r="E50" i="3"/>
  <c r="C50" i="3"/>
  <c r="D50" i="3"/>
  <c r="AF52" i="3"/>
  <c r="AF53" i="3"/>
  <c r="G54" i="3"/>
  <c r="H54" i="3"/>
  <c r="I54" i="3"/>
  <c r="J54" i="3"/>
  <c r="K54" i="3"/>
  <c r="L54" i="3"/>
  <c r="M54" i="3"/>
  <c r="N54" i="3"/>
  <c r="O54" i="3"/>
  <c r="P54" i="3"/>
  <c r="Q54" i="3"/>
  <c r="R54" i="3"/>
  <c r="S54" i="3"/>
  <c r="T54" i="3"/>
  <c r="U54" i="3"/>
  <c r="V54" i="3"/>
  <c r="W54" i="3"/>
  <c r="X54" i="3"/>
  <c r="Y54" i="3"/>
  <c r="Z54" i="3"/>
  <c r="AA54" i="3"/>
  <c r="AB54" i="3"/>
  <c r="AF32" i="3"/>
  <c r="F28" i="4"/>
  <c r="D6" i="4"/>
  <c r="D7" i="4"/>
  <c r="F72" i="4"/>
  <c r="D54" i="4"/>
  <c r="E54" i="4"/>
  <c r="F54" i="4"/>
  <c r="E55" i="4"/>
  <c r="F55" i="4"/>
  <c r="B56" i="4"/>
  <c r="D56" i="4"/>
  <c r="E56" i="4"/>
  <c r="F56" i="4"/>
  <c r="D17" i="4"/>
  <c r="E17" i="4"/>
  <c r="F17" i="4"/>
  <c r="E19" i="4"/>
  <c r="F19" i="4"/>
  <c r="E20" i="4"/>
  <c r="F20" i="4"/>
  <c r="D21" i="4"/>
  <c r="E21" i="4"/>
  <c r="F21" i="4"/>
  <c r="F14" i="4"/>
  <c r="B22" i="4"/>
  <c r="D22" i="4"/>
  <c r="E22" i="4"/>
  <c r="F22" i="4"/>
  <c r="E28" i="4"/>
  <c r="E23" i="4"/>
  <c r="E77" i="4"/>
  <c r="J6" i="4"/>
  <c r="I38" i="4"/>
  <c r="H77" i="4"/>
  <c r="K77" i="4"/>
  <c r="D77" i="4"/>
  <c r="B77" i="4"/>
  <c r="C77" i="4"/>
  <c r="G75" i="4"/>
  <c r="C75" i="4"/>
  <c r="K74" i="4"/>
  <c r="G74" i="4"/>
  <c r="E28" i="15"/>
  <c r="E26" i="15"/>
  <c r="E24" i="15"/>
  <c r="E18" i="15"/>
  <c r="B23" i="14"/>
  <c r="B24" i="14"/>
  <c r="B25" i="14"/>
  <c r="B26" i="14"/>
  <c r="B27" i="14"/>
  <c r="B28" i="14"/>
  <c r="H26" i="14"/>
  <c r="L26" i="14"/>
  <c r="H27" i="14"/>
  <c r="L27" i="14"/>
  <c r="H20" i="14"/>
  <c r="L20" i="14"/>
  <c r="H24" i="14"/>
  <c r="L24" i="14"/>
  <c r="H22" i="14"/>
  <c r="L22" i="14"/>
  <c r="B2" i="15"/>
  <c r="K29" i="14"/>
  <c r="A17" i="3"/>
  <c r="H12" i="14"/>
  <c r="H13" i="14"/>
  <c r="H14" i="14"/>
  <c r="H15" i="14"/>
  <c r="H16" i="14"/>
  <c r="H17" i="14"/>
  <c r="H18" i="14"/>
  <c r="H19" i="14"/>
  <c r="H21" i="14"/>
  <c r="H23" i="14"/>
  <c r="H25" i="14"/>
  <c r="H28" i="14"/>
  <c r="F15" i="15"/>
  <c r="L28" i="14"/>
  <c r="L25" i="14"/>
  <c r="L23" i="14"/>
  <c r="L21" i="14"/>
  <c r="L19" i="14"/>
  <c r="L17" i="14"/>
  <c r="L16" i="14"/>
  <c r="L14" i="14"/>
  <c r="L12" i="14"/>
  <c r="L18" i="14"/>
  <c r="L15" i="14"/>
  <c r="L13" i="14"/>
  <c r="B13" i="14"/>
  <c r="B14" i="14"/>
  <c r="B15" i="14"/>
  <c r="B16" i="14"/>
  <c r="B17" i="14"/>
  <c r="B18" i="14"/>
  <c r="B19" i="14"/>
  <c r="D8" i="4"/>
  <c r="B20" i="14"/>
  <c r="B21" i="14"/>
  <c r="B22" i="14"/>
  <c r="L29" i="14"/>
  <c r="A19" i="22"/>
  <c r="A20" i="22"/>
  <c r="D20" i="22"/>
  <c r="A21" i="22"/>
  <c r="D21" i="22"/>
  <c r="A22" i="22"/>
  <c r="A23" i="22"/>
  <c r="C23" i="22"/>
  <c r="A24" i="22"/>
  <c r="A25" i="22"/>
  <c r="A26" i="22"/>
  <c r="A27" i="22"/>
  <c r="A28" i="22"/>
  <c r="A29" i="22"/>
  <c r="A30" i="22"/>
  <c r="D30" i="22"/>
  <c r="E30" i="22"/>
  <c r="F30" i="22"/>
  <c r="A31" i="22"/>
  <c r="D31" i="22"/>
  <c r="E31" i="22"/>
  <c r="F31" i="22"/>
  <c r="G31" i="22"/>
  <c r="G39" i="22"/>
  <c r="A32" i="22"/>
  <c r="D32" i="22"/>
  <c r="E32" i="22"/>
  <c r="F32" i="22"/>
  <c r="G32" i="22"/>
  <c r="A33" i="22"/>
  <c r="D33" i="22"/>
  <c r="E33" i="22"/>
  <c r="F33" i="22"/>
  <c r="G33" i="22"/>
  <c r="A34" i="22"/>
  <c r="D34" i="22"/>
  <c r="E34" i="22"/>
  <c r="F34" i="22"/>
  <c r="G34" i="22"/>
  <c r="A35" i="22"/>
  <c r="D35" i="22"/>
  <c r="E35" i="22"/>
  <c r="F35" i="22"/>
  <c r="G35" i="22"/>
  <c r="A36" i="22"/>
  <c r="A37" i="22"/>
  <c r="D37" i="22"/>
  <c r="E37" i="22"/>
  <c r="F37" i="22"/>
  <c r="G37" i="22"/>
  <c r="A38" i="22"/>
  <c r="D38" i="22"/>
  <c r="E38" i="22"/>
  <c r="F38" i="22"/>
  <c r="A39" i="22"/>
  <c r="A40" i="22"/>
  <c r="D40" i="22"/>
  <c r="E40" i="22"/>
  <c r="F40" i="22"/>
  <c r="A41" i="22"/>
  <c r="D41" i="22"/>
  <c r="A42" i="22"/>
  <c r="D42" i="22"/>
  <c r="A43" i="22"/>
  <c r="A44" i="22"/>
  <c r="D45" i="22"/>
  <c r="E45" i="22"/>
  <c r="F45" i="22"/>
  <c r="A46" i="22"/>
  <c r="A47" i="22"/>
  <c r="D47" i="22"/>
  <c r="E47" i="22"/>
  <c r="F47" i="22"/>
  <c r="A48" i="22"/>
  <c r="A49" i="22"/>
  <c r="A50" i="22"/>
  <c r="E50" i="22"/>
  <c r="A51" i="22"/>
  <c r="A52" i="22"/>
  <c r="E52" i="22"/>
  <c r="A53" i="22"/>
  <c r="E53" i="22"/>
  <c r="A54" i="22"/>
  <c r="E54" i="22"/>
  <c r="A55" i="22"/>
  <c r="A56" i="22"/>
  <c r="D56" i="22"/>
  <c r="A57" i="22"/>
  <c r="D58" i="22"/>
  <c r="E58" i="22"/>
  <c r="F58" i="22"/>
  <c r="A59" i="22"/>
  <c r="A60" i="22"/>
  <c r="A61" i="22"/>
  <c r="B61" i="22"/>
  <c r="C61" i="22"/>
  <c r="D61" i="22"/>
  <c r="E61" i="22"/>
  <c r="F61" i="22"/>
  <c r="A62" i="22"/>
  <c r="B62" i="22"/>
  <c r="C62" i="22"/>
  <c r="A63" i="22"/>
  <c r="C63" i="22"/>
  <c r="A64" i="22"/>
  <c r="B64" i="22"/>
  <c r="C64" i="22"/>
  <c r="D64" i="22"/>
  <c r="E64" i="22"/>
  <c r="A65" i="22"/>
  <c r="C65" i="22"/>
  <c r="A66" i="22"/>
  <c r="B66" i="22"/>
  <c r="C66" i="22"/>
  <c r="D66" i="22"/>
  <c r="E66" i="22"/>
  <c r="F66" i="22"/>
  <c r="A67" i="22"/>
  <c r="A68" i="22"/>
  <c r="A69" i="22"/>
  <c r="B69" i="22"/>
  <c r="C69" i="22"/>
  <c r="D69" i="22"/>
  <c r="E69" i="22"/>
  <c r="F69" i="22"/>
  <c r="A70" i="22"/>
  <c r="B70" i="22"/>
  <c r="C70" i="22"/>
  <c r="D70" i="22"/>
  <c r="E70" i="22"/>
  <c r="F70" i="22"/>
  <c r="G70" i="22"/>
  <c r="A71" i="22"/>
  <c r="C71" i="22"/>
  <c r="F71" i="22"/>
  <c r="G71" i="22"/>
  <c r="A72" i="22"/>
  <c r="B72" i="22"/>
  <c r="C72" i="22"/>
  <c r="D72" i="22"/>
  <c r="E72" i="22"/>
  <c r="F72" i="22"/>
  <c r="A73" i="22"/>
  <c r="A75" i="22"/>
  <c r="A78" i="22"/>
  <c r="A80" i="22"/>
  <c r="A81" i="22"/>
  <c r="A82" i="22"/>
  <c r="A83" i="22"/>
  <c r="A85" i="22"/>
  <c r="A87" i="22"/>
  <c r="A89" i="22"/>
  <c r="E18" i="22"/>
  <c r="A18" i="22"/>
  <c r="D16" i="22"/>
  <c r="E16" i="22"/>
  <c r="A16" i="22"/>
  <c r="F9" i="22"/>
  <c r="F10" i="22"/>
  <c r="F11" i="22"/>
  <c r="E9" i="22"/>
  <c r="E10" i="22"/>
  <c r="E11" i="22"/>
  <c r="E8" i="22"/>
  <c r="D8" i="22"/>
  <c r="C9" i="22"/>
  <c r="C10" i="22"/>
  <c r="C11" i="22"/>
  <c r="C8" i="22"/>
  <c r="K70" i="22"/>
  <c r="I68" i="22"/>
  <c r="J19" i="22"/>
  <c r="F17" i="22"/>
  <c r="D50" i="22"/>
  <c r="B29" i="14"/>
  <c r="I4" i="21"/>
  <c r="K10" i="21"/>
  <c r="M10" i="21"/>
  <c r="N10" i="21"/>
  <c r="O10" i="21"/>
  <c r="K11" i="21"/>
  <c r="M11" i="21"/>
  <c r="N11" i="21"/>
  <c r="O11" i="21"/>
  <c r="K12" i="21"/>
  <c r="M12" i="21"/>
  <c r="N12" i="21"/>
  <c r="O12" i="21"/>
  <c r="K13" i="21"/>
  <c r="M13" i="21"/>
  <c r="N13" i="21"/>
  <c r="O13" i="21"/>
  <c r="K14" i="21"/>
  <c r="M14" i="21"/>
  <c r="N14" i="21"/>
  <c r="O14" i="21"/>
  <c r="K15" i="21"/>
  <c r="M15" i="21"/>
  <c r="N15" i="21"/>
  <c r="O15" i="21"/>
  <c r="K16" i="21"/>
  <c r="M16" i="21"/>
  <c r="N16" i="21"/>
  <c r="O16" i="21"/>
  <c r="K17" i="21"/>
  <c r="M17" i="21"/>
  <c r="N17" i="21"/>
  <c r="O17" i="21"/>
  <c r="K18" i="21"/>
  <c r="M18" i="21"/>
  <c r="N18" i="21"/>
  <c r="O18" i="21"/>
  <c r="K19" i="21"/>
  <c r="M19" i="21"/>
  <c r="N19" i="21"/>
  <c r="O19" i="21"/>
  <c r="K20" i="21"/>
  <c r="M20" i="21"/>
  <c r="N20" i="21"/>
  <c r="O20" i="21"/>
  <c r="K21" i="21"/>
  <c r="M21" i="21"/>
  <c r="N21" i="21"/>
  <c r="O21" i="21"/>
  <c r="K22" i="21"/>
  <c r="M22" i="21"/>
  <c r="N22" i="21"/>
  <c r="O22" i="21"/>
  <c r="K23" i="21"/>
  <c r="M23" i="21"/>
  <c r="N23" i="21"/>
  <c r="O23" i="21"/>
  <c r="K24" i="21"/>
  <c r="M24" i="21"/>
  <c r="N24" i="21"/>
  <c r="O24" i="21"/>
  <c r="K25" i="21"/>
  <c r="M25" i="21"/>
  <c r="N25" i="21"/>
  <c r="O25" i="21"/>
  <c r="K26" i="21"/>
  <c r="M26" i="21"/>
  <c r="N26" i="21"/>
  <c r="O26" i="21"/>
  <c r="C27" i="21"/>
  <c r="E27" i="21"/>
  <c r="F27" i="21"/>
  <c r="G27" i="21"/>
  <c r="H27" i="21"/>
  <c r="I27" i="21"/>
  <c r="K27" i="21"/>
  <c r="M27" i="21"/>
  <c r="N27" i="21"/>
  <c r="O27" i="21"/>
  <c r="C28" i="21"/>
  <c r="E28" i="21"/>
  <c r="F28" i="21"/>
  <c r="G28" i="21"/>
  <c r="H28" i="21"/>
  <c r="I28" i="21"/>
  <c r="C29" i="21"/>
  <c r="E29" i="21"/>
  <c r="F29" i="21"/>
  <c r="G29" i="21"/>
  <c r="H29" i="21"/>
  <c r="I29" i="21"/>
  <c r="K29" i="21"/>
  <c r="F32" i="21"/>
  <c r="K32" i="21"/>
  <c r="K33" i="21"/>
  <c r="N33" i="21"/>
  <c r="F34" i="21"/>
  <c r="K34" i="21"/>
  <c r="N34" i="21"/>
  <c r="F35" i="21"/>
  <c r="F36" i="21"/>
  <c r="E37" i="21"/>
  <c r="E48" i="21"/>
  <c r="F40" i="21"/>
  <c r="F41" i="21"/>
  <c r="F42" i="21"/>
  <c r="F43" i="21"/>
  <c r="F44" i="21"/>
  <c r="F45" i="21"/>
  <c r="C46" i="21"/>
  <c r="F46" i="21"/>
  <c r="F47" i="21"/>
  <c r="C48" i="21"/>
  <c r="C49" i="21"/>
  <c r="C50" i="21"/>
  <c r="C54" i="21"/>
  <c r="D54" i="21"/>
  <c r="E54" i="21"/>
  <c r="C56" i="21"/>
  <c r="D56" i="21"/>
  <c r="E56" i="21"/>
  <c r="E49" i="21"/>
  <c r="E50" i="21"/>
  <c r="C55" i="21"/>
  <c r="F73" i="22"/>
  <c r="A5" i="14"/>
  <c r="C6" i="15"/>
  <c r="A4" i="3"/>
  <c r="K5" i="19"/>
  <c r="F16" i="15"/>
  <c r="F18" i="15"/>
  <c r="F20" i="15"/>
  <c r="F24" i="15"/>
  <c r="F26" i="15"/>
  <c r="F14" i="15"/>
  <c r="F13" i="15"/>
  <c r="D55" i="21"/>
  <c r="E55" i="21"/>
  <c r="C57" i="21"/>
  <c r="C10" i="15"/>
  <c r="G29" i="15"/>
  <c r="G15" i="15"/>
  <c r="D57" i="21"/>
  <c r="E57" i="21"/>
  <c r="G28" i="15"/>
  <c r="F28" i="15"/>
  <c r="G16" i="15"/>
  <c r="G18" i="15"/>
  <c r="G20" i="15"/>
  <c r="G24" i="15"/>
  <c r="G26" i="15"/>
  <c r="G14" i="15"/>
  <c r="G13" i="15"/>
  <c r="D22" i="22"/>
  <c r="D19" i="22"/>
  <c r="B16" i="22"/>
  <c r="F18" i="22"/>
  <c r="D18" i="22"/>
  <c r="G23" i="15"/>
  <c r="G27" i="15"/>
  <c r="G30" i="15"/>
  <c r="G25" i="15"/>
  <c r="A14" i="3"/>
  <c r="A15" i="3"/>
  <c r="AD15" i="3"/>
  <c r="AF15" i="3"/>
  <c r="K1" i="14"/>
  <c r="J1" i="14"/>
  <c r="C14" i="4"/>
  <c r="C16" i="22"/>
  <c r="A6" i="3"/>
  <c r="B6" i="3"/>
  <c r="G29" i="14"/>
  <c r="I29" i="14"/>
  <c r="F29" i="14"/>
  <c r="F63" i="4"/>
  <c r="F64" i="22"/>
  <c r="G64" i="22"/>
  <c r="AF49" i="3"/>
  <c r="A46" i="3"/>
  <c r="A32" i="3"/>
  <c r="I67" i="4"/>
  <c r="J13" i="13"/>
  <c r="J9" i="13"/>
  <c r="J10" i="13"/>
  <c r="J11" i="13"/>
  <c r="J8" i="13"/>
  <c r="L9" i="13"/>
  <c r="L10" i="13"/>
  <c r="L11" i="13"/>
  <c r="L8" i="13"/>
  <c r="A47" i="3"/>
  <c r="A45" i="3"/>
  <c r="A44" i="3"/>
  <c r="A36" i="3"/>
  <c r="J17" i="4"/>
  <c r="K69" i="4"/>
  <c r="K7" i="13"/>
  <c r="I72" i="13"/>
  <c r="G16" i="13"/>
  <c r="K15" i="13"/>
  <c r="G69" i="4"/>
  <c r="A42" i="3"/>
  <c r="A39" i="3"/>
  <c r="G63" i="4"/>
  <c r="D7" i="13"/>
  <c r="D8" i="13"/>
  <c r="D9" i="13"/>
  <c r="D10" i="13"/>
  <c r="D11" i="13"/>
  <c r="D12" i="13"/>
  <c r="D13" i="13"/>
  <c r="D14" i="13"/>
  <c r="D6" i="13"/>
  <c r="E7" i="13"/>
  <c r="E9" i="13"/>
  <c r="D16" i="13"/>
  <c r="A1" i="13"/>
  <c r="AF47" i="3"/>
  <c r="D61" i="4"/>
  <c r="D62" i="22"/>
  <c r="E10" i="13"/>
  <c r="E11" i="13"/>
  <c r="E12" i="13"/>
  <c r="E13" i="13"/>
  <c r="E14" i="13"/>
  <c r="E55" i="22"/>
  <c r="D55" i="22"/>
  <c r="F56" i="22"/>
  <c r="G56" i="22"/>
  <c r="E56" i="22"/>
  <c r="F55" i="22"/>
  <c r="G55" i="22"/>
  <c r="E61" i="4"/>
  <c r="I15" i="13"/>
  <c r="L15" i="13"/>
  <c r="I14" i="13"/>
  <c r="I13" i="13"/>
  <c r="I12" i="13"/>
  <c r="I11" i="13"/>
  <c r="I10" i="13"/>
  <c r="I9" i="13"/>
  <c r="B8" i="13"/>
  <c r="E8" i="13"/>
  <c r="I7" i="13"/>
  <c r="L7" i="13"/>
  <c r="B6" i="13"/>
  <c r="F61" i="4"/>
  <c r="F62" i="22"/>
  <c r="G62" i="22"/>
  <c r="E62" i="22"/>
  <c r="G54" i="4"/>
  <c r="E6" i="13"/>
  <c r="K6" i="13"/>
  <c r="I8" i="13"/>
  <c r="I6" i="13"/>
  <c r="I16" i="13"/>
  <c r="G61" i="4"/>
  <c r="L6" i="13"/>
  <c r="E22" i="22"/>
  <c r="B43" i="3"/>
  <c r="AF43" i="3"/>
  <c r="A30" i="3"/>
  <c r="E29" i="22"/>
  <c r="AF64" i="3"/>
  <c r="A43" i="3"/>
  <c r="A41" i="3"/>
  <c r="A38" i="3"/>
  <c r="A40" i="3"/>
  <c r="A37" i="3"/>
  <c r="A35" i="3"/>
  <c r="A33" i="3"/>
  <c r="A34" i="3"/>
  <c r="A31" i="3"/>
  <c r="A16" i="3"/>
  <c r="A18" i="3"/>
  <c r="A19" i="3"/>
  <c r="A20" i="3"/>
  <c r="A21" i="3"/>
  <c r="A22" i="3"/>
  <c r="A23" i="3"/>
  <c r="A24" i="3"/>
  <c r="A25" i="3"/>
  <c r="A26" i="3"/>
  <c r="A27" i="3"/>
  <c r="A28" i="3"/>
  <c r="A29" i="3"/>
  <c r="A13" i="3"/>
  <c r="AD51" i="3"/>
  <c r="AD58" i="3"/>
  <c r="AD53" i="3"/>
  <c r="AD57" i="3"/>
  <c r="E20" i="22"/>
  <c r="F21" i="22"/>
  <c r="G21" i="22"/>
  <c r="E21" i="22"/>
  <c r="F22" i="22"/>
  <c r="G22" i="22"/>
  <c r="F20" i="22"/>
  <c r="G20" i="22"/>
  <c r="AF45" i="3"/>
  <c r="AF19" i="3"/>
  <c r="AD19" i="3"/>
  <c r="AF24" i="3"/>
  <c r="G31" i="4"/>
  <c r="G21" i="4"/>
  <c r="G32" i="4"/>
  <c r="G19" i="4"/>
  <c r="G33" i="4"/>
  <c r="G55" i="4"/>
  <c r="G30" i="4"/>
  <c r="AD24" i="3"/>
  <c r="AF27" i="3"/>
  <c r="AD27" i="3"/>
  <c r="AD25" i="3"/>
  <c r="AF25" i="3"/>
  <c r="AD26" i="3"/>
  <c r="AF26" i="3"/>
  <c r="AF18" i="3"/>
  <c r="AD18" i="3"/>
  <c r="AD20" i="3"/>
  <c r="AF20" i="3"/>
  <c r="G20" i="4"/>
  <c r="J14" i="13"/>
  <c r="J12" i="13"/>
  <c r="K12" i="13"/>
  <c r="L12" i="13"/>
  <c r="K14" i="13"/>
  <c r="L14" i="13"/>
  <c r="AD49" i="3"/>
  <c r="G38" i="4"/>
  <c r="B42" i="3"/>
  <c r="AF42" i="3"/>
  <c r="G36" i="4"/>
  <c r="AF30" i="3"/>
  <c r="F16" i="22"/>
  <c r="G16" i="22"/>
  <c r="G24" i="22"/>
  <c r="G14" i="4"/>
  <c r="G23" i="4"/>
  <c r="F19" i="22"/>
  <c r="G19" i="22"/>
  <c r="E19" i="22"/>
  <c r="E24" i="22"/>
  <c r="G17" i="4"/>
  <c r="AD14" i="3"/>
  <c r="AF14" i="3"/>
  <c r="AD13" i="3"/>
  <c r="AF13" i="3"/>
  <c r="AF16" i="3"/>
  <c r="AD16" i="3"/>
  <c r="L13" i="13"/>
  <c r="L16" i="13"/>
  <c r="J73" i="22"/>
  <c r="K73" i="22"/>
  <c r="E29" i="14"/>
  <c r="H29" i="14"/>
  <c r="F8" i="22"/>
  <c r="I23" i="15"/>
  <c r="B70" i="4"/>
  <c r="B71" i="22"/>
  <c r="B59" i="4"/>
  <c r="B60" i="22"/>
  <c r="B38" i="4"/>
  <c r="B23" i="4"/>
  <c r="B45" i="4"/>
  <c r="B28" i="4"/>
  <c r="B72" i="4"/>
  <c r="B73" i="22"/>
  <c r="B66" i="4"/>
  <c r="B67" i="22"/>
  <c r="B67" i="4"/>
  <c r="B68" i="22"/>
  <c r="B58" i="4"/>
  <c r="I28" i="15"/>
  <c r="I19" i="15"/>
  <c r="I27" i="15"/>
  <c r="I24" i="15"/>
  <c r="I18" i="15"/>
  <c r="I25" i="15"/>
  <c r="I13" i="15"/>
  <c r="I16" i="15"/>
  <c r="I26" i="15"/>
  <c r="I20" i="15"/>
  <c r="I14" i="15"/>
  <c r="I30" i="15"/>
  <c r="G21" i="15"/>
  <c r="I22" i="15"/>
  <c r="I15" i="15"/>
  <c r="H25" i="15"/>
  <c r="D11" i="22"/>
  <c r="I29" i="15"/>
  <c r="G19" i="15"/>
  <c r="H19" i="15"/>
  <c r="H21" i="15"/>
  <c r="H24" i="15"/>
  <c r="I21" i="15"/>
  <c r="H30" i="15"/>
  <c r="H13" i="15"/>
  <c r="H18" i="15"/>
  <c r="H23" i="15"/>
  <c r="H16" i="15"/>
  <c r="G22" i="15"/>
  <c r="H27" i="15"/>
  <c r="H20" i="15"/>
  <c r="H14" i="15"/>
  <c r="H26" i="15"/>
  <c r="H28" i="15"/>
  <c r="H22" i="15"/>
  <c r="H15" i="15"/>
  <c r="G27" i="4"/>
  <c r="D28" i="22"/>
  <c r="D27" i="22"/>
  <c r="G25" i="4"/>
  <c r="D26" i="22"/>
  <c r="H29" i="15"/>
  <c r="D28" i="4"/>
  <c r="F29" i="22"/>
  <c r="G34" i="4"/>
  <c r="G28" i="4"/>
  <c r="G17" i="15"/>
  <c r="G31" i="15"/>
  <c r="J15" i="15"/>
  <c r="I17" i="15"/>
  <c r="I31" i="15"/>
  <c r="J29" i="15"/>
  <c r="G29" i="22"/>
  <c r="C28" i="4"/>
  <c r="D29" i="22"/>
  <c r="F26" i="22"/>
  <c r="G26" i="4"/>
  <c r="F27" i="22"/>
  <c r="F28" i="22"/>
  <c r="H17" i="15"/>
  <c r="H31" i="15"/>
  <c r="J20" i="15"/>
  <c r="J16" i="15"/>
  <c r="J13" i="15"/>
  <c r="J18" i="15"/>
  <c r="J19" i="15"/>
  <c r="J30" i="15"/>
  <c r="J28" i="15"/>
  <c r="D36" i="22"/>
  <c r="J17" i="15"/>
  <c r="J21" i="15"/>
  <c r="J14" i="15"/>
  <c r="J22" i="15"/>
  <c r="J25" i="15"/>
  <c r="J24" i="15"/>
  <c r="J27" i="15"/>
  <c r="J26" i="15"/>
  <c r="J23" i="15"/>
  <c r="G28" i="22"/>
  <c r="G27" i="22"/>
  <c r="G26" i="22"/>
  <c r="AF22" i="3"/>
  <c r="AD22" i="3"/>
  <c r="AF28" i="3"/>
  <c r="D39" i="22"/>
  <c r="E36" i="22"/>
  <c r="J31" i="15"/>
  <c r="AD21" i="3"/>
  <c r="AF21" i="3"/>
  <c r="AF23" i="3"/>
  <c r="AD23" i="3"/>
  <c r="D44" i="22"/>
  <c r="F36" i="22"/>
  <c r="D53" i="22"/>
  <c r="C38" i="4"/>
  <c r="D43" i="22"/>
  <c r="E39" i="22"/>
  <c r="F53" i="22"/>
  <c r="E43" i="22"/>
  <c r="AF40" i="3"/>
  <c r="G53" i="22"/>
  <c r="E44" i="22"/>
  <c r="G52" i="4"/>
  <c r="F43" i="22"/>
  <c r="F39" i="22"/>
  <c r="I39" i="22"/>
  <c r="AD40" i="3"/>
  <c r="F42" i="22"/>
  <c r="G42" i="22"/>
  <c r="E42" i="22"/>
  <c r="F44" i="22"/>
  <c r="G43" i="4"/>
  <c r="D45" i="4"/>
  <c r="D46" i="22"/>
  <c r="E41" i="22"/>
  <c r="G42" i="4"/>
  <c r="G41" i="4"/>
  <c r="I40" i="22"/>
  <c r="G43" i="22"/>
  <c r="G44" i="22"/>
  <c r="C45" i="4"/>
  <c r="E46" i="22"/>
  <c r="F41" i="22"/>
  <c r="G41" i="22"/>
  <c r="AD34" i="3"/>
  <c r="AF34" i="3"/>
  <c r="AD33" i="3"/>
  <c r="G40" i="4"/>
  <c r="F46" i="22"/>
  <c r="AF31" i="3"/>
  <c r="AF33" i="3"/>
  <c r="I46" i="22"/>
  <c r="G46" i="22"/>
  <c r="L39" i="22"/>
  <c r="AD32" i="3"/>
  <c r="G45" i="4"/>
  <c r="L38" i="4"/>
  <c r="I45" i="4"/>
  <c r="B52" i="4"/>
  <c r="AE31" i="3"/>
  <c r="AD31" i="3"/>
  <c r="F52" i="22"/>
  <c r="D52" i="22"/>
  <c r="G51" i="4"/>
  <c r="AF39" i="3"/>
  <c r="G52" i="22"/>
  <c r="G70" i="4"/>
  <c r="D89" i="22"/>
  <c r="C59" i="3"/>
  <c r="D59" i="3"/>
  <c r="AF29" i="3"/>
  <c r="J72" i="4"/>
  <c r="K72" i="4"/>
  <c r="M16" i="13"/>
  <c r="M17" i="13"/>
  <c r="B64" i="4"/>
  <c r="B62" i="4"/>
  <c r="B63" i="22"/>
  <c r="D62" i="4"/>
  <c r="D63" i="22"/>
  <c r="D64" i="4"/>
  <c r="D65" i="22"/>
  <c r="B65" i="22"/>
  <c r="D23" i="22"/>
  <c r="B23" i="22"/>
  <c r="D57" i="22"/>
  <c r="D66" i="4"/>
  <c r="D67" i="22"/>
  <c r="E23" i="22"/>
  <c r="E62" i="4"/>
  <c r="E63" i="22"/>
  <c r="E64" i="4"/>
  <c r="C66" i="4"/>
  <c r="C67" i="22"/>
  <c r="F23" i="22"/>
  <c r="G23" i="22"/>
  <c r="F64" i="4"/>
  <c r="F65" i="22"/>
  <c r="G65" i="22"/>
  <c r="E65" i="22"/>
  <c r="E57" i="22"/>
  <c r="G64" i="4"/>
  <c r="F62" i="4"/>
  <c r="F63" i="22"/>
  <c r="E66" i="4"/>
  <c r="E67" i="22"/>
  <c r="G22" i="4"/>
  <c r="F57" i="22"/>
  <c r="G57" i="22"/>
  <c r="G56" i="4"/>
  <c r="D82" i="22"/>
  <c r="F66" i="4"/>
  <c r="F67" i="22"/>
  <c r="AF44" i="3"/>
  <c r="E59" i="3"/>
  <c r="F61" i="3"/>
  <c r="AF46" i="3"/>
  <c r="F50" i="22"/>
  <c r="G50" i="22"/>
  <c r="I50" i="22"/>
  <c r="G49" i="4"/>
  <c r="I49" i="4"/>
  <c r="AD37" i="3"/>
  <c r="AF37" i="3"/>
  <c r="D51" i="22"/>
  <c r="E51" i="22"/>
  <c r="F51" i="22"/>
  <c r="G51" i="22"/>
  <c r="I51" i="22"/>
  <c r="I52" i="22"/>
  <c r="I53" i="22"/>
  <c r="I50" i="4"/>
  <c r="I51" i="4"/>
  <c r="I52" i="4"/>
  <c r="G50" i="4"/>
  <c r="AE38" i="3"/>
  <c r="AD38" i="3"/>
  <c r="AF38" i="3"/>
  <c r="D81" i="22"/>
  <c r="AF48" i="3"/>
  <c r="D75" i="22"/>
  <c r="F83" i="22"/>
  <c r="D85" i="22"/>
  <c r="D87" i="22"/>
  <c r="E86" i="4"/>
  <c r="D86" i="4"/>
  <c r="B18" i="4"/>
  <c r="D18" i="4"/>
  <c r="F18" i="4"/>
  <c r="B17" i="3"/>
  <c r="F17" i="3"/>
  <c r="D23" i="4"/>
  <c r="D24" i="22"/>
  <c r="C23" i="4"/>
  <c r="F24" i="22"/>
  <c r="I24" i="22"/>
  <c r="I29" i="22"/>
  <c r="I23" i="4"/>
  <c r="I28" i="4"/>
  <c r="AF17" i="3"/>
  <c r="B47" i="4"/>
  <c r="D47" i="4"/>
  <c r="E47" i="4"/>
  <c r="F47" i="4"/>
  <c r="B48" i="4"/>
  <c r="D48" i="4"/>
  <c r="E48" i="4"/>
  <c r="F48" i="4"/>
  <c r="B53" i="4"/>
  <c r="D53" i="4"/>
  <c r="F53" i="4"/>
  <c r="F58" i="4"/>
  <c r="F59" i="4"/>
  <c r="H86" i="4"/>
  <c r="F81" i="4"/>
  <c r="B35" i="3"/>
  <c r="F35" i="3"/>
  <c r="B36" i="3"/>
  <c r="F36" i="3"/>
  <c r="B41" i="3"/>
  <c r="F41" i="3"/>
  <c r="F50" i="3"/>
  <c r="F82" i="4"/>
  <c r="E58" i="4"/>
  <c r="E59" i="4"/>
  <c r="F83" i="4"/>
  <c r="F84" i="4"/>
  <c r="F85" i="4"/>
  <c r="F87" i="4"/>
  <c r="H87" i="4"/>
  <c r="H85" i="4"/>
  <c r="H84" i="4"/>
  <c r="H83" i="4"/>
  <c r="H82" i="4"/>
  <c r="H81"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F7" i="19"/>
  <c r="K7" i="19"/>
  <c r="F16" i="19"/>
  <c r="F18" i="19"/>
  <c r="F20" i="19"/>
  <c r="D88" i="4"/>
  <c r="E88" i="4"/>
  <c r="E91" i="4"/>
  <c r="D91" i="4"/>
  <c r="H35" i="3"/>
  <c r="H50" i="3"/>
  <c r="K35" i="3"/>
  <c r="K50" i="3"/>
  <c r="N35" i="3"/>
  <c r="N50" i="3"/>
  <c r="Q36" i="3"/>
  <c r="Q35" i="3"/>
  <c r="Q50" i="3"/>
  <c r="I35" i="3"/>
  <c r="I50" i="3"/>
  <c r="J35" i="3"/>
  <c r="J50" i="3"/>
  <c r="L35" i="3"/>
  <c r="L50" i="3"/>
  <c r="M35" i="3"/>
  <c r="M50" i="3"/>
  <c r="O35" i="3"/>
  <c r="O50" i="3"/>
  <c r="P36" i="3"/>
  <c r="P35" i="3"/>
  <c r="P50" i="3"/>
  <c r="R36" i="3"/>
  <c r="R35" i="3"/>
  <c r="R50" i="3"/>
  <c r="S36" i="3"/>
  <c r="S35" i="3"/>
  <c r="S50" i="3"/>
  <c r="T36" i="3"/>
  <c r="T35" i="3"/>
  <c r="T50" i="3"/>
  <c r="U36" i="3"/>
  <c r="U35" i="3"/>
  <c r="U50" i="3"/>
  <c r="V36" i="3"/>
  <c r="V35" i="3"/>
  <c r="V50" i="3"/>
  <c r="W36" i="3"/>
  <c r="W35" i="3"/>
  <c r="W50" i="3"/>
  <c r="X36" i="3"/>
  <c r="X35" i="3"/>
  <c r="X50" i="3"/>
  <c r="AB35" i="3"/>
  <c r="AB50" i="3"/>
  <c r="F54" i="22"/>
  <c r="G54" i="22"/>
  <c r="D54" i="22"/>
  <c r="G53" i="4"/>
  <c r="AF41" i="3"/>
  <c r="AD41" i="3"/>
  <c r="D49" i="22"/>
  <c r="E49" i="22"/>
  <c r="F49" i="22"/>
  <c r="I49" i="22"/>
  <c r="I48" i="4"/>
  <c r="D48" i="22"/>
  <c r="AF36" i="3"/>
  <c r="E48" i="22"/>
  <c r="F48" i="22"/>
  <c r="G48" i="22"/>
  <c r="G59" i="22"/>
  <c r="G68" i="22"/>
  <c r="I48" i="22"/>
  <c r="G47" i="4"/>
  <c r="G58" i="4"/>
  <c r="G67" i="4"/>
  <c r="I47" i="4"/>
  <c r="AD35" i="3"/>
  <c r="D58" i="4"/>
  <c r="D59" i="22"/>
  <c r="C58" i="4"/>
  <c r="B57" i="3"/>
  <c r="AB57" i="3"/>
  <c r="E59" i="22"/>
  <c r="E60" i="22"/>
  <c r="E75" i="22"/>
  <c r="E67" i="4"/>
  <c r="E68" i="22"/>
  <c r="E70" i="4"/>
  <c r="E71" i="22"/>
  <c r="E72" i="4"/>
  <c r="E73" i="22"/>
  <c r="B56" i="3"/>
  <c r="F56" i="3"/>
  <c r="F59" i="3"/>
  <c r="G59" i="3"/>
  <c r="H59" i="3"/>
  <c r="I59" i="3"/>
  <c r="J59" i="3"/>
  <c r="K59" i="3"/>
  <c r="L59" i="3"/>
  <c r="M59" i="3"/>
  <c r="N59" i="3"/>
  <c r="O59" i="3"/>
  <c r="P59" i="3"/>
  <c r="Q59" i="3"/>
  <c r="R59" i="3"/>
  <c r="S61" i="3"/>
  <c r="S59" i="3"/>
  <c r="T61" i="3"/>
  <c r="T59" i="3"/>
  <c r="U61" i="3"/>
  <c r="U59" i="3"/>
  <c r="V61" i="3"/>
  <c r="V59" i="3"/>
  <c r="W61" i="3"/>
  <c r="W59" i="3"/>
  <c r="X61" i="3"/>
  <c r="AB56" i="3"/>
  <c r="X59" i="3"/>
  <c r="Y59" i="3"/>
  <c r="Z59" i="3"/>
  <c r="AA59" i="3"/>
  <c r="AB59" i="3"/>
  <c r="AF50" i="3"/>
  <c r="AF59" i="3"/>
  <c r="B52" i="3"/>
  <c r="B54" i="3"/>
  <c r="AD56" i="3"/>
  <c r="D59" i="4"/>
  <c r="D60" i="22"/>
  <c r="D67" i="4"/>
  <c r="D68" i="22"/>
  <c r="C59" i="4"/>
  <c r="C60" i="22"/>
  <c r="C67" i="4"/>
  <c r="C68" i="22"/>
  <c r="B50" i="3"/>
  <c r="J34" i="14"/>
  <c r="J27" i="14"/>
  <c r="J12" i="14"/>
  <c r="J22" i="14"/>
  <c r="J26" i="14"/>
  <c r="J20" i="14"/>
  <c r="J24" i="14"/>
  <c r="I59" i="4"/>
  <c r="I60" i="4"/>
  <c r="F60" i="22"/>
  <c r="F75" i="22"/>
  <c r="J29" i="14"/>
  <c r="D80" i="22"/>
  <c r="F67" i="4"/>
  <c r="H62" i="4"/>
  <c r="J67" i="4"/>
  <c r="H65" i="4"/>
  <c r="H66" i="4"/>
  <c r="H61" i="4"/>
  <c r="H60" i="4"/>
  <c r="H63" i="4"/>
  <c r="H64" i="4"/>
  <c r="H67" i="4"/>
  <c r="F68" i="22"/>
  <c r="H66" i="22"/>
  <c r="H58" i="22"/>
  <c r="H37" i="22"/>
  <c r="H34" i="22"/>
  <c r="H32" i="22"/>
  <c r="H30" i="22"/>
  <c r="H38" i="22"/>
  <c r="J68" i="22"/>
  <c r="H56" i="22"/>
  <c r="H40" i="22"/>
  <c r="H18" i="22"/>
  <c r="H57" i="22"/>
  <c r="H16" i="22"/>
  <c r="H54" i="22"/>
  <c r="H21" i="22"/>
  <c r="H63" i="22"/>
  <c r="H55" i="22"/>
  <c r="H62" i="22"/>
  <c r="H23" i="22"/>
  <c r="H24" i="22"/>
  <c r="H61" i="22"/>
  <c r="H45" i="22"/>
  <c r="H35" i="22"/>
  <c r="H33" i="22"/>
  <c r="H31" i="22"/>
  <c r="H47" i="22"/>
  <c r="H25" i="22"/>
  <c r="H68" i="22"/>
  <c r="H41" i="22"/>
  <c r="H17" i="22"/>
  <c r="H51" i="22"/>
  <c r="H22" i="22"/>
  <c r="H50" i="22"/>
  <c r="H64" i="22"/>
  <c r="H20" i="22"/>
  <c r="H42" i="22"/>
  <c r="H65" i="22"/>
  <c r="H49" i="22"/>
  <c r="H19" i="22"/>
  <c r="H67" i="22"/>
  <c r="H29" i="22"/>
  <c r="H28" i="22"/>
  <c r="H27" i="22"/>
  <c r="H26" i="22"/>
  <c r="H36" i="22"/>
  <c r="H53" i="22"/>
  <c r="H39" i="22"/>
  <c r="H43" i="22"/>
  <c r="H44" i="22"/>
  <c r="H46" i="22"/>
  <c r="H52" i="22"/>
  <c r="H48" i="22"/>
  <c r="F59" i="22"/>
  <c r="H59" i="22"/>
  <c r="H60" i="22"/>
  <c r="D70" i="4"/>
  <c r="D71" i="22"/>
  <c r="D72" i="4"/>
  <c r="D73" i="22"/>
  <c r="C72" i="4"/>
  <c r="C73" i="22"/>
  <c r="I61" i="3"/>
  <c r="AF35" i="3"/>
  <c r="AG50" i="3"/>
  <c r="J61" i="3"/>
  <c r="J13" i="14"/>
  <c r="J17" i="14"/>
  <c r="J28" i="14"/>
  <c r="J14" i="14"/>
  <c r="J18" i="14"/>
  <c r="J23" i="14"/>
  <c r="J21" i="14"/>
  <c r="J15" i="14"/>
  <c r="J19" i="14"/>
  <c r="J25" i="14"/>
  <c r="J16" i="14"/>
  <c r="AD50" i="3"/>
  <c r="F22" i="19"/>
  <c r="F24" i="19"/>
  <c r="L61" i="3"/>
  <c r="F26" i="19"/>
  <c r="B30" i="19"/>
  <c r="C30" i="19"/>
  <c r="M61" i="3"/>
  <c r="E30" i="19"/>
  <c r="D30" i="19"/>
  <c r="F30" i="19"/>
  <c r="H30" i="19"/>
  <c r="I30" i="19"/>
  <c r="B31" i="19"/>
  <c r="C31" i="19"/>
  <c r="G30" i="19"/>
  <c r="B32" i="19"/>
  <c r="C32" i="19"/>
  <c r="E31" i="19"/>
  <c r="D31" i="19"/>
  <c r="F31" i="19"/>
  <c r="H31" i="19"/>
  <c r="I31" i="19"/>
  <c r="G31" i="19"/>
  <c r="O61" i="3"/>
  <c r="B33" i="19"/>
  <c r="C33" i="19"/>
  <c r="E32" i="19"/>
  <c r="D32" i="19"/>
  <c r="F32" i="19"/>
  <c r="H32" i="19"/>
  <c r="I32" i="19"/>
  <c r="G32" i="19"/>
  <c r="P61" i="3"/>
  <c r="D33" i="19"/>
  <c r="F33" i="19"/>
  <c r="G33" i="19"/>
  <c r="B34" i="19"/>
  <c r="C34" i="19"/>
  <c r="E33" i="19"/>
  <c r="H33" i="19"/>
  <c r="I33" i="19"/>
  <c r="B35" i="19"/>
  <c r="C35" i="19"/>
  <c r="E34" i="19"/>
  <c r="D34" i="19"/>
  <c r="F34" i="19"/>
  <c r="H34" i="19"/>
  <c r="I34" i="19"/>
  <c r="G34" i="19"/>
  <c r="R61" i="3"/>
  <c r="D35" i="19"/>
  <c r="F35" i="19"/>
  <c r="G35" i="19"/>
  <c r="E35" i="19"/>
  <c r="H35" i="19"/>
  <c r="I35" i="19"/>
  <c r="B36" i="19"/>
  <c r="C36" i="19"/>
  <c r="B37" i="19"/>
  <c r="C37" i="19"/>
  <c r="E36" i="19"/>
  <c r="D36" i="19"/>
  <c r="F36" i="19"/>
  <c r="H36" i="19"/>
  <c r="I36" i="19"/>
  <c r="G36" i="19"/>
  <c r="B38" i="19"/>
  <c r="C38" i="19"/>
  <c r="E37" i="19"/>
  <c r="D37" i="19"/>
  <c r="F37" i="19"/>
  <c r="H37" i="19"/>
  <c r="I37" i="19"/>
  <c r="G37" i="19"/>
  <c r="G61" i="3"/>
  <c r="H61" i="3"/>
  <c r="K61" i="3"/>
  <c r="N61" i="3"/>
  <c r="Q61" i="3"/>
  <c r="AF61" i="3"/>
  <c r="AB62" i="3"/>
  <c r="D38" i="19"/>
  <c r="F38" i="19"/>
  <c r="G38" i="19"/>
  <c r="B39" i="19"/>
  <c r="C39" i="19"/>
  <c r="E38" i="19"/>
  <c r="H38" i="19"/>
  <c r="I38" i="19"/>
  <c r="P62" i="3"/>
  <c r="J62" i="3"/>
  <c r="Y62" i="3"/>
  <c r="M62" i="3"/>
  <c r="D39" i="19"/>
  <c r="F39" i="19"/>
  <c r="G39" i="19"/>
  <c r="B40" i="19"/>
  <c r="C40" i="19"/>
  <c r="E39" i="19"/>
  <c r="H39" i="19"/>
  <c r="I39" i="19"/>
  <c r="G62" i="3"/>
  <c r="AF62" i="3"/>
  <c r="D40" i="19"/>
  <c r="F40" i="19"/>
  <c r="G40" i="19"/>
  <c r="B41" i="19"/>
  <c r="C41" i="19"/>
  <c r="E40" i="19"/>
  <c r="H40" i="19"/>
  <c r="I40" i="19"/>
  <c r="E41" i="19"/>
  <c r="D41" i="19"/>
  <c r="F41" i="19"/>
  <c r="H41" i="19"/>
  <c r="I41" i="19"/>
  <c r="B42" i="19"/>
  <c r="C42" i="19"/>
  <c r="G41" i="19"/>
  <c r="D42" i="19"/>
  <c r="F42" i="19"/>
  <c r="G42" i="19"/>
  <c r="E42" i="19"/>
  <c r="H42" i="19"/>
  <c r="I42" i="19"/>
  <c r="B43" i="19"/>
  <c r="C43" i="19"/>
  <c r="E43" i="19"/>
  <c r="D43" i="19"/>
  <c r="F43" i="19"/>
  <c r="H43" i="19"/>
  <c r="I43" i="19"/>
  <c r="B44" i="19"/>
  <c r="C44" i="19"/>
  <c r="G43" i="19"/>
  <c r="E44" i="19"/>
  <c r="D44" i="19"/>
  <c r="F44" i="19"/>
  <c r="H44" i="19"/>
  <c r="I44" i="19"/>
  <c r="B45" i="19"/>
  <c r="C45" i="19"/>
  <c r="G44" i="19"/>
  <c r="E45" i="19"/>
  <c r="D45" i="19"/>
  <c r="F45" i="19"/>
  <c r="H45" i="19"/>
  <c r="I45" i="19"/>
  <c r="B46" i="19"/>
  <c r="C46" i="19"/>
  <c r="G45" i="19"/>
  <c r="B47" i="19"/>
  <c r="C47" i="19"/>
  <c r="E46" i="19"/>
  <c r="D46" i="19"/>
  <c r="F46" i="19"/>
  <c r="H46" i="19"/>
  <c r="I46" i="19"/>
  <c r="G46" i="19"/>
  <c r="B48" i="19"/>
  <c r="C48" i="19"/>
  <c r="E47" i="19"/>
  <c r="D47" i="19"/>
  <c r="F47" i="19"/>
  <c r="H47" i="19"/>
  <c r="I47" i="19"/>
  <c r="G47" i="19"/>
  <c r="E48" i="19"/>
  <c r="D48" i="19"/>
  <c r="F48" i="19"/>
  <c r="H48" i="19"/>
  <c r="I48" i="19"/>
  <c r="B49" i="19"/>
  <c r="C49" i="19"/>
  <c r="G48" i="19"/>
  <c r="D49" i="19"/>
  <c r="F49" i="19"/>
  <c r="G49" i="19"/>
  <c r="E49" i="19"/>
  <c r="H49" i="19"/>
  <c r="I49" i="19"/>
  <c r="B50" i="19"/>
  <c r="C50" i="19"/>
  <c r="D50" i="19"/>
  <c r="F50" i="19"/>
  <c r="G50" i="19"/>
  <c r="B51" i="19"/>
  <c r="C51" i="19"/>
  <c r="E50" i="19"/>
  <c r="H50" i="19"/>
  <c r="I50" i="19"/>
  <c r="D51" i="19"/>
  <c r="F51" i="19"/>
  <c r="G51" i="19"/>
  <c r="B52" i="19"/>
  <c r="C52" i="19"/>
  <c r="E51" i="19"/>
  <c r="H51" i="19"/>
  <c r="I51" i="19"/>
  <c r="E52" i="19"/>
  <c r="D52" i="19"/>
  <c r="F52" i="19"/>
  <c r="H52" i="19"/>
  <c r="I52" i="19"/>
  <c r="B53" i="19"/>
  <c r="C53" i="19"/>
  <c r="G52" i="19"/>
  <c r="E53" i="19"/>
  <c r="D53" i="19"/>
  <c r="F53" i="19"/>
  <c r="H53" i="19"/>
  <c r="I53" i="19"/>
  <c r="B54" i="19"/>
  <c r="C54" i="19"/>
  <c r="G53" i="19"/>
  <c r="E54" i="19"/>
  <c r="D54" i="19"/>
  <c r="F54" i="19"/>
  <c r="H54" i="19"/>
  <c r="I54" i="19"/>
  <c r="B55" i="19"/>
  <c r="C55" i="19"/>
  <c r="G54" i="19"/>
  <c r="D55" i="19"/>
  <c r="F55" i="19"/>
  <c r="G55" i="19"/>
  <c r="B56" i="19"/>
  <c r="C56" i="19"/>
  <c r="E55" i="19"/>
  <c r="H55" i="19"/>
  <c r="I55" i="19"/>
  <c r="D56" i="19"/>
  <c r="F56" i="19"/>
  <c r="G56" i="19"/>
  <c r="E56" i="19"/>
  <c r="H56" i="19"/>
  <c r="I56" i="19"/>
  <c r="B57" i="19"/>
  <c r="C57" i="19"/>
  <c r="D57" i="19"/>
  <c r="F57" i="19"/>
  <c r="G57" i="19"/>
  <c r="B58" i="19"/>
  <c r="C58" i="19"/>
  <c r="E57" i="19"/>
  <c r="H57" i="19"/>
  <c r="I57" i="19"/>
  <c r="B59" i="19"/>
  <c r="C59" i="19"/>
  <c r="D58" i="19"/>
  <c r="F58" i="19"/>
  <c r="G58" i="19"/>
  <c r="E58" i="19"/>
  <c r="H58" i="19"/>
  <c r="I58" i="19"/>
  <c r="D59" i="19"/>
  <c r="F59" i="19"/>
  <c r="G59" i="19"/>
  <c r="B60" i="19"/>
  <c r="C60" i="19"/>
  <c r="E59" i="19"/>
  <c r="H59" i="19"/>
  <c r="I59" i="19"/>
  <c r="E60" i="19"/>
  <c r="D60" i="19"/>
  <c r="F60" i="19"/>
  <c r="H60" i="19"/>
  <c r="I60" i="19"/>
  <c r="B61" i="19"/>
  <c r="C61" i="19"/>
  <c r="G60" i="19"/>
  <c r="D61" i="19"/>
  <c r="F61" i="19"/>
  <c r="G61" i="19"/>
  <c r="E61" i="19"/>
  <c r="H61" i="19"/>
  <c r="I61" i="19"/>
  <c r="B62" i="19"/>
  <c r="C62" i="19"/>
  <c r="D62" i="19"/>
  <c r="F62" i="19"/>
  <c r="G62" i="19"/>
  <c r="B63" i="19"/>
  <c r="C63" i="19"/>
  <c r="E62" i="19"/>
  <c r="H62" i="19"/>
  <c r="I62" i="19"/>
  <c r="D63" i="19"/>
  <c r="F63" i="19"/>
  <c r="G63" i="19"/>
  <c r="B64" i="19"/>
  <c r="C64" i="19"/>
  <c r="E63" i="19"/>
  <c r="H63" i="19"/>
  <c r="I63" i="19"/>
  <c r="E64" i="19"/>
  <c r="D64" i="19"/>
  <c r="F64" i="19"/>
  <c r="H64" i="19"/>
  <c r="I64" i="19"/>
  <c r="B65" i="19"/>
  <c r="C65" i="19"/>
  <c r="G64" i="19"/>
  <c r="E65" i="19"/>
  <c r="D65" i="19"/>
  <c r="F65" i="19"/>
  <c r="H65" i="19"/>
  <c r="I65" i="19"/>
  <c r="B66" i="19"/>
  <c r="C66" i="19"/>
  <c r="G65" i="19"/>
  <c r="B67" i="19"/>
  <c r="C67" i="19"/>
  <c r="E66" i="19"/>
  <c r="D66" i="19"/>
  <c r="F66" i="19"/>
  <c r="H66" i="19"/>
  <c r="I66" i="19"/>
  <c r="G66" i="19"/>
  <c r="E67" i="19"/>
  <c r="D67" i="19"/>
  <c r="F67" i="19"/>
  <c r="H67" i="19"/>
  <c r="I67" i="19"/>
  <c r="B68" i="19"/>
  <c r="C68" i="19"/>
  <c r="G67" i="19"/>
  <c r="E68" i="19"/>
  <c r="D68" i="19"/>
  <c r="F68" i="19"/>
  <c r="H68" i="19"/>
  <c r="I68" i="19"/>
  <c r="G68" i="19"/>
  <c r="B69" i="19"/>
  <c r="C69" i="19"/>
  <c r="E69" i="19"/>
  <c r="D69" i="19"/>
  <c r="F69" i="19"/>
  <c r="H69" i="19"/>
  <c r="I69" i="19"/>
  <c r="G69" i="19"/>
  <c r="B70" i="19"/>
  <c r="C70" i="19"/>
  <c r="E70" i="19"/>
  <c r="D70" i="19"/>
  <c r="F70" i="19"/>
  <c r="H70" i="19"/>
  <c r="I70" i="19"/>
  <c r="G70" i="19"/>
  <c r="B71" i="19"/>
  <c r="C71" i="19"/>
  <c r="D71" i="19"/>
  <c r="F71" i="19"/>
  <c r="G71" i="19"/>
  <c r="B72" i="19"/>
  <c r="C72" i="19"/>
  <c r="E71" i="19"/>
  <c r="H71" i="19"/>
  <c r="I71" i="19"/>
  <c r="E72" i="19"/>
  <c r="D72" i="19"/>
  <c r="F72" i="19"/>
  <c r="H72" i="19"/>
  <c r="I72" i="19"/>
  <c r="B73" i="19"/>
  <c r="C73" i="19"/>
  <c r="G72" i="19"/>
  <c r="E73" i="19"/>
  <c r="D73" i="19"/>
  <c r="F73" i="19"/>
  <c r="H73" i="19"/>
  <c r="I73" i="19"/>
  <c r="B74" i="19"/>
  <c r="C74" i="19"/>
  <c r="G73" i="19"/>
  <c r="E74" i="19"/>
  <c r="D74" i="19"/>
  <c r="F74" i="19"/>
  <c r="H74" i="19"/>
  <c r="I74" i="19"/>
  <c r="B75" i="19"/>
  <c r="C75" i="19"/>
  <c r="G74" i="19"/>
  <c r="E75" i="19"/>
  <c r="D75" i="19"/>
  <c r="F75" i="19"/>
  <c r="H75" i="19"/>
  <c r="I75" i="19"/>
  <c r="B76" i="19"/>
  <c r="C76" i="19"/>
  <c r="G75" i="19"/>
  <c r="D76" i="19"/>
  <c r="F76" i="19"/>
  <c r="G76" i="19"/>
  <c r="B77" i="19"/>
  <c r="C77" i="19"/>
  <c r="E76" i="19"/>
  <c r="H76" i="19"/>
  <c r="I76" i="19"/>
  <c r="D77" i="19"/>
  <c r="F77" i="19"/>
  <c r="G77" i="19"/>
  <c r="B78" i="19"/>
  <c r="C78" i="19"/>
  <c r="E77" i="19"/>
  <c r="H77" i="19"/>
  <c r="I77" i="19"/>
  <c r="E78" i="19"/>
  <c r="D78" i="19"/>
  <c r="F78" i="19"/>
  <c r="H78" i="19"/>
  <c r="I78" i="19"/>
  <c r="B79" i="19"/>
  <c r="C79" i="19"/>
  <c r="G78" i="19"/>
  <c r="E79" i="19"/>
  <c r="D79" i="19"/>
  <c r="F79" i="19"/>
  <c r="H79" i="19"/>
  <c r="I79" i="19"/>
  <c r="G79" i="19"/>
  <c r="B80" i="19"/>
  <c r="C80" i="19"/>
  <c r="D80" i="19"/>
  <c r="F80" i="19"/>
  <c r="G80" i="19"/>
  <c r="E80" i="19"/>
  <c r="H80" i="19"/>
  <c r="I80" i="19"/>
  <c r="B81" i="19"/>
  <c r="C81" i="19"/>
  <c r="D81" i="19"/>
  <c r="F81" i="19"/>
  <c r="G81" i="19"/>
  <c r="E81" i="19"/>
  <c r="H81" i="19"/>
  <c r="I81" i="19"/>
  <c r="B82" i="19"/>
  <c r="C82" i="19"/>
  <c r="E82" i="19"/>
  <c r="D82" i="19"/>
  <c r="F82" i="19"/>
  <c r="H82" i="19"/>
  <c r="I82" i="19"/>
  <c r="B83" i="19"/>
  <c r="C83" i="19"/>
  <c r="G82" i="19"/>
  <c r="E83" i="19"/>
  <c r="D83" i="19"/>
  <c r="F83" i="19"/>
  <c r="H83" i="19"/>
  <c r="I83" i="19"/>
  <c r="B84" i="19"/>
  <c r="C84" i="19"/>
  <c r="G83" i="19"/>
  <c r="D84" i="19"/>
  <c r="F84" i="19"/>
  <c r="G84" i="19"/>
  <c r="B85" i="19"/>
  <c r="C85" i="19"/>
  <c r="E84" i="19"/>
  <c r="H84" i="19"/>
  <c r="I84" i="19"/>
  <c r="E85" i="19"/>
  <c r="D85" i="19"/>
  <c r="F85" i="19"/>
  <c r="H85" i="19"/>
  <c r="I85" i="19"/>
  <c r="B86" i="19"/>
  <c r="C86" i="19"/>
  <c r="G85" i="19"/>
  <c r="E86" i="19"/>
  <c r="D86" i="19"/>
  <c r="F86" i="19"/>
  <c r="H86" i="19"/>
  <c r="I86" i="19"/>
  <c r="B87" i="19"/>
  <c r="C87" i="19"/>
  <c r="G86" i="19"/>
  <c r="E87" i="19"/>
  <c r="D87" i="19"/>
  <c r="F87" i="19"/>
  <c r="H87" i="19"/>
  <c r="I87" i="19"/>
  <c r="B88" i="19"/>
  <c r="C88" i="19"/>
  <c r="G87" i="19"/>
  <c r="E88" i="19"/>
  <c r="D88" i="19"/>
  <c r="F88" i="19"/>
  <c r="H88" i="19"/>
  <c r="I88" i="19"/>
  <c r="B89" i="19"/>
  <c r="C89" i="19"/>
  <c r="G88" i="19"/>
  <c r="D89" i="19"/>
  <c r="F89" i="19"/>
  <c r="G89" i="19"/>
  <c r="B90" i="19"/>
  <c r="C90" i="19"/>
  <c r="E89" i="19"/>
  <c r="H89" i="19"/>
  <c r="I89" i="19"/>
  <c r="D90" i="19"/>
  <c r="F90" i="19"/>
  <c r="G90" i="19"/>
  <c r="E90" i="19"/>
  <c r="H90" i="19"/>
  <c r="I90" i="19"/>
  <c r="B91" i="19"/>
  <c r="C91" i="19"/>
  <c r="D91" i="19"/>
  <c r="F91" i="19"/>
  <c r="G91" i="19"/>
  <c r="E91" i="19"/>
  <c r="H91" i="19"/>
  <c r="I91" i="19"/>
  <c r="B92" i="19"/>
  <c r="C92" i="19"/>
  <c r="D92" i="19"/>
  <c r="F92" i="19"/>
  <c r="G92" i="19"/>
  <c r="B93" i="19"/>
  <c r="C93" i="19"/>
  <c r="E92" i="19"/>
  <c r="H92" i="19"/>
  <c r="I92" i="19"/>
  <c r="B94" i="19"/>
  <c r="C94" i="19"/>
  <c r="D93" i="19"/>
  <c r="F93" i="19"/>
  <c r="G93" i="19"/>
  <c r="E93" i="19"/>
  <c r="H93" i="19"/>
  <c r="I93" i="19"/>
  <c r="B95" i="19"/>
  <c r="C95" i="19"/>
  <c r="E94" i="19"/>
  <c r="D94" i="19"/>
  <c r="F94" i="19"/>
  <c r="H94" i="19"/>
  <c r="I94" i="19"/>
  <c r="G94" i="19"/>
  <c r="E95" i="19"/>
  <c r="D95" i="19"/>
  <c r="F95" i="19"/>
  <c r="H95" i="19"/>
  <c r="I95" i="19"/>
  <c r="B96" i="19"/>
  <c r="C96" i="19"/>
  <c r="G95" i="19"/>
  <c r="E96" i="19"/>
  <c r="D96" i="19"/>
  <c r="F96" i="19"/>
  <c r="H96" i="19"/>
  <c r="I96" i="19"/>
  <c r="B97" i="19"/>
  <c r="C97" i="19"/>
  <c r="G96" i="19"/>
  <c r="D97" i="19"/>
  <c r="F97" i="19"/>
  <c r="G97" i="19"/>
  <c r="B98" i="19"/>
  <c r="C98" i="19"/>
  <c r="E97" i="19"/>
  <c r="H97" i="19"/>
  <c r="I97" i="19"/>
  <c r="E98" i="19"/>
  <c r="D98" i="19"/>
  <c r="F98" i="19"/>
  <c r="H98" i="19"/>
  <c r="I98" i="19"/>
  <c r="B99" i="19"/>
  <c r="C99" i="19"/>
  <c r="G98" i="19"/>
  <c r="D99" i="19"/>
  <c r="F99" i="19"/>
  <c r="G99" i="19"/>
  <c r="B100" i="19"/>
  <c r="C100" i="19"/>
  <c r="E99" i="19"/>
  <c r="H99" i="19"/>
  <c r="I99" i="19"/>
  <c r="D100" i="19"/>
  <c r="F100" i="19"/>
  <c r="G100" i="19"/>
  <c r="E100" i="19"/>
  <c r="H100" i="19"/>
  <c r="I100" i="19"/>
  <c r="B101" i="19"/>
  <c r="C101" i="19"/>
  <c r="E101" i="19"/>
  <c r="D101" i="19"/>
  <c r="F101" i="19"/>
  <c r="H101" i="19"/>
  <c r="I101" i="19"/>
  <c r="B102" i="19"/>
  <c r="C102" i="19"/>
  <c r="G101" i="19"/>
  <c r="D102" i="19"/>
  <c r="F102" i="19"/>
  <c r="G102" i="19"/>
  <c r="B103" i="19"/>
  <c r="C103" i="19"/>
  <c r="E102" i="19"/>
  <c r="H102" i="19"/>
  <c r="I102" i="19"/>
  <c r="E103" i="19"/>
  <c r="D103" i="19"/>
  <c r="F103" i="19"/>
  <c r="H103" i="19"/>
  <c r="I103" i="19"/>
  <c r="G103" i="19"/>
  <c r="B104" i="19"/>
  <c r="C104" i="19"/>
  <c r="E104" i="19"/>
  <c r="D104" i="19"/>
  <c r="F104" i="19"/>
  <c r="H104" i="19"/>
  <c r="I104" i="19"/>
  <c r="B105" i="19"/>
  <c r="C105" i="19"/>
  <c r="G104" i="19"/>
  <c r="E105" i="19"/>
  <c r="D105" i="19"/>
  <c r="F105" i="19"/>
  <c r="H105" i="19"/>
  <c r="I105" i="19"/>
  <c r="B106" i="19"/>
  <c r="C106" i="19"/>
  <c r="G105" i="19"/>
  <c r="B107" i="19"/>
  <c r="C107" i="19"/>
  <c r="D106" i="19"/>
  <c r="F106" i="19"/>
  <c r="G106" i="19"/>
  <c r="E106" i="19"/>
  <c r="H106" i="19"/>
  <c r="I106" i="19"/>
  <c r="B108" i="19"/>
  <c r="C108" i="19"/>
  <c r="E107" i="19"/>
  <c r="D107" i="19"/>
  <c r="F107" i="19"/>
  <c r="H107" i="19"/>
  <c r="I107" i="19"/>
  <c r="G107" i="19"/>
  <c r="B109" i="19"/>
  <c r="C109" i="19"/>
  <c r="D108" i="19"/>
  <c r="F108" i="19"/>
  <c r="G108" i="19"/>
  <c r="E108" i="19"/>
  <c r="H108" i="19"/>
  <c r="I108" i="19"/>
  <c r="E109" i="19"/>
  <c r="D109" i="19"/>
  <c r="F109" i="19"/>
  <c r="H109" i="19"/>
  <c r="I109" i="19"/>
  <c r="B110" i="19"/>
  <c r="C110" i="19"/>
  <c r="G109" i="19"/>
  <c r="E110" i="19"/>
  <c r="D110" i="19"/>
  <c r="F110" i="19"/>
  <c r="H110" i="19"/>
  <c r="I110" i="19"/>
  <c r="B111" i="19"/>
  <c r="C111" i="19"/>
  <c r="G110" i="19"/>
  <c r="E111" i="19"/>
  <c r="D111" i="19"/>
  <c r="F111" i="19"/>
  <c r="H111" i="19"/>
  <c r="I111" i="19"/>
  <c r="B112" i="19"/>
  <c r="C112" i="19"/>
  <c r="G111" i="19"/>
  <c r="E112" i="19"/>
  <c r="D112" i="19"/>
  <c r="F112" i="19"/>
  <c r="H112" i="19"/>
  <c r="I112" i="19"/>
  <c r="B113" i="19"/>
  <c r="C113" i="19"/>
  <c r="G112" i="19"/>
  <c r="B114" i="19"/>
  <c r="C114" i="19"/>
  <c r="D113" i="19"/>
  <c r="F113" i="19"/>
  <c r="G113" i="19"/>
  <c r="E113" i="19"/>
  <c r="H113" i="19"/>
  <c r="I113" i="19"/>
  <c r="B115" i="19"/>
  <c r="C115" i="19"/>
  <c r="D114" i="19"/>
  <c r="F114" i="19"/>
  <c r="G114" i="19"/>
  <c r="E114" i="19"/>
  <c r="H114" i="19"/>
  <c r="I114" i="19"/>
  <c r="B116" i="19"/>
  <c r="C116" i="19"/>
  <c r="D115" i="19"/>
  <c r="F115" i="19"/>
  <c r="G115" i="19"/>
  <c r="E115" i="19"/>
  <c r="H115" i="19"/>
  <c r="I115" i="19"/>
  <c r="B117" i="19"/>
  <c r="C117" i="19"/>
  <c r="D116" i="19"/>
  <c r="F116" i="19"/>
  <c r="G116" i="19"/>
  <c r="E116" i="19"/>
  <c r="H116" i="19"/>
  <c r="I116" i="19"/>
  <c r="B118" i="19"/>
  <c r="C118" i="19"/>
  <c r="D117" i="19"/>
  <c r="F117" i="19"/>
  <c r="G117" i="19"/>
  <c r="E117" i="19"/>
  <c r="H117" i="19"/>
  <c r="I117" i="19"/>
  <c r="B119" i="19"/>
  <c r="C119" i="19"/>
  <c r="D118" i="19"/>
  <c r="F118" i="19"/>
  <c r="G118" i="19"/>
  <c r="E118" i="19"/>
  <c r="H118" i="19"/>
  <c r="I118" i="19"/>
  <c r="B120" i="19"/>
  <c r="C120" i="19"/>
  <c r="E119" i="19"/>
  <c r="D119" i="19"/>
  <c r="F119" i="19"/>
  <c r="H119" i="19"/>
  <c r="I119" i="19"/>
  <c r="G119" i="19"/>
  <c r="B121" i="19"/>
  <c r="C121" i="19"/>
  <c r="D120" i="19"/>
  <c r="F120" i="19"/>
  <c r="G120" i="19"/>
  <c r="E120" i="19"/>
  <c r="H120" i="19"/>
  <c r="I120" i="19"/>
  <c r="B122" i="19"/>
  <c r="C122" i="19"/>
  <c r="E121" i="19"/>
  <c r="D121" i="19"/>
  <c r="F121" i="19"/>
  <c r="H121" i="19"/>
  <c r="I121" i="19"/>
  <c r="G121" i="19"/>
  <c r="B123" i="19"/>
  <c r="C123" i="19"/>
  <c r="E122" i="19"/>
  <c r="D122" i="19"/>
  <c r="F122" i="19"/>
  <c r="H122" i="19"/>
  <c r="I122" i="19"/>
  <c r="G122" i="19"/>
  <c r="E123" i="19"/>
  <c r="D123" i="19"/>
  <c r="F123" i="19"/>
  <c r="H123" i="19"/>
  <c r="I123" i="19"/>
  <c r="B124" i="19"/>
  <c r="C124" i="19"/>
  <c r="G123" i="19"/>
  <c r="D124" i="19"/>
  <c r="F124" i="19"/>
  <c r="G124" i="19"/>
  <c r="B125" i="19"/>
  <c r="C125" i="19"/>
  <c r="E124" i="19"/>
  <c r="H124" i="19"/>
  <c r="I124" i="19"/>
  <c r="B126" i="19"/>
  <c r="C126" i="19"/>
  <c r="E125" i="19"/>
  <c r="D125" i="19"/>
  <c r="F125" i="19"/>
  <c r="H125" i="19"/>
  <c r="I125" i="19"/>
  <c r="G125" i="19"/>
  <c r="B127" i="19"/>
  <c r="C127" i="19"/>
  <c r="E126" i="19"/>
  <c r="D126" i="19"/>
  <c r="F126" i="19"/>
  <c r="H126" i="19"/>
  <c r="I126" i="19"/>
  <c r="G126" i="19"/>
  <c r="D127" i="19"/>
  <c r="F127" i="19"/>
  <c r="G127" i="19"/>
  <c r="B128" i="19"/>
  <c r="C128" i="19"/>
  <c r="E127" i="19"/>
  <c r="H127" i="19"/>
  <c r="I127" i="19"/>
  <c r="D128" i="19"/>
  <c r="F128" i="19"/>
  <c r="G128" i="19"/>
  <c r="B129" i="19"/>
  <c r="C129" i="19"/>
  <c r="E128" i="19"/>
  <c r="H128" i="19"/>
  <c r="I128" i="19"/>
  <c r="D129" i="19"/>
  <c r="F129" i="19"/>
  <c r="G129" i="19"/>
  <c r="B130" i="19"/>
  <c r="C130" i="19"/>
  <c r="E129" i="19"/>
  <c r="H129" i="19"/>
  <c r="I129" i="19"/>
  <c r="E130" i="19"/>
  <c r="D130" i="19"/>
  <c r="F130" i="19"/>
  <c r="H130" i="19"/>
  <c r="I130" i="19"/>
  <c r="B131" i="19"/>
  <c r="C131" i="19"/>
  <c r="G130" i="19"/>
  <c r="E131" i="19"/>
  <c r="D131" i="19"/>
  <c r="F131" i="19"/>
  <c r="H131" i="19"/>
  <c r="I131" i="19"/>
  <c r="G131" i="19"/>
  <c r="B132" i="19"/>
  <c r="C132" i="19"/>
  <c r="D132" i="19"/>
  <c r="F132" i="19"/>
  <c r="G132" i="19"/>
  <c r="B133" i="19"/>
  <c r="C133" i="19"/>
  <c r="E132" i="19"/>
  <c r="H132" i="19"/>
  <c r="I132" i="19"/>
  <c r="D133" i="19"/>
  <c r="F133" i="19"/>
  <c r="G133" i="19"/>
  <c r="B134" i="19"/>
  <c r="C134" i="19"/>
  <c r="E133" i="19"/>
  <c r="H133" i="19"/>
  <c r="I133" i="19"/>
  <c r="E134" i="19"/>
  <c r="D134" i="19"/>
  <c r="F134" i="19"/>
  <c r="H134" i="19"/>
  <c r="I134" i="19"/>
  <c r="B135" i="19"/>
  <c r="C135" i="19"/>
  <c r="G134" i="19"/>
  <c r="B136" i="19"/>
  <c r="C136" i="19"/>
  <c r="D135" i="19"/>
  <c r="F135" i="19"/>
  <c r="G135" i="19"/>
  <c r="E135" i="19"/>
  <c r="H135" i="19"/>
  <c r="I135" i="19"/>
  <c r="B137" i="19"/>
  <c r="C137" i="19"/>
  <c r="D136" i="19"/>
  <c r="F136" i="19"/>
  <c r="G136" i="19"/>
  <c r="E136" i="19"/>
  <c r="H136" i="19"/>
  <c r="I136" i="19"/>
  <c r="B138" i="19"/>
  <c r="C138" i="19"/>
  <c r="E137" i="19"/>
  <c r="D137" i="19"/>
  <c r="F137" i="19"/>
  <c r="H137" i="19"/>
  <c r="I137" i="19"/>
  <c r="G137" i="19"/>
  <c r="E138" i="19"/>
  <c r="D138" i="19"/>
  <c r="F138" i="19"/>
  <c r="H138" i="19"/>
  <c r="I138" i="19"/>
  <c r="B139" i="19"/>
  <c r="C139" i="19"/>
  <c r="G138" i="19"/>
  <c r="E139" i="19"/>
  <c r="D139" i="19"/>
  <c r="F139" i="19"/>
  <c r="H139" i="19"/>
  <c r="I139" i="19"/>
  <c r="B140" i="19"/>
  <c r="C140" i="19"/>
  <c r="G139" i="19"/>
  <c r="E140" i="19"/>
  <c r="D140" i="19"/>
  <c r="F140" i="19"/>
  <c r="H140" i="19"/>
  <c r="I140" i="19"/>
  <c r="B141" i="19"/>
  <c r="C141" i="19"/>
  <c r="G140" i="19"/>
  <c r="E141" i="19"/>
  <c r="D141" i="19"/>
  <c r="F141" i="19"/>
  <c r="H141" i="19"/>
  <c r="I141" i="19"/>
  <c r="B142" i="19"/>
  <c r="C142" i="19"/>
  <c r="G141" i="19"/>
  <c r="D142" i="19"/>
  <c r="F142" i="19"/>
  <c r="G142" i="19"/>
  <c r="B143" i="19"/>
  <c r="C143" i="19"/>
  <c r="E142" i="19"/>
  <c r="H142" i="19"/>
  <c r="I142" i="19"/>
  <c r="D143" i="19"/>
  <c r="F143" i="19"/>
  <c r="G143" i="19"/>
  <c r="E143" i="19"/>
  <c r="H143" i="19"/>
  <c r="I143" i="19"/>
  <c r="B144" i="19"/>
  <c r="C144" i="19"/>
  <c r="E144" i="19"/>
  <c r="D144" i="19"/>
  <c r="F144" i="19"/>
  <c r="H144" i="19"/>
  <c r="I144" i="19"/>
  <c r="B145" i="19"/>
  <c r="C145" i="19"/>
  <c r="G144" i="19"/>
  <c r="D145" i="19"/>
  <c r="F145" i="19"/>
  <c r="G145" i="19"/>
  <c r="B146" i="19"/>
  <c r="C146" i="19"/>
  <c r="E145" i="19"/>
  <c r="H145" i="19"/>
  <c r="I145" i="19"/>
  <c r="E146" i="19"/>
  <c r="D146" i="19"/>
  <c r="F146" i="19"/>
  <c r="H146" i="19"/>
  <c r="I146" i="19"/>
  <c r="B147" i="19"/>
  <c r="C147" i="19"/>
  <c r="G146" i="19"/>
  <c r="B148" i="19"/>
  <c r="C148" i="19"/>
  <c r="D147" i="19"/>
  <c r="F147" i="19"/>
  <c r="G147" i="19"/>
  <c r="E147" i="19"/>
  <c r="H147" i="19"/>
  <c r="I147" i="19"/>
  <c r="B149" i="19"/>
  <c r="C149" i="19"/>
  <c r="D148" i="19"/>
  <c r="F148" i="19"/>
  <c r="G148" i="19"/>
  <c r="E148" i="19"/>
  <c r="H148" i="19"/>
  <c r="I148" i="19"/>
  <c r="E149" i="19"/>
  <c r="D149" i="19"/>
  <c r="F149" i="19"/>
  <c r="H149" i="19"/>
  <c r="I149" i="19"/>
  <c r="B150" i="19"/>
  <c r="C150" i="19"/>
  <c r="G149" i="19"/>
  <c r="D150" i="19"/>
  <c r="F150" i="19"/>
  <c r="G150" i="19"/>
  <c r="E150" i="19"/>
  <c r="H150" i="19"/>
  <c r="I150" i="19"/>
  <c r="B151" i="19"/>
  <c r="C151" i="19"/>
  <c r="D151" i="19"/>
  <c r="F151" i="19"/>
  <c r="G151" i="19"/>
  <c r="B152" i="19"/>
  <c r="C152" i="19"/>
  <c r="E151" i="19"/>
  <c r="H151" i="19"/>
  <c r="I151" i="19"/>
  <c r="B153" i="19"/>
  <c r="C153" i="19"/>
  <c r="E152" i="19"/>
  <c r="D152" i="19"/>
  <c r="F152" i="19"/>
  <c r="H152" i="19"/>
  <c r="I152" i="19"/>
  <c r="G152" i="19"/>
  <c r="D153" i="19"/>
  <c r="F153" i="19"/>
  <c r="G153" i="19"/>
  <c r="B154" i="19"/>
  <c r="C154" i="19"/>
  <c r="E153" i="19"/>
  <c r="H153" i="19"/>
  <c r="I153" i="19"/>
  <c r="E154" i="19"/>
  <c r="D154" i="19"/>
  <c r="F154" i="19"/>
  <c r="H154" i="19"/>
  <c r="I154" i="19"/>
  <c r="B155" i="19"/>
  <c r="C155" i="19"/>
  <c r="G154" i="19"/>
  <c r="E155" i="19"/>
  <c r="D155" i="19"/>
  <c r="F155" i="19"/>
  <c r="H155" i="19"/>
  <c r="I155" i="19"/>
  <c r="B156" i="19"/>
  <c r="C156" i="19"/>
  <c r="G155" i="19"/>
  <c r="D156" i="19"/>
  <c r="F156" i="19"/>
  <c r="G156" i="19"/>
  <c r="B157" i="19"/>
  <c r="C157" i="19"/>
  <c r="E156" i="19"/>
  <c r="H156" i="19"/>
  <c r="I156" i="19"/>
  <c r="D157" i="19"/>
  <c r="F157" i="19"/>
  <c r="G157" i="19"/>
  <c r="B158" i="19"/>
  <c r="C158" i="19"/>
  <c r="E157" i="19"/>
  <c r="H157" i="19"/>
  <c r="I157" i="19"/>
  <c r="B159" i="19"/>
  <c r="C159" i="19"/>
  <c r="E158" i="19"/>
  <c r="D158" i="19"/>
  <c r="F158" i="19"/>
  <c r="H158" i="19"/>
  <c r="I158" i="19"/>
  <c r="G158" i="19"/>
  <c r="B160" i="19"/>
  <c r="C160" i="19"/>
  <c r="D159" i="19"/>
  <c r="F159" i="19"/>
  <c r="G159" i="19"/>
  <c r="E159" i="19"/>
  <c r="H159" i="19"/>
  <c r="I159" i="19"/>
  <c r="B161" i="19"/>
  <c r="C161" i="19"/>
  <c r="D160" i="19"/>
  <c r="F160" i="19"/>
  <c r="G160" i="19"/>
  <c r="E160" i="19"/>
  <c r="H160" i="19"/>
  <c r="I160" i="19"/>
  <c r="D161" i="19"/>
  <c r="F161" i="19"/>
  <c r="G161" i="19"/>
  <c r="B162" i="19"/>
  <c r="C162" i="19"/>
  <c r="E161" i="19"/>
  <c r="H161" i="19"/>
  <c r="I161" i="19"/>
  <c r="D162" i="19"/>
  <c r="F162" i="19"/>
  <c r="G162" i="19"/>
  <c r="E162" i="19"/>
  <c r="H162" i="19"/>
  <c r="I162" i="19"/>
  <c r="B163" i="19"/>
  <c r="C163" i="19"/>
  <c r="D163" i="19"/>
  <c r="F163" i="19"/>
  <c r="G163" i="19"/>
  <c r="E163" i="19"/>
  <c r="H163" i="19"/>
  <c r="I163" i="19"/>
  <c r="B164" i="19"/>
  <c r="C164" i="19"/>
  <c r="D164" i="19"/>
  <c r="F164" i="19"/>
  <c r="G164" i="19"/>
  <c r="E164" i="19"/>
  <c r="H164" i="19"/>
  <c r="I164" i="19"/>
  <c r="B165" i="19"/>
  <c r="C165" i="19"/>
  <c r="E165" i="19"/>
  <c r="D165" i="19"/>
  <c r="F165" i="19"/>
  <c r="H165" i="19"/>
  <c r="I165" i="19"/>
  <c r="G165" i="19"/>
  <c r="B166" i="19"/>
  <c r="C166" i="19"/>
  <c r="E166" i="19"/>
  <c r="D166" i="19"/>
  <c r="F166" i="19"/>
  <c r="H166" i="19"/>
  <c r="I166" i="19"/>
  <c r="B167" i="19"/>
  <c r="C167" i="19"/>
  <c r="G166" i="19"/>
  <c r="B168" i="19"/>
  <c r="C168" i="19"/>
  <c r="D167" i="19"/>
  <c r="F167" i="19"/>
  <c r="G167" i="19"/>
  <c r="E167" i="19"/>
  <c r="H167" i="19"/>
  <c r="I167" i="19"/>
  <c r="B169" i="19"/>
  <c r="C169" i="19"/>
  <c r="E168" i="19"/>
  <c r="D168" i="19"/>
  <c r="F168" i="19"/>
  <c r="H168" i="19"/>
  <c r="I168" i="19"/>
  <c r="G168" i="19"/>
  <c r="B170" i="19"/>
  <c r="C170" i="19"/>
  <c r="D169" i="19"/>
  <c r="F169" i="19"/>
  <c r="G169" i="19"/>
  <c r="E169" i="19"/>
  <c r="H169" i="19"/>
  <c r="I169" i="19"/>
  <c r="B171" i="19"/>
  <c r="C171" i="19"/>
  <c r="E170" i="19"/>
  <c r="D170" i="19"/>
  <c r="F170" i="19"/>
  <c r="H170" i="19"/>
  <c r="I170" i="19"/>
  <c r="G170" i="19"/>
  <c r="B172" i="19"/>
  <c r="C172" i="19"/>
  <c r="D171" i="19"/>
  <c r="F171" i="19"/>
  <c r="G171" i="19"/>
  <c r="E171" i="19"/>
  <c r="H171" i="19"/>
  <c r="I171" i="19"/>
  <c r="B173" i="19"/>
  <c r="C173" i="19"/>
  <c r="E172" i="19"/>
  <c r="D172" i="19"/>
  <c r="F172" i="19"/>
  <c r="H172" i="19"/>
  <c r="I172" i="19"/>
  <c r="G172" i="19"/>
  <c r="D173" i="19"/>
  <c r="F173" i="19"/>
  <c r="G173" i="19"/>
  <c r="B174" i="19"/>
  <c r="C174" i="19"/>
  <c r="E173" i="19"/>
  <c r="H173" i="19"/>
  <c r="I173" i="19"/>
  <c r="D174" i="19"/>
  <c r="F174" i="19"/>
  <c r="G174" i="19"/>
  <c r="B175" i="19"/>
  <c r="C175" i="19"/>
  <c r="E174" i="19"/>
  <c r="H174" i="19"/>
  <c r="I174" i="19"/>
  <c r="E175" i="19"/>
  <c r="D175" i="19"/>
  <c r="F175" i="19"/>
  <c r="H175" i="19"/>
  <c r="I175" i="19"/>
  <c r="G175" i="19"/>
  <c r="B176" i="19"/>
  <c r="C176" i="19"/>
  <c r="E176" i="19"/>
  <c r="D176" i="19"/>
  <c r="F176" i="19"/>
  <c r="H176" i="19"/>
  <c r="I176" i="19"/>
  <c r="G176" i="19"/>
  <c r="B177" i="19"/>
  <c r="C177" i="19"/>
  <c r="B178" i="19"/>
  <c r="C178" i="19"/>
  <c r="D177" i="19"/>
  <c r="F177" i="19"/>
  <c r="G177" i="19"/>
  <c r="E177" i="19"/>
  <c r="H177" i="19"/>
  <c r="I177" i="19"/>
  <c r="B179" i="19"/>
  <c r="C179" i="19"/>
  <c r="E178" i="19"/>
  <c r="D178" i="19"/>
  <c r="F178" i="19"/>
  <c r="H178" i="19"/>
  <c r="I178" i="19"/>
  <c r="G178" i="19"/>
  <c r="B180" i="19"/>
  <c r="C180" i="19"/>
  <c r="D179" i="19"/>
  <c r="F179" i="19"/>
  <c r="G179" i="19"/>
  <c r="E179" i="19"/>
  <c r="H179" i="19"/>
  <c r="I179" i="19"/>
  <c r="B181" i="19"/>
  <c r="C181" i="19"/>
  <c r="D180" i="19"/>
  <c r="F180" i="19"/>
  <c r="G180" i="19"/>
  <c r="E180" i="19"/>
  <c r="H180" i="19"/>
  <c r="I180" i="19"/>
  <c r="D181" i="19"/>
  <c r="F181" i="19"/>
  <c r="G181" i="19"/>
  <c r="B182" i="19"/>
  <c r="C182" i="19"/>
  <c r="E181" i="19"/>
  <c r="H181" i="19"/>
  <c r="I181" i="19"/>
  <c r="B183" i="19"/>
  <c r="C183" i="19"/>
  <c r="E182" i="19"/>
  <c r="D182" i="19"/>
  <c r="F182" i="19"/>
  <c r="H182" i="19"/>
  <c r="I182" i="19"/>
  <c r="G182" i="19"/>
  <c r="D183" i="19"/>
  <c r="F183" i="19"/>
  <c r="G183" i="19"/>
  <c r="B184" i="19"/>
  <c r="C184" i="19"/>
  <c r="E183" i="19"/>
  <c r="H183" i="19"/>
  <c r="I183" i="19"/>
  <c r="B185" i="19"/>
  <c r="C185" i="19"/>
  <c r="E184" i="19"/>
  <c r="D184" i="19"/>
  <c r="F184" i="19"/>
  <c r="H184" i="19"/>
  <c r="I184" i="19"/>
  <c r="G184" i="19"/>
  <c r="B186" i="19"/>
  <c r="C186" i="19"/>
  <c r="E185" i="19"/>
  <c r="D185" i="19"/>
  <c r="F185" i="19"/>
  <c r="H185" i="19"/>
  <c r="I185" i="19"/>
  <c r="G185" i="19"/>
  <c r="B187" i="19"/>
  <c r="C187" i="19"/>
  <c r="E186" i="19"/>
  <c r="D186" i="19"/>
  <c r="F186" i="19"/>
  <c r="H186" i="19"/>
  <c r="I186" i="19"/>
  <c r="G186" i="19"/>
  <c r="B188" i="19"/>
  <c r="C188" i="19"/>
  <c r="D187" i="19"/>
  <c r="F187" i="19"/>
  <c r="G187" i="19"/>
  <c r="E187" i="19"/>
  <c r="H187" i="19"/>
  <c r="I187" i="19"/>
  <c r="E188" i="19"/>
  <c r="D188" i="19"/>
  <c r="F188" i="19"/>
  <c r="H188" i="19"/>
  <c r="I188" i="19"/>
  <c r="B189" i="19"/>
  <c r="C189" i="19"/>
  <c r="G188" i="19"/>
  <c r="E189" i="19"/>
  <c r="D189" i="19"/>
  <c r="F189" i="19"/>
  <c r="H189" i="19"/>
  <c r="I189" i="19"/>
  <c r="G189" i="19"/>
  <c r="B190" i="19"/>
  <c r="C190" i="19"/>
  <c r="D190" i="19"/>
  <c r="F190" i="19"/>
  <c r="G190" i="19"/>
  <c r="B191" i="19"/>
  <c r="C191" i="19"/>
  <c r="E190" i="19"/>
  <c r="H190" i="19"/>
  <c r="I190" i="19"/>
  <c r="B192" i="19"/>
  <c r="C192" i="19"/>
  <c r="D191" i="19"/>
  <c r="F191" i="19"/>
  <c r="G191" i="19"/>
  <c r="E191" i="19"/>
  <c r="H191" i="19"/>
  <c r="I191" i="19"/>
  <c r="E192" i="19"/>
  <c r="D192" i="19"/>
  <c r="F192" i="19"/>
  <c r="H192" i="19"/>
  <c r="I192" i="19"/>
  <c r="G192" i="19"/>
  <c r="B193" i="19"/>
  <c r="C193" i="19"/>
  <c r="D193" i="19"/>
  <c r="F193" i="19"/>
  <c r="G193" i="19"/>
  <c r="E193" i="19"/>
  <c r="H193" i="19"/>
  <c r="I193" i="19"/>
  <c r="B194" i="19"/>
  <c r="C194" i="19"/>
  <c r="D194" i="19"/>
  <c r="F194" i="19"/>
  <c r="G194" i="19"/>
  <c r="E194" i="19"/>
  <c r="H194" i="19"/>
  <c r="I194" i="19"/>
  <c r="B195" i="19"/>
  <c r="C195" i="19"/>
  <c r="D195" i="19"/>
  <c r="F195" i="19"/>
  <c r="G195" i="19"/>
  <c r="B196" i="19"/>
  <c r="C196" i="19"/>
  <c r="E195" i="19"/>
  <c r="H195" i="19"/>
  <c r="I195" i="19"/>
  <c r="D196" i="19"/>
  <c r="F196" i="19"/>
  <c r="G196" i="19"/>
  <c r="B197" i="19"/>
  <c r="C197" i="19"/>
  <c r="E196" i="19"/>
  <c r="H196" i="19"/>
  <c r="I196" i="19"/>
  <c r="D197" i="19"/>
  <c r="F197" i="19"/>
  <c r="G197" i="19"/>
  <c r="B198" i="19"/>
  <c r="C198" i="19"/>
  <c r="E197" i="19"/>
  <c r="H197" i="19"/>
  <c r="I197" i="19"/>
  <c r="E198" i="19"/>
  <c r="D198" i="19"/>
  <c r="F198" i="19"/>
  <c r="H198" i="19"/>
  <c r="I198" i="19"/>
  <c r="B199" i="19"/>
  <c r="C199" i="19"/>
  <c r="G198" i="19"/>
  <c r="D199" i="19"/>
  <c r="F199" i="19"/>
  <c r="G199" i="19"/>
  <c r="B200" i="19"/>
  <c r="C200" i="19"/>
  <c r="E199" i="19"/>
  <c r="H199" i="19"/>
  <c r="I199" i="19"/>
  <c r="E200" i="19"/>
  <c r="D200" i="19"/>
  <c r="F200" i="19"/>
  <c r="H200" i="19"/>
  <c r="I200" i="19"/>
  <c r="B201" i="19"/>
  <c r="C201" i="19"/>
  <c r="G200" i="19"/>
  <c r="D201" i="19"/>
  <c r="F201" i="19"/>
  <c r="G201" i="19"/>
  <c r="B202" i="19"/>
  <c r="C202" i="19"/>
  <c r="E201" i="19"/>
  <c r="H201" i="19"/>
  <c r="I201" i="19"/>
  <c r="D202" i="19"/>
  <c r="F202" i="19"/>
  <c r="G202" i="19"/>
  <c r="B203" i="19"/>
  <c r="C203" i="19"/>
  <c r="E202" i="19"/>
  <c r="H202" i="19"/>
  <c r="I202" i="19"/>
  <c r="D203" i="19"/>
  <c r="F203" i="19"/>
  <c r="G203" i="19"/>
  <c r="E203" i="19"/>
  <c r="H203" i="19"/>
  <c r="I203" i="19"/>
  <c r="B204" i="19"/>
  <c r="C204" i="19"/>
  <c r="D204" i="19"/>
  <c r="F204" i="19"/>
  <c r="G204" i="19"/>
  <c r="E204" i="19"/>
  <c r="H204" i="19"/>
  <c r="I204" i="19"/>
  <c r="B205" i="19"/>
  <c r="C205" i="19"/>
  <c r="D205" i="19"/>
  <c r="F205" i="19"/>
  <c r="G205" i="19"/>
  <c r="E205" i="19"/>
  <c r="H205" i="19"/>
  <c r="I205" i="19"/>
  <c r="B206" i="19"/>
  <c r="C206" i="19"/>
  <c r="D206" i="19"/>
  <c r="F206" i="19"/>
  <c r="G206" i="19"/>
  <c r="B207" i="19"/>
  <c r="C207" i="19"/>
  <c r="E206" i="19"/>
  <c r="H206" i="19"/>
  <c r="I206" i="19"/>
  <c r="D207" i="19"/>
  <c r="F207" i="19"/>
  <c r="G207" i="19"/>
  <c r="B208" i="19"/>
  <c r="C208" i="19"/>
  <c r="E207" i="19"/>
  <c r="H207" i="19"/>
  <c r="I207" i="19"/>
  <c r="E208" i="19"/>
  <c r="D208" i="19"/>
  <c r="F208" i="19"/>
  <c r="H208" i="19"/>
  <c r="I208" i="19"/>
  <c r="B209" i="19"/>
  <c r="C209" i="19"/>
  <c r="G208" i="19"/>
  <c r="E209" i="19"/>
  <c r="D209" i="19"/>
  <c r="F209" i="19"/>
  <c r="H209" i="19"/>
  <c r="I209" i="19"/>
  <c r="B210" i="19"/>
  <c r="C210" i="19"/>
  <c r="G209" i="19"/>
  <c r="E210" i="19"/>
  <c r="D210" i="19"/>
  <c r="F210" i="19"/>
  <c r="H210" i="19"/>
  <c r="I210" i="19"/>
  <c r="B211" i="19"/>
  <c r="C211" i="19"/>
  <c r="G210" i="19"/>
  <c r="B212" i="19"/>
  <c r="C212" i="19"/>
  <c r="D211" i="19"/>
  <c r="F211" i="19"/>
  <c r="G211" i="19"/>
  <c r="E211" i="19"/>
  <c r="H211" i="19"/>
  <c r="I211" i="19"/>
  <c r="B213" i="19"/>
  <c r="C213" i="19"/>
  <c r="D212" i="19"/>
  <c r="F212" i="19"/>
  <c r="G212" i="19"/>
  <c r="E212" i="19"/>
  <c r="H212" i="19"/>
  <c r="I212" i="19"/>
  <c r="B214" i="19"/>
  <c r="C214" i="19"/>
  <c r="D213" i="19"/>
  <c r="F213" i="19"/>
  <c r="G213" i="19"/>
  <c r="E213" i="19"/>
  <c r="H213" i="19"/>
  <c r="I213" i="19"/>
  <c r="B215" i="19"/>
  <c r="C215" i="19"/>
  <c r="D214" i="19"/>
  <c r="F214" i="19"/>
  <c r="G214" i="19"/>
  <c r="E214" i="19"/>
  <c r="H214" i="19"/>
  <c r="I214" i="19"/>
  <c r="B216" i="19"/>
  <c r="C216" i="19"/>
  <c r="D215" i="19"/>
  <c r="F215" i="19"/>
  <c r="G215" i="19"/>
  <c r="E215" i="19"/>
  <c r="H215" i="19"/>
  <c r="I215" i="19"/>
  <c r="D216" i="19"/>
  <c r="F216" i="19"/>
  <c r="G216" i="19"/>
  <c r="B217" i="19"/>
  <c r="C217" i="19"/>
  <c r="E216" i="19"/>
  <c r="H216" i="19"/>
  <c r="I216" i="19"/>
  <c r="E217" i="19"/>
  <c r="D217" i="19"/>
  <c r="F217" i="19"/>
  <c r="H217" i="19"/>
  <c r="I217" i="19"/>
  <c r="B218" i="19"/>
  <c r="C218" i="19"/>
  <c r="G217" i="19"/>
  <c r="D218" i="19"/>
  <c r="F218" i="19"/>
  <c r="G218" i="19"/>
  <c r="B219" i="19"/>
  <c r="C219" i="19"/>
  <c r="E218" i="19"/>
  <c r="H218" i="19"/>
  <c r="I218" i="19"/>
  <c r="E219" i="19"/>
  <c r="D219" i="19"/>
  <c r="F219" i="19"/>
  <c r="H219" i="19"/>
  <c r="I219" i="19"/>
  <c r="B220" i="19"/>
  <c r="C220" i="19"/>
  <c r="G219" i="19"/>
  <c r="E220" i="19"/>
  <c r="D220" i="19"/>
  <c r="F220" i="19"/>
  <c r="H220" i="19"/>
  <c r="I220" i="19"/>
  <c r="G220" i="19"/>
  <c r="B221" i="19"/>
  <c r="C221" i="19"/>
  <c r="D221" i="19"/>
  <c r="F221" i="19"/>
  <c r="G221" i="19"/>
  <c r="B222" i="19"/>
  <c r="C222" i="19"/>
  <c r="E221" i="19"/>
  <c r="H221" i="19"/>
  <c r="I221" i="19"/>
  <c r="E222" i="19"/>
  <c r="D222" i="19"/>
  <c r="F222" i="19"/>
  <c r="H222" i="19"/>
  <c r="I222" i="19"/>
  <c r="B223" i="19"/>
  <c r="C223" i="19"/>
  <c r="G222" i="19"/>
  <c r="E223" i="19"/>
  <c r="D223" i="19"/>
  <c r="F223" i="19"/>
  <c r="H223" i="19"/>
  <c r="I223" i="19"/>
  <c r="B224" i="19"/>
  <c r="C224" i="19"/>
  <c r="G223" i="19"/>
  <c r="E224" i="19"/>
  <c r="D224" i="19"/>
  <c r="F224" i="19"/>
  <c r="H224" i="19"/>
  <c r="I224" i="19"/>
  <c r="B225" i="19"/>
  <c r="C225" i="19"/>
  <c r="G224" i="19"/>
  <c r="E225" i="19"/>
  <c r="D225" i="19"/>
  <c r="F225" i="19"/>
  <c r="H225" i="19"/>
  <c r="I225" i="19"/>
  <c r="B226" i="19"/>
  <c r="C226" i="19"/>
  <c r="G225" i="19"/>
  <c r="B227" i="19"/>
  <c r="C227" i="19"/>
  <c r="E226" i="19"/>
  <c r="D226" i="19"/>
  <c r="F226" i="19"/>
  <c r="H226" i="19"/>
  <c r="I226" i="19"/>
  <c r="G226" i="19"/>
  <c r="E227" i="19"/>
  <c r="D227" i="19"/>
  <c r="F227" i="19"/>
  <c r="H227" i="19"/>
  <c r="I227" i="19"/>
  <c r="B228" i="19"/>
  <c r="C228" i="19"/>
  <c r="G227" i="19"/>
  <c r="E228" i="19"/>
  <c r="D228" i="19"/>
  <c r="F228" i="19"/>
  <c r="H228" i="19"/>
  <c r="I228" i="19"/>
  <c r="B229" i="19"/>
  <c r="C229" i="19"/>
  <c r="G228" i="19"/>
  <c r="E229" i="19"/>
  <c r="D229" i="19"/>
  <c r="F229" i="19"/>
  <c r="H229" i="19"/>
  <c r="I229" i="19"/>
  <c r="B230" i="19"/>
  <c r="C230" i="19"/>
  <c r="G229" i="19"/>
  <c r="E230" i="19"/>
  <c r="D230" i="19"/>
  <c r="F230" i="19"/>
  <c r="H230" i="19"/>
  <c r="I230" i="19"/>
  <c r="B231" i="19"/>
  <c r="C231" i="19"/>
  <c r="G230" i="19"/>
  <c r="B232" i="19"/>
  <c r="C232" i="19"/>
  <c r="E231" i="19"/>
  <c r="D231" i="19"/>
  <c r="F231" i="19"/>
  <c r="H231" i="19"/>
  <c r="I231" i="19"/>
  <c r="G231" i="19"/>
  <c r="E232" i="19"/>
  <c r="D232" i="19"/>
  <c r="F232" i="19"/>
  <c r="H232" i="19"/>
  <c r="I232" i="19"/>
  <c r="B233" i="19"/>
  <c r="C233" i="19"/>
  <c r="G232" i="19"/>
  <c r="D233" i="19"/>
  <c r="F233" i="19"/>
  <c r="G233" i="19"/>
  <c r="B234" i="19"/>
  <c r="C234" i="19"/>
  <c r="E233" i="19"/>
  <c r="H233" i="19"/>
  <c r="I233" i="19"/>
  <c r="E234" i="19"/>
  <c r="D234" i="19"/>
  <c r="F234" i="19"/>
  <c r="H234" i="19"/>
  <c r="I234" i="19"/>
  <c r="B235" i="19"/>
  <c r="C235" i="19"/>
  <c r="G234" i="19"/>
  <c r="B236" i="19"/>
  <c r="C236" i="19"/>
  <c r="D235" i="19"/>
  <c r="F235" i="19"/>
  <c r="G235" i="19"/>
  <c r="E235" i="19"/>
  <c r="H235" i="19"/>
  <c r="I235" i="19"/>
  <c r="B237" i="19"/>
  <c r="C237" i="19"/>
  <c r="D236" i="19"/>
  <c r="F236" i="19"/>
  <c r="G236" i="19"/>
  <c r="E236" i="19"/>
  <c r="H236" i="19"/>
  <c r="I236" i="19"/>
  <c r="B238" i="19"/>
  <c r="C238" i="19"/>
  <c r="E237" i="19"/>
  <c r="D237" i="19"/>
  <c r="F237" i="19"/>
  <c r="H237" i="19"/>
  <c r="I237" i="19"/>
  <c r="G237" i="19"/>
  <c r="D238" i="19"/>
  <c r="F238" i="19"/>
  <c r="G238" i="19"/>
  <c r="B239" i="19"/>
  <c r="C239" i="19"/>
  <c r="E238" i="19"/>
  <c r="H238" i="19"/>
  <c r="I238" i="19"/>
  <c r="D239" i="19"/>
  <c r="F239" i="19"/>
  <c r="G239" i="19"/>
  <c r="E239" i="19"/>
  <c r="H239" i="19"/>
  <c r="I239" i="19"/>
  <c r="B240" i="19"/>
  <c r="C240" i="19"/>
  <c r="D240" i="19"/>
  <c r="F240" i="19"/>
  <c r="G240" i="19"/>
  <c r="B241" i="19"/>
  <c r="C241" i="19"/>
  <c r="E240" i="19"/>
  <c r="H240" i="19"/>
  <c r="I240" i="19"/>
  <c r="B242" i="19"/>
  <c r="C242" i="19"/>
  <c r="D241" i="19"/>
  <c r="F241" i="19"/>
  <c r="G241" i="19"/>
  <c r="E241" i="19"/>
  <c r="H241" i="19"/>
  <c r="I241" i="19"/>
  <c r="B243" i="19"/>
  <c r="C243" i="19"/>
  <c r="D242" i="19"/>
  <c r="F242" i="19"/>
  <c r="G242" i="19"/>
  <c r="E242" i="19"/>
  <c r="H242" i="19"/>
  <c r="I242" i="19"/>
  <c r="B244" i="19"/>
  <c r="C244" i="19"/>
  <c r="D243" i="19"/>
  <c r="F243" i="19"/>
  <c r="G243" i="19"/>
  <c r="E243" i="19"/>
  <c r="H243" i="19"/>
  <c r="I243" i="19"/>
  <c r="B245" i="19"/>
  <c r="C245" i="19"/>
  <c r="E244" i="19"/>
  <c r="D244" i="19"/>
  <c r="F244" i="19"/>
  <c r="H244" i="19"/>
  <c r="I244" i="19"/>
  <c r="G244" i="19"/>
  <c r="B246" i="19"/>
  <c r="C246" i="19"/>
  <c r="E245" i="19"/>
  <c r="D245" i="19"/>
  <c r="F245" i="19"/>
  <c r="H245" i="19"/>
  <c r="I245" i="19"/>
  <c r="G245" i="19"/>
  <c r="B247" i="19"/>
  <c r="C247" i="19"/>
  <c r="D246" i="19"/>
  <c r="F246" i="19"/>
  <c r="G246" i="19"/>
  <c r="E246" i="19"/>
  <c r="H246" i="19"/>
  <c r="I246" i="19"/>
  <c r="B248" i="19"/>
  <c r="C248" i="19"/>
  <c r="D247" i="19"/>
  <c r="F247" i="19"/>
  <c r="G247" i="19"/>
  <c r="E247" i="19"/>
  <c r="H247" i="19"/>
  <c r="I247" i="19"/>
  <c r="B249" i="19"/>
  <c r="C249" i="19"/>
  <c r="D248" i="19"/>
  <c r="F248" i="19"/>
  <c r="G248" i="19"/>
  <c r="E248" i="19"/>
  <c r="H248" i="19"/>
  <c r="I248" i="19"/>
  <c r="B250" i="19"/>
  <c r="C250" i="19"/>
  <c r="D249" i="19"/>
  <c r="F249" i="19"/>
  <c r="G249" i="19"/>
  <c r="E249" i="19"/>
  <c r="H249" i="19"/>
  <c r="I249" i="19"/>
  <c r="B251" i="19"/>
  <c r="C251" i="19"/>
  <c r="D250" i="19"/>
  <c r="F250" i="19"/>
  <c r="G250" i="19"/>
  <c r="E250" i="19"/>
  <c r="H250" i="19"/>
  <c r="I250" i="19"/>
  <c r="B252" i="19"/>
  <c r="C252" i="19"/>
  <c r="D251" i="19"/>
  <c r="F251" i="19"/>
  <c r="G251" i="19"/>
  <c r="E251" i="19"/>
  <c r="H251" i="19"/>
  <c r="I251" i="19"/>
  <c r="B253" i="19"/>
  <c r="C253" i="19"/>
  <c r="D252" i="19"/>
  <c r="F252" i="19"/>
  <c r="G252" i="19"/>
  <c r="E252" i="19"/>
  <c r="H252" i="19"/>
  <c r="I252" i="19"/>
  <c r="B254" i="19"/>
  <c r="C254" i="19"/>
  <c r="D253" i="19"/>
  <c r="F253" i="19"/>
  <c r="G253" i="19"/>
  <c r="E253" i="19"/>
  <c r="H253" i="19"/>
  <c r="I253" i="19"/>
  <c r="B255" i="19"/>
  <c r="C255" i="19"/>
  <c r="D254" i="19"/>
  <c r="F254" i="19"/>
  <c r="G254" i="19"/>
  <c r="E254" i="19"/>
  <c r="H254" i="19"/>
  <c r="I254" i="19"/>
  <c r="D255" i="19"/>
  <c r="F255" i="19"/>
  <c r="G255" i="19"/>
  <c r="B256" i="19"/>
  <c r="C256" i="19"/>
  <c r="E255" i="19"/>
  <c r="H255" i="19"/>
  <c r="I255" i="19"/>
  <c r="E256" i="19"/>
  <c r="D256" i="19"/>
  <c r="F256" i="19"/>
  <c r="H256" i="19"/>
  <c r="I256" i="19"/>
  <c r="B257" i="19"/>
  <c r="C257" i="19"/>
  <c r="G256" i="19"/>
  <c r="E257" i="19"/>
  <c r="D257" i="19"/>
  <c r="F257" i="19"/>
  <c r="H257" i="19"/>
  <c r="I257" i="19"/>
  <c r="G257" i="19"/>
  <c r="B258" i="19"/>
  <c r="C258" i="19"/>
  <c r="D258" i="19"/>
  <c r="F258" i="19"/>
  <c r="G258" i="19"/>
  <c r="E258" i="19"/>
  <c r="H258" i="19"/>
  <c r="I258" i="19"/>
  <c r="B259" i="19"/>
  <c r="C259" i="19"/>
  <c r="D259" i="19"/>
  <c r="F259" i="19"/>
  <c r="G259" i="19"/>
  <c r="B260" i="19"/>
  <c r="C260" i="19"/>
  <c r="E259" i="19"/>
  <c r="H259" i="19"/>
  <c r="I259" i="19"/>
  <c r="D260" i="19"/>
  <c r="F260" i="19"/>
  <c r="G260" i="19"/>
  <c r="B261" i="19"/>
  <c r="C261" i="19"/>
  <c r="E260" i="19"/>
  <c r="H260" i="19"/>
  <c r="I260" i="19"/>
  <c r="B262" i="19"/>
  <c r="C262" i="19"/>
  <c r="D261" i="19"/>
  <c r="F261" i="19"/>
  <c r="G261" i="19"/>
  <c r="E261" i="19"/>
  <c r="H261" i="19"/>
  <c r="I261" i="19"/>
  <c r="D262" i="19"/>
  <c r="F262" i="19"/>
  <c r="G262" i="19"/>
  <c r="B263" i="19"/>
  <c r="C263" i="19"/>
  <c r="E262" i="19"/>
  <c r="H262" i="19"/>
  <c r="I262" i="19"/>
  <c r="E263" i="19"/>
  <c r="D263" i="19"/>
  <c r="F263" i="19"/>
  <c r="H263" i="19"/>
  <c r="I263" i="19"/>
  <c r="B264" i="19"/>
  <c r="C264" i="19"/>
  <c r="G263" i="19"/>
  <c r="D264" i="19"/>
  <c r="F264" i="19"/>
  <c r="G264" i="19"/>
  <c r="E264" i="19"/>
  <c r="H264" i="19"/>
  <c r="I264" i="19"/>
  <c r="B265" i="19"/>
  <c r="C265" i="19"/>
  <c r="D265" i="19"/>
  <c r="F265" i="19"/>
  <c r="G265" i="19"/>
  <c r="B266" i="19"/>
  <c r="C266" i="19"/>
  <c r="E265" i="19"/>
  <c r="H265" i="19"/>
  <c r="I265" i="19"/>
  <c r="D266" i="19"/>
  <c r="F266" i="19"/>
  <c r="G266" i="19"/>
  <c r="B267" i="19"/>
  <c r="C267" i="19"/>
  <c r="E266" i="19"/>
  <c r="H266" i="19"/>
  <c r="I266" i="19"/>
  <c r="B268" i="19"/>
  <c r="C268" i="19"/>
  <c r="D267" i="19"/>
  <c r="F267" i="19"/>
  <c r="G267" i="19"/>
  <c r="E267" i="19"/>
  <c r="H267" i="19"/>
  <c r="I267" i="19"/>
  <c r="B269" i="19"/>
  <c r="C269" i="19"/>
  <c r="E268" i="19"/>
  <c r="D268" i="19"/>
  <c r="F268" i="19"/>
  <c r="H268" i="19"/>
  <c r="I268" i="19"/>
  <c r="G268" i="19"/>
  <c r="E269" i="19"/>
  <c r="D269" i="19"/>
  <c r="F269" i="19"/>
  <c r="H269" i="19"/>
  <c r="I269" i="19"/>
  <c r="B270" i="19"/>
  <c r="C270" i="19"/>
  <c r="E270" i="19"/>
  <c r="H270" i="19"/>
  <c r="F270" i="19"/>
  <c r="I270" i="19"/>
  <c r="D270" i="19"/>
  <c r="G270" i="19"/>
  <c r="G269" i="19"/>
  <c r="B271" i="19"/>
  <c r="D271" i="19"/>
  <c r="G271" i="19"/>
  <c r="E271" i="19"/>
  <c r="H271" i="19"/>
  <c r="F271" i="19"/>
  <c r="I271" i="19"/>
  <c r="C271" i="19"/>
  <c r="B272" i="19"/>
  <c r="C272" i="19"/>
  <c r="D272" i="19"/>
  <c r="G272" i="19"/>
  <c r="E272" i="19"/>
  <c r="H272" i="19"/>
  <c r="F272" i="19"/>
  <c r="I272" i="19"/>
  <c r="B273" i="19"/>
  <c r="C273" i="19"/>
  <c r="D273" i="19"/>
  <c r="G273" i="19"/>
  <c r="E273" i="19"/>
  <c r="H273" i="19"/>
  <c r="F273" i="19"/>
  <c r="I273" i="19"/>
  <c r="B274" i="19"/>
  <c r="D274" i="19"/>
  <c r="G274" i="19"/>
  <c r="C274" i="19"/>
  <c r="E274" i="19"/>
  <c r="H274" i="19"/>
  <c r="F274" i="19"/>
  <c r="I274" i="19"/>
  <c r="B275" i="19"/>
  <c r="E275" i="19"/>
  <c r="H275" i="19"/>
  <c r="F275" i="19"/>
  <c r="I275" i="19"/>
  <c r="D275" i="19"/>
  <c r="G275" i="19"/>
  <c r="C275" i="19"/>
  <c r="B276" i="19"/>
  <c r="E276" i="19"/>
  <c r="H276" i="19"/>
  <c r="F276" i="19"/>
  <c r="I276" i="19"/>
  <c r="C276" i="19"/>
  <c r="D276" i="19"/>
  <c r="G276" i="19"/>
  <c r="B277" i="19"/>
  <c r="D277" i="19"/>
  <c r="G277" i="19"/>
  <c r="C277" i="19"/>
  <c r="F277" i="19"/>
  <c r="I277" i="19"/>
  <c r="E277" i="19"/>
  <c r="H277" i="19"/>
  <c r="B278" i="19"/>
  <c r="F278" i="19"/>
  <c r="I278" i="19"/>
  <c r="D278" i="19"/>
  <c r="G278" i="19"/>
  <c r="C278" i="19"/>
  <c r="E278" i="19"/>
  <c r="H278" i="19"/>
  <c r="B279" i="19"/>
  <c r="D279" i="19"/>
  <c r="G279" i="19"/>
  <c r="F279" i="19"/>
  <c r="I279" i="19"/>
  <c r="E279" i="19"/>
  <c r="H279" i="19"/>
  <c r="C279" i="19"/>
  <c r="B280" i="19"/>
  <c r="D280" i="19"/>
  <c r="G280" i="19"/>
  <c r="E280" i="19"/>
  <c r="H280" i="19"/>
  <c r="F280" i="19"/>
  <c r="I280" i="19"/>
  <c r="C280" i="19"/>
  <c r="B281" i="19"/>
  <c r="E281" i="19"/>
  <c r="H281" i="19"/>
  <c r="F281" i="19"/>
  <c r="I281" i="19"/>
  <c r="C281" i="19"/>
  <c r="D281" i="19"/>
  <c r="G281" i="19"/>
  <c r="B282" i="19"/>
  <c r="D282" i="19"/>
  <c r="G282" i="19"/>
  <c r="F282" i="19"/>
  <c r="I282" i="19"/>
  <c r="C282" i="19"/>
  <c r="E282" i="19"/>
  <c r="H282" i="19"/>
  <c r="B283" i="19"/>
  <c r="F283" i="19"/>
  <c r="I283" i="19"/>
  <c r="E283" i="19"/>
  <c r="H283" i="19"/>
  <c r="D283" i="19"/>
  <c r="G283" i="19"/>
  <c r="C283" i="19"/>
  <c r="B284" i="19"/>
  <c r="F284" i="19"/>
  <c r="I284" i="19"/>
  <c r="D284" i="19"/>
  <c r="G284" i="19"/>
  <c r="C284" i="19"/>
  <c r="E284" i="19"/>
  <c r="H284" i="19"/>
  <c r="B285" i="19"/>
  <c r="D285" i="19"/>
  <c r="G285" i="19"/>
  <c r="F285" i="19"/>
  <c r="I285" i="19"/>
  <c r="E285" i="19"/>
  <c r="H285" i="19"/>
  <c r="C285" i="19"/>
  <c r="B286" i="19"/>
  <c r="D286" i="19"/>
  <c r="G286" i="19"/>
  <c r="F286" i="19"/>
  <c r="I286" i="19"/>
  <c r="C286" i="19"/>
  <c r="E286" i="19"/>
  <c r="H286" i="19"/>
  <c r="B287" i="19"/>
  <c r="E287" i="19"/>
  <c r="H287" i="19"/>
  <c r="C287" i="19"/>
  <c r="F287" i="19"/>
  <c r="I287" i="19"/>
  <c r="D287" i="19"/>
  <c r="G287" i="19"/>
  <c r="B288" i="19"/>
  <c r="D288" i="19"/>
  <c r="G288" i="19"/>
  <c r="E288" i="19"/>
  <c r="H288" i="19"/>
  <c r="F288" i="19"/>
  <c r="I288" i="19"/>
  <c r="C288" i="19"/>
  <c r="B289" i="19"/>
  <c r="E289" i="19"/>
  <c r="H289" i="19"/>
  <c r="C289" i="19"/>
  <c r="D289" i="19"/>
  <c r="G289" i="19"/>
  <c r="F289" i="19"/>
  <c r="I289" i="19"/>
  <c r="B290" i="19"/>
  <c r="D290" i="19"/>
  <c r="G290" i="19"/>
  <c r="E290" i="19"/>
  <c r="H290" i="19"/>
  <c r="C290" i="19"/>
  <c r="F290" i="19"/>
  <c r="I290" i="19"/>
  <c r="B291" i="19"/>
  <c r="D291" i="19"/>
  <c r="G291" i="19"/>
  <c r="F291" i="19"/>
  <c r="I291" i="19"/>
  <c r="C291" i="19"/>
  <c r="E291" i="19"/>
  <c r="H291" i="19"/>
  <c r="B292" i="19"/>
  <c r="F292" i="19"/>
  <c r="I292" i="19"/>
  <c r="D292" i="19"/>
  <c r="G292" i="19"/>
  <c r="E292" i="19"/>
  <c r="H292" i="19"/>
  <c r="C292" i="19"/>
  <c r="B293" i="19"/>
  <c r="E293" i="19"/>
  <c r="H293" i="19"/>
  <c r="F293" i="19"/>
  <c r="I293" i="19"/>
  <c r="C293" i="19"/>
  <c r="D293" i="19"/>
  <c r="G293" i="19"/>
  <c r="B294" i="19"/>
  <c r="D294" i="19"/>
  <c r="G294" i="19"/>
  <c r="E294" i="19"/>
  <c r="H294" i="19"/>
  <c r="F294" i="19"/>
  <c r="I294" i="19"/>
  <c r="C294" i="19"/>
  <c r="B295" i="19"/>
  <c r="F295" i="19"/>
  <c r="I295" i="19"/>
  <c r="D295" i="19"/>
  <c r="G295" i="19"/>
  <c r="E295" i="19"/>
  <c r="H295" i="19"/>
  <c r="C295" i="19"/>
  <c r="B296" i="19"/>
  <c r="E296" i="19"/>
  <c r="H296" i="19"/>
  <c r="F296" i="19"/>
  <c r="I296" i="19"/>
  <c r="C296" i="19"/>
  <c r="D296" i="19"/>
  <c r="G296" i="19"/>
  <c r="B297" i="19"/>
  <c r="D297" i="19"/>
  <c r="G297" i="19"/>
  <c r="F297" i="19"/>
  <c r="I297" i="19"/>
  <c r="C297" i="19"/>
  <c r="E297" i="19"/>
  <c r="H297" i="19"/>
  <c r="B298" i="19"/>
  <c r="E298" i="19"/>
  <c r="H298" i="19"/>
  <c r="C298" i="19"/>
  <c r="D298" i="19"/>
  <c r="G298" i="19"/>
  <c r="F298" i="19"/>
  <c r="I298" i="19"/>
  <c r="B299" i="19"/>
  <c r="D299" i="19"/>
  <c r="G299" i="19"/>
  <c r="E299" i="19"/>
  <c r="H299" i="19"/>
  <c r="C299" i="19"/>
  <c r="F299" i="19"/>
  <c r="I299" i="19"/>
  <c r="B300" i="19"/>
  <c r="D300" i="19"/>
  <c r="G300" i="19"/>
  <c r="F300" i="19"/>
  <c r="I300" i="19"/>
  <c r="E300" i="19"/>
  <c r="H300" i="19"/>
  <c r="C300" i="19"/>
  <c r="B301" i="19"/>
  <c r="E301" i="19"/>
  <c r="H301" i="19"/>
  <c r="D301" i="19"/>
  <c r="G301" i="19"/>
  <c r="C301" i="19"/>
  <c r="F301" i="19"/>
  <c r="I301" i="19"/>
  <c r="B302" i="19"/>
  <c r="E302" i="19"/>
  <c r="H302" i="19"/>
  <c r="C302" i="19"/>
  <c r="D302" i="19"/>
  <c r="G302" i="19"/>
  <c r="F302" i="19"/>
  <c r="I302" i="19"/>
  <c r="B303" i="19"/>
  <c r="F303" i="19"/>
  <c r="I303" i="19"/>
  <c r="D303" i="19"/>
  <c r="G303" i="19"/>
  <c r="C303" i="19"/>
  <c r="E303" i="19"/>
  <c r="H303" i="19"/>
  <c r="B304" i="19"/>
  <c r="E304" i="19"/>
  <c r="H304" i="19"/>
  <c r="D304" i="19"/>
  <c r="G304" i="19"/>
  <c r="F304" i="19"/>
  <c r="I304" i="19"/>
  <c r="C304" i="19"/>
  <c r="B305" i="19"/>
  <c r="D305" i="19"/>
  <c r="G305" i="19"/>
  <c r="F305" i="19"/>
  <c r="I305" i="19"/>
  <c r="C305" i="19"/>
  <c r="E305" i="19"/>
  <c r="H305" i="19"/>
  <c r="B306" i="19"/>
  <c r="D306" i="19"/>
  <c r="G306" i="19"/>
  <c r="C306" i="19"/>
  <c r="E306" i="19"/>
  <c r="H306" i="19"/>
  <c r="F306" i="19"/>
  <c r="I306" i="19"/>
  <c r="B307" i="19"/>
  <c r="F307" i="19"/>
  <c r="I307" i="19"/>
  <c r="D307" i="19"/>
  <c r="G307" i="19"/>
  <c r="E307" i="19"/>
  <c r="H307" i="19"/>
  <c r="C307" i="19"/>
  <c r="B308" i="19"/>
  <c r="F308" i="19"/>
  <c r="I308" i="19"/>
  <c r="D308" i="19"/>
  <c r="G308" i="19"/>
  <c r="C308" i="19"/>
  <c r="E308" i="19"/>
  <c r="H308" i="19"/>
  <c r="B309" i="19"/>
  <c r="D309" i="19"/>
  <c r="G309" i="19"/>
  <c r="E309" i="19"/>
  <c r="H309" i="19"/>
  <c r="F309" i="19"/>
  <c r="I309" i="19"/>
  <c r="C309" i="19"/>
  <c r="B310" i="19"/>
  <c r="D310" i="19"/>
  <c r="G310" i="19"/>
  <c r="F310" i="19"/>
  <c r="I310" i="19"/>
  <c r="C310" i="19"/>
  <c r="E310" i="19"/>
  <c r="H310" i="19"/>
  <c r="B311" i="19"/>
  <c r="D311" i="19"/>
  <c r="G311" i="19"/>
  <c r="E311" i="19"/>
  <c r="H311" i="19"/>
  <c r="F311" i="19"/>
  <c r="I311" i="19"/>
  <c r="C311" i="19"/>
  <c r="B312" i="19"/>
  <c r="D312" i="19"/>
  <c r="G312" i="19"/>
  <c r="E312" i="19"/>
  <c r="H312" i="19"/>
  <c r="C312" i="19"/>
  <c r="F312" i="19"/>
  <c r="I312" i="19"/>
  <c r="B313" i="19"/>
  <c r="D313" i="19"/>
  <c r="G313" i="19"/>
  <c r="E313" i="19"/>
  <c r="H313" i="19"/>
  <c r="F313" i="19"/>
  <c r="I313" i="19"/>
  <c r="C313" i="19"/>
  <c r="B314" i="19"/>
  <c r="E314" i="19"/>
  <c r="H314" i="19"/>
  <c r="D314" i="19"/>
  <c r="G314" i="19"/>
  <c r="C314" i="19"/>
  <c r="F314" i="19"/>
  <c r="I314" i="19"/>
  <c r="B315" i="19"/>
  <c r="D315" i="19"/>
  <c r="G315" i="19"/>
  <c r="F315" i="19"/>
  <c r="I315" i="19"/>
  <c r="C315" i="19"/>
  <c r="E315" i="19"/>
  <c r="H315" i="19"/>
  <c r="B316" i="19"/>
  <c r="C316" i="19"/>
  <c r="E316" i="19"/>
  <c r="H316" i="19"/>
  <c r="D316" i="19"/>
  <c r="G316" i="19"/>
  <c r="F316" i="19"/>
  <c r="I316" i="19"/>
  <c r="B317" i="19"/>
  <c r="D317" i="19"/>
  <c r="G317" i="19"/>
  <c r="F317" i="19"/>
  <c r="I317" i="19"/>
  <c r="C317" i="19"/>
  <c r="E317" i="19"/>
  <c r="H317" i="19"/>
  <c r="B318" i="19"/>
  <c r="D318" i="19"/>
  <c r="G318" i="19"/>
  <c r="E318" i="19"/>
  <c r="H318" i="19"/>
  <c r="C318" i="19"/>
  <c r="F318" i="19"/>
  <c r="I318" i="19"/>
  <c r="B319" i="19"/>
  <c r="E319" i="19"/>
  <c r="H319" i="19"/>
  <c r="D319" i="19"/>
  <c r="G319" i="19"/>
  <c r="C319" i="19"/>
  <c r="F319" i="19"/>
  <c r="I319" i="19"/>
  <c r="B320" i="19"/>
  <c r="C320" i="19"/>
  <c r="E320" i="19"/>
  <c r="H320" i="19"/>
  <c r="F320" i="19"/>
  <c r="I320" i="19"/>
  <c r="D320" i="19"/>
  <c r="G320" i="19"/>
  <c r="B321" i="19"/>
  <c r="F321" i="19"/>
  <c r="I321" i="19"/>
  <c r="E321" i="19"/>
  <c r="H321" i="19"/>
  <c r="C321" i="19"/>
  <c r="D321" i="19"/>
  <c r="G321" i="19"/>
  <c r="B322" i="19"/>
  <c r="D322" i="19"/>
  <c r="G322" i="19"/>
  <c r="E322" i="19"/>
  <c r="H322" i="19"/>
  <c r="C322" i="19"/>
  <c r="F322" i="19"/>
  <c r="I322" i="19"/>
  <c r="B323" i="19"/>
  <c r="F323" i="19"/>
  <c r="I323" i="19"/>
  <c r="E323" i="19"/>
  <c r="H323" i="19"/>
  <c r="C323" i="19"/>
  <c r="D323" i="19"/>
  <c r="G323" i="19"/>
  <c r="B324" i="19"/>
  <c r="C324" i="19"/>
  <c r="F324" i="19"/>
  <c r="I324" i="19"/>
  <c r="E324" i="19"/>
  <c r="H324" i="19"/>
  <c r="D324" i="19"/>
  <c r="G324" i="19"/>
  <c r="B325" i="19"/>
  <c r="D325" i="19"/>
  <c r="G325" i="19"/>
  <c r="F325" i="19"/>
  <c r="I325" i="19"/>
  <c r="C325" i="19"/>
  <c r="E325" i="19"/>
  <c r="H325" i="19"/>
  <c r="B326" i="19"/>
  <c r="D326" i="19"/>
  <c r="G326" i="19"/>
  <c r="E326" i="19"/>
  <c r="H326" i="19"/>
  <c r="C326" i="19"/>
  <c r="F326" i="19"/>
  <c r="I326" i="19"/>
  <c r="B327" i="19"/>
  <c r="F327" i="19"/>
  <c r="I327" i="19"/>
  <c r="E327" i="19"/>
  <c r="H327" i="19"/>
  <c r="C327" i="19"/>
  <c r="D327" i="19"/>
  <c r="G327" i="19"/>
  <c r="B328" i="19"/>
  <c r="C328" i="19"/>
  <c r="F328" i="19"/>
  <c r="I328" i="19"/>
  <c r="E328" i="19"/>
  <c r="H328" i="19"/>
  <c r="D328" i="19"/>
  <c r="G328" i="19"/>
  <c r="B329" i="19"/>
  <c r="D329" i="19"/>
  <c r="G329" i="19"/>
  <c r="F329" i="19"/>
  <c r="I329" i="19"/>
  <c r="C329" i="19"/>
  <c r="E329" i="19"/>
  <c r="H329" i="19"/>
  <c r="B330" i="19"/>
  <c r="E330" i="19"/>
  <c r="H330" i="19"/>
  <c r="F330" i="19"/>
  <c r="I330" i="19"/>
  <c r="D330" i="19"/>
  <c r="G330" i="19"/>
  <c r="C330" i="19"/>
  <c r="B331" i="19"/>
  <c r="F331" i="19"/>
  <c r="I331" i="19"/>
  <c r="E331" i="19"/>
  <c r="H331" i="19"/>
  <c r="C331" i="19"/>
  <c r="D331" i="19"/>
  <c r="G331" i="19"/>
  <c r="B332" i="19"/>
  <c r="C332" i="19"/>
  <c r="E332" i="19"/>
  <c r="H332" i="19"/>
  <c r="F332" i="19"/>
  <c r="I332" i="19"/>
  <c r="D332" i="19"/>
  <c r="G332" i="19"/>
  <c r="B333" i="19"/>
  <c r="D333" i="19"/>
  <c r="G333" i="19"/>
  <c r="E333" i="19"/>
  <c r="H333" i="19"/>
  <c r="C333" i="19"/>
  <c r="F333" i="19"/>
  <c r="I333" i="19"/>
  <c r="B334" i="19"/>
  <c r="F334" i="19"/>
  <c r="I334" i="19"/>
  <c r="E334" i="19"/>
  <c r="H334" i="19"/>
  <c r="C334" i="19"/>
  <c r="D334" i="19"/>
  <c r="G334" i="19"/>
  <c r="B335" i="19"/>
  <c r="F335" i="19"/>
  <c r="I335" i="19"/>
  <c r="D335" i="19"/>
  <c r="G335" i="19"/>
  <c r="C335" i="19"/>
  <c r="E335" i="19"/>
  <c r="H335" i="19"/>
  <c r="B336" i="19"/>
  <c r="C336" i="19"/>
  <c r="F336" i="19"/>
  <c r="I336" i="19"/>
  <c r="E336" i="19"/>
  <c r="H336" i="19"/>
  <c r="D336" i="19"/>
  <c r="G336" i="19"/>
  <c r="B337" i="19"/>
  <c r="F337" i="19"/>
  <c r="I337" i="19"/>
  <c r="E337" i="19"/>
  <c r="H337" i="19"/>
  <c r="C337" i="19"/>
  <c r="D337" i="19"/>
  <c r="G337" i="19"/>
  <c r="B338" i="19"/>
  <c r="E338" i="19"/>
  <c r="H338" i="19"/>
  <c r="F338" i="19"/>
  <c r="I338" i="19"/>
  <c r="D338" i="19"/>
  <c r="G338" i="19"/>
  <c r="C338" i="19"/>
  <c r="B339" i="19"/>
  <c r="D339" i="19"/>
  <c r="G339" i="19"/>
  <c r="E339" i="19"/>
  <c r="H339" i="19"/>
  <c r="C339" i="19"/>
  <c r="F339" i="19"/>
  <c r="I339" i="19"/>
  <c r="B340" i="19"/>
  <c r="C340" i="19"/>
  <c r="D340" i="19"/>
  <c r="G340" i="19"/>
  <c r="F340" i="19"/>
  <c r="I340" i="19"/>
  <c r="E340" i="19"/>
  <c r="H340" i="19"/>
  <c r="B341" i="19"/>
  <c r="F341" i="19"/>
  <c r="I341" i="19"/>
  <c r="E341" i="19"/>
  <c r="H341" i="19"/>
  <c r="C341" i="19"/>
  <c r="D341" i="19"/>
  <c r="G341" i="19"/>
  <c r="B342" i="19"/>
  <c r="F342" i="19"/>
  <c r="I342" i="19"/>
  <c r="C342" i="19"/>
  <c r="E342" i="19"/>
  <c r="H342" i="19"/>
  <c r="D342" i="19"/>
  <c r="G342" i="19"/>
  <c r="B343" i="19"/>
  <c r="C343" i="19"/>
  <c r="F343" i="19"/>
  <c r="I343" i="19"/>
  <c r="E343" i="19"/>
  <c r="H343" i="19"/>
  <c r="D343" i="19"/>
  <c r="G343" i="19"/>
  <c r="B344" i="19"/>
  <c r="E344" i="19"/>
  <c r="H344" i="19"/>
  <c r="D344" i="19"/>
  <c r="G344" i="19"/>
  <c r="C344" i="19"/>
  <c r="F344" i="19"/>
  <c r="I344" i="19"/>
  <c r="B345" i="19"/>
  <c r="F345" i="19"/>
  <c r="I345" i="19"/>
  <c r="C345" i="19"/>
  <c r="D345" i="19"/>
  <c r="G345" i="19"/>
  <c r="E345" i="19"/>
  <c r="H345" i="19"/>
  <c r="B346" i="19"/>
  <c r="D346" i="19"/>
  <c r="G346" i="19"/>
  <c r="F346" i="19"/>
  <c r="I346" i="19"/>
  <c r="C346" i="19"/>
  <c r="E346" i="19"/>
  <c r="H346" i="19"/>
  <c r="B347" i="19"/>
  <c r="C347" i="19"/>
  <c r="D347" i="19"/>
  <c r="G347" i="19"/>
  <c r="E347" i="19"/>
  <c r="H347" i="19"/>
  <c r="F347" i="19"/>
  <c r="I347" i="19"/>
  <c r="B348" i="19"/>
  <c r="E348" i="19"/>
  <c r="H348" i="19"/>
  <c r="D348" i="19"/>
  <c r="G348" i="19"/>
  <c r="C348" i="19"/>
  <c r="F348" i="19"/>
  <c r="I348" i="19"/>
  <c r="B349" i="19"/>
  <c r="D349" i="19"/>
  <c r="G349" i="19"/>
  <c r="C349" i="19"/>
  <c r="F349" i="19"/>
  <c r="I349" i="19"/>
  <c r="E349" i="19"/>
  <c r="H349" i="19"/>
  <c r="B350" i="19"/>
  <c r="F350" i="19"/>
  <c r="I350" i="19"/>
  <c r="D350" i="19"/>
  <c r="G350" i="19"/>
  <c r="C350" i="19"/>
  <c r="E350" i="19"/>
  <c r="H350" i="19"/>
  <c r="B351" i="19"/>
  <c r="C351" i="19"/>
  <c r="D351" i="19"/>
  <c r="G351" i="19"/>
  <c r="F351" i="19"/>
  <c r="I351" i="19"/>
  <c r="E351" i="19"/>
  <c r="H351" i="19"/>
  <c r="B352" i="19"/>
  <c r="F352" i="19"/>
  <c r="I352" i="19"/>
  <c r="E352" i="19"/>
  <c r="H352" i="19"/>
  <c r="C352" i="19"/>
  <c r="D352" i="19"/>
  <c r="G352" i="19"/>
  <c r="B353" i="19"/>
  <c r="D353" i="19"/>
  <c r="G353" i="19"/>
  <c r="C353" i="19"/>
  <c r="F353" i="19"/>
  <c r="I353" i="19"/>
  <c r="E353" i="19"/>
  <c r="H353" i="19"/>
  <c r="B354" i="19"/>
  <c r="D354" i="19"/>
  <c r="G354" i="19"/>
  <c r="F354" i="19"/>
  <c r="I354" i="19"/>
  <c r="C354" i="19"/>
  <c r="E354" i="19"/>
  <c r="H354" i="19"/>
  <c r="B355" i="19"/>
  <c r="C355" i="19"/>
  <c r="F355" i="19"/>
  <c r="I355" i="19"/>
  <c r="E355" i="19"/>
  <c r="H355" i="19"/>
  <c r="D355" i="19"/>
  <c r="G355" i="19"/>
  <c r="B356" i="19"/>
  <c r="E356" i="19"/>
  <c r="H356" i="19"/>
  <c r="D356" i="19"/>
  <c r="G356" i="19"/>
  <c r="C356" i="19"/>
  <c r="F356" i="19"/>
  <c r="I356" i="19"/>
  <c r="B357" i="19"/>
  <c r="E357" i="19"/>
  <c r="H357" i="19"/>
  <c r="C357" i="19"/>
  <c r="D357" i="19"/>
  <c r="G357" i="19"/>
  <c r="F357" i="19"/>
  <c r="I357" i="19"/>
  <c r="B358" i="19"/>
  <c r="D358" i="19"/>
  <c r="G358" i="19"/>
  <c r="F358" i="19"/>
  <c r="I358" i="19"/>
  <c r="C358" i="19"/>
  <c r="E358" i="19"/>
  <c r="H358" i="19"/>
  <c r="B359" i="19"/>
  <c r="C359" i="19"/>
  <c r="F359" i="19"/>
  <c r="I359" i="19"/>
  <c r="E359" i="19"/>
  <c r="H359" i="19"/>
  <c r="D359" i="19"/>
  <c r="G359" i="19"/>
  <c r="B360" i="19"/>
  <c r="E360" i="19"/>
  <c r="H360" i="19"/>
  <c r="D360" i="19"/>
  <c r="G360" i="19"/>
  <c r="C360" i="19"/>
  <c r="F360" i="19"/>
  <c r="I360" i="19"/>
  <c r="B361" i="19"/>
  <c r="D361" i="19"/>
  <c r="G361" i="19"/>
  <c r="C361" i="19"/>
  <c r="E361" i="19"/>
  <c r="H361" i="19"/>
  <c r="F361" i="19"/>
  <c r="I361" i="19"/>
  <c r="B362" i="19"/>
  <c r="D362" i="19"/>
  <c r="G362" i="19"/>
  <c r="F362" i="19"/>
  <c r="I362" i="19"/>
  <c r="C362" i="19"/>
  <c r="E362" i="19"/>
  <c r="H362" i="19"/>
  <c r="B363" i="19"/>
  <c r="C363" i="19"/>
  <c r="D363" i="19"/>
  <c r="G363" i="19"/>
  <c r="F363" i="19"/>
  <c r="I363" i="19"/>
  <c r="E363" i="19"/>
  <c r="H363" i="19"/>
  <c r="B364" i="19"/>
  <c r="E364" i="19"/>
  <c r="H364" i="19"/>
  <c r="F364" i="19"/>
  <c r="I364" i="19"/>
  <c r="C364" i="19"/>
  <c r="D364" i="19"/>
  <c r="G364" i="19"/>
  <c r="B365" i="19"/>
  <c r="D365" i="19"/>
  <c r="G365" i="19"/>
  <c r="C365" i="19"/>
  <c r="F365" i="19"/>
  <c r="I365" i="19"/>
  <c r="E365" i="19"/>
  <c r="H365" i="19"/>
  <c r="B366" i="19"/>
  <c r="E366" i="19"/>
  <c r="H366" i="19"/>
  <c r="F366" i="19"/>
  <c r="I366" i="19"/>
  <c r="C366" i="19"/>
  <c r="D366" i="19"/>
  <c r="G366" i="19"/>
  <c r="B367" i="19"/>
  <c r="F367" i="19"/>
  <c r="I367" i="19"/>
  <c r="D367" i="19"/>
  <c r="G367" i="19"/>
  <c r="C367" i="19"/>
  <c r="E367" i="19"/>
  <c r="H367" i="19"/>
  <c r="B368" i="19"/>
  <c r="F368" i="19"/>
  <c r="I368" i="19"/>
  <c r="C368" i="19"/>
  <c r="D368" i="19"/>
  <c r="G368" i="19"/>
  <c r="E368" i="19"/>
  <c r="H368" i="19"/>
  <c r="B369" i="19"/>
  <c r="D369" i="19"/>
  <c r="G369" i="19"/>
  <c r="C369" i="19"/>
  <c r="F369" i="19"/>
  <c r="I369" i="19"/>
  <c r="E369" i="19"/>
  <c r="H369" i="19"/>
  <c r="B370" i="19"/>
  <c r="D370" i="19"/>
  <c r="G370" i="19"/>
  <c r="C370" i="19"/>
  <c r="F370" i="19"/>
  <c r="I370" i="19"/>
  <c r="E370" i="19"/>
  <c r="H370" i="19"/>
  <c r="B371" i="19"/>
  <c r="C371" i="19"/>
  <c r="F371" i="19"/>
  <c r="I371" i="19"/>
  <c r="D371" i="19"/>
  <c r="G371" i="19"/>
  <c r="E371" i="19"/>
  <c r="H371" i="19"/>
  <c r="B372" i="19"/>
  <c r="E372" i="19"/>
  <c r="H372" i="19"/>
  <c r="F372" i="19"/>
  <c r="I372" i="19"/>
  <c r="D372" i="19"/>
  <c r="G372" i="19"/>
  <c r="C372" i="19"/>
  <c r="B373" i="19"/>
  <c r="F373" i="19"/>
  <c r="I373" i="19"/>
  <c r="E373" i="19"/>
  <c r="H373" i="19"/>
  <c r="C373" i="19"/>
  <c r="D373" i="19"/>
  <c r="G373" i="19"/>
  <c r="B374" i="19"/>
  <c r="C374" i="19"/>
  <c r="E374" i="19"/>
  <c r="H374" i="19"/>
  <c r="F374" i="19"/>
  <c r="I374" i="19"/>
  <c r="D374" i="19"/>
  <c r="G374" i="19"/>
  <c r="B375" i="19"/>
  <c r="D375" i="19"/>
  <c r="G375" i="19"/>
  <c r="F375" i="19"/>
  <c r="I375" i="19"/>
  <c r="C375" i="19"/>
  <c r="E375" i="19"/>
  <c r="H375" i="19"/>
  <c r="B376" i="19"/>
  <c r="F376" i="19"/>
  <c r="I376" i="19"/>
  <c r="D376" i="19"/>
  <c r="G376" i="19"/>
  <c r="C376" i="19"/>
  <c r="E376" i="19"/>
  <c r="H376" i="19"/>
  <c r="B377" i="19"/>
  <c r="C377" i="19"/>
  <c r="E377" i="19"/>
  <c r="H377" i="19"/>
  <c r="D377" i="19"/>
  <c r="G377" i="19"/>
  <c r="F377" i="19"/>
  <c r="I377" i="19"/>
  <c r="B378" i="19"/>
  <c r="C378" i="19"/>
  <c r="E378" i="19"/>
  <c r="H378" i="19"/>
  <c r="F378" i="19"/>
  <c r="I378" i="19"/>
  <c r="D378" i="19"/>
  <c r="G378" i="19"/>
  <c r="B379" i="19"/>
  <c r="D379" i="19"/>
  <c r="G379" i="19"/>
  <c r="F379" i="19"/>
  <c r="I379" i="19"/>
  <c r="C379" i="19"/>
  <c r="E379" i="19"/>
  <c r="H379" i="19"/>
  <c r="B380" i="19"/>
  <c r="C380" i="19"/>
  <c r="F380" i="19"/>
  <c r="I380" i="19"/>
  <c r="D380" i="19"/>
  <c r="G380" i="19"/>
  <c r="E380" i="19"/>
  <c r="H380" i="19"/>
  <c r="B381" i="19"/>
  <c r="D381" i="19"/>
  <c r="G381" i="19"/>
  <c r="F381" i="19"/>
  <c r="I381" i="19"/>
  <c r="C381" i="19"/>
  <c r="E381" i="19"/>
  <c r="H381" i="19"/>
  <c r="B382" i="19"/>
  <c r="C382" i="19"/>
  <c r="E382" i="19"/>
  <c r="H382" i="19"/>
  <c r="F382" i="19"/>
  <c r="I382" i="19"/>
  <c r="D382" i="19"/>
  <c r="G382" i="19"/>
  <c r="B383" i="19"/>
  <c r="D383" i="19"/>
  <c r="G383" i="19"/>
  <c r="F383" i="19"/>
  <c r="I383" i="19"/>
  <c r="C383" i="19"/>
  <c r="E383" i="19"/>
  <c r="H383" i="19"/>
  <c r="B384" i="19"/>
  <c r="C384" i="19"/>
  <c r="E384" i="19"/>
  <c r="H384" i="19"/>
  <c r="F384" i="19"/>
  <c r="I384" i="19"/>
  <c r="D384" i="19"/>
  <c r="G384" i="19"/>
  <c r="B385" i="19"/>
  <c r="F385" i="19"/>
  <c r="I385" i="19"/>
  <c r="D385" i="19"/>
  <c r="G385" i="19"/>
  <c r="C385" i="19"/>
  <c r="E385" i="19"/>
  <c r="H385" i="19"/>
  <c r="B386" i="19"/>
  <c r="E386" i="19"/>
  <c r="H386" i="19"/>
  <c r="F386" i="19"/>
  <c r="I386" i="19"/>
  <c r="D386" i="19"/>
  <c r="G386" i="19"/>
  <c r="C386" i="19"/>
  <c r="B387" i="19"/>
  <c r="F387" i="19"/>
  <c r="I387" i="19"/>
  <c r="D387" i="19"/>
  <c r="G387" i="19"/>
  <c r="C387" i="19"/>
  <c r="E387" i="19"/>
  <c r="H387" i="19"/>
  <c r="B388" i="19"/>
  <c r="E388" i="19"/>
  <c r="H388" i="19"/>
  <c r="D388" i="19"/>
  <c r="G388" i="19"/>
  <c r="F388" i="19"/>
  <c r="I388" i="19"/>
  <c r="C388" i="19"/>
  <c r="B389" i="19"/>
  <c r="E389" i="19"/>
  <c r="H389" i="19"/>
  <c r="D389" i="19"/>
  <c r="G389" i="19"/>
  <c r="C389" i="19"/>
  <c r="F389" i="19"/>
  <c r="I389" i="19"/>
  <c r="B390" i="19"/>
  <c r="E390" i="19"/>
  <c r="H390" i="19"/>
  <c r="F390" i="19"/>
  <c r="I390" i="19"/>
  <c r="D390" i="19"/>
  <c r="G390" i="19"/>
  <c r="C390" i="19"/>
  <c r="B391" i="19"/>
  <c r="D391" i="19"/>
  <c r="G391" i="19"/>
  <c r="F391" i="19"/>
  <c r="I391" i="19"/>
  <c r="C391" i="19"/>
  <c r="E391" i="19"/>
  <c r="H391" i="19"/>
  <c r="B392" i="19"/>
  <c r="D392" i="19"/>
  <c r="G392" i="19"/>
  <c r="F392" i="19"/>
  <c r="I392" i="19"/>
  <c r="E392" i="19"/>
  <c r="H392" i="19"/>
  <c r="C392" i="19"/>
  <c r="B393" i="19"/>
  <c r="D393" i="19"/>
  <c r="G393" i="19"/>
  <c r="E393" i="19"/>
  <c r="H393" i="19"/>
  <c r="C393" i="19"/>
  <c r="F393" i="19"/>
  <c r="I393" i="19"/>
  <c r="B394" i="19"/>
  <c r="F394" i="19"/>
  <c r="I394" i="19"/>
  <c r="D394" i="19"/>
  <c r="G394" i="19"/>
  <c r="C394" i="19"/>
  <c r="E394" i="19"/>
  <c r="H394" i="19"/>
  <c r="B395" i="19"/>
  <c r="D395" i="19"/>
  <c r="G395" i="19"/>
  <c r="E395" i="19"/>
  <c r="H395" i="19"/>
  <c r="C395" i="19"/>
  <c r="F395" i="19"/>
  <c r="I395" i="19"/>
  <c r="B396" i="19"/>
  <c r="F396" i="19"/>
  <c r="I396" i="19"/>
  <c r="E396" i="19"/>
  <c r="H396" i="19"/>
  <c r="D396" i="19"/>
  <c r="G396" i="19"/>
  <c r="C396" i="19"/>
  <c r="B397" i="19"/>
  <c r="E397" i="19"/>
  <c r="H397" i="19"/>
  <c r="F397" i="19"/>
  <c r="I397" i="19"/>
  <c r="D397" i="19"/>
  <c r="G397" i="19"/>
  <c r="C397" i="19"/>
  <c r="B398" i="19"/>
  <c r="C398" i="19"/>
  <c r="E398" i="19"/>
  <c r="H398" i="19"/>
  <c r="D398" i="19"/>
  <c r="G398" i="19"/>
  <c r="F398" i="19"/>
  <c r="I398" i="19"/>
  <c r="B399" i="19"/>
  <c r="E399" i="19"/>
  <c r="H399" i="19"/>
  <c r="F399" i="19"/>
  <c r="I399" i="19"/>
  <c r="C399" i="19"/>
  <c r="D399" i="19"/>
  <c r="G399" i="19"/>
  <c r="B400" i="19"/>
  <c r="F400" i="19"/>
  <c r="I400" i="19"/>
  <c r="E400" i="19"/>
  <c r="H400" i="19"/>
  <c r="D400" i="19"/>
  <c r="G400" i="19"/>
  <c r="C400" i="19"/>
  <c r="B401" i="19"/>
  <c r="E401" i="19"/>
  <c r="H401" i="19"/>
  <c r="F401" i="19"/>
  <c r="I401" i="19"/>
  <c r="D401" i="19"/>
  <c r="G401" i="19"/>
  <c r="C401" i="19"/>
  <c r="B402" i="19"/>
  <c r="D402" i="19"/>
  <c r="G402" i="19"/>
  <c r="C402" i="19"/>
  <c r="E402" i="19"/>
  <c r="H402" i="19"/>
  <c r="F402" i="19"/>
  <c r="I402" i="19"/>
  <c r="B403" i="19"/>
  <c r="F403" i="19"/>
  <c r="I403" i="19"/>
  <c r="D403" i="19"/>
  <c r="G403" i="19"/>
  <c r="E403" i="19"/>
  <c r="H403" i="19"/>
  <c r="C403" i="19"/>
  <c r="B404" i="19"/>
  <c r="E404" i="19"/>
  <c r="H404" i="19"/>
  <c r="F404" i="19"/>
  <c r="I404" i="19"/>
  <c r="C404" i="19"/>
  <c r="D404" i="19"/>
  <c r="G404" i="19"/>
  <c r="B405" i="19"/>
  <c r="E405" i="19"/>
  <c r="H405" i="19"/>
  <c r="F405" i="19"/>
  <c r="I405" i="19"/>
  <c r="D405" i="19"/>
  <c r="G405" i="19"/>
  <c r="C405" i="19"/>
  <c r="B406" i="19"/>
  <c r="C406" i="19"/>
  <c r="E406" i="19"/>
  <c r="H406" i="19"/>
  <c r="F406" i="19"/>
  <c r="I406" i="19"/>
  <c r="D406" i="19"/>
  <c r="G406" i="19"/>
  <c r="B407" i="19"/>
  <c r="E407" i="19"/>
  <c r="H407" i="19"/>
  <c r="D407" i="19"/>
  <c r="G407" i="19"/>
  <c r="C407" i="19"/>
  <c r="F407" i="19"/>
  <c r="I407" i="19"/>
  <c r="B408" i="19"/>
  <c r="E408" i="19"/>
  <c r="H408" i="19"/>
  <c r="F408" i="19"/>
  <c r="I408" i="19"/>
  <c r="C408" i="19"/>
  <c r="D408" i="19"/>
  <c r="G408" i="19"/>
  <c r="B409" i="19"/>
  <c r="E409" i="19"/>
  <c r="H409" i="19"/>
  <c r="F409" i="19"/>
  <c r="I409" i="19"/>
  <c r="D409" i="19"/>
  <c r="G409" i="19"/>
  <c r="C409" i="19"/>
  <c r="B410" i="19"/>
  <c r="D410" i="19"/>
  <c r="G410" i="19"/>
  <c r="F410" i="19"/>
  <c r="I410" i="19"/>
  <c r="C410" i="19"/>
  <c r="E410" i="19"/>
  <c r="H410" i="19"/>
  <c r="B411" i="19"/>
  <c r="E411" i="19"/>
  <c r="H411" i="19"/>
  <c r="F411" i="19"/>
  <c r="I411" i="19"/>
  <c r="D411" i="19"/>
  <c r="G411" i="19"/>
  <c r="C411" i="19"/>
  <c r="B412" i="19"/>
  <c r="E412" i="19"/>
  <c r="H412" i="19"/>
  <c r="F412" i="19"/>
  <c r="I412" i="19"/>
  <c r="C412" i="19"/>
  <c r="D412" i="19"/>
  <c r="G412" i="19"/>
  <c r="B413" i="19"/>
  <c r="E413" i="19"/>
  <c r="H413" i="19"/>
  <c r="F413" i="19"/>
  <c r="I413" i="19"/>
  <c r="D413" i="19"/>
  <c r="G413" i="19"/>
  <c r="C413" i="19"/>
  <c r="B414" i="19"/>
  <c r="F414" i="19"/>
  <c r="I414" i="19"/>
  <c r="D414" i="19"/>
  <c r="G414" i="19"/>
  <c r="C414" i="19"/>
  <c r="E414" i="19"/>
  <c r="H414" i="19"/>
  <c r="B415" i="19"/>
  <c r="F415" i="19"/>
  <c r="I415" i="19"/>
  <c r="D415" i="19"/>
  <c r="G415" i="19"/>
  <c r="C415" i="19"/>
  <c r="E415" i="19"/>
  <c r="H415" i="19"/>
  <c r="B416" i="19"/>
  <c r="E416" i="19"/>
  <c r="H416" i="19"/>
  <c r="F416" i="19"/>
  <c r="I416" i="19"/>
  <c r="C416" i="19"/>
  <c r="D416" i="19"/>
  <c r="G416" i="19"/>
  <c r="B417" i="19"/>
  <c r="E417" i="19"/>
  <c r="H417" i="19"/>
  <c r="F417" i="19"/>
  <c r="I417" i="19"/>
  <c r="D417" i="19"/>
  <c r="G417" i="19"/>
  <c r="C417" i="19"/>
  <c r="B418" i="19"/>
  <c r="E418" i="19"/>
  <c r="H418" i="19"/>
  <c r="D418" i="19"/>
  <c r="G418" i="19"/>
  <c r="C418" i="19"/>
  <c r="F418" i="19"/>
  <c r="I418" i="19"/>
  <c r="B419" i="19"/>
  <c r="D419" i="19"/>
  <c r="G419" i="19"/>
  <c r="F419" i="19"/>
  <c r="I419" i="19"/>
  <c r="E419" i="19"/>
  <c r="H419" i="19"/>
  <c r="C419" i="19"/>
  <c r="B420" i="19"/>
  <c r="C420" i="19"/>
  <c r="E420" i="19"/>
  <c r="H420" i="19"/>
  <c r="D420" i="19"/>
  <c r="G420" i="19"/>
  <c r="F420" i="19"/>
  <c r="I420" i="19"/>
  <c r="B421" i="19"/>
  <c r="D421" i="19"/>
  <c r="G421" i="19"/>
  <c r="F421" i="19"/>
  <c r="I421" i="19"/>
  <c r="C421" i="19"/>
  <c r="E421" i="19"/>
  <c r="H421" i="19"/>
  <c r="B422" i="19"/>
  <c r="E422" i="19"/>
  <c r="H422" i="19"/>
  <c r="D422" i="19"/>
  <c r="G422" i="19"/>
  <c r="F422" i="19"/>
  <c r="I422" i="19"/>
  <c r="C422" i="19"/>
  <c r="B423" i="19"/>
  <c r="E423" i="19"/>
  <c r="H423" i="19"/>
  <c r="F423" i="19"/>
  <c r="I423" i="19"/>
  <c r="C423" i="19"/>
  <c r="D423" i="19"/>
  <c r="G423" i="19"/>
  <c r="B424" i="19"/>
  <c r="D424" i="19"/>
  <c r="G424" i="19"/>
  <c r="F424" i="19"/>
  <c r="I424" i="19"/>
  <c r="E424" i="19"/>
  <c r="H424" i="19"/>
  <c r="C424" i="19"/>
  <c r="B425" i="19"/>
  <c r="E425" i="19"/>
  <c r="H425" i="19"/>
  <c r="F425" i="19"/>
  <c r="I425" i="19"/>
  <c r="C425" i="19"/>
  <c r="D425" i="19"/>
  <c r="G425" i="19"/>
  <c r="B426" i="19"/>
  <c r="D426" i="19"/>
  <c r="G426" i="19"/>
  <c r="F426" i="19"/>
  <c r="I426" i="19"/>
  <c r="E426" i="19"/>
  <c r="H426" i="19"/>
  <c r="C426" i="19"/>
  <c r="B427" i="19"/>
  <c r="D427" i="19"/>
  <c r="G427" i="19"/>
  <c r="F427" i="19"/>
  <c r="I427" i="19"/>
  <c r="C427" i="19"/>
  <c r="E427" i="19"/>
  <c r="H427" i="19"/>
  <c r="B428" i="19"/>
  <c r="C428" i="19"/>
  <c r="F428" i="19"/>
  <c r="I428" i="19"/>
  <c r="E428" i="19"/>
  <c r="H428" i="19"/>
  <c r="D428" i="19"/>
  <c r="G428" i="19"/>
  <c r="B429" i="19"/>
  <c r="D429" i="19"/>
  <c r="G429" i="19"/>
  <c r="F429" i="19"/>
  <c r="I429" i="19"/>
  <c r="C429" i="19"/>
  <c r="E429" i="19"/>
  <c r="H429" i="19"/>
  <c r="B430" i="19"/>
  <c r="E430" i="19"/>
  <c r="H430" i="19"/>
  <c r="D430" i="19"/>
  <c r="G430" i="19"/>
  <c r="F430" i="19"/>
  <c r="I430" i="19"/>
  <c r="C430" i="19"/>
  <c r="B431" i="19"/>
  <c r="E431" i="19"/>
  <c r="H431" i="19"/>
  <c r="F431" i="19"/>
  <c r="I431" i="19"/>
  <c r="C431" i="19"/>
  <c r="D431" i="19"/>
  <c r="G431" i="19"/>
  <c r="B432" i="19"/>
  <c r="E432" i="19"/>
  <c r="H432" i="19"/>
  <c r="C432" i="19"/>
  <c r="D432" i="19"/>
  <c r="G432" i="19"/>
  <c r="F432" i="19"/>
  <c r="I432" i="19"/>
  <c r="B433" i="19"/>
  <c r="D433" i="19"/>
  <c r="G433" i="19"/>
  <c r="E433" i="19"/>
  <c r="H433" i="19"/>
  <c r="C433" i="19"/>
  <c r="F433" i="19"/>
  <c r="I433" i="19"/>
  <c r="B434" i="19"/>
  <c r="D434" i="19"/>
  <c r="G434" i="19"/>
  <c r="E434" i="19"/>
  <c r="H434" i="19"/>
  <c r="F434" i="19"/>
  <c r="I434" i="19"/>
  <c r="C434" i="19"/>
  <c r="B435" i="19"/>
  <c r="E435" i="19"/>
  <c r="H435" i="19"/>
  <c r="D435" i="19"/>
  <c r="G435" i="19"/>
  <c r="C435" i="19"/>
  <c r="F435" i="19"/>
  <c r="I435" i="19"/>
  <c r="B436" i="19"/>
  <c r="E436" i="19"/>
  <c r="H436" i="19"/>
  <c r="C436" i="19"/>
  <c r="F436" i="19"/>
  <c r="I436" i="19"/>
  <c r="D436" i="19"/>
  <c r="G436" i="19"/>
  <c r="B437" i="19"/>
  <c r="F437" i="19"/>
  <c r="I437" i="19"/>
  <c r="E437" i="19"/>
  <c r="H437" i="19"/>
  <c r="C437" i="19"/>
  <c r="D437" i="19"/>
  <c r="G437" i="19"/>
  <c r="B438" i="19"/>
  <c r="D438" i="19"/>
  <c r="G438" i="19"/>
  <c r="F438" i="19"/>
  <c r="I438" i="19"/>
  <c r="E438" i="19"/>
  <c r="H438" i="19"/>
  <c r="C438" i="19"/>
  <c r="B439" i="19"/>
  <c r="F439" i="19"/>
  <c r="I439" i="19"/>
  <c r="D439" i="19"/>
  <c r="G439" i="19"/>
  <c r="C439" i="19"/>
  <c r="E439" i="19"/>
  <c r="H439" i="19"/>
  <c r="B440" i="19"/>
  <c r="E440" i="19"/>
  <c r="H440" i="19"/>
  <c r="C440" i="19"/>
  <c r="D440" i="19"/>
  <c r="G440" i="19"/>
  <c r="F440" i="19"/>
  <c r="I440" i="19"/>
  <c r="B441" i="19"/>
  <c r="F441" i="19"/>
  <c r="I441" i="19"/>
  <c r="E441" i="19"/>
  <c r="H441" i="19"/>
  <c r="C441" i="19"/>
  <c r="D441" i="19"/>
  <c r="G441" i="19"/>
  <c r="B442" i="19"/>
  <c r="E442" i="19"/>
  <c r="H442" i="19"/>
  <c r="C442" i="19"/>
  <c r="F442" i="19"/>
  <c r="I442" i="19"/>
  <c r="D442" i="19"/>
  <c r="G442" i="19"/>
  <c r="B443" i="19"/>
  <c r="C443" i="19"/>
  <c r="D443" i="19"/>
  <c r="G443" i="19"/>
  <c r="F443" i="19"/>
  <c r="I443" i="19"/>
  <c r="E443" i="19"/>
  <c r="H443" i="19"/>
  <c r="B444" i="19"/>
  <c r="F444" i="19"/>
  <c r="I444" i="19"/>
  <c r="D444" i="19"/>
  <c r="G444" i="19"/>
  <c r="C444" i="19"/>
  <c r="E444" i="19"/>
  <c r="H444" i="19"/>
  <c r="B445" i="19"/>
  <c r="F445" i="19"/>
  <c r="I445" i="19"/>
  <c r="D445" i="19"/>
  <c r="G445" i="19"/>
  <c r="C445" i="19"/>
  <c r="E445" i="19"/>
  <c r="H445" i="19"/>
  <c r="B446" i="19"/>
  <c r="E446" i="19"/>
  <c r="H446" i="19"/>
  <c r="C446" i="19"/>
  <c r="D446" i="19"/>
  <c r="G446" i="19"/>
  <c r="F446" i="19"/>
  <c r="I446" i="19"/>
  <c r="B447" i="19"/>
  <c r="C447" i="19"/>
  <c r="D447" i="19"/>
  <c r="G447" i="19"/>
  <c r="F447" i="19"/>
  <c r="I447" i="19"/>
  <c r="E447" i="19"/>
  <c r="H447" i="19"/>
  <c r="B448" i="19"/>
  <c r="D448" i="19"/>
  <c r="G448" i="19"/>
  <c r="E448" i="19"/>
  <c r="H448" i="19"/>
  <c r="C448" i="19"/>
  <c r="F448" i="19"/>
  <c r="I448" i="19"/>
  <c r="B449" i="19"/>
  <c r="E449" i="19"/>
  <c r="H449" i="19"/>
  <c r="F449" i="19"/>
  <c r="I449" i="19"/>
  <c r="C449" i="19"/>
  <c r="D449" i="19"/>
  <c r="G449" i="19"/>
  <c r="B450" i="19"/>
  <c r="E450" i="19"/>
  <c r="H450" i="19"/>
  <c r="C450" i="19"/>
  <c r="D450" i="19"/>
  <c r="G450" i="19"/>
  <c r="F450" i="19"/>
  <c r="I450" i="19"/>
  <c r="B451" i="19"/>
  <c r="C451" i="19"/>
  <c r="D451" i="19"/>
  <c r="G451" i="19"/>
  <c r="F451" i="19"/>
  <c r="I451" i="19"/>
  <c r="E451" i="19"/>
  <c r="H451" i="19"/>
  <c r="B452" i="19"/>
  <c r="E452" i="19"/>
  <c r="H452" i="19"/>
  <c r="F452" i="19"/>
  <c r="I452" i="19"/>
  <c r="C452" i="19"/>
  <c r="D452" i="19"/>
  <c r="G452" i="19"/>
  <c r="B453" i="19"/>
  <c r="D453" i="19"/>
  <c r="G453" i="19"/>
  <c r="F453" i="19"/>
  <c r="I453" i="19"/>
  <c r="E453" i="19"/>
  <c r="H453" i="19"/>
  <c r="C453" i="19"/>
  <c r="B454" i="19"/>
  <c r="F454" i="19"/>
  <c r="I454" i="19"/>
  <c r="E454" i="19"/>
  <c r="H454" i="19"/>
  <c r="C454" i="19"/>
  <c r="D454" i="19"/>
  <c r="G454" i="19"/>
  <c r="B455" i="19"/>
  <c r="D455" i="19"/>
  <c r="G455" i="19"/>
  <c r="C455" i="19"/>
  <c r="F455" i="19"/>
  <c r="I455" i="19"/>
  <c r="E455" i="19"/>
  <c r="H455" i="19"/>
  <c r="B456" i="19"/>
  <c r="C456" i="19"/>
  <c r="E456" i="19"/>
  <c r="H456" i="19"/>
  <c r="D456" i="19"/>
  <c r="G456" i="19"/>
  <c r="F456" i="19"/>
  <c r="I456" i="19"/>
  <c r="B457" i="19"/>
  <c r="F457" i="19"/>
  <c r="I457" i="19"/>
  <c r="D457" i="19"/>
  <c r="G457" i="19"/>
  <c r="E457" i="19"/>
  <c r="H457" i="19"/>
  <c r="C457" i="19"/>
  <c r="B458" i="19"/>
  <c r="D458" i="19"/>
  <c r="G458" i="19"/>
  <c r="E458" i="19"/>
  <c r="H458" i="19"/>
  <c r="C458" i="19"/>
  <c r="F458" i="19"/>
  <c r="I458" i="19"/>
  <c r="B459" i="19"/>
  <c r="C459" i="19"/>
  <c r="D459" i="19"/>
  <c r="G459" i="19"/>
  <c r="E459" i="19"/>
  <c r="H459" i="19"/>
  <c r="F459" i="19"/>
  <c r="I459" i="19"/>
  <c r="B460" i="19"/>
  <c r="E460" i="19"/>
  <c r="H460" i="19"/>
  <c r="F460" i="19"/>
  <c r="I460" i="19"/>
  <c r="C460" i="19"/>
  <c r="D460" i="19"/>
  <c r="G460" i="19"/>
  <c r="B461" i="19"/>
  <c r="C461" i="19"/>
  <c r="F461" i="19"/>
  <c r="I461" i="19"/>
  <c r="D461" i="19"/>
  <c r="G461" i="19"/>
  <c r="E461" i="19"/>
  <c r="H461" i="19"/>
  <c r="B462" i="19"/>
  <c r="D462" i="19"/>
  <c r="G462" i="19"/>
  <c r="F462" i="19"/>
  <c r="I462" i="19"/>
  <c r="C462" i="19"/>
  <c r="E462" i="19"/>
  <c r="H462" i="19"/>
  <c r="B463" i="19"/>
  <c r="E463" i="19"/>
  <c r="H463" i="19"/>
  <c r="F463" i="19"/>
  <c r="I463" i="19"/>
  <c r="C463" i="19"/>
  <c r="D463" i="19"/>
  <c r="G463" i="19"/>
  <c r="B464" i="19"/>
  <c r="E464" i="19"/>
  <c r="H464" i="19"/>
  <c r="F464" i="19"/>
  <c r="I464" i="19"/>
  <c r="C464" i="19"/>
  <c r="D464" i="19"/>
  <c r="G464" i="19"/>
  <c r="B465" i="19"/>
  <c r="D465" i="19"/>
  <c r="G465" i="19"/>
  <c r="E465" i="19"/>
  <c r="H465" i="19"/>
  <c r="F465" i="19"/>
  <c r="I465" i="19"/>
  <c r="C465" i="19"/>
  <c r="B466" i="19"/>
  <c r="F466" i="19"/>
  <c r="I466" i="19"/>
  <c r="C466" i="19"/>
  <c r="E466" i="19"/>
  <c r="H466" i="19"/>
  <c r="D466" i="19"/>
  <c r="G466" i="19"/>
  <c r="B467" i="19"/>
  <c r="D467" i="19"/>
  <c r="G467" i="19"/>
  <c r="F467" i="19"/>
  <c r="I467" i="19"/>
  <c r="E467" i="19"/>
  <c r="H467" i="19"/>
  <c r="C467" i="19"/>
  <c r="B468" i="19"/>
  <c r="F468" i="19"/>
  <c r="I468" i="19"/>
  <c r="E468" i="19"/>
  <c r="H468" i="19"/>
  <c r="D468" i="19"/>
  <c r="G468" i="19"/>
  <c r="C468" i="19"/>
  <c r="B469" i="19"/>
  <c r="F469" i="19"/>
  <c r="I469" i="19"/>
  <c r="C469" i="19"/>
  <c r="E469" i="19"/>
  <c r="H469" i="19"/>
  <c r="D469" i="19"/>
  <c r="G469" i="19"/>
  <c r="B470" i="19"/>
  <c r="C470" i="19"/>
  <c r="E470" i="19"/>
  <c r="H470" i="19"/>
  <c r="F470" i="19"/>
  <c r="I470" i="19"/>
  <c r="D470" i="19"/>
  <c r="G470" i="19"/>
  <c r="B471" i="19"/>
  <c r="D471" i="19"/>
  <c r="G471" i="19"/>
  <c r="F471" i="19"/>
  <c r="I471" i="19"/>
  <c r="C471" i="19"/>
  <c r="E471" i="19"/>
  <c r="H471" i="19"/>
  <c r="B472" i="19"/>
  <c r="D472" i="19"/>
  <c r="G472" i="19"/>
  <c r="C472" i="19"/>
  <c r="F472" i="19"/>
  <c r="I472" i="19"/>
  <c r="E472" i="19"/>
  <c r="H472" i="19"/>
  <c r="B473" i="19"/>
  <c r="F473" i="19"/>
  <c r="I473" i="19"/>
  <c r="D473" i="19"/>
  <c r="G473" i="19"/>
  <c r="C473" i="19"/>
  <c r="E473" i="19"/>
  <c r="H473" i="19"/>
  <c r="B474" i="19"/>
  <c r="E474" i="19"/>
  <c r="H474" i="19"/>
  <c r="C474" i="19"/>
  <c r="F474" i="19"/>
  <c r="I474" i="19"/>
  <c r="D474" i="19"/>
  <c r="G474" i="19"/>
  <c r="B475" i="19"/>
  <c r="F475" i="19"/>
  <c r="I475" i="19"/>
  <c r="D475" i="19"/>
  <c r="G475" i="19"/>
  <c r="C475" i="19"/>
  <c r="E475" i="19"/>
  <c r="H475" i="19"/>
  <c r="B476" i="19"/>
  <c r="F476" i="19"/>
  <c r="I476" i="19"/>
  <c r="E476" i="19"/>
  <c r="H476" i="19"/>
  <c r="D476" i="19"/>
  <c r="G476" i="19"/>
  <c r="C476" i="19"/>
  <c r="B477" i="19"/>
  <c r="E477" i="19"/>
  <c r="H477" i="19"/>
  <c r="D477" i="19"/>
  <c r="G477" i="19"/>
  <c r="F477" i="19"/>
  <c r="I477" i="19"/>
  <c r="C477" i="19"/>
  <c r="B478" i="19"/>
  <c r="F478" i="19"/>
  <c r="I478" i="19"/>
  <c r="C478" i="19"/>
  <c r="E478" i="19"/>
  <c r="H478" i="19"/>
  <c r="D478" i="19"/>
  <c r="G478" i="19"/>
  <c r="B479" i="19"/>
  <c r="C479" i="19"/>
  <c r="F479" i="19"/>
  <c r="I479" i="19"/>
  <c r="E479" i="19"/>
  <c r="H479" i="19"/>
  <c r="D479" i="19"/>
  <c r="G479" i="19"/>
  <c r="B480" i="19"/>
  <c r="F480" i="19"/>
  <c r="I480" i="19"/>
  <c r="E480" i="19"/>
  <c r="H480" i="19"/>
  <c r="C480" i="19"/>
  <c r="D480" i="19"/>
  <c r="G480" i="19"/>
  <c r="B481" i="19"/>
  <c r="C481" i="19"/>
  <c r="D481" i="19"/>
  <c r="G481" i="19"/>
  <c r="F481" i="19"/>
  <c r="I481" i="19"/>
  <c r="E481" i="19"/>
  <c r="H481" i="19"/>
  <c r="B482" i="19"/>
  <c r="D482" i="19"/>
  <c r="G482" i="19"/>
  <c r="C482" i="19"/>
  <c r="F482" i="19"/>
  <c r="I482" i="19"/>
  <c r="E482" i="19"/>
  <c r="H482" i="19"/>
  <c r="B483" i="19"/>
  <c r="F483" i="19"/>
  <c r="I483" i="19"/>
  <c r="D483" i="19"/>
  <c r="G483" i="19"/>
  <c r="C483" i="19"/>
  <c r="E483" i="19"/>
  <c r="H483" i="19"/>
  <c r="B484" i="19"/>
  <c r="D484" i="19"/>
  <c r="G484" i="19"/>
  <c r="E484" i="19"/>
  <c r="H484" i="19"/>
  <c r="C484" i="19"/>
  <c r="F484" i="19"/>
  <c r="I484" i="19"/>
  <c r="B485" i="19"/>
  <c r="E485" i="19"/>
  <c r="H485" i="19"/>
  <c r="D485" i="19"/>
  <c r="G485" i="19"/>
  <c r="C485" i="19"/>
  <c r="F485" i="19"/>
  <c r="I485" i="19"/>
  <c r="B486" i="19"/>
  <c r="F486" i="19"/>
  <c r="I486" i="19"/>
  <c r="D486" i="19"/>
  <c r="G486" i="19"/>
  <c r="E486" i="19"/>
  <c r="H486" i="19"/>
  <c r="C486" i="19"/>
  <c r="B487" i="19"/>
  <c r="E487" i="19"/>
  <c r="H487" i="19"/>
  <c r="D487" i="19"/>
  <c r="G487" i="19"/>
  <c r="F487" i="19"/>
  <c r="I487" i="19"/>
  <c r="C487" i="19"/>
  <c r="B488" i="19"/>
  <c r="E488" i="19"/>
  <c r="H488" i="19"/>
  <c r="D488" i="19"/>
  <c r="G488" i="19"/>
  <c r="F488" i="19"/>
  <c r="I488" i="19"/>
  <c r="C488" i="19"/>
  <c r="B489" i="19"/>
  <c r="E489" i="19"/>
  <c r="H489" i="19"/>
  <c r="F489" i="19"/>
  <c r="I489" i="19"/>
  <c r="C489" i="19"/>
  <c r="D489" i="19"/>
  <c r="G489" i="19"/>
  <c r="B490" i="19"/>
  <c r="D490" i="19"/>
  <c r="G490" i="19"/>
  <c r="F490" i="19"/>
  <c r="I490" i="19"/>
  <c r="E490" i="19"/>
  <c r="H490" i="19"/>
  <c r="C490" i="19"/>
  <c r="B491" i="19"/>
  <c r="F491" i="19"/>
  <c r="I491" i="19"/>
  <c r="D491" i="19"/>
  <c r="G491" i="19"/>
  <c r="C491" i="19"/>
  <c r="E491" i="19"/>
  <c r="H491" i="19"/>
  <c r="B492" i="19"/>
  <c r="D492" i="19"/>
  <c r="G492" i="19"/>
  <c r="F492" i="19"/>
  <c r="I492" i="19"/>
  <c r="E492" i="19"/>
  <c r="H492" i="19"/>
  <c r="C492" i="19"/>
  <c r="B493" i="19"/>
  <c r="F493" i="19"/>
  <c r="I493" i="19"/>
  <c r="E493" i="19"/>
  <c r="H493" i="19"/>
  <c r="C493" i="19"/>
  <c r="D493" i="19"/>
  <c r="G493" i="19"/>
  <c r="B494" i="19"/>
  <c r="F494" i="19"/>
  <c r="I494" i="19"/>
  <c r="E494" i="19"/>
  <c r="H494" i="19"/>
  <c r="D494" i="19"/>
  <c r="G494" i="19"/>
  <c r="C494" i="19"/>
  <c r="B495" i="19"/>
  <c r="E495" i="19"/>
  <c r="H495" i="19"/>
  <c r="F495" i="19"/>
  <c r="I495" i="19"/>
  <c r="D495" i="19"/>
  <c r="G495" i="19"/>
  <c r="C495" i="19"/>
  <c r="B496" i="19"/>
  <c r="F496" i="19"/>
  <c r="I496" i="19"/>
  <c r="D496" i="19"/>
  <c r="G496" i="19"/>
  <c r="E496" i="19"/>
  <c r="H496" i="19"/>
  <c r="C496" i="19"/>
  <c r="B497" i="19"/>
  <c r="D497" i="19"/>
  <c r="G497" i="19"/>
  <c r="F497" i="19"/>
  <c r="I497" i="19"/>
  <c r="C497" i="19"/>
  <c r="E497" i="19"/>
  <c r="H497" i="19"/>
  <c r="B498" i="19"/>
  <c r="E498" i="19"/>
  <c r="H498" i="19"/>
  <c r="C498" i="19"/>
  <c r="F498" i="19"/>
  <c r="I498" i="19"/>
  <c r="D498" i="19"/>
  <c r="G498" i="19"/>
  <c r="B499" i="19"/>
  <c r="F499" i="19"/>
  <c r="I499" i="19"/>
  <c r="C499" i="19"/>
  <c r="D499" i="19"/>
  <c r="G499" i="19"/>
  <c r="E499" i="19"/>
  <c r="H499" i="19"/>
</calcChain>
</file>

<file path=xl/comments1.xml><?xml version="1.0" encoding="utf-8"?>
<comments xmlns="http://schemas.openxmlformats.org/spreadsheetml/2006/main">
  <authors>
    <author>Baileys</author>
  </authors>
  <commentList>
    <comment ref="E20" authorId="0" shapeId="0">
      <text>
        <r>
          <rPr>
            <b/>
            <sz val="9"/>
            <color indexed="81"/>
            <rFont val="Tahoma"/>
            <family val="2"/>
          </rPr>
          <t>Baileys:</t>
        </r>
        <r>
          <rPr>
            <sz val="9"/>
            <color indexed="81"/>
            <rFont val="Tahoma"/>
            <family val="2"/>
          </rPr>
          <t xml:space="preserve">
portail 10000*2
cont acces 5000
Skydom 5000</t>
        </r>
      </text>
    </comment>
    <comment ref="E22" authorId="0" shapeId="0">
      <text>
        <r>
          <rPr>
            <b/>
            <sz val="9"/>
            <color indexed="81"/>
            <rFont val="Tahoma"/>
            <family val="2"/>
          </rPr>
          <t>Baileys:</t>
        </r>
        <r>
          <rPr>
            <sz val="9"/>
            <color indexed="81"/>
            <rFont val="Tahoma"/>
            <family val="2"/>
          </rPr>
          <t xml:space="preserve">
carrelage SUV+COM+Faience 
45€+10%</t>
        </r>
      </text>
    </comment>
  </commentList>
</comments>
</file>

<file path=xl/sharedStrings.xml><?xml version="1.0" encoding="utf-8"?>
<sst xmlns="http://schemas.openxmlformats.org/spreadsheetml/2006/main" count="416" uniqueCount="343">
  <si>
    <t>MONTANT HT</t>
  </si>
  <si>
    <t>TVA</t>
  </si>
  <si>
    <t>TOTAL TTC</t>
  </si>
  <si>
    <t>GEOMETRE</t>
  </si>
  <si>
    <t>TAXE RACCORDEMENT EGOUT</t>
  </si>
  <si>
    <t>TOTAL</t>
  </si>
  <si>
    <t>SOLDE</t>
  </si>
  <si>
    <t>DESIGNATION</t>
  </si>
  <si>
    <t xml:space="preserve">CONSTRUCTION </t>
  </si>
  <si>
    <t>TRIMESTRE 1</t>
  </si>
  <si>
    <t>TRIMESTRE 2</t>
  </si>
  <si>
    <t>TRIMESTRE 3</t>
  </si>
  <si>
    <t>TRIMESTRE 4</t>
  </si>
  <si>
    <t>CUMUL APPEL DE FOND</t>
  </si>
  <si>
    <t>INTERET/CREDIT D'ACCOMPAGNEMENT</t>
  </si>
  <si>
    <t>Redevance Archéologique Préventive</t>
  </si>
  <si>
    <t>ASSURANCE - GFA</t>
  </si>
  <si>
    <t>Création SCCV</t>
  </si>
  <si>
    <t>POSTES</t>
  </si>
  <si>
    <t>DESIGNATIONS</t>
  </si>
  <si>
    <t>CONTRÔLE - TECHNIQUE</t>
  </si>
  <si>
    <t xml:space="preserve">MISSION SPS </t>
  </si>
  <si>
    <t>Terrassement - VRD - Esp. Verts - Clôtures</t>
  </si>
  <si>
    <t>Montant TTC</t>
  </si>
  <si>
    <t xml:space="preserve">        PHASE   CONSTRUCTION</t>
  </si>
  <si>
    <t xml:space="preserve"> PHASE  GARANTIE DE PARFAIT ACHEVEMENT</t>
  </si>
  <si>
    <t>RATIO / PV</t>
  </si>
  <si>
    <t xml:space="preserve"> logement n°</t>
  </si>
  <si>
    <t>T2 type  1</t>
  </si>
  <si>
    <t>2-4-6-14-16</t>
  </si>
  <si>
    <t>T2 type  2</t>
  </si>
  <si>
    <t>18-</t>
  </si>
  <si>
    <t>1-3-5-7</t>
  </si>
  <si>
    <t>T3 type 2</t>
  </si>
  <si>
    <t>T3 type 3</t>
  </si>
  <si>
    <t>10-11-20</t>
  </si>
  <si>
    <t>T3 type 4</t>
  </si>
  <si>
    <t>12-</t>
  </si>
  <si>
    <t>T3 type 5</t>
  </si>
  <si>
    <t>13-15-17</t>
  </si>
  <si>
    <t>T3 type 6</t>
  </si>
  <si>
    <t>19</t>
  </si>
  <si>
    <t>T3 type 7</t>
  </si>
  <si>
    <t>21</t>
  </si>
  <si>
    <t>Total</t>
  </si>
  <si>
    <t xml:space="preserve">TOTAL CONSTRUCTION </t>
  </si>
  <si>
    <t>TOTAL  HONO. TECHNIQUES</t>
  </si>
  <si>
    <t>Varangue</t>
  </si>
  <si>
    <t xml:space="preserve">INTERETS BANCAIRES </t>
  </si>
  <si>
    <t xml:space="preserve">RACCORDEMENT - FT- AEP </t>
  </si>
  <si>
    <t>Surface Hab</t>
  </si>
  <si>
    <t>Surf Hab+V</t>
  </si>
  <si>
    <t>Quantité</t>
  </si>
  <si>
    <t>Surf totale</t>
  </si>
  <si>
    <t>PV TOTAL</t>
  </si>
  <si>
    <t xml:space="preserve"> LOTS</t>
  </si>
  <si>
    <t>T4 type 1</t>
  </si>
  <si>
    <t>PV Y/C frais d'Agence</t>
  </si>
  <si>
    <t>total Varangue</t>
  </si>
  <si>
    <t>SURF TERRAIN</t>
  </si>
  <si>
    <t>NB LOGTS</t>
  </si>
  <si>
    <t>HUISSIER (affichage PC-recours)</t>
  </si>
  <si>
    <t>Taxe Aménagement</t>
  </si>
  <si>
    <t>TAUX</t>
  </si>
  <si>
    <t>ASSIETTE</t>
  </si>
  <si>
    <t>1 - FONCIER</t>
  </si>
  <si>
    <t>TOTAL FONCIER</t>
  </si>
  <si>
    <t>3 - CONSTRUCTION</t>
  </si>
  <si>
    <t>4 - HON. TECHNIQUES</t>
  </si>
  <si>
    <t>5 - GESTION</t>
  </si>
  <si>
    <t>ASSURANCE DO / CNR</t>
  </si>
  <si>
    <t>ASSURANCE TRC</t>
  </si>
  <si>
    <t>PUBLICITE COMMERCIAL</t>
  </si>
  <si>
    <t>RATIO</t>
  </si>
  <si>
    <t>SUV M²</t>
  </si>
  <si>
    <t>PLANCHER TAXABLE M²</t>
  </si>
  <si>
    <t>TOTAL GESTION</t>
  </si>
  <si>
    <t>6 - FRAIS DE VENTE</t>
  </si>
  <si>
    <t>GARANTIE DU PREMIER LOCATAIRE (3 MOIS)</t>
  </si>
  <si>
    <t>DEPENSES DE COMMERCIALISATION</t>
  </si>
  <si>
    <t>TOTAL DEPENSES (FRAIS BRUT +6)</t>
  </si>
  <si>
    <t>CHIFFRE D'AFFAIRE</t>
  </si>
  <si>
    <t>2ieme place de parking</t>
  </si>
  <si>
    <t>TOTAL CHIFFRE D'AFFAIRE</t>
  </si>
  <si>
    <t>2 - TAXES PC</t>
  </si>
  <si>
    <t>ALEAS</t>
  </si>
  <si>
    <t xml:space="preserve">Chiffre d'affaire - APPEL DE FOND </t>
  </si>
  <si>
    <t>FRAIS NOTAIRES</t>
  </si>
  <si>
    <t>APPORT FOND PROPRE</t>
  </si>
  <si>
    <t>TAUX EURIBOR +3 EN %</t>
  </si>
  <si>
    <t>mois 1</t>
  </si>
  <si>
    <t>mois 2</t>
  </si>
  <si>
    <t>mois 3</t>
  </si>
  <si>
    <t>mois 4</t>
  </si>
  <si>
    <t>mois 5</t>
  </si>
  <si>
    <t>mois 6</t>
  </si>
  <si>
    <t>mois 7</t>
  </si>
  <si>
    <t>mois 8</t>
  </si>
  <si>
    <t>mois 9</t>
  </si>
  <si>
    <t>mois 10</t>
  </si>
  <si>
    <t>mois 11</t>
  </si>
  <si>
    <t>mois 12</t>
  </si>
  <si>
    <t>PLATEFORME RESEAUX</t>
  </si>
  <si>
    <t xml:space="preserve">LOT </t>
  </si>
  <si>
    <t>TYPE</t>
  </si>
  <si>
    <t>NIV</t>
  </si>
  <si>
    <t>TERRASSES</t>
  </si>
  <si>
    <t>Surf</t>
  </si>
  <si>
    <t>JARDIN</t>
  </si>
  <si>
    <t>N°</t>
  </si>
  <si>
    <t>en m²</t>
  </si>
  <si>
    <t>en M2</t>
  </si>
  <si>
    <t>totale</t>
  </si>
  <si>
    <t>au m²</t>
  </si>
  <si>
    <t>9-8</t>
  </si>
  <si>
    <t xml:space="preserve">SERVITUDE LIM COW </t>
  </si>
  <si>
    <t>T2</t>
  </si>
  <si>
    <t>T3</t>
  </si>
  <si>
    <t>Mise à jour le :</t>
  </si>
  <si>
    <t>COMMERCIALISATION (via réseaux CGP)</t>
  </si>
  <si>
    <t>BUDGET PREVISIONNEL</t>
  </si>
  <si>
    <t>PROGRAMMATION - PLANNING FINANCIER</t>
  </si>
  <si>
    <t xml:space="preserve">                            Résidence "BD 227"  Groupe des Sociétés AKBARALY</t>
  </si>
  <si>
    <t>DROIT DE MUTATION</t>
  </si>
  <si>
    <t>Surface PK m²</t>
  </si>
  <si>
    <t>T1</t>
  </si>
  <si>
    <t>R+2</t>
  </si>
  <si>
    <t xml:space="preserve">Mise à jour </t>
  </si>
  <si>
    <t>Nombre de lots</t>
  </si>
  <si>
    <t>Etabli par</t>
  </si>
  <si>
    <t>Sous-Sols</t>
  </si>
  <si>
    <t>Surface terrain</t>
  </si>
  <si>
    <t>LOT</t>
  </si>
  <si>
    <t>Basse tension - Colonnes montantes Rac EDF</t>
  </si>
  <si>
    <t>Gros œuvres</t>
  </si>
  <si>
    <t>Revêtements durs</t>
  </si>
  <si>
    <t>Menuiseries Alu</t>
  </si>
  <si>
    <t>Menuiseries bois</t>
  </si>
  <si>
    <t>Plomberie - VMC</t>
  </si>
  <si>
    <t>Eau chaude solaire</t>
  </si>
  <si>
    <t>Peinture - Etanchéité</t>
  </si>
  <si>
    <t>MONTANT TTC</t>
  </si>
  <si>
    <t xml:space="preserve">au  logement </t>
  </si>
  <si>
    <t>%</t>
  </si>
  <si>
    <t>JPD</t>
  </si>
  <si>
    <t>Ascenseur</t>
  </si>
  <si>
    <t>Démolition - Terrassement ( 300 m3*15€/m3)</t>
  </si>
  <si>
    <t xml:space="preserve">Electricité -Téléphonne </t>
  </si>
  <si>
    <t xml:space="preserve"> m² plancher HT</t>
  </si>
  <si>
    <t>au m² SUV HT</t>
  </si>
  <si>
    <t>TOTAL CONSTRUCTION</t>
  </si>
  <si>
    <t>TVA RESIDUELLE (à  récuperer)</t>
  </si>
  <si>
    <t>PRIX REVIENT NET</t>
  </si>
  <si>
    <t>EDITER LE TABLEAU D'AMORTISSEMENT D'UN PRET</t>
  </si>
  <si>
    <t>Publié par www.calculateurimmo.fr</t>
  </si>
  <si>
    <t>mois</t>
  </si>
  <si>
    <t>année</t>
  </si>
  <si>
    <t>Début des remboursements :</t>
  </si>
  <si>
    <t>Montant du prêt :</t>
  </si>
  <si>
    <t xml:space="preserve"> €</t>
  </si>
  <si>
    <t>Durée :</t>
  </si>
  <si>
    <t xml:space="preserve"> mois</t>
  </si>
  <si>
    <t>Taux d'intérêt :</t>
  </si>
  <si>
    <t xml:space="preserve"> %</t>
  </si>
  <si>
    <t>Taux d'assurance :</t>
  </si>
  <si>
    <t xml:space="preserve"> %  (facultatif)</t>
  </si>
  <si>
    <t>Mensualité hors asurance :</t>
  </si>
  <si>
    <t>€/mois</t>
  </si>
  <si>
    <t>Assurance :</t>
  </si>
  <si>
    <t>Mensualité totale :</t>
  </si>
  <si>
    <t>Coût des intérêts :</t>
  </si>
  <si>
    <t>€</t>
  </si>
  <si>
    <t>Coût de l'assurance :</t>
  </si>
  <si>
    <t>Coût total :</t>
  </si>
  <si>
    <t>Date</t>
  </si>
  <si>
    <t>Mensualité</t>
  </si>
  <si>
    <t>Assurance</t>
  </si>
  <si>
    <t>Intérêts</t>
  </si>
  <si>
    <t>Cumul des
intérêts</t>
  </si>
  <si>
    <t>Capital
remboursé</t>
  </si>
  <si>
    <t>Capital
restant dû</t>
  </si>
  <si>
    <t>Janvier</t>
  </si>
  <si>
    <t xml:space="preserve">GRILLE DE LOCATION </t>
  </si>
  <si>
    <t>TOTAL DEPENSES TTC</t>
  </si>
  <si>
    <t>BILAN DE L'OPERATION</t>
  </si>
  <si>
    <t>Charpente Couverture-bardage - Metallerie</t>
  </si>
  <si>
    <t xml:space="preserve">TOTAL </t>
  </si>
  <si>
    <t>Administratif &amp; branchements</t>
  </si>
  <si>
    <t>VRD &amp; Divers</t>
  </si>
  <si>
    <t xml:space="preserve">Construction </t>
  </si>
  <si>
    <t>TTC</t>
  </si>
  <si>
    <t>HT</t>
  </si>
  <si>
    <t>TOTAL DE L'OPERATION</t>
  </si>
  <si>
    <t>TVA 8,5 %</t>
  </si>
  <si>
    <t>TOTAL HT</t>
  </si>
  <si>
    <t>DIVERS PROTOCOLES</t>
  </si>
  <si>
    <t>IMPOTS (Diverses taxes)</t>
  </si>
  <si>
    <t>ASSURANCES</t>
  </si>
  <si>
    <t>Hervé CLAIN</t>
  </si>
  <si>
    <t>COMPTABLE</t>
  </si>
  <si>
    <t xml:space="preserve"> </t>
  </si>
  <si>
    <t>NOTAIRE</t>
  </si>
  <si>
    <t>SCP MICHEL</t>
  </si>
  <si>
    <t>HUISSIER</t>
  </si>
  <si>
    <t xml:space="preserve">GEOMETRE </t>
  </si>
  <si>
    <t>SCCV ROSSAN</t>
  </si>
  <si>
    <t>ACQUISITION TERRAIN</t>
  </si>
  <si>
    <t>France TELECOM</t>
  </si>
  <si>
    <t>BRANCHEMENT PTT</t>
  </si>
  <si>
    <t>CGE</t>
  </si>
  <si>
    <t>BRANCHEMENT CGE</t>
  </si>
  <si>
    <t xml:space="preserve"> + Tx de dépose de transfo</t>
  </si>
  <si>
    <t>EDF</t>
  </si>
  <si>
    <t>BRANCHEMENT EDF</t>
  </si>
  <si>
    <t>SEGC</t>
  </si>
  <si>
    <t>GEOTECHNIQUE &amp; CONTRÔLE</t>
  </si>
  <si>
    <t>Bureau VERITAS</t>
  </si>
  <si>
    <t>CONTRÔLE TECHNIQUE</t>
  </si>
  <si>
    <t>RATION PR/SUV+PK</t>
  </si>
  <si>
    <t>CSPS</t>
  </si>
  <si>
    <t>RATION PR/SUV</t>
  </si>
  <si>
    <t xml:space="preserve">Impulsion Ingénièrie </t>
  </si>
  <si>
    <t>OPC</t>
  </si>
  <si>
    <t>PRIX REEL PR</t>
  </si>
  <si>
    <t>Cabinet GOETZ</t>
  </si>
  <si>
    <t>ARCHITECTE</t>
  </si>
  <si>
    <t>MARGE DE SECURITE</t>
  </si>
  <si>
    <t>BOURBON LUMIERE</t>
  </si>
  <si>
    <t>BASSE TENSION</t>
  </si>
  <si>
    <t>METALDER</t>
  </si>
  <si>
    <t>METALLERIE</t>
  </si>
  <si>
    <t>SORAD</t>
  </si>
  <si>
    <t>PORTAIL ET AUTOMATISME</t>
  </si>
  <si>
    <t>13 bis</t>
  </si>
  <si>
    <t>TPM2A</t>
  </si>
  <si>
    <t>REVETEMENTS DURS</t>
  </si>
  <si>
    <t>EPGM</t>
  </si>
  <si>
    <t>PEINTURE</t>
  </si>
  <si>
    <t>SPER</t>
  </si>
  <si>
    <t>VMC - DESENFUMAGE</t>
  </si>
  <si>
    <t>CEGELEC</t>
  </si>
  <si>
    <t>ASCENSEUR</t>
  </si>
  <si>
    <t>MANIX FLUIDE</t>
  </si>
  <si>
    <t xml:space="preserve">EAU CHAUDE SANITAIRE SOLAIRE </t>
  </si>
  <si>
    <t>ESR</t>
  </si>
  <si>
    <t>ELECTRICITE</t>
  </si>
  <si>
    <t>PLOMBERIE SANITAIRES</t>
  </si>
  <si>
    <t>SOMEB</t>
  </si>
  <si>
    <t>MENUISERIE BOIS</t>
  </si>
  <si>
    <t>MENUIRUN</t>
  </si>
  <si>
    <t>MENUISERIE PVC / ALU.</t>
  </si>
  <si>
    <t>ETANCHEITE</t>
  </si>
  <si>
    <t>CLOISONS</t>
  </si>
  <si>
    <t>BTB</t>
  </si>
  <si>
    <t xml:space="preserve">GROS ŒUVRE                             </t>
  </si>
  <si>
    <t>VRD - ESPACES VERTS</t>
  </si>
  <si>
    <t>par SUV 1 SSOL</t>
  </si>
  <si>
    <t>par SUV</t>
  </si>
  <si>
    <t>par logement HT</t>
  </si>
  <si>
    <t>BUDGET REEL TTC</t>
  </si>
  <si>
    <t>TS4</t>
  </si>
  <si>
    <t>TS3</t>
  </si>
  <si>
    <t>TS2</t>
  </si>
  <si>
    <t>TS1</t>
  </si>
  <si>
    <t>BUDGET REEL HT</t>
  </si>
  <si>
    <t>ENTREPRISE</t>
  </si>
  <si>
    <t>PREVISIONNEL</t>
  </si>
  <si>
    <t>BUDGET</t>
  </si>
  <si>
    <t>N° LOT</t>
  </si>
  <si>
    <t>23/03/2011 prévisionnel</t>
  </si>
  <si>
    <t xml:space="preserve">LOGEMENT </t>
  </si>
  <si>
    <t>SURFACE PLANCHER</t>
  </si>
  <si>
    <t>M²</t>
  </si>
  <si>
    <t>SURFACE PARK</t>
  </si>
  <si>
    <t>SURFACE SUV</t>
  </si>
  <si>
    <t>Cloisons séches - faux plafonds - bloc/porte</t>
  </si>
  <si>
    <t>A RECTIFIER EN MANUEL MONTANT DE L'EMPRUNT</t>
  </si>
  <si>
    <t>CHARGES BANCAIRES (frais de dossier &amp; com engmt)</t>
  </si>
  <si>
    <t xml:space="preserve">REMBOURSEMENT DE LA TVA </t>
  </si>
  <si>
    <t>A RECTIFIER EN MANUEL MONTANT DES INTERETS</t>
  </si>
  <si>
    <t>RATIO/SUV/M² TTC</t>
  </si>
  <si>
    <t>RATIO/SPT/M² TTC</t>
  </si>
  <si>
    <t>TOTAL TAXES SUR PC</t>
  </si>
  <si>
    <t>SYNTHESE BUDGET PREVISIONNEL</t>
  </si>
  <si>
    <t>SURF. PERMEABLE 35% M² ≤</t>
  </si>
  <si>
    <t>SURF CONST, 50% M² ≤</t>
  </si>
  <si>
    <t>RDC</t>
  </si>
  <si>
    <t>R+1</t>
  </si>
  <si>
    <t>SURFACE</t>
  </si>
  <si>
    <t>UTILE m²</t>
  </si>
  <si>
    <t>MONTANT DU LOYER /MOIS</t>
  </si>
  <si>
    <t>MONTANT DU LOYER / AN</t>
  </si>
  <si>
    <t xml:space="preserve">PK </t>
  </si>
  <si>
    <t>EXCEDENT</t>
  </si>
  <si>
    <t>INTERET</t>
  </si>
  <si>
    <t>EMPRUNT</t>
  </si>
  <si>
    <t>VRD -Esp Verts - Rac FT-AEP-EP</t>
  </si>
  <si>
    <t xml:space="preserve">Aléas </t>
  </si>
  <si>
    <t>EN MANUEL</t>
  </si>
  <si>
    <t>COÛT HYPOTHEQUE</t>
  </si>
  <si>
    <t>BAT, sécurité incendie</t>
  </si>
  <si>
    <t xml:space="preserve">RATIO SURF UTILE </t>
  </si>
  <si>
    <t>RATIO TOTAL /SUV/M² TTC</t>
  </si>
  <si>
    <t>station de relevage EU+ DEC HYDROCABURE</t>
  </si>
  <si>
    <t xml:space="preserve">Automatisme </t>
  </si>
  <si>
    <t>REMBOURSEMENT DE TVA</t>
  </si>
  <si>
    <t>SONDAGES GEOTECHNIQUES</t>
  </si>
  <si>
    <t>Estimation</t>
  </si>
  <si>
    <t>TOTAL T2</t>
  </si>
  <si>
    <t>TOTAL T3</t>
  </si>
  <si>
    <t>VENTE DE LOGEMENTS</t>
  </si>
  <si>
    <t>CA EN MANUEL</t>
  </si>
  <si>
    <t xml:space="preserve">TVA RESIDUELLE  </t>
  </si>
  <si>
    <t>BASSE TENSION - Dépose et repose de transfo</t>
  </si>
  <si>
    <t xml:space="preserve">RACCORDEMENT - EU </t>
  </si>
  <si>
    <t>mois 13</t>
  </si>
  <si>
    <t>mois 14</t>
  </si>
  <si>
    <t>mois 15</t>
  </si>
  <si>
    <t>mois 16</t>
  </si>
  <si>
    <t>mois 17</t>
  </si>
  <si>
    <t>mois 18</t>
  </si>
  <si>
    <t>CONCEPTION PERMIS DE CONST-PIECES ECRITES</t>
  </si>
  <si>
    <t>MOD OPC</t>
  </si>
  <si>
    <t>CA REVIENT</t>
  </si>
  <si>
    <t>COÛT DE REVIENT  (1+2+3+4+5)</t>
  </si>
  <si>
    <t>HONORAIRE  MODEX 5%</t>
  </si>
  <si>
    <t>COM SUR VENTE 5%</t>
  </si>
  <si>
    <t>Surf parking</t>
  </si>
  <si>
    <t>SUV ou S Plancher Tax</t>
  </si>
  <si>
    <t>SUV + Surf PK</t>
  </si>
  <si>
    <t>ratio PVTTC/S Plancher</t>
  </si>
  <si>
    <t>ratio PVTTC/SUV+PK</t>
  </si>
  <si>
    <t>MONTANT A FINANCER</t>
  </si>
  <si>
    <t>Revenus locatifs</t>
  </si>
  <si>
    <t>Mensuels</t>
  </si>
  <si>
    <t>Annuels</t>
  </si>
  <si>
    <t xml:space="preserve">Remboursement Prêt bancaire à 3,3%+ADI 0,30% sur 20 ans </t>
  </si>
  <si>
    <t>GAIN FISCAL GIRARDIN</t>
  </si>
  <si>
    <t>prix de revient du programme</t>
  </si>
  <si>
    <t>APPORT</t>
  </si>
  <si>
    <t xml:space="preserve">                            Résidence "XY 000"  </t>
  </si>
  <si>
    <t>ACQUISITION XY 06</t>
  </si>
  <si>
    <t>ACQUISITION XY 07</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</si>
</sst>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4" formatCode="_-* #,##0.00\ &quot;€&quot;_-;\-* #,##0.00\ &quot;€&quot;_-;_-* &quot;-&quot;??\ &quot;€&quot;_-;_-@_-"/>
    <numFmt numFmtId="43" formatCode="_-* #,##0.00\ _€_-;\-* #,##0.00\ _€_-;_-* &quot;-&quot;??\ _€_-;_-@_-"/>
    <numFmt numFmtId="164" formatCode="[$-40C]d\ mmmm\ yyyy;@"/>
    <numFmt numFmtId="165" formatCode="#,##0.00\ [$€];[Red]\-#,##0.00\ [$€]"/>
    <numFmt numFmtId="166" formatCode="#,##0_ ;[Red]\-#,##0\ "/>
    <numFmt numFmtId="167" formatCode="#,##0.00\ &quot;€&quot;"/>
    <numFmt numFmtId="168" formatCode="#,###.00__&quot;m²&quot;"/>
    <numFmt numFmtId="169" formatCode="#,##0\ &quot;€&quot;"/>
    <numFmt numFmtId="170" formatCode="_-* #,##0\ [$€-40C]_-;\-* #,##0\ [$€-40C]_-;_-* &quot;-&quot;??\ [$€-40C]_-;_-@_-"/>
    <numFmt numFmtId="171" formatCode="_-* #,##0.000000000\ [$€-40C]_-;\-* #,##0.000000000\ [$€-40C]_-;_-* &quot;-&quot;??\ [$€-40C]_-;_-@_-"/>
    <numFmt numFmtId="172" formatCode="_-* #,##0\ &quot;€&quot;_-;\-* #,##0\ &quot;€&quot;_-;_-* &quot;-&quot;??\ &quot;€&quot;_-;_-@_-"/>
    <numFmt numFmtId="173" formatCode="_-* #,##0.00\ [$€-40C]_-;\-* #,##0.00\ [$€-40C]_-;_-* &quot;-&quot;??\ [$€-40C]_-;_-@_-"/>
    <numFmt numFmtId="174" formatCode="[$-40C]mmm\-yy;@"/>
    <numFmt numFmtId="175" formatCode="mmm\-yyyy"/>
    <numFmt numFmtId="176" formatCode="#,##0;[Red]#,##0"/>
    <numFmt numFmtId="177" formatCode="#,##0_ ;\-#,##0\ "/>
    <numFmt numFmtId="178" formatCode="_-* #,##0\ _€_-;\-* #,##0\ _€_-;_-* &quot;-&quot;??\ _€_-;_-@_-"/>
    <numFmt numFmtId="179" formatCode="#,##0.00;[Red]#,##0.00"/>
    <numFmt numFmtId="180" formatCode="0_ ;[Red]\-0\ "/>
    <numFmt numFmtId="182" formatCode="#,##0.000;[Red]#,##0.000"/>
  </numFmts>
  <fonts count="47" x14ac:knownFonts="1">
    <font>
      <sz val="10"/>
      <name val="Arial"/>
    </font>
    <font>
      <b/>
      <sz val="10"/>
      <name val="Arial"/>
      <family val="2"/>
    </font>
    <font>
      <b/>
      <sz val="14"/>
      <name val="Arial"/>
      <family val="2"/>
    </font>
    <font>
      <b/>
      <sz val="9"/>
      <name val="Arial"/>
      <family val="2"/>
    </font>
    <font>
      <sz val="9"/>
      <name val="Arial"/>
      <family val="2"/>
    </font>
    <font>
      <sz val="10"/>
      <name val="Verdana"/>
      <family val="2"/>
    </font>
    <font>
      <sz val="10"/>
      <name val="MS Sans Serif"/>
      <family val="2"/>
    </font>
    <font>
      <b/>
      <sz val="14"/>
      <name val="Arial Narrow"/>
      <family val="2"/>
    </font>
    <font>
      <b/>
      <sz val="8"/>
      <name val="Arial Narrow"/>
      <family val="2"/>
    </font>
    <font>
      <b/>
      <sz val="9"/>
      <name val="Arial Narrow"/>
      <family val="2"/>
    </font>
    <font>
      <b/>
      <sz val="6"/>
      <name val="Arial Narrow"/>
      <family val="2"/>
    </font>
    <font>
      <b/>
      <i/>
      <sz val="10"/>
      <name val="Arial"/>
      <family val="2"/>
    </font>
    <font>
      <b/>
      <sz val="12"/>
      <name val="Arial Narrow"/>
      <family val="2"/>
    </font>
    <font>
      <sz val="10"/>
      <name val="Arial"/>
      <family val="2"/>
    </font>
    <font>
      <sz val="10"/>
      <name val="Arial Narrow"/>
      <family val="2"/>
    </font>
    <font>
      <sz val="12"/>
      <name val="Arial Narrow"/>
      <family val="2"/>
    </font>
    <font>
      <sz val="9"/>
      <color rgb="FFFF0000"/>
      <name val="Arial"/>
      <family val="2"/>
    </font>
    <font>
      <sz val="8"/>
      <name val="Arial"/>
      <family val="2"/>
    </font>
    <font>
      <b/>
      <sz val="16"/>
      <name val="Arial"/>
      <family val="2"/>
    </font>
    <font>
      <sz val="10"/>
      <name val="Arial"/>
      <family val="2"/>
    </font>
    <font>
      <b/>
      <sz val="9"/>
      <color rgb="FFFF0000"/>
      <name val="Arial"/>
      <family val="2"/>
    </font>
    <font>
      <b/>
      <sz val="10"/>
      <name val="Arial Narrow"/>
      <family val="2"/>
    </font>
    <font>
      <b/>
      <sz val="12"/>
      <name val="Arial"/>
      <family val="2"/>
    </font>
    <font>
      <b/>
      <sz val="18"/>
      <name val="Arial"/>
      <family val="2"/>
    </font>
    <font>
      <sz val="9"/>
      <color indexed="81"/>
      <name val="Tahoma"/>
      <family val="2"/>
    </font>
    <font>
      <b/>
      <sz val="9"/>
      <color indexed="81"/>
      <name val="Tahoma"/>
      <family val="2"/>
    </font>
    <font>
      <u/>
      <sz val="10"/>
      <color indexed="12"/>
      <name val="Arial"/>
      <family val="2"/>
    </font>
    <font>
      <b/>
      <sz val="10"/>
      <color indexed="12"/>
      <name val="Arial"/>
      <family val="2"/>
    </font>
    <font>
      <b/>
      <u/>
      <sz val="10"/>
      <name val="Arial"/>
      <family val="2"/>
    </font>
    <font>
      <i/>
      <sz val="10"/>
      <name val="Arial"/>
      <family val="2"/>
    </font>
    <font>
      <b/>
      <i/>
      <sz val="10"/>
      <name val="Arial Narrow"/>
      <family val="2"/>
    </font>
    <font>
      <i/>
      <sz val="10"/>
      <name val="Arial Narrow"/>
      <family val="2"/>
    </font>
    <font>
      <i/>
      <sz val="9"/>
      <name val="Arial Narrow"/>
      <family val="2"/>
    </font>
    <font>
      <b/>
      <sz val="10"/>
      <color indexed="12"/>
      <name val="Arial Narrow"/>
      <family val="2"/>
    </font>
    <font>
      <b/>
      <i/>
      <sz val="10"/>
      <color indexed="10"/>
      <name val="Arial"/>
      <family val="2"/>
    </font>
    <font>
      <b/>
      <sz val="10"/>
      <color indexed="10"/>
      <name val="Arial Narrow"/>
      <family val="2"/>
    </font>
    <font>
      <i/>
      <sz val="10"/>
      <color indexed="10"/>
      <name val="Arial"/>
      <family val="2"/>
    </font>
    <font>
      <b/>
      <i/>
      <sz val="11"/>
      <name val="Arial Narrow"/>
      <family val="2"/>
    </font>
    <font>
      <sz val="10"/>
      <color indexed="10"/>
      <name val="Arial Narrow"/>
      <family val="2"/>
    </font>
    <font>
      <i/>
      <sz val="9"/>
      <color indexed="10"/>
      <name val="Arial"/>
      <family val="2"/>
    </font>
    <font>
      <i/>
      <sz val="10"/>
      <color indexed="10"/>
      <name val="Arial Narrow"/>
      <family val="2"/>
    </font>
    <font>
      <b/>
      <i/>
      <sz val="24"/>
      <name val="Arial"/>
      <family val="2"/>
    </font>
    <font>
      <b/>
      <i/>
      <sz val="9"/>
      <color indexed="10"/>
      <name val="Arial"/>
      <family val="2"/>
    </font>
    <font>
      <b/>
      <i/>
      <sz val="16"/>
      <name val="Arial"/>
      <family val="2"/>
    </font>
    <font>
      <sz val="10"/>
      <name val="Arial"/>
    </font>
    <font>
      <b/>
      <sz val="12"/>
      <color rgb="FFFF0000"/>
      <name val="Arial Narrow"/>
      <family val="2"/>
    </font>
    <font>
      <b/>
      <sz val="8"/>
      <color rgb="FFFF0000"/>
      <name val="Arial Narrow"/>
      <family val="2"/>
    </font>
  </fonts>
  <fills count="13">
    <fill>
      <patternFill patternType="none"/>
    </fill>
    <fill>
      <patternFill patternType="gray125"/>
    </fill>
    <fill>
      <patternFill patternType="solid">
        <fgColor theme="6" tint="0.59999389629810485"/>
        <bgColor indexed="64"/>
      </patternFill>
    </fill>
    <fill>
      <patternFill patternType="solid">
        <fgColor rgb="FFFFFF99"/>
        <bgColor indexed="64"/>
      </patternFill>
    </fill>
    <fill>
      <patternFill patternType="solid">
        <fgColor rgb="FFCCECFF"/>
        <bgColor indexed="64"/>
      </patternFill>
    </fill>
    <fill>
      <patternFill patternType="solid">
        <fgColor theme="0"/>
        <bgColor indexed="64"/>
      </patternFill>
    </fill>
    <fill>
      <patternFill patternType="solid">
        <fgColor theme="0"/>
        <bgColor theme="0"/>
      </patternFill>
    </fill>
    <fill>
      <patternFill patternType="gray0625">
        <fgColor theme="0"/>
        <bgColor rgb="FFCCECFF"/>
      </patternFill>
    </fill>
    <fill>
      <patternFill patternType="solid">
        <fgColor indexed="44"/>
        <bgColor indexed="64"/>
      </patternFill>
    </fill>
    <fill>
      <patternFill patternType="solid">
        <fgColor indexed="13"/>
        <bgColor indexed="64"/>
      </patternFill>
    </fill>
    <fill>
      <patternFill patternType="solid">
        <fgColor indexed="22"/>
        <bgColor indexed="64"/>
      </patternFill>
    </fill>
    <fill>
      <patternFill patternType="solid">
        <fgColor theme="5" tint="0.79998168889431442"/>
        <bgColor theme="0"/>
      </patternFill>
    </fill>
    <fill>
      <patternFill patternType="solid">
        <fgColor theme="5" tint="0.79998168889431442"/>
        <bgColor indexed="64"/>
      </patternFill>
    </fill>
  </fills>
  <borders count="109">
    <border>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style="hair">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auto="1"/>
      </right>
      <top style="hair">
        <color indexed="64"/>
      </top>
      <bottom style="medium">
        <color auto="1"/>
      </bottom>
      <diagonal/>
    </border>
    <border>
      <left style="medium">
        <color indexed="64"/>
      </left>
      <right style="hair">
        <color indexed="64"/>
      </right>
      <top style="hair">
        <color indexed="64"/>
      </top>
      <bottom style="medium">
        <color auto="1"/>
      </bottom>
      <diagonal/>
    </border>
    <border>
      <left style="hair">
        <color indexed="64"/>
      </left>
      <right style="hair">
        <color indexed="64"/>
      </right>
      <top style="hair">
        <color indexed="64"/>
      </top>
      <bottom style="medium">
        <color auto="1"/>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auto="1"/>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bottom style="medium">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right/>
      <top style="medium">
        <color indexed="64"/>
      </top>
      <bottom style="thin">
        <color indexed="64"/>
      </bottom>
      <diagonal/>
    </border>
    <border>
      <left style="thin">
        <color indexed="64"/>
      </left>
      <right style="thin">
        <color indexed="64"/>
      </right>
      <top style="hair">
        <color indexed="64"/>
      </top>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s>
  <cellStyleXfs count="8">
    <xf numFmtId="0" fontId="0" fillId="0" borderId="0"/>
    <xf numFmtId="165" fontId="6" fillId="0" borderId="0" applyFont="0" applyFill="0" applyBorder="0" applyAlignment="0" applyProtection="0"/>
    <xf numFmtId="0" fontId="5" fillId="0" borderId="0"/>
    <xf numFmtId="9" fontId="13" fillId="0" borderId="0" applyFont="0" applyFill="0" applyBorder="0" applyAlignment="0" applyProtection="0"/>
    <xf numFmtId="44" fontId="19" fillId="0" borderId="0" applyFont="0" applyFill="0" applyBorder="0" applyAlignment="0" applyProtection="0"/>
    <xf numFmtId="0" fontId="13" fillId="0" borderId="0"/>
    <xf numFmtId="0" fontId="26" fillId="0" borderId="0" applyNumberFormat="0" applyFill="0" applyBorder="0" applyAlignment="0" applyProtection="0">
      <alignment vertical="top"/>
      <protection locked="0"/>
    </xf>
    <xf numFmtId="43" fontId="44" fillId="0" borderId="0" applyFont="0" applyFill="0" applyBorder="0" applyAlignment="0" applyProtection="0"/>
  </cellStyleXfs>
  <cellXfs count="673">
    <xf numFmtId="0" fontId="0" fillId="0" borderId="0" xfId="0"/>
    <xf numFmtId="0" fontId="1" fillId="0" borderId="0" xfId="0" applyFont="1"/>
    <xf numFmtId="164" fontId="4" fillId="0" borderId="0" xfId="0" applyNumberFormat="1" applyFont="1" applyAlignment="1">
      <alignment horizontal="left"/>
    </xf>
    <xf numFmtId="4" fontId="4" fillId="0" borderId="0" xfId="0" applyNumberFormat="1" applyFont="1"/>
    <xf numFmtId="0" fontId="4" fillId="0" borderId="0" xfId="0" applyFont="1"/>
    <xf numFmtId="0" fontId="3" fillId="0" borderId="0" xfId="0" applyFont="1" applyAlignment="1">
      <alignment horizontal="right"/>
    </xf>
    <xf numFmtId="0" fontId="3" fillId="0" borderId="0" xfId="0" applyFont="1" applyAlignment="1">
      <alignment horizontal="center"/>
    </xf>
    <xf numFmtId="0" fontId="4" fillId="0" borderId="15" xfId="0" applyFont="1" applyBorder="1"/>
    <xf numFmtId="0" fontId="4" fillId="0" borderId="15" xfId="0" applyFont="1" applyFill="1" applyBorder="1"/>
    <xf numFmtId="0" fontId="4" fillId="0" borderId="10" xfId="0" applyFont="1" applyFill="1" applyBorder="1"/>
    <xf numFmtId="4" fontId="3" fillId="0" borderId="0" xfId="0" applyNumberFormat="1" applyFont="1" applyAlignment="1">
      <alignment horizontal="center"/>
    </xf>
    <xf numFmtId="0" fontId="8" fillId="0" borderId="0" xfId="0" applyFont="1" applyAlignment="1">
      <alignment horizontal="center" vertical="center" shrinkToFit="1"/>
    </xf>
    <xf numFmtId="0" fontId="9" fillId="0" borderId="0" xfId="0" applyFont="1" applyBorder="1" applyAlignment="1">
      <alignment vertical="center"/>
    </xf>
    <xf numFmtId="0" fontId="9" fillId="0" borderId="0" xfId="0" applyFont="1" applyAlignment="1">
      <alignment vertical="center"/>
    </xf>
    <xf numFmtId="0" fontId="8" fillId="0" borderId="6" xfId="0" applyFont="1" applyBorder="1" applyAlignment="1">
      <alignment horizontal="center"/>
    </xf>
    <xf numFmtId="17" fontId="8" fillId="0" borderId="0" xfId="0" applyNumberFormat="1" applyFont="1" applyBorder="1" applyAlignment="1">
      <alignment horizontal="center"/>
    </xf>
    <xf numFmtId="17" fontId="10" fillId="0" borderId="0" xfId="0" applyNumberFormat="1" applyFont="1" applyAlignment="1">
      <alignment horizontal="center"/>
    </xf>
    <xf numFmtId="0" fontId="10" fillId="0" borderId="0" xfId="0" applyFont="1" applyAlignment="1">
      <alignment horizontal="center"/>
    </xf>
    <xf numFmtId="4" fontId="8" fillId="0" borderId="0" xfId="0" applyNumberFormat="1" applyFont="1" applyBorder="1"/>
    <xf numFmtId="4" fontId="10" fillId="0" borderId="0" xfId="0" applyNumberFormat="1" applyFont="1"/>
    <xf numFmtId="17" fontId="10" fillId="0" borderId="0" xfId="0" applyNumberFormat="1" applyFont="1"/>
    <xf numFmtId="0" fontId="10" fillId="0" borderId="0" xfId="0" applyFont="1"/>
    <xf numFmtId="4" fontId="8" fillId="0" borderId="0" xfId="0" applyNumberFormat="1" applyFont="1"/>
    <xf numFmtId="0" fontId="8" fillId="0" borderId="0" xfId="0" applyFont="1"/>
    <xf numFmtId="14" fontId="8" fillId="0" borderId="0" xfId="0" applyNumberFormat="1" applyFont="1" applyAlignment="1">
      <alignment horizontal="center" vertical="center" shrinkToFit="1"/>
    </xf>
    <xf numFmtId="0" fontId="8" fillId="0" borderId="5" xfId="0" applyFont="1" applyBorder="1"/>
    <xf numFmtId="4" fontId="8" fillId="0" borderId="5" xfId="0" applyNumberFormat="1" applyFont="1" applyBorder="1"/>
    <xf numFmtId="0" fontId="10" fillId="0" borderId="0" xfId="0" applyFont="1" applyBorder="1"/>
    <xf numFmtId="0" fontId="8" fillId="0" borderId="10" xfId="0" applyFont="1" applyBorder="1"/>
    <xf numFmtId="0" fontId="8" fillId="0" borderId="10" xfId="0" applyFont="1" applyFill="1" applyBorder="1"/>
    <xf numFmtId="0" fontId="8" fillId="0" borderId="27" xfId="0" applyFont="1" applyBorder="1"/>
    <xf numFmtId="4" fontId="8" fillId="0" borderId="6" xfId="0" applyNumberFormat="1" applyFont="1" applyBorder="1"/>
    <xf numFmtId="4" fontId="10" fillId="0" borderId="0" xfId="0" applyNumberFormat="1" applyFont="1" applyBorder="1"/>
    <xf numFmtId="4" fontId="8" fillId="0" borderId="4" xfId="0" applyNumberFormat="1" applyFont="1" applyBorder="1"/>
    <xf numFmtId="2" fontId="8" fillId="0" borderId="0" xfId="0" applyNumberFormat="1" applyFont="1"/>
    <xf numFmtId="2" fontId="10" fillId="0" borderId="0" xfId="0" applyNumberFormat="1" applyFont="1"/>
    <xf numFmtId="3" fontId="8" fillId="0" borderId="0" xfId="0" applyNumberFormat="1" applyFont="1"/>
    <xf numFmtId="166" fontId="8" fillId="0" borderId="0" xfId="0" applyNumberFormat="1" applyFont="1" applyBorder="1" applyAlignment="1">
      <alignment horizontal="right"/>
    </xf>
    <xf numFmtId="164" fontId="12" fillId="0" borderId="0" xfId="0" applyNumberFormat="1" applyFont="1" applyAlignment="1">
      <alignment horizontal="left"/>
    </xf>
    <xf numFmtId="2" fontId="4" fillId="0" borderId="0" xfId="0" applyNumberFormat="1" applyFont="1"/>
    <xf numFmtId="0" fontId="4" fillId="0" borderId="0" xfId="0" quotePrefix="1" applyFont="1"/>
    <xf numFmtId="0" fontId="14" fillId="0" borderId="0" xfId="0" applyFont="1"/>
    <xf numFmtId="168" fontId="14" fillId="0" borderId="0" xfId="0" applyNumberFormat="1" applyFont="1"/>
    <xf numFmtId="0" fontId="12" fillId="0" borderId="0" xfId="0" applyFont="1"/>
    <xf numFmtId="0" fontId="15" fillId="0" borderId="0" xfId="0" applyFont="1"/>
    <xf numFmtId="0" fontId="12" fillId="0" borderId="0" xfId="0" applyFont="1" applyAlignment="1">
      <alignment wrapText="1"/>
    </xf>
    <xf numFmtId="167" fontId="14" fillId="0" borderId="0" xfId="0" applyNumberFormat="1" applyFont="1"/>
    <xf numFmtId="0" fontId="15" fillId="0" borderId="28" xfId="0" applyFont="1" applyBorder="1"/>
    <xf numFmtId="168" fontId="15" fillId="0" borderId="29" xfId="0" applyNumberFormat="1" applyFont="1" applyBorder="1"/>
    <xf numFmtId="168" fontId="12" fillId="0" borderId="29" xfId="0" applyNumberFormat="1" applyFont="1" applyBorder="1"/>
    <xf numFmtId="0" fontId="15" fillId="0" borderId="29" xfId="0" applyFont="1" applyBorder="1"/>
    <xf numFmtId="0" fontId="15" fillId="0" borderId="29" xfId="0" quotePrefix="1" applyFont="1" applyBorder="1"/>
    <xf numFmtId="0" fontId="15" fillId="0" borderId="30" xfId="0" applyFont="1" applyBorder="1"/>
    <xf numFmtId="168" fontId="15" fillId="0" borderId="31" xfId="0" applyNumberFormat="1" applyFont="1" applyBorder="1"/>
    <xf numFmtId="168" fontId="12" fillId="0" borderId="31" xfId="0" applyNumberFormat="1" applyFont="1" applyBorder="1"/>
    <xf numFmtId="0" fontId="15" fillId="0" borderId="31" xfId="0" applyFont="1" applyBorder="1"/>
    <xf numFmtId="167" fontId="15" fillId="0" borderId="31" xfId="0" applyNumberFormat="1" applyFont="1" applyBorder="1"/>
    <xf numFmtId="168" fontId="12" fillId="0" borderId="26" xfId="0" applyNumberFormat="1" applyFont="1" applyBorder="1" applyAlignment="1">
      <alignment horizontal="center" wrapText="1"/>
    </xf>
    <xf numFmtId="0" fontId="12" fillId="0" borderId="26" xfId="0" applyFont="1" applyBorder="1" applyAlignment="1">
      <alignment wrapText="1"/>
    </xf>
    <xf numFmtId="167" fontId="12" fillId="0" borderId="26" xfId="0" applyNumberFormat="1" applyFont="1" applyBorder="1" applyAlignment="1">
      <alignment horizontal="center" wrapText="1"/>
    </xf>
    <xf numFmtId="0" fontId="12" fillId="0" borderId="35" xfId="0" applyFont="1" applyBorder="1"/>
    <xf numFmtId="168" fontId="12" fillId="0" borderId="11" xfId="0" applyNumberFormat="1" applyFont="1" applyBorder="1"/>
    <xf numFmtId="0" fontId="12" fillId="0" borderId="11" xfId="0" applyFont="1" applyBorder="1"/>
    <xf numFmtId="167" fontId="12" fillId="0" borderId="11" xfId="0" applyNumberFormat="1" applyFont="1" applyBorder="1"/>
    <xf numFmtId="167" fontId="15" fillId="0" borderId="32" xfId="0" applyNumberFormat="1" applyFont="1" applyBorder="1"/>
    <xf numFmtId="167" fontId="12" fillId="0" borderId="36" xfId="0" applyNumberFormat="1" applyFont="1" applyBorder="1"/>
    <xf numFmtId="167" fontId="12" fillId="0" borderId="34" xfId="0" applyNumberFormat="1" applyFont="1" applyBorder="1" applyAlignment="1">
      <alignment horizontal="center" vertical="center" wrapText="1"/>
    </xf>
    <xf numFmtId="0" fontId="12" fillId="0" borderId="33" xfId="0" applyFont="1" applyBorder="1" applyAlignment="1">
      <alignment horizontal="center" vertical="center" wrapText="1"/>
    </xf>
    <xf numFmtId="168" fontId="12" fillId="0" borderId="26" xfId="0" applyNumberFormat="1" applyFont="1" applyBorder="1" applyAlignment="1">
      <alignment vertical="center" wrapText="1"/>
    </xf>
    <xf numFmtId="168" fontId="12" fillId="0" borderId="26" xfId="0" applyNumberFormat="1" applyFont="1" applyBorder="1" applyAlignment="1">
      <alignment horizontal="center" vertical="center" wrapText="1"/>
    </xf>
    <xf numFmtId="0" fontId="12" fillId="0" borderId="26" xfId="0" applyFont="1" applyBorder="1" applyAlignment="1">
      <alignment horizontal="center" vertical="center" wrapText="1"/>
    </xf>
    <xf numFmtId="164" fontId="14" fillId="0" borderId="0" xfId="0" applyNumberFormat="1" applyFont="1" applyAlignment="1">
      <alignment horizontal="center"/>
    </xf>
    <xf numFmtId="3" fontId="3" fillId="0" borderId="0" xfId="0" applyNumberFormat="1" applyFont="1"/>
    <xf numFmtId="14" fontId="2" fillId="0" borderId="0" xfId="0" applyNumberFormat="1" applyFont="1" applyAlignment="1">
      <alignment vertical="center" shrinkToFit="1"/>
    </xf>
    <xf numFmtId="0" fontId="3" fillId="3" borderId="12" xfId="0" applyFont="1" applyFill="1" applyBorder="1" applyAlignment="1">
      <alignment horizontal="right"/>
    </xf>
    <xf numFmtId="0" fontId="3" fillId="3" borderId="4" xfId="0" applyFont="1" applyFill="1" applyBorder="1" applyAlignment="1">
      <alignment horizontal="right"/>
    </xf>
    <xf numFmtId="0" fontId="4" fillId="0" borderId="5" xfId="0" applyFont="1" applyFill="1" applyBorder="1"/>
    <xf numFmtId="0" fontId="3" fillId="4" borderId="12" xfId="0" applyFont="1" applyFill="1" applyBorder="1"/>
    <xf numFmtId="0" fontId="3" fillId="5" borderId="12" xfId="0" applyFont="1" applyFill="1" applyBorder="1" applyAlignment="1">
      <alignment horizontal="center"/>
    </xf>
    <xf numFmtId="10" fontId="4" fillId="4" borderId="18" xfId="0" applyNumberFormat="1" applyFont="1" applyFill="1" applyBorder="1"/>
    <xf numFmtId="0" fontId="3" fillId="3" borderId="5" xfId="0" applyFont="1" applyFill="1" applyBorder="1" applyAlignment="1">
      <alignment horizontal="right"/>
    </xf>
    <xf numFmtId="10" fontId="2" fillId="0" borderId="0" xfId="3" applyNumberFormat="1" applyFont="1" applyAlignment="1">
      <alignment vertical="center" shrinkToFit="1"/>
    </xf>
    <xf numFmtId="10" fontId="3" fillId="0" borderId="0" xfId="3" applyNumberFormat="1" applyFont="1" applyAlignment="1">
      <alignment horizontal="right"/>
    </xf>
    <xf numFmtId="10" fontId="4" fillId="0" borderId="0" xfId="3" applyNumberFormat="1" applyFont="1"/>
    <xf numFmtId="10" fontId="3" fillId="5" borderId="21" xfId="3" applyNumberFormat="1" applyFont="1" applyFill="1" applyBorder="1" applyAlignment="1">
      <alignment horizontal="center"/>
    </xf>
    <xf numFmtId="10" fontId="3" fillId="4" borderId="21" xfId="3" applyNumberFormat="1" applyFont="1" applyFill="1" applyBorder="1"/>
    <xf numFmtId="10" fontId="4" fillId="0" borderId="15" xfId="3" applyNumberFormat="1" applyFont="1" applyBorder="1"/>
    <xf numFmtId="10" fontId="4" fillId="0" borderId="15" xfId="3" applyNumberFormat="1" applyFont="1" applyFill="1" applyBorder="1"/>
    <xf numFmtId="10" fontId="4" fillId="0" borderId="0" xfId="0" applyNumberFormat="1" applyFont="1"/>
    <xf numFmtId="10" fontId="3" fillId="0" borderId="0" xfId="0" applyNumberFormat="1" applyFont="1"/>
    <xf numFmtId="10" fontId="3" fillId="5" borderId="18" xfId="0" applyNumberFormat="1" applyFont="1" applyFill="1" applyBorder="1" applyAlignment="1">
      <alignment horizontal="center"/>
    </xf>
    <xf numFmtId="0" fontId="13" fillId="0" borderId="0" xfId="0" applyFont="1"/>
    <xf numFmtId="0" fontId="1" fillId="0" borderId="0" xfId="0" applyFont="1" applyAlignment="1">
      <alignment horizontal="center"/>
    </xf>
    <xf numFmtId="10" fontId="3" fillId="3" borderId="21" xfId="3" applyNumberFormat="1" applyFont="1" applyFill="1" applyBorder="1"/>
    <xf numFmtId="0" fontId="3" fillId="3" borderId="12" xfId="0" applyFont="1" applyFill="1" applyBorder="1" applyAlignment="1">
      <alignment horizontal="left"/>
    </xf>
    <xf numFmtId="0" fontId="3" fillId="3" borderId="12" xfId="0" applyFont="1" applyFill="1" applyBorder="1" applyAlignment="1">
      <alignment vertical="center"/>
    </xf>
    <xf numFmtId="3" fontId="12" fillId="0" borderId="31" xfId="0" applyNumberFormat="1" applyFont="1" applyBorder="1"/>
    <xf numFmtId="3" fontId="12" fillId="0" borderId="29" xfId="0" applyNumberFormat="1" applyFont="1" applyBorder="1"/>
    <xf numFmtId="10" fontId="4" fillId="0" borderId="16" xfId="0" applyNumberFormat="1" applyFont="1" applyBorder="1"/>
    <xf numFmtId="10" fontId="4" fillId="0" borderId="5" xfId="3" applyNumberFormat="1" applyFont="1" applyFill="1" applyBorder="1"/>
    <xf numFmtId="4" fontId="4" fillId="0" borderId="10" xfId="3" applyNumberFormat="1" applyFont="1" applyFill="1" applyBorder="1"/>
    <xf numFmtId="2" fontId="4" fillId="0" borderId="10" xfId="3" applyNumberFormat="1" applyFont="1" applyFill="1" applyBorder="1"/>
    <xf numFmtId="0" fontId="4" fillId="3" borderId="12" xfId="0" applyFont="1" applyFill="1" applyBorder="1"/>
    <xf numFmtId="0" fontId="4" fillId="3" borderId="4" xfId="0" applyFont="1" applyFill="1" applyBorder="1"/>
    <xf numFmtId="10" fontId="3" fillId="3" borderId="18" xfId="0" applyNumberFormat="1" applyFont="1" applyFill="1" applyBorder="1"/>
    <xf numFmtId="10" fontId="3" fillId="3" borderId="18" xfId="3" applyNumberFormat="1" applyFont="1" applyFill="1" applyBorder="1"/>
    <xf numFmtId="10" fontId="3" fillId="0" borderId="18" xfId="3" applyNumberFormat="1" applyFont="1" applyBorder="1" applyAlignment="1">
      <alignment vertical="center"/>
    </xf>
    <xf numFmtId="1" fontId="4" fillId="0" borderId="15" xfId="3" applyNumberFormat="1" applyFont="1" applyBorder="1"/>
    <xf numFmtId="167" fontId="12" fillId="0" borderId="24" xfId="0" applyNumberFormat="1" applyFont="1" applyBorder="1" applyAlignment="1">
      <alignment horizontal="center" wrapText="1"/>
    </xf>
    <xf numFmtId="167" fontId="15" fillId="0" borderId="37" xfId="0" applyNumberFormat="1" applyFont="1" applyBorder="1"/>
    <xf numFmtId="167" fontId="12" fillId="0" borderId="25" xfId="0" applyNumberFormat="1" applyFont="1" applyBorder="1"/>
    <xf numFmtId="0" fontId="16" fillId="0" borderId="10" xfId="0" applyFont="1" applyFill="1" applyBorder="1"/>
    <xf numFmtId="10" fontId="16" fillId="0" borderId="15" xfId="3" applyNumberFormat="1" applyFont="1" applyFill="1" applyBorder="1"/>
    <xf numFmtId="3" fontId="2" fillId="0" borderId="0" xfId="0" applyNumberFormat="1" applyFont="1" applyAlignment="1">
      <alignment vertical="center" shrinkToFit="1"/>
    </xf>
    <xf numFmtId="3" fontId="3" fillId="0" borderId="0" xfId="0" applyNumberFormat="1" applyFont="1" applyAlignment="1">
      <alignment horizontal="right"/>
    </xf>
    <xf numFmtId="3" fontId="4" fillId="0" borderId="0" xfId="0" applyNumberFormat="1" applyFont="1"/>
    <xf numFmtId="3" fontId="3" fillId="5" borderId="21" xfId="0" applyNumberFormat="1" applyFont="1" applyFill="1" applyBorder="1" applyAlignment="1">
      <alignment horizontal="center"/>
    </xf>
    <xf numFmtId="3" fontId="3" fillId="4" borderId="21" xfId="0" applyNumberFormat="1" applyFont="1" applyFill="1" applyBorder="1"/>
    <xf numFmtId="3" fontId="4" fillId="0" borderId="15" xfId="0" applyNumberFormat="1" applyFont="1" applyBorder="1"/>
    <xf numFmtId="3" fontId="4" fillId="0" borderId="15" xfId="0" applyNumberFormat="1" applyFont="1" applyFill="1" applyBorder="1"/>
    <xf numFmtId="3" fontId="3" fillId="3" borderId="5" xfId="0" applyNumberFormat="1" applyFont="1" applyFill="1" applyBorder="1" applyAlignment="1">
      <alignment horizontal="right"/>
    </xf>
    <xf numFmtId="3" fontId="16" fillId="0" borderId="15" xfId="0" applyNumberFormat="1" applyFont="1" applyFill="1" applyBorder="1"/>
    <xf numFmtId="3" fontId="4" fillId="0" borderId="5" xfId="0" applyNumberFormat="1" applyFont="1" applyFill="1" applyBorder="1"/>
    <xf numFmtId="3" fontId="4" fillId="0" borderId="10" xfId="0" applyNumberFormat="1" applyFont="1" applyFill="1" applyBorder="1"/>
    <xf numFmtId="3" fontId="3" fillId="3" borderId="4" xfId="0" applyNumberFormat="1" applyFont="1" applyFill="1" applyBorder="1" applyAlignment="1">
      <alignment horizontal="right"/>
    </xf>
    <xf numFmtId="3" fontId="3" fillId="5" borderId="18" xfId="0" applyNumberFormat="1" applyFont="1" applyFill="1" applyBorder="1" applyAlignment="1">
      <alignment horizontal="center"/>
    </xf>
    <xf numFmtId="3" fontId="4" fillId="4" borderId="21" xfId="0" applyNumberFormat="1" applyFont="1" applyFill="1" applyBorder="1"/>
    <xf numFmtId="3" fontId="4" fillId="4" borderId="18" xfId="0" applyNumberFormat="1" applyFont="1" applyFill="1" applyBorder="1"/>
    <xf numFmtId="3" fontId="4" fillId="0" borderId="10" xfId="0" applyNumberFormat="1" applyFont="1" applyBorder="1"/>
    <xf numFmtId="3" fontId="3" fillId="3" borderId="4" xfId="0" applyNumberFormat="1" applyFont="1" applyFill="1" applyBorder="1"/>
    <xf numFmtId="3" fontId="4" fillId="0" borderId="6" xfId="0" applyNumberFormat="1" applyFont="1" applyFill="1" applyBorder="1"/>
    <xf numFmtId="3" fontId="3" fillId="3" borderId="12" xfId="0" applyNumberFormat="1" applyFont="1" applyFill="1" applyBorder="1"/>
    <xf numFmtId="3" fontId="4" fillId="0" borderId="16" xfId="0" applyNumberFormat="1" applyFont="1" applyFill="1" applyBorder="1"/>
    <xf numFmtId="3" fontId="16" fillId="0" borderId="10" xfId="0" applyNumberFormat="1" applyFont="1" applyFill="1" applyBorder="1"/>
    <xf numFmtId="3" fontId="3" fillId="3" borderId="21" xfId="0" applyNumberFormat="1" applyFont="1" applyFill="1" applyBorder="1"/>
    <xf numFmtId="3" fontId="3" fillId="3" borderId="18" xfId="0" applyNumberFormat="1" applyFont="1" applyFill="1" applyBorder="1"/>
    <xf numFmtId="3" fontId="3" fillId="3" borderId="4" xfId="0" applyNumberFormat="1" applyFont="1" applyFill="1" applyBorder="1" applyAlignment="1">
      <alignment vertical="center"/>
    </xf>
    <xf numFmtId="3" fontId="4" fillId="0" borderId="5" xfId="0" applyNumberFormat="1" applyFont="1" applyBorder="1"/>
    <xf numFmtId="0" fontId="3" fillId="4" borderId="12" xfId="0" applyFont="1" applyFill="1" applyBorder="1" applyAlignment="1">
      <alignment horizontal="center" vertical="center"/>
    </xf>
    <xf numFmtId="3" fontId="3" fillId="4" borderId="12" xfId="0" applyNumberFormat="1" applyFont="1" applyFill="1" applyBorder="1" applyAlignment="1">
      <alignment horizontal="center" vertical="center"/>
    </xf>
    <xf numFmtId="10" fontId="3" fillId="4" borderId="12" xfId="3" applyNumberFormat="1" applyFont="1" applyFill="1" applyBorder="1" applyAlignment="1">
      <alignment horizontal="center" vertical="center"/>
    </xf>
    <xf numFmtId="3" fontId="3" fillId="4" borderId="4" xfId="0" applyNumberFormat="1" applyFont="1" applyFill="1" applyBorder="1" applyAlignment="1">
      <alignment horizontal="center" vertical="center"/>
    </xf>
    <xf numFmtId="10" fontId="3" fillId="4" borderId="18" xfId="0" applyNumberFormat="1" applyFont="1" applyFill="1" applyBorder="1" applyAlignment="1">
      <alignment horizontal="center" vertical="center"/>
    </xf>
    <xf numFmtId="0" fontId="3" fillId="0" borderId="0" xfId="0" applyFont="1" applyAlignment="1">
      <alignment horizontal="center" vertical="center"/>
    </xf>
    <xf numFmtId="4" fontId="3" fillId="0" borderId="0" xfId="0" applyNumberFormat="1" applyFont="1" applyAlignment="1">
      <alignment horizontal="center" vertical="center"/>
    </xf>
    <xf numFmtId="2" fontId="3" fillId="4" borderId="21" xfId="3" applyNumberFormat="1" applyFont="1" applyFill="1" applyBorder="1"/>
    <xf numFmtId="3" fontId="12" fillId="0" borderId="0" xfId="0" applyNumberFormat="1" applyFont="1"/>
    <xf numFmtId="3" fontId="3" fillId="0" borderId="1" xfId="0" applyNumberFormat="1" applyFont="1" applyBorder="1" applyAlignment="1">
      <alignment horizontal="right"/>
    </xf>
    <xf numFmtId="10" fontId="3" fillId="0" borderId="8" xfId="3" applyNumberFormat="1" applyFont="1" applyBorder="1" applyAlignment="1">
      <alignment horizontal="right"/>
    </xf>
    <xf numFmtId="3" fontId="3" fillId="0" borderId="8" xfId="0" applyNumberFormat="1" applyFont="1" applyBorder="1" applyAlignment="1">
      <alignment horizontal="right"/>
    </xf>
    <xf numFmtId="3" fontId="3" fillId="0" borderId="3" xfId="0" applyNumberFormat="1" applyFont="1" applyBorder="1"/>
    <xf numFmtId="3" fontId="3" fillId="0" borderId="15" xfId="0" applyNumberFormat="1" applyFont="1" applyBorder="1" applyAlignment="1">
      <alignment horizontal="right"/>
    </xf>
    <xf numFmtId="10" fontId="3" fillId="0" borderId="0" xfId="3" applyNumberFormat="1" applyFont="1" applyBorder="1" applyAlignment="1">
      <alignment horizontal="right"/>
    </xf>
    <xf numFmtId="3" fontId="3" fillId="0" borderId="0" xfId="0" applyNumberFormat="1" applyFont="1" applyBorder="1" applyAlignment="1">
      <alignment horizontal="right"/>
    </xf>
    <xf numFmtId="3" fontId="3" fillId="0" borderId="16" xfId="3" applyNumberFormat="1" applyFont="1" applyBorder="1"/>
    <xf numFmtId="3" fontId="3" fillId="0" borderId="16" xfId="0" applyNumberFormat="1" applyFont="1" applyBorder="1"/>
    <xf numFmtId="3" fontId="4" fillId="0" borderId="2" xfId="0" applyNumberFormat="1" applyFont="1" applyBorder="1"/>
    <xf numFmtId="3" fontId="3" fillId="0" borderId="9" xfId="0" applyNumberFormat="1" applyFont="1" applyBorder="1"/>
    <xf numFmtId="3" fontId="3" fillId="0" borderId="7" xfId="0" applyNumberFormat="1" applyFont="1" applyBorder="1" applyAlignment="1">
      <alignment horizontal="right"/>
    </xf>
    <xf numFmtId="0" fontId="0" fillId="0" borderId="0" xfId="0" applyFill="1" applyBorder="1"/>
    <xf numFmtId="0" fontId="17" fillId="0" borderId="0" xfId="0" applyFont="1" applyFill="1" applyBorder="1"/>
    <xf numFmtId="0" fontId="1" fillId="0" borderId="0" xfId="0" applyFont="1" applyFill="1" applyBorder="1" applyAlignment="1">
      <alignment horizontal="center"/>
    </xf>
    <xf numFmtId="0" fontId="17" fillId="0" borderId="0" xfId="0" applyFont="1" applyFill="1" applyBorder="1" applyAlignment="1">
      <alignment vertical="top"/>
    </xf>
    <xf numFmtId="0" fontId="11" fillId="0" borderId="0" xfId="0" applyFont="1" applyFill="1" applyBorder="1" applyAlignment="1">
      <alignment horizontal="center"/>
    </xf>
    <xf numFmtId="0" fontId="0" fillId="6" borderId="0" xfId="0" applyFill="1"/>
    <xf numFmtId="1" fontId="3" fillId="3" borderId="4" xfId="3" applyNumberFormat="1" applyFont="1" applyFill="1" applyBorder="1" applyAlignment="1">
      <alignment horizontal="right"/>
    </xf>
    <xf numFmtId="3" fontId="0" fillId="0" borderId="0" xfId="0" applyNumberFormat="1"/>
    <xf numFmtId="170" fontId="0" fillId="0" borderId="0" xfId="0" applyNumberFormat="1"/>
    <xf numFmtId="171" fontId="0" fillId="0" borderId="0" xfId="0" applyNumberFormat="1"/>
    <xf numFmtId="3" fontId="20" fillId="0" borderId="0" xfId="0" applyNumberFormat="1" applyFont="1"/>
    <xf numFmtId="4" fontId="20" fillId="0" borderId="0" xfId="0" applyNumberFormat="1" applyFont="1"/>
    <xf numFmtId="0" fontId="2" fillId="0" borderId="0" xfId="0" applyFont="1"/>
    <xf numFmtId="3" fontId="2" fillId="0" borderId="0" xfId="0" applyNumberFormat="1" applyFont="1" applyAlignment="1">
      <alignment horizontal="right" vertical="center" shrinkToFit="1"/>
    </xf>
    <xf numFmtId="164" fontId="4" fillId="0" borderId="0" xfId="0" applyNumberFormat="1" applyFont="1" applyAlignment="1">
      <alignment horizontal="right"/>
    </xf>
    <xf numFmtId="0" fontId="20" fillId="0" borderId="0" xfId="0" applyFont="1"/>
    <xf numFmtId="10" fontId="3" fillId="4" borderId="0" xfId="0" applyNumberFormat="1" applyFont="1" applyFill="1" applyBorder="1" applyAlignment="1">
      <alignment horizontal="center" vertical="center"/>
    </xf>
    <xf numFmtId="10" fontId="3" fillId="5" borderId="0" xfId="0" applyNumberFormat="1" applyFont="1" applyFill="1" applyBorder="1" applyAlignment="1">
      <alignment horizontal="center"/>
    </xf>
    <xf numFmtId="10" fontId="4" fillId="4" borderId="0" xfId="0" applyNumberFormat="1" applyFont="1" applyFill="1" applyBorder="1"/>
    <xf numFmtId="10" fontId="4" fillId="0" borderId="0" xfId="0" applyNumberFormat="1" applyFont="1" applyBorder="1"/>
    <xf numFmtId="10" fontId="3" fillId="3" borderId="0" xfId="0" applyNumberFormat="1" applyFont="1" applyFill="1" applyBorder="1"/>
    <xf numFmtId="10" fontId="4" fillId="4" borderId="0" xfId="0" applyNumberFormat="1" applyFont="1" applyFill="1" applyBorder="1" applyAlignment="1">
      <alignment horizontal="center" vertical="center"/>
    </xf>
    <xf numFmtId="4" fontId="3" fillId="7" borderId="39" xfId="0" applyNumberFormat="1" applyFont="1" applyFill="1" applyBorder="1" applyAlignment="1">
      <alignment horizontal="center" vertical="center"/>
    </xf>
    <xf numFmtId="4" fontId="3" fillId="7" borderId="40" xfId="0" applyNumberFormat="1" applyFont="1" applyFill="1" applyBorder="1" applyAlignment="1">
      <alignment horizontal="center"/>
    </xf>
    <xf numFmtId="4" fontId="3" fillId="7" borderId="41" xfId="0" applyNumberFormat="1" applyFont="1" applyFill="1" applyBorder="1" applyAlignment="1">
      <alignment horizontal="center"/>
    </xf>
    <xf numFmtId="4" fontId="3" fillId="7" borderId="44" xfId="0" applyNumberFormat="1" applyFont="1" applyFill="1" applyBorder="1" applyAlignment="1">
      <alignment horizontal="center" vertical="center"/>
    </xf>
    <xf numFmtId="4" fontId="3" fillId="7" borderId="45" xfId="0" applyNumberFormat="1" applyFont="1" applyFill="1" applyBorder="1" applyAlignment="1">
      <alignment horizontal="center"/>
    </xf>
    <xf numFmtId="4" fontId="3" fillId="7" borderId="46" xfId="0" applyNumberFormat="1" applyFont="1" applyFill="1" applyBorder="1" applyAlignment="1">
      <alignment horizontal="center"/>
    </xf>
    <xf numFmtId="0" fontId="3" fillId="0" borderId="11" xfId="0" applyFont="1" applyBorder="1"/>
    <xf numFmtId="4" fontId="3" fillId="3" borderId="11" xfId="0" applyNumberFormat="1" applyFont="1" applyFill="1" applyBorder="1" applyAlignment="1">
      <alignment horizontal="right"/>
    </xf>
    <xf numFmtId="173" fontId="3" fillId="3" borderId="11" xfId="0" applyNumberFormat="1" applyFont="1" applyFill="1" applyBorder="1" applyAlignment="1">
      <alignment horizontal="right"/>
    </xf>
    <xf numFmtId="3" fontId="3" fillId="3" borderId="35" xfId="0" applyNumberFormat="1" applyFont="1" applyFill="1" applyBorder="1" applyAlignment="1">
      <alignment horizontal="center"/>
    </xf>
    <xf numFmtId="0" fontId="3" fillId="3" borderId="11" xfId="0" applyFont="1" applyFill="1" applyBorder="1"/>
    <xf numFmtId="17" fontId="8" fillId="3" borderId="12" xfId="0" applyNumberFormat="1" applyFont="1" applyFill="1" applyBorder="1" applyAlignment="1"/>
    <xf numFmtId="17" fontId="8" fillId="3" borderId="12" xfId="0" applyNumberFormat="1" applyFont="1" applyFill="1" applyBorder="1" applyAlignment="1">
      <alignment horizontal="center"/>
    </xf>
    <xf numFmtId="166" fontId="8" fillId="3" borderId="12" xfId="0" applyNumberFormat="1" applyFont="1" applyFill="1" applyBorder="1" applyAlignment="1"/>
    <xf numFmtId="166" fontId="8" fillId="3" borderId="4" xfId="0" applyNumberFormat="1" applyFont="1" applyFill="1" applyBorder="1" applyAlignment="1"/>
    <xf numFmtId="4" fontId="10" fillId="3" borderId="4" xfId="0" applyNumberFormat="1" applyFont="1" applyFill="1" applyBorder="1"/>
    <xf numFmtId="0" fontId="10" fillId="3" borderId="0" xfId="0" applyFont="1" applyFill="1"/>
    <xf numFmtId="166" fontId="8" fillId="3" borderId="1" xfId="0" applyNumberFormat="1" applyFont="1" applyFill="1" applyBorder="1" applyAlignment="1"/>
    <xf numFmtId="166" fontId="8" fillId="3" borderId="25" xfId="0" applyNumberFormat="1" applyFont="1" applyFill="1" applyBorder="1" applyAlignment="1"/>
    <xf numFmtId="166" fontId="8" fillId="3" borderId="24" xfId="0" applyNumberFormat="1" applyFont="1" applyFill="1" applyBorder="1" applyAlignment="1"/>
    <xf numFmtId="17" fontId="8" fillId="3" borderId="4" xfId="0" applyNumberFormat="1" applyFont="1" applyFill="1" applyBorder="1" applyAlignment="1"/>
    <xf numFmtId="166" fontId="8" fillId="3" borderId="4" xfId="0" applyNumberFormat="1" applyFont="1" applyFill="1" applyBorder="1" applyAlignment="1">
      <alignment horizontal="right"/>
    </xf>
    <xf numFmtId="166" fontId="8" fillId="3" borderId="5" xfId="0" applyNumberFormat="1" applyFont="1" applyFill="1" applyBorder="1" applyAlignment="1"/>
    <xf numFmtId="166" fontId="8" fillId="3" borderId="5" xfId="0" applyNumberFormat="1" applyFont="1" applyFill="1" applyBorder="1" applyAlignment="1">
      <alignment horizontal="right"/>
    </xf>
    <xf numFmtId="166" fontId="8" fillId="3" borderId="11" xfId="0" applyNumberFormat="1" applyFont="1" applyFill="1" applyBorder="1" applyAlignment="1">
      <alignment horizontal="right"/>
    </xf>
    <xf numFmtId="166" fontId="8" fillId="3" borderId="26" xfId="0" applyNumberFormat="1" applyFont="1" applyFill="1" applyBorder="1" applyAlignment="1"/>
    <xf numFmtId="166" fontId="8" fillId="3" borderId="11" xfId="0" applyNumberFormat="1" applyFont="1" applyFill="1" applyBorder="1" applyAlignment="1"/>
    <xf numFmtId="17" fontId="8" fillId="4" borderId="4" xfId="0" applyNumberFormat="1" applyFont="1" applyFill="1" applyBorder="1" applyAlignment="1">
      <alignment horizontal="center"/>
    </xf>
    <xf numFmtId="166" fontId="8" fillId="4" borderId="4" xfId="0" applyNumberFormat="1" applyFont="1" applyFill="1" applyBorder="1" applyAlignment="1">
      <alignment horizontal="right"/>
    </xf>
    <xf numFmtId="166" fontId="10" fillId="4" borderId="0" xfId="0" applyNumberFormat="1" applyFont="1" applyFill="1" applyAlignment="1">
      <alignment horizontal="right"/>
    </xf>
    <xf numFmtId="166" fontId="8" fillId="4" borderId="12" xfId="0" applyNumberFormat="1" applyFont="1" applyFill="1" applyBorder="1" applyAlignment="1"/>
    <xf numFmtId="166" fontId="8" fillId="4" borderId="5" xfId="0" applyNumberFormat="1" applyFont="1" applyFill="1" applyBorder="1" applyAlignment="1">
      <alignment horizontal="right"/>
    </xf>
    <xf numFmtId="166" fontId="8" fillId="4" borderId="11" xfId="0" applyNumberFormat="1" applyFont="1" applyFill="1" applyBorder="1" applyAlignment="1">
      <alignment horizontal="right"/>
    </xf>
    <xf numFmtId="166" fontId="8" fillId="4" borderId="6" xfId="0" applyNumberFormat="1" applyFont="1" applyFill="1" applyBorder="1" applyAlignment="1">
      <alignment horizontal="right"/>
    </xf>
    <xf numFmtId="0" fontId="8" fillId="0" borderId="0" xfId="0" applyFont="1" applyAlignment="1">
      <alignment horizontal="right"/>
    </xf>
    <xf numFmtId="0" fontId="21" fillId="0" borderId="0" xfId="0" applyFont="1" applyAlignment="1">
      <alignment horizontal="right"/>
    </xf>
    <xf numFmtId="164" fontId="0" fillId="0" borderId="0" xfId="0" applyNumberFormat="1"/>
    <xf numFmtId="170" fontId="0" fillId="0" borderId="0" xfId="0" applyNumberFormat="1" applyAlignment="1">
      <alignment horizontal="right"/>
    </xf>
    <xf numFmtId="0" fontId="0" fillId="0" borderId="0" xfId="0" applyAlignment="1">
      <alignment horizontal="right"/>
    </xf>
    <xf numFmtId="0" fontId="1" fillId="0" borderId="0" xfId="0" applyFont="1" applyFill="1" applyBorder="1" applyAlignment="1">
      <alignment horizontal="right"/>
    </xf>
    <xf numFmtId="4" fontId="17" fillId="0" borderId="0" xfId="0" applyNumberFormat="1" applyFont="1" applyFill="1" applyBorder="1" applyAlignment="1">
      <alignment horizontal="right" vertical="top"/>
    </xf>
    <xf numFmtId="14" fontId="17" fillId="0" borderId="0" xfId="0" applyNumberFormat="1" applyFont="1" applyAlignment="1">
      <alignment horizontal="right"/>
    </xf>
    <xf numFmtId="0" fontId="11" fillId="0" borderId="0" xfId="0" applyFont="1" applyFill="1" applyBorder="1" applyAlignment="1">
      <alignment horizontal="right"/>
    </xf>
    <xf numFmtId="170" fontId="3" fillId="3" borderId="11" xfId="0" applyNumberFormat="1" applyFont="1" applyFill="1" applyBorder="1" applyAlignment="1">
      <alignment horizontal="right"/>
    </xf>
    <xf numFmtId="169" fontId="0" fillId="0" borderId="0" xfId="0" applyNumberFormat="1" applyAlignment="1">
      <alignment horizontal="right"/>
    </xf>
    <xf numFmtId="0" fontId="0" fillId="0" borderId="0" xfId="0" applyAlignment="1">
      <alignment horizontal="center" vertical="center"/>
    </xf>
    <xf numFmtId="0" fontId="23" fillId="0" borderId="0" xfId="0" applyFont="1"/>
    <xf numFmtId="0" fontId="22" fillId="0" borderId="0" xfId="0" applyFont="1"/>
    <xf numFmtId="15" fontId="4" fillId="0" borderId="0" xfId="0" applyNumberFormat="1" applyFont="1"/>
    <xf numFmtId="0" fontId="1" fillId="0" borderId="51" xfId="0" applyFont="1" applyBorder="1" applyAlignment="1">
      <alignment horizontal="center" vertical="top"/>
    </xf>
    <xf numFmtId="0" fontId="1" fillId="0" borderId="23" xfId="0" applyFont="1" applyBorder="1" applyAlignment="1">
      <alignment horizontal="center" vertical="top"/>
    </xf>
    <xf numFmtId="0" fontId="4" fillId="0" borderId="0" xfId="0" applyFont="1" applyAlignment="1">
      <alignment horizontal="right"/>
    </xf>
    <xf numFmtId="0" fontId="13" fillId="0" borderId="28" xfId="0" applyFont="1" applyBorder="1" applyAlignment="1">
      <alignment horizontal="left" vertical="top"/>
    </xf>
    <xf numFmtId="0" fontId="13" fillId="0" borderId="29" xfId="0" applyFont="1" applyBorder="1" applyAlignment="1">
      <alignment horizontal="left" vertical="top"/>
    </xf>
    <xf numFmtId="0" fontId="13" fillId="0" borderId="52" xfId="0" applyFont="1" applyBorder="1" applyAlignment="1">
      <alignment horizontal="left" vertical="top"/>
    </xf>
    <xf numFmtId="173" fontId="13" fillId="0" borderId="54" xfId="0" applyNumberFormat="1" applyFont="1" applyBorder="1"/>
    <xf numFmtId="173" fontId="13" fillId="0" borderId="55" xfId="0" applyNumberFormat="1" applyFont="1" applyBorder="1"/>
    <xf numFmtId="173" fontId="13" fillId="0" borderId="48" xfId="0" applyNumberFormat="1" applyFont="1" applyBorder="1"/>
    <xf numFmtId="173" fontId="13" fillId="0" borderId="56" xfId="0" applyNumberFormat="1" applyFont="1" applyBorder="1"/>
    <xf numFmtId="173" fontId="13" fillId="0" borderId="57" xfId="0" applyNumberFormat="1" applyFont="1" applyBorder="1"/>
    <xf numFmtId="10" fontId="13" fillId="0" borderId="54" xfId="3" applyNumberFormat="1" applyFont="1" applyBorder="1"/>
    <xf numFmtId="10" fontId="13" fillId="0" borderId="55" xfId="3" applyNumberFormat="1" applyFont="1" applyBorder="1"/>
    <xf numFmtId="10" fontId="13" fillId="0" borderId="48" xfId="3" applyNumberFormat="1" applyFont="1" applyBorder="1"/>
    <xf numFmtId="0" fontId="13" fillId="0" borderId="58" xfId="0" applyFont="1" applyBorder="1" applyAlignment="1">
      <alignment horizontal="left" vertical="top"/>
    </xf>
    <xf numFmtId="0" fontId="13" fillId="0" borderId="59" xfId="0" applyFont="1" applyBorder="1" applyAlignment="1">
      <alignment horizontal="left" vertical="top"/>
    </xf>
    <xf numFmtId="0" fontId="13" fillId="0" borderId="60" xfId="0" applyFont="1" applyBorder="1" applyAlignment="1">
      <alignment horizontal="left" vertical="top"/>
    </xf>
    <xf numFmtId="173" fontId="13" fillId="0" borderId="61" xfId="0" applyNumberFormat="1" applyFont="1" applyBorder="1"/>
    <xf numFmtId="173" fontId="13" fillId="0" borderId="62" xfId="0" applyNumberFormat="1" applyFont="1" applyBorder="1"/>
    <xf numFmtId="0" fontId="3" fillId="0" borderId="0" xfId="0" applyFont="1"/>
    <xf numFmtId="173" fontId="3" fillId="0" borderId="14" xfId="0" applyNumberFormat="1" applyFont="1" applyBorder="1"/>
    <xf numFmtId="10" fontId="3" fillId="0" borderId="14" xfId="3" applyNumberFormat="1" applyFont="1" applyBorder="1"/>
    <xf numFmtId="0" fontId="4" fillId="0" borderId="10" xfId="0" applyFont="1" applyFill="1" applyBorder="1" applyAlignment="1">
      <alignment horizontal="right"/>
    </xf>
    <xf numFmtId="4" fontId="4" fillId="0" borderId="15" xfId="3" applyNumberFormat="1" applyFont="1" applyFill="1" applyBorder="1"/>
    <xf numFmtId="4" fontId="13" fillId="0" borderId="0" xfId="5" applyNumberFormat="1" applyFont="1" applyFill="1" applyBorder="1" applyAlignment="1" applyProtection="1">
      <alignment horizontal="right"/>
      <protection hidden="1"/>
    </xf>
    <xf numFmtId="1" fontId="1" fillId="0" borderId="0" xfId="5" applyNumberFormat="1" applyFont="1" applyFill="1" applyBorder="1" applyAlignment="1" applyProtection="1">
      <alignment horizontal="center"/>
      <protection hidden="1"/>
    </xf>
    <xf numFmtId="0" fontId="13" fillId="0" borderId="0" xfId="5" applyBorder="1" applyAlignment="1" applyProtection="1">
      <alignment horizontal="center"/>
      <protection hidden="1"/>
    </xf>
    <xf numFmtId="0" fontId="13" fillId="0" borderId="0" xfId="5" applyProtection="1">
      <protection hidden="1"/>
    </xf>
    <xf numFmtId="174" fontId="13" fillId="0" borderId="0" xfId="5" applyNumberFormat="1" applyAlignment="1" applyProtection="1">
      <alignment horizontal="right" indent="1"/>
      <protection hidden="1"/>
    </xf>
    <xf numFmtId="0" fontId="13" fillId="0" borderId="0" xfId="5" applyFont="1" applyFill="1" applyBorder="1" applyProtection="1">
      <protection hidden="1"/>
    </xf>
    <xf numFmtId="0" fontId="13" fillId="0" borderId="0" xfId="5" applyFont="1" applyFill="1" applyBorder="1" applyAlignment="1" applyProtection="1">
      <alignment horizontal="right" vertical="center"/>
      <protection hidden="1"/>
    </xf>
    <xf numFmtId="3" fontId="17" fillId="0" borderId="0" xfId="5" applyNumberFormat="1" applyFont="1" applyFill="1" applyBorder="1" applyAlignment="1" applyProtection="1">
      <alignment horizontal="center"/>
      <protection hidden="1"/>
    </xf>
    <xf numFmtId="169" fontId="17" fillId="0" borderId="0" xfId="5" applyNumberFormat="1" applyFont="1" applyFill="1" applyBorder="1" applyAlignment="1" applyProtection="1">
      <alignment horizontal="center"/>
      <protection hidden="1"/>
    </xf>
    <xf numFmtId="0" fontId="13" fillId="0" borderId="0" xfId="5" applyAlignment="1" applyProtection="1">
      <alignment horizontal="center"/>
      <protection hidden="1"/>
    </xf>
    <xf numFmtId="0" fontId="13" fillId="0" borderId="4" xfId="5" applyNumberFormat="1" applyFont="1" applyFill="1" applyBorder="1" applyAlignment="1" applyProtection="1">
      <alignment horizontal="center"/>
      <protection hidden="1"/>
    </xf>
    <xf numFmtId="0" fontId="13" fillId="0" borderId="0" xfId="5" applyFont="1" applyAlignment="1" applyProtection="1">
      <alignment horizontal="center"/>
      <protection hidden="1"/>
    </xf>
    <xf numFmtId="3" fontId="13" fillId="0" borderId="0" xfId="5" applyNumberFormat="1" applyFont="1" applyFill="1" applyBorder="1" applyAlignment="1" applyProtection="1">
      <alignment horizontal="right"/>
      <protection hidden="1"/>
    </xf>
    <xf numFmtId="169" fontId="13" fillId="0" borderId="0" xfId="5" applyNumberFormat="1" applyFont="1" applyFill="1" applyBorder="1" applyAlignment="1" applyProtection="1">
      <alignment horizontal="left"/>
      <protection hidden="1"/>
    </xf>
    <xf numFmtId="0" fontId="13" fillId="0" borderId="0" xfId="5" applyFont="1" applyBorder="1" applyAlignment="1" applyProtection="1">
      <alignment horizontal="center"/>
      <protection hidden="1"/>
    </xf>
    <xf numFmtId="3" fontId="13" fillId="0" borderId="4" xfId="5" applyNumberFormat="1" applyFont="1" applyFill="1" applyBorder="1" applyAlignment="1" applyProtection="1">
      <alignment horizontal="right"/>
      <protection hidden="1"/>
    </xf>
    <xf numFmtId="0" fontId="13" fillId="0" borderId="0" xfId="5" applyFill="1" applyBorder="1" applyAlignment="1" applyProtection="1">
      <alignment horizontal="center"/>
      <protection hidden="1"/>
    </xf>
    <xf numFmtId="0" fontId="13" fillId="0" borderId="0" xfId="5" applyFont="1" applyFill="1" applyBorder="1" applyAlignment="1" applyProtection="1">
      <alignment horizontal="left"/>
      <protection hidden="1"/>
    </xf>
    <xf numFmtId="2" fontId="13" fillId="0" borderId="4" xfId="5" applyNumberFormat="1" applyFont="1" applyFill="1" applyBorder="1" applyAlignment="1" applyProtection="1">
      <alignment horizontal="right" vertical="center"/>
      <protection hidden="1"/>
    </xf>
    <xf numFmtId="10" fontId="13" fillId="0" borderId="0" xfId="5" applyNumberFormat="1" applyFont="1" applyFill="1" applyBorder="1" applyAlignment="1" applyProtection="1">
      <alignment vertical="center"/>
      <protection hidden="1"/>
    </xf>
    <xf numFmtId="10" fontId="13" fillId="0" borderId="0" xfId="5" applyNumberFormat="1" applyFont="1" applyFill="1" applyBorder="1" applyAlignment="1" applyProtection="1">
      <alignment horizontal="center" vertical="center"/>
      <protection hidden="1"/>
    </xf>
    <xf numFmtId="0" fontId="13" fillId="0" borderId="0" xfId="5" applyFont="1" applyFill="1" applyBorder="1" applyAlignment="1" applyProtection="1">
      <alignment vertical="center"/>
      <protection hidden="1"/>
    </xf>
    <xf numFmtId="0" fontId="13" fillId="0" borderId="0" xfId="5" applyFont="1" applyFill="1" applyBorder="1" applyAlignment="1" applyProtection="1">
      <alignment horizontal="right" vertical="center" wrapText="1"/>
      <protection hidden="1"/>
    </xf>
    <xf numFmtId="0" fontId="13" fillId="0" borderId="1" xfId="5" applyFont="1" applyFill="1" applyBorder="1" applyAlignment="1" applyProtection="1">
      <alignment horizontal="right" vertical="center" wrapText="1"/>
      <protection hidden="1"/>
    </xf>
    <xf numFmtId="0" fontId="13" fillId="0" borderId="8" xfId="5" applyFont="1" applyFill="1" applyBorder="1" applyAlignment="1" applyProtection="1">
      <alignment horizontal="right" vertical="center" wrapText="1"/>
      <protection hidden="1"/>
    </xf>
    <xf numFmtId="1" fontId="1" fillId="0" borderId="8" xfId="5" applyNumberFormat="1" applyFont="1" applyFill="1" applyBorder="1" applyAlignment="1" applyProtection="1">
      <alignment horizontal="center"/>
      <protection hidden="1"/>
    </xf>
    <xf numFmtId="0" fontId="13" fillId="0" borderId="3" xfId="5" applyFill="1" applyBorder="1" applyAlignment="1" applyProtection="1">
      <alignment horizontal="center"/>
      <protection hidden="1"/>
    </xf>
    <xf numFmtId="0" fontId="13" fillId="0" borderId="15" xfId="5" applyFont="1" applyFill="1" applyBorder="1" applyAlignment="1" applyProtection="1">
      <alignment horizontal="right" vertical="center" wrapText="1"/>
      <protection hidden="1"/>
    </xf>
    <xf numFmtId="0" fontId="13" fillId="0" borderId="16" xfId="5" applyFont="1" applyFill="1" applyBorder="1" applyAlignment="1" applyProtection="1">
      <alignment horizontal="left"/>
      <protection hidden="1"/>
    </xf>
    <xf numFmtId="0" fontId="13" fillId="0" borderId="16" xfId="5" applyFill="1" applyBorder="1" applyAlignment="1" applyProtection="1">
      <alignment horizontal="center"/>
      <protection hidden="1"/>
    </xf>
    <xf numFmtId="0" fontId="13" fillId="0" borderId="2" xfId="5" applyFont="1" applyFill="1" applyBorder="1" applyAlignment="1" applyProtection="1">
      <alignment horizontal="right" vertical="center" wrapText="1"/>
      <protection hidden="1"/>
    </xf>
    <xf numFmtId="0" fontId="13" fillId="0" borderId="9" xfId="5" applyFont="1" applyFill="1" applyBorder="1" applyAlignment="1" applyProtection="1">
      <alignment horizontal="right" vertical="center" wrapText="1"/>
      <protection hidden="1"/>
    </xf>
    <xf numFmtId="1" fontId="1" fillId="0" borderId="9" xfId="5" applyNumberFormat="1" applyFont="1" applyFill="1" applyBorder="1" applyAlignment="1" applyProtection="1">
      <alignment horizontal="center"/>
      <protection hidden="1"/>
    </xf>
    <xf numFmtId="0" fontId="13" fillId="0" borderId="7" xfId="5" applyFill="1" applyBorder="1" applyAlignment="1" applyProtection="1">
      <alignment horizontal="center"/>
      <protection hidden="1"/>
    </xf>
    <xf numFmtId="0" fontId="13" fillId="0" borderId="0" xfId="5" applyNumberFormat="1" applyAlignment="1" applyProtection="1">
      <protection hidden="1"/>
    </xf>
    <xf numFmtId="0" fontId="1" fillId="8" borderId="4" xfId="5" applyNumberFormat="1" applyFont="1" applyFill="1" applyBorder="1" applyAlignment="1" applyProtection="1">
      <alignment horizontal="center" vertical="center" wrapText="1"/>
      <protection hidden="1"/>
    </xf>
    <xf numFmtId="0" fontId="1" fillId="8" borderId="4" xfId="5" applyFont="1" applyFill="1" applyBorder="1" applyAlignment="1" applyProtection="1">
      <alignment horizontal="center" vertical="center" wrapText="1"/>
      <protection hidden="1"/>
    </xf>
    <xf numFmtId="0" fontId="1" fillId="8" borderId="4" xfId="5" applyFont="1" applyFill="1" applyBorder="1" applyAlignment="1" applyProtection="1">
      <alignment horizontal="center" vertical="center"/>
      <protection hidden="1"/>
    </xf>
    <xf numFmtId="0" fontId="13" fillId="0" borderId="0" xfId="5" applyAlignment="1" applyProtection="1">
      <alignment horizontal="center" vertical="center"/>
      <protection hidden="1"/>
    </xf>
    <xf numFmtId="0" fontId="17" fillId="0" borderId="0" xfId="5" applyFont="1" applyBorder="1" applyAlignment="1" applyProtection="1">
      <alignment horizontal="center"/>
      <protection hidden="1"/>
    </xf>
    <xf numFmtId="175" fontId="17" fillId="0" borderId="0" xfId="5" applyNumberFormat="1" applyFont="1" applyBorder="1" applyAlignment="1" applyProtection="1">
      <alignment horizontal="right" indent="1"/>
      <protection hidden="1"/>
    </xf>
    <xf numFmtId="4" fontId="17" fillId="0" borderId="0" xfId="5" applyNumberFormat="1" applyFont="1" applyBorder="1" applyAlignment="1" applyProtection="1">
      <alignment horizontal="center"/>
      <protection hidden="1"/>
    </xf>
    <xf numFmtId="14" fontId="17" fillId="0" borderId="0" xfId="5" applyNumberFormat="1" applyFont="1" applyProtection="1">
      <protection hidden="1"/>
    </xf>
    <xf numFmtId="0" fontId="17" fillId="0" borderId="0" xfId="5" applyFont="1" applyProtection="1">
      <protection hidden="1"/>
    </xf>
    <xf numFmtId="0" fontId="27" fillId="0" borderId="0" xfId="5" applyFont="1" applyFill="1" applyBorder="1" applyAlignment="1" applyProtection="1">
      <alignment horizontal="right" vertical="center"/>
      <protection hidden="1"/>
    </xf>
    <xf numFmtId="4" fontId="27" fillId="0" borderId="0" xfId="5" applyNumberFormat="1" applyFont="1" applyFill="1" applyBorder="1" applyAlignment="1" applyProtection="1">
      <alignment horizontal="right"/>
      <protection hidden="1"/>
    </xf>
    <xf numFmtId="0" fontId="27" fillId="0" borderId="16" xfId="5" applyFont="1" applyFill="1" applyBorder="1" applyAlignment="1" applyProtection="1">
      <alignment horizontal="left"/>
      <protection hidden="1"/>
    </xf>
    <xf numFmtId="0" fontId="13" fillId="0" borderId="0" xfId="5" applyFont="1" applyFill="1" applyBorder="1" applyAlignment="1" applyProtection="1">
      <alignment horizontal="center" vertical="center"/>
      <protection hidden="1"/>
    </xf>
    <xf numFmtId="174" fontId="28" fillId="0" borderId="0" xfId="5" applyNumberFormat="1" applyFont="1" applyFill="1" applyBorder="1" applyAlignment="1" applyProtection="1">
      <alignment horizontal="center"/>
      <protection hidden="1"/>
    </xf>
    <xf numFmtId="10" fontId="4" fillId="0" borderId="10" xfId="3" applyNumberFormat="1" applyFont="1" applyBorder="1"/>
    <xf numFmtId="3" fontId="3" fillId="4" borderId="65" xfId="0" applyNumberFormat="1" applyFont="1" applyFill="1" applyBorder="1"/>
    <xf numFmtId="10" fontId="3" fillId="4" borderId="65" xfId="3" applyNumberFormat="1" applyFont="1" applyFill="1" applyBorder="1"/>
    <xf numFmtId="4" fontId="3" fillId="0" borderId="0" xfId="0" applyNumberFormat="1" applyFont="1"/>
    <xf numFmtId="176" fontId="10" fillId="0" borderId="0" xfId="0" applyNumberFormat="1" applyFont="1"/>
    <xf numFmtId="176" fontId="8" fillId="0" borderId="0" xfId="0" applyNumberFormat="1" applyFont="1" applyAlignment="1">
      <alignment horizontal="center" vertical="center" shrinkToFit="1"/>
    </xf>
    <xf numFmtId="176" fontId="8" fillId="3" borderId="12" xfId="0" applyNumberFormat="1" applyFont="1" applyFill="1" applyBorder="1" applyAlignment="1"/>
    <xf numFmtId="176" fontId="8" fillId="3" borderId="1" xfId="0" applyNumberFormat="1" applyFont="1" applyFill="1" applyBorder="1" applyAlignment="1"/>
    <xf numFmtId="176" fontId="8" fillId="3" borderId="25" xfId="0" applyNumberFormat="1" applyFont="1" applyFill="1" applyBorder="1" applyAlignment="1"/>
    <xf numFmtId="176" fontId="8" fillId="3" borderId="24" xfId="0" applyNumberFormat="1" applyFont="1" applyFill="1" applyBorder="1" applyAlignment="1"/>
    <xf numFmtId="176" fontId="8" fillId="0" borderId="0" xfId="0" applyNumberFormat="1" applyFont="1"/>
    <xf numFmtId="0" fontId="9" fillId="3" borderId="21" xfId="0" applyFont="1" applyFill="1" applyBorder="1" applyAlignment="1">
      <alignment vertical="center"/>
    </xf>
    <xf numFmtId="3" fontId="8" fillId="0" borderId="0" xfId="0" applyNumberFormat="1" applyFont="1" applyAlignment="1">
      <alignment vertical="center"/>
    </xf>
    <xf numFmtId="3" fontId="8" fillId="0" borderId="0" xfId="0" applyNumberFormat="1" applyFont="1" applyAlignment="1">
      <alignment horizontal="center"/>
    </xf>
    <xf numFmtId="176" fontId="8" fillId="3" borderId="4" xfId="0" applyNumberFormat="1" applyFont="1" applyFill="1" applyBorder="1"/>
    <xf numFmtId="4" fontId="18" fillId="0" borderId="0" xfId="0" applyNumberFormat="1" applyFont="1" applyFill="1" applyBorder="1" applyAlignment="1">
      <alignment vertical="center"/>
    </xf>
    <xf numFmtId="0" fontId="1" fillId="0" borderId="45" xfId="0" applyFont="1" applyBorder="1" applyAlignment="1">
      <alignment horizontal="center" vertical="center"/>
    </xf>
    <xf numFmtId="0" fontId="13" fillId="0" borderId="47" xfId="0" applyFont="1" applyBorder="1" applyAlignment="1">
      <alignment horizontal="center" vertical="center"/>
    </xf>
    <xf numFmtId="0" fontId="18" fillId="0" borderId="0" xfId="0" applyFont="1" applyAlignment="1">
      <alignment vertical="center"/>
    </xf>
    <xf numFmtId="0" fontId="2" fillId="0" borderId="0" xfId="0" applyFont="1" applyAlignment="1">
      <alignment horizontal="center" vertical="center"/>
    </xf>
    <xf numFmtId="0" fontId="29" fillId="0" borderId="0" xfId="0" applyFont="1" applyAlignment="1">
      <alignment horizontal="center" vertical="center"/>
    </xf>
    <xf numFmtId="4" fontId="30" fillId="0" borderId="67" xfId="0" applyNumberFormat="1" applyFont="1" applyBorder="1" applyAlignment="1">
      <alignment horizontal="center" vertical="center"/>
    </xf>
    <xf numFmtId="4" fontId="30" fillId="0" borderId="68" xfId="0" applyNumberFormat="1" applyFont="1" applyBorder="1" applyAlignment="1">
      <alignment horizontal="center" vertical="center"/>
    </xf>
    <xf numFmtId="0" fontId="30" fillId="0" borderId="69" xfId="0" applyFont="1" applyFill="1" applyBorder="1" applyAlignment="1">
      <alignment horizontal="center" vertical="center"/>
    </xf>
    <xf numFmtId="4" fontId="31" fillId="0" borderId="5" xfId="0" applyNumberFormat="1" applyFont="1" applyBorder="1" applyAlignment="1">
      <alignment horizontal="center" vertical="center"/>
    </xf>
    <xf numFmtId="0" fontId="31" fillId="0" borderId="5" xfId="0" applyFont="1" applyFill="1" applyBorder="1" applyAlignment="1">
      <alignment horizontal="center" vertical="center"/>
    </xf>
    <xf numFmtId="4" fontId="31" fillId="0" borderId="4" xfId="0" applyNumberFormat="1" applyFont="1" applyBorder="1" applyAlignment="1">
      <alignment horizontal="center" vertical="center"/>
    </xf>
    <xf numFmtId="0" fontId="31" fillId="0" borderId="4" xfId="0" applyFont="1" applyFill="1" applyBorder="1" applyAlignment="1">
      <alignment horizontal="center" vertical="center"/>
    </xf>
    <xf numFmtId="0" fontId="30" fillId="0" borderId="4" xfId="0" applyFont="1" applyBorder="1" applyAlignment="1">
      <alignment horizontal="center" vertical="center"/>
    </xf>
    <xf numFmtId="0" fontId="30" fillId="0" borderId="4" xfId="0" applyFont="1" applyFill="1" applyBorder="1" applyAlignment="1">
      <alignment horizontal="center" vertical="center"/>
    </xf>
    <xf numFmtId="0" fontId="29" fillId="0" borderId="0" xfId="0" applyFont="1"/>
    <xf numFmtId="4" fontId="14" fillId="0" borderId="4" xfId="0" applyNumberFormat="1" applyFont="1" applyBorder="1" applyAlignment="1">
      <alignment horizontal="center" vertical="center"/>
    </xf>
    <xf numFmtId="4" fontId="14" fillId="0" borderId="10" xfId="0" applyNumberFormat="1" applyFont="1" applyBorder="1" applyAlignment="1">
      <alignment horizontal="center" vertical="center"/>
    </xf>
    <xf numFmtId="4" fontId="14" fillId="0" borderId="12" xfId="0" applyNumberFormat="1" applyFont="1" applyBorder="1" applyAlignment="1">
      <alignment horizontal="center" vertical="center"/>
    </xf>
    <xf numFmtId="4" fontId="14" fillId="0" borderId="6" xfId="0" applyNumberFormat="1" applyFont="1" applyBorder="1" applyAlignment="1">
      <alignment horizontal="center" vertical="center"/>
    </xf>
    <xf numFmtId="4" fontId="14" fillId="0" borderId="4" xfId="0" applyNumberFormat="1" applyFont="1" applyBorder="1"/>
    <xf numFmtId="4" fontId="14" fillId="0" borderId="4" xfId="0" applyNumberFormat="1" applyFont="1" applyBorder="1" applyAlignment="1">
      <alignment horizontal="center" vertical="center" wrapText="1"/>
    </xf>
    <xf numFmtId="4" fontId="32" fillId="0" borderId="4" xfId="0" applyNumberFormat="1" applyFont="1" applyBorder="1" applyAlignment="1">
      <alignment horizontal="center" vertical="center"/>
    </xf>
    <xf numFmtId="4" fontId="14" fillId="0" borderId="2" xfId="0" applyNumberFormat="1" applyFont="1" applyBorder="1" applyAlignment="1">
      <alignment horizontal="center" vertical="center"/>
    </xf>
    <xf numFmtId="4" fontId="14" fillId="0" borderId="4" xfId="0" applyNumberFormat="1" applyFont="1" applyBorder="1" applyAlignment="1">
      <alignment wrapText="1"/>
    </xf>
    <xf numFmtId="4" fontId="14" fillId="9" borderId="4" xfId="0" applyNumberFormat="1" applyFont="1" applyFill="1" applyBorder="1" applyAlignment="1">
      <alignment horizontal="center" vertical="center" wrapText="1"/>
    </xf>
    <xf numFmtId="4" fontId="32" fillId="0" borderId="4" xfId="0" applyNumberFormat="1" applyFont="1" applyBorder="1" applyAlignment="1">
      <alignment horizontal="center" vertical="center" wrapText="1"/>
    </xf>
    <xf numFmtId="0" fontId="31" fillId="0" borderId="4" xfId="0" applyFont="1" applyFill="1" applyBorder="1" applyAlignment="1">
      <alignment horizontal="center" vertical="center" wrapText="1"/>
    </xf>
    <xf numFmtId="4" fontId="14" fillId="0" borderId="2" xfId="0" applyNumberFormat="1" applyFont="1" applyBorder="1" applyAlignment="1">
      <alignment horizontal="center" vertical="center" wrapText="1"/>
    </xf>
    <xf numFmtId="4" fontId="33" fillId="0" borderId="4" xfId="0" applyNumberFormat="1" applyFont="1" applyBorder="1" applyAlignment="1">
      <alignment horizontal="center" vertical="center" wrapText="1"/>
    </xf>
    <xf numFmtId="4" fontId="31" fillId="0" borderId="4" xfId="0" applyNumberFormat="1" applyFont="1" applyBorder="1" applyAlignment="1">
      <alignment horizontal="center" vertical="center" wrapText="1"/>
    </xf>
    <xf numFmtId="0" fontId="34" fillId="0" borderId="0" xfId="0" applyFont="1" applyAlignment="1">
      <alignment vertical="center"/>
    </xf>
    <xf numFmtId="4" fontId="35" fillId="0" borderId="4" xfId="0" applyNumberFormat="1" applyFont="1" applyBorder="1" applyAlignment="1">
      <alignment horizontal="center" vertical="center" wrapText="1"/>
    </xf>
    <xf numFmtId="0" fontId="13" fillId="0" borderId="0" xfId="0" applyFont="1" applyAlignment="1">
      <alignment vertical="center"/>
    </xf>
    <xf numFmtId="4" fontId="29" fillId="0" borderId="0" xfId="0" applyNumberFormat="1" applyFont="1" applyAlignment="1">
      <alignment horizontal="center" vertical="center"/>
    </xf>
    <xf numFmtId="4" fontId="36" fillId="0" borderId="6" xfId="0" applyNumberFormat="1" applyFont="1" applyBorder="1" applyAlignment="1">
      <alignment horizontal="center" vertical="center"/>
    </xf>
    <xf numFmtId="4" fontId="11" fillId="0" borderId="0" xfId="0" applyNumberFormat="1" applyFont="1" applyBorder="1"/>
    <xf numFmtId="0" fontId="31" fillId="0" borderId="0" xfId="0" applyFont="1" applyFill="1" applyBorder="1" applyAlignment="1">
      <alignment horizontal="center" vertical="center"/>
    </xf>
    <xf numFmtId="4" fontId="0" fillId="0" borderId="0" xfId="0" applyNumberFormat="1" applyAlignment="1">
      <alignment vertical="center"/>
    </xf>
    <xf numFmtId="0" fontId="0" fillId="0" borderId="0" xfId="0" applyAlignment="1">
      <alignment vertical="center"/>
    </xf>
    <xf numFmtId="4" fontId="31" fillId="0" borderId="4" xfId="0" applyNumberFormat="1" applyFont="1" applyBorder="1" applyAlignment="1">
      <alignment vertical="center"/>
    </xf>
    <xf numFmtId="4" fontId="37" fillId="0" borderId="4" xfId="0" applyNumberFormat="1" applyFont="1" applyBorder="1" applyAlignment="1">
      <alignment vertical="center"/>
    </xf>
    <xf numFmtId="4" fontId="11" fillId="0" borderId="15" xfId="0" applyNumberFormat="1" applyFont="1" applyBorder="1" applyAlignment="1">
      <alignment vertical="center"/>
    </xf>
    <xf numFmtId="4" fontId="37" fillId="0" borderId="12" xfId="0" applyNumberFormat="1" applyFont="1" applyBorder="1" applyAlignment="1">
      <alignment vertical="center"/>
    </xf>
    <xf numFmtId="0" fontId="29" fillId="0" borderId="0" xfId="0" applyFont="1" applyAlignment="1">
      <alignment vertical="center"/>
    </xf>
    <xf numFmtId="4" fontId="14" fillId="0" borderId="4" xfId="0" applyNumberFormat="1" applyFont="1" applyBorder="1" applyAlignment="1">
      <alignment vertical="center"/>
    </xf>
    <xf numFmtId="0" fontId="0" fillId="0" borderId="4" xfId="0" applyBorder="1"/>
    <xf numFmtId="0" fontId="0" fillId="0" borderId="0" xfId="0" applyBorder="1"/>
    <xf numFmtId="4" fontId="38" fillId="0" borderId="4" xfId="0" applyNumberFormat="1" applyFont="1" applyBorder="1" applyAlignment="1">
      <alignment horizontal="center" vertical="center" wrapText="1"/>
    </xf>
    <xf numFmtId="0" fontId="31" fillId="0" borderId="4" xfId="0" applyFont="1" applyBorder="1" applyAlignment="1">
      <alignment horizontal="center" vertical="center" wrapText="1"/>
    </xf>
    <xf numFmtId="4" fontId="14" fillId="0" borderId="6" xfId="0" applyNumberFormat="1" applyFont="1" applyBorder="1" applyAlignment="1">
      <alignment vertical="center"/>
    </xf>
    <xf numFmtId="0" fontId="31" fillId="0" borderId="4" xfId="0" applyFont="1" applyBorder="1" applyAlignment="1">
      <alignment horizontal="center" vertical="center"/>
    </xf>
    <xf numFmtId="0" fontId="0" fillId="0" borderId="4" xfId="0" applyBorder="1" applyAlignment="1">
      <alignment horizontal="center" vertical="center"/>
    </xf>
    <xf numFmtId="0" fontId="39" fillId="0" borderId="0" xfId="0" applyFont="1" applyFill="1" applyAlignment="1">
      <alignment vertical="center"/>
    </xf>
    <xf numFmtId="4" fontId="14" fillId="0" borderId="4" xfId="0" applyNumberFormat="1" applyFont="1" applyFill="1" applyBorder="1" applyAlignment="1">
      <alignment vertical="center"/>
    </xf>
    <xf numFmtId="0" fontId="0" fillId="0" borderId="4" xfId="0" applyFill="1" applyBorder="1"/>
    <xf numFmtId="4" fontId="38" fillId="0" borderId="4" xfId="0" applyNumberFormat="1" applyFont="1" applyFill="1" applyBorder="1" applyAlignment="1">
      <alignment horizontal="center" vertical="center" wrapText="1"/>
    </xf>
    <xf numFmtId="4" fontId="14" fillId="0" borderId="4" xfId="0" applyNumberFormat="1" applyFont="1" applyFill="1" applyBorder="1" applyAlignment="1">
      <alignment horizontal="center" vertical="center" wrapText="1"/>
    </xf>
    <xf numFmtId="0" fontId="0" fillId="0" borderId="4" xfId="0" applyFill="1" applyBorder="1" applyAlignment="1">
      <alignment horizontal="center" vertical="center"/>
    </xf>
    <xf numFmtId="0" fontId="0" fillId="0" borderId="0" xfId="0" applyFill="1"/>
    <xf numFmtId="0" fontId="31" fillId="9" borderId="4" xfId="0" applyFont="1" applyFill="1" applyBorder="1" applyAlignment="1">
      <alignment horizontal="center" vertical="center" wrapText="1"/>
    </xf>
    <xf numFmtId="0" fontId="40" fillId="0" borderId="0" xfId="0" applyFont="1" applyBorder="1" applyAlignment="1">
      <alignment horizontal="left" vertical="center" wrapText="1"/>
    </xf>
    <xf numFmtId="0" fontId="14" fillId="0" borderId="4" xfId="0" applyFont="1" applyFill="1" applyBorder="1" applyAlignment="1">
      <alignment vertical="center"/>
    </xf>
    <xf numFmtId="0" fontId="14" fillId="0" borderId="4" xfId="0" applyFont="1" applyBorder="1" applyAlignment="1">
      <alignment vertical="center"/>
    </xf>
    <xf numFmtId="4" fontId="38" fillId="0" borderId="0" xfId="0" applyNumberFormat="1" applyFont="1" applyBorder="1" applyAlignment="1">
      <alignment horizontal="center" vertical="center" wrapText="1"/>
    </xf>
    <xf numFmtId="4" fontId="14" fillId="0" borderId="6" xfId="0" applyNumberFormat="1" applyFont="1" applyFill="1" applyBorder="1" applyAlignment="1">
      <alignment horizontal="center" vertical="center" wrapText="1"/>
    </xf>
    <xf numFmtId="0" fontId="31" fillId="0" borderId="6" xfId="0" applyFont="1" applyFill="1" applyBorder="1" applyAlignment="1">
      <alignment horizontal="center" vertical="center"/>
    </xf>
    <xf numFmtId="0" fontId="40" fillId="0" borderId="0" xfId="0" applyFont="1" applyBorder="1" applyAlignment="1">
      <alignment horizontal="left" vertical="center"/>
    </xf>
    <xf numFmtId="4" fontId="40" fillId="0" borderId="4" xfId="0" applyNumberFormat="1" applyFont="1" applyFill="1" applyBorder="1" applyAlignment="1">
      <alignment horizontal="center" vertical="center"/>
    </xf>
    <xf numFmtId="4" fontId="14" fillId="0" borderId="5" xfId="0" applyNumberFormat="1" applyFont="1" applyFill="1" applyBorder="1" applyAlignment="1">
      <alignment horizontal="center" vertical="center" wrapText="1"/>
    </xf>
    <xf numFmtId="0" fontId="31" fillId="0" borderId="5" xfId="0" applyFont="1" applyFill="1" applyBorder="1" applyAlignment="1">
      <alignment horizontal="center" vertical="center" wrapText="1"/>
    </xf>
    <xf numFmtId="4" fontId="31" fillId="0" borderId="5" xfId="0" applyNumberFormat="1" applyFont="1" applyFill="1" applyBorder="1" applyAlignment="1">
      <alignment vertical="center"/>
    </xf>
    <xf numFmtId="0" fontId="31" fillId="0" borderId="5" xfId="0" applyFont="1" applyFill="1" applyBorder="1" applyAlignment="1">
      <alignment vertical="center"/>
    </xf>
    <xf numFmtId="0" fontId="0" fillId="0" borderId="5" xfId="0" applyFill="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3" fontId="30" fillId="0" borderId="0" xfId="0" applyNumberFormat="1" applyFont="1" applyFill="1" applyBorder="1" applyAlignment="1">
      <alignment horizontal="center" vertical="center" wrapText="1"/>
    </xf>
    <xf numFmtId="0" fontId="30" fillId="0" borderId="14" xfId="0" applyFont="1" applyFill="1" applyBorder="1" applyAlignment="1">
      <alignment horizontal="center" vertical="center" wrapText="1"/>
    </xf>
    <xf numFmtId="0" fontId="30" fillId="0" borderId="0" xfId="0" applyFont="1" applyFill="1" applyBorder="1" applyAlignment="1">
      <alignment horizontal="center" vertical="center"/>
    </xf>
    <xf numFmtId="4" fontId="30" fillId="0" borderId="4" xfId="0" applyNumberFormat="1" applyFont="1" applyBorder="1" applyAlignment="1">
      <alignment horizontal="center" vertical="center"/>
    </xf>
    <xf numFmtId="4" fontId="30" fillId="0" borderId="4" xfId="0" applyNumberFormat="1" applyFont="1" applyBorder="1" applyAlignment="1">
      <alignment horizontal="center" vertical="center" wrapText="1"/>
    </xf>
    <xf numFmtId="4" fontId="41" fillId="0" borderId="0" xfId="0" applyNumberFormat="1" applyFont="1" applyAlignment="1">
      <alignment horizontal="center" vertical="center"/>
    </xf>
    <xf numFmtId="0" fontId="41" fillId="0" borderId="0" xfId="0" applyFont="1" applyAlignment="1">
      <alignment horizontal="center" vertical="center"/>
    </xf>
    <xf numFmtId="14" fontId="42" fillId="0" borderId="0" xfId="0" applyNumberFormat="1" applyFont="1" applyAlignment="1">
      <alignment horizontal="center" vertical="center" wrapText="1"/>
    </xf>
    <xf numFmtId="0" fontId="43" fillId="0" borderId="43" xfId="0" applyFont="1" applyFill="1" applyBorder="1" applyAlignment="1">
      <alignment vertical="center"/>
    </xf>
    <xf numFmtId="0" fontId="13" fillId="0" borderId="28" xfId="0" applyFont="1" applyBorder="1" applyAlignment="1">
      <alignment horizontal="left" vertical="top"/>
    </xf>
    <xf numFmtId="0" fontId="13" fillId="0" borderId="29" xfId="0" applyFont="1" applyBorder="1" applyAlignment="1">
      <alignment horizontal="left" vertical="top"/>
    </xf>
    <xf numFmtId="0" fontId="13" fillId="0" borderId="52" xfId="0" applyFont="1" applyBorder="1" applyAlignment="1">
      <alignment horizontal="left" vertical="top"/>
    </xf>
    <xf numFmtId="0" fontId="21" fillId="0" borderId="0" xfId="0" applyFont="1"/>
    <xf numFmtId="0" fontId="45" fillId="0" borderId="0" xfId="0" applyFont="1"/>
    <xf numFmtId="177" fontId="45" fillId="0" borderId="0" xfId="7" applyNumberFormat="1" applyFont="1" applyBorder="1"/>
    <xf numFmtId="178" fontId="45" fillId="0" borderId="14" xfId="7" applyNumberFormat="1" applyFont="1" applyBorder="1" applyAlignment="1">
      <alignment horizontal="right"/>
    </xf>
    <xf numFmtId="3" fontId="8" fillId="0" borderId="0" xfId="0" applyNumberFormat="1" applyFont="1" applyAlignment="1">
      <alignment horizontal="right"/>
    </xf>
    <xf numFmtId="2" fontId="8" fillId="0" borderId="0" xfId="0" applyNumberFormat="1" applyFont="1" applyAlignment="1">
      <alignment horizontal="right"/>
    </xf>
    <xf numFmtId="176" fontId="8" fillId="0" borderId="0" xfId="0" applyNumberFormat="1" applyFont="1" applyAlignment="1">
      <alignment horizontal="right"/>
    </xf>
    <xf numFmtId="2" fontId="10" fillId="0" borderId="0" xfId="0" applyNumberFormat="1" applyFont="1" applyAlignment="1">
      <alignment horizontal="right"/>
    </xf>
    <xf numFmtId="0" fontId="10" fillId="0" borderId="0" xfId="0" applyFont="1" applyAlignment="1">
      <alignment horizontal="right"/>
    </xf>
    <xf numFmtId="0" fontId="9" fillId="0" borderId="0" xfId="0" applyFont="1" applyAlignment="1">
      <alignment horizontal="right" vertical="center"/>
    </xf>
    <xf numFmtId="17" fontId="10" fillId="0" borderId="0" xfId="0" applyNumberFormat="1" applyFont="1" applyAlignment="1">
      <alignment horizontal="right"/>
    </xf>
    <xf numFmtId="4" fontId="10" fillId="0" borderId="0" xfId="0" applyNumberFormat="1" applyFont="1" applyAlignment="1">
      <alignment horizontal="right"/>
    </xf>
    <xf numFmtId="177" fontId="45" fillId="0" borderId="14" xfId="7" applyNumberFormat="1" applyFont="1" applyBorder="1" applyAlignment="1">
      <alignment horizontal="right"/>
    </xf>
    <xf numFmtId="0" fontId="21" fillId="0" borderId="14" xfId="0" applyFont="1" applyBorder="1"/>
    <xf numFmtId="4" fontId="21" fillId="3" borderId="22" xfId="0" applyNumberFormat="1" applyFont="1" applyFill="1" applyBorder="1" applyAlignment="1"/>
    <xf numFmtId="176" fontId="21" fillId="3" borderId="22" xfId="0" applyNumberFormat="1" applyFont="1" applyFill="1" applyBorder="1" applyAlignment="1"/>
    <xf numFmtId="166" fontId="21" fillId="4" borderId="20" xfId="0" applyNumberFormat="1" applyFont="1" applyFill="1" applyBorder="1" applyAlignment="1">
      <alignment horizontal="right"/>
    </xf>
    <xf numFmtId="4" fontId="21" fillId="3" borderId="20" xfId="0" applyNumberFormat="1" applyFont="1" applyFill="1" applyBorder="1" applyAlignment="1"/>
    <xf numFmtId="4" fontId="21" fillId="0" borderId="0" xfId="0" applyNumberFormat="1" applyFont="1" applyBorder="1"/>
    <xf numFmtId="4" fontId="21" fillId="0" borderId="0" xfId="0" applyNumberFormat="1" applyFont="1"/>
    <xf numFmtId="3" fontId="21" fillId="0" borderId="0" xfId="0" applyNumberFormat="1" applyFont="1"/>
    <xf numFmtId="4" fontId="21" fillId="0" borderId="0" xfId="0" applyNumberFormat="1" applyFont="1" applyAlignment="1">
      <alignment horizontal="right"/>
    </xf>
    <xf numFmtId="176" fontId="21" fillId="0" borderId="19" xfId="0" applyNumberFormat="1" applyFont="1" applyBorder="1"/>
    <xf numFmtId="176" fontId="21" fillId="0" borderId="20" xfId="0" applyNumberFormat="1" applyFont="1" applyBorder="1"/>
    <xf numFmtId="176" fontId="21" fillId="4" borderId="22" xfId="0" applyNumberFormat="1" applyFont="1" applyFill="1" applyBorder="1" applyAlignment="1"/>
    <xf numFmtId="176" fontId="21" fillId="0" borderId="0" xfId="0" applyNumberFormat="1" applyFont="1" applyBorder="1"/>
    <xf numFmtId="176" fontId="21" fillId="0" borderId="0" xfId="0" applyNumberFormat="1" applyFont="1"/>
    <xf numFmtId="176" fontId="21" fillId="0" borderId="0" xfId="0" applyNumberFormat="1" applyFont="1" applyAlignment="1">
      <alignment horizontal="right"/>
    </xf>
    <xf numFmtId="176" fontId="8" fillId="0" borderId="6" xfId="0" applyNumberFormat="1" applyFont="1" applyBorder="1" applyAlignment="1">
      <alignment horizontal="center"/>
    </xf>
    <xf numFmtId="176" fontId="8" fillId="0" borderId="5" xfId="0" applyNumberFormat="1" applyFont="1" applyBorder="1"/>
    <xf numFmtId="176" fontId="8" fillId="0" borderId="10" xfId="0" applyNumberFormat="1" applyFont="1" applyBorder="1"/>
    <xf numFmtId="176" fontId="8" fillId="0" borderId="10" xfId="0" applyNumberFormat="1" applyFont="1" applyFill="1" applyBorder="1"/>
    <xf numFmtId="176" fontId="8" fillId="0" borderId="27" xfId="0" applyNumberFormat="1" applyFont="1" applyBorder="1"/>
    <xf numFmtId="176" fontId="21" fillId="0" borderId="13" xfId="0" applyNumberFormat="1" applyFont="1" applyBorder="1"/>
    <xf numFmtId="176" fontId="8" fillId="0" borderId="6" xfId="0" applyNumberFormat="1" applyFont="1" applyBorder="1"/>
    <xf numFmtId="176" fontId="8" fillId="0" borderId="4" xfId="0" applyNumberFormat="1" applyFont="1" applyBorder="1"/>
    <xf numFmtId="3" fontId="4" fillId="0" borderId="70" xfId="0" applyNumberFormat="1" applyFont="1" applyBorder="1"/>
    <xf numFmtId="10" fontId="4" fillId="0" borderId="70" xfId="3" applyNumberFormat="1" applyFont="1" applyBorder="1"/>
    <xf numFmtId="10" fontId="3" fillId="0" borderId="72" xfId="3" applyNumberFormat="1" applyFont="1" applyBorder="1" applyAlignment="1">
      <alignment horizontal="right"/>
    </xf>
    <xf numFmtId="3" fontId="3" fillId="0" borderId="72" xfId="0" applyNumberFormat="1" applyFont="1" applyBorder="1"/>
    <xf numFmtId="3" fontId="3" fillId="0" borderId="72" xfId="0" applyNumberFormat="1" applyFont="1" applyBorder="1" applyAlignment="1">
      <alignment horizontal="right"/>
    </xf>
    <xf numFmtId="10" fontId="3" fillId="0" borderId="73" xfId="3" applyNumberFormat="1" applyFont="1" applyBorder="1" applyAlignment="1">
      <alignment horizontal="right"/>
    </xf>
    <xf numFmtId="3" fontId="3" fillId="0" borderId="73" xfId="0" applyNumberFormat="1" applyFont="1" applyBorder="1"/>
    <xf numFmtId="3" fontId="3" fillId="0" borderId="73" xfId="0" applyNumberFormat="1" applyFont="1" applyBorder="1" applyAlignment="1">
      <alignment horizontal="right"/>
    </xf>
    <xf numFmtId="3" fontId="4" fillId="0" borderId="16" xfId="0" applyNumberFormat="1" applyFont="1" applyBorder="1"/>
    <xf numFmtId="3" fontId="3" fillId="3" borderId="0" xfId="0" applyNumberFormat="1" applyFont="1" applyFill="1" applyBorder="1"/>
    <xf numFmtId="3" fontId="3" fillId="4" borderId="12" xfId="0" applyNumberFormat="1" applyFont="1" applyFill="1" applyBorder="1"/>
    <xf numFmtId="10" fontId="3" fillId="4" borderId="18" xfId="0" applyNumberFormat="1" applyFont="1" applyFill="1" applyBorder="1"/>
    <xf numFmtId="0" fontId="3" fillId="0" borderId="0" xfId="0" quotePrefix="1" applyFont="1"/>
    <xf numFmtId="10" fontId="3" fillId="4" borderId="0" xfId="0" applyNumberFormat="1" applyFont="1" applyFill="1" applyBorder="1"/>
    <xf numFmtId="3" fontId="3" fillId="4" borderId="2" xfId="0" applyNumberFormat="1" applyFont="1" applyFill="1" applyBorder="1"/>
    <xf numFmtId="3" fontId="4" fillId="0" borderId="1" xfId="0" applyNumberFormat="1" applyFont="1" applyBorder="1"/>
    <xf numFmtId="3" fontId="3" fillId="0" borderId="15" xfId="0" applyNumberFormat="1" applyFont="1" applyBorder="1"/>
    <xf numFmtId="3" fontId="4" fillId="0" borderId="0" xfId="0" applyNumberFormat="1" applyFont="1" applyBorder="1"/>
    <xf numFmtId="0" fontId="3" fillId="4" borderId="74" xfId="0" applyFont="1" applyFill="1" applyBorder="1" applyAlignment="1">
      <alignment horizontal="center" vertical="center"/>
    </xf>
    <xf numFmtId="3" fontId="3" fillId="4" borderId="24" xfId="0" applyNumberFormat="1" applyFont="1" applyFill="1" applyBorder="1" applyAlignment="1">
      <alignment horizontal="center" vertical="center"/>
    </xf>
    <xf numFmtId="3" fontId="3" fillId="4" borderId="26" xfId="0" applyNumberFormat="1" applyFont="1" applyFill="1" applyBorder="1" applyAlignment="1">
      <alignment horizontal="center" vertical="center"/>
    </xf>
    <xf numFmtId="3" fontId="3" fillId="4" borderId="34" xfId="0" applyNumberFormat="1" applyFont="1" applyFill="1" applyBorder="1" applyAlignment="1">
      <alignment horizontal="center" vertical="center"/>
    </xf>
    <xf numFmtId="0" fontId="3" fillId="5" borderId="75" xfId="0" applyFont="1" applyFill="1" applyBorder="1" applyAlignment="1">
      <alignment horizontal="center"/>
    </xf>
    <xf numFmtId="3" fontId="3" fillId="5" borderId="76" xfId="0" applyNumberFormat="1" applyFont="1" applyFill="1" applyBorder="1" applyAlignment="1">
      <alignment horizontal="center"/>
    </xf>
    <xf numFmtId="0" fontId="3" fillId="4" borderId="75" xfId="0" applyFont="1" applyFill="1" applyBorder="1"/>
    <xf numFmtId="3" fontId="4" fillId="4" borderId="76" xfId="0" applyNumberFormat="1" applyFont="1" applyFill="1" applyBorder="1"/>
    <xf numFmtId="3" fontId="4" fillId="0" borderId="43" xfId="0" applyNumberFormat="1" applyFont="1" applyBorder="1"/>
    <xf numFmtId="3" fontId="4" fillId="0" borderId="77" xfId="0" applyNumberFormat="1" applyFont="1" applyBorder="1"/>
    <xf numFmtId="3" fontId="3" fillId="4" borderId="75" xfId="0" applyNumberFormat="1" applyFont="1" applyFill="1" applyBorder="1"/>
    <xf numFmtId="3" fontId="3" fillId="4" borderId="78" xfId="0" applyNumberFormat="1" applyFont="1" applyFill="1" applyBorder="1"/>
    <xf numFmtId="3" fontId="3" fillId="4" borderId="81" xfId="0" applyNumberFormat="1" applyFont="1" applyFill="1" applyBorder="1"/>
    <xf numFmtId="3" fontId="3" fillId="4" borderId="82" xfId="0" applyNumberFormat="1" applyFont="1" applyFill="1" applyBorder="1"/>
    <xf numFmtId="3" fontId="4" fillId="0" borderId="79" xfId="0" applyNumberFormat="1" applyFont="1" applyBorder="1"/>
    <xf numFmtId="3" fontId="4" fillId="0" borderId="80" xfId="0" applyNumberFormat="1" applyFont="1" applyBorder="1"/>
    <xf numFmtId="3" fontId="4" fillId="0" borderId="44" xfId="0" applyNumberFormat="1" applyFont="1" applyBorder="1"/>
    <xf numFmtId="3" fontId="4" fillId="0" borderId="83" xfId="0" applyNumberFormat="1" applyFont="1" applyBorder="1"/>
    <xf numFmtId="3" fontId="4" fillId="0" borderId="84" xfId="0" applyNumberFormat="1" applyFont="1" applyBorder="1"/>
    <xf numFmtId="3" fontId="3" fillId="0" borderId="39" xfId="0" applyNumberFormat="1" applyFont="1" applyBorder="1" applyAlignment="1">
      <alignment horizontal="right"/>
    </xf>
    <xf numFmtId="10" fontId="3" fillId="0" borderId="85" xfId="3" applyNumberFormat="1" applyFont="1" applyBorder="1" applyAlignment="1">
      <alignment horizontal="right"/>
    </xf>
    <xf numFmtId="3" fontId="3" fillId="0" borderId="85" xfId="0" applyNumberFormat="1" applyFont="1" applyBorder="1"/>
    <xf numFmtId="3" fontId="3" fillId="0" borderId="85" xfId="0" applyNumberFormat="1" applyFont="1" applyBorder="1" applyAlignment="1">
      <alignment horizontal="right"/>
    </xf>
    <xf numFmtId="3" fontId="3" fillId="0" borderId="86" xfId="0" applyNumberFormat="1" applyFont="1" applyBorder="1"/>
    <xf numFmtId="3" fontId="3" fillId="0" borderId="43" xfId="0" applyNumberFormat="1" applyFont="1" applyBorder="1" applyAlignment="1">
      <alignment horizontal="right"/>
    </xf>
    <xf numFmtId="3" fontId="3" fillId="0" borderId="87" xfId="0" applyNumberFormat="1" applyFont="1" applyBorder="1"/>
    <xf numFmtId="3" fontId="3" fillId="0" borderId="88" xfId="0" applyNumberFormat="1" applyFont="1" applyBorder="1"/>
    <xf numFmtId="10" fontId="4" fillId="0" borderId="46" xfId="3" applyNumberFormat="1" applyFont="1" applyBorder="1"/>
    <xf numFmtId="3" fontId="4" fillId="0" borderId="46" xfId="0" applyNumberFormat="1" applyFont="1" applyBorder="1"/>
    <xf numFmtId="3" fontId="3" fillId="0" borderId="46" xfId="0" applyNumberFormat="1" applyFont="1" applyBorder="1"/>
    <xf numFmtId="3" fontId="3" fillId="0" borderId="66" xfId="0" applyNumberFormat="1" applyFont="1" applyBorder="1" applyAlignment="1">
      <alignment horizontal="right"/>
    </xf>
    <xf numFmtId="3" fontId="3" fillId="3" borderId="89" xfId="0" applyNumberFormat="1" applyFont="1" applyFill="1" applyBorder="1"/>
    <xf numFmtId="3" fontId="3" fillId="3" borderId="63" xfId="0" applyNumberFormat="1" applyFont="1" applyFill="1" applyBorder="1"/>
    <xf numFmtId="3" fontId="3" fillId="3" borderId="90" xfId="0" applyNumberFormat="1" applyFont="1" applyFill="1" applyBorder="1"/>
    <xf numFmtId="3" fontId="3" fillId="4" borderId="91" xfId="0" applyNumberFormat="1" applyFont="1" applyFill="1" applyBorder="1"/>
    <xf numFmtId="3" fontId="3" fillId="4" borderId="64" xfId="0" applyNumberFormat="1" applyFont="1" applyFill="1" applyBorder="1"/>
    <xf numFmtId="3" fontId="3" fillId="4" borderId="92" xfId="0" applyNumberFormat="1" applyFont="1" applyFill="1" applyBorder="1"/>
    <xf numFmtId="3" fontId="4" fillId="0" borderId="91" xfId="0" applyNumberFormat="1" applyFont="1" applyBorder="1"/>
    <xf numFmtId="3" fontId="4" fillId="0" borderId="64" xfId="0" applyNumberFormat="1" applyFont="1" applyBorder="1"/>
    <xf numFmtId="3" fontId="4" fillId="0" borderId="92" xfId="0" applyNumberFormat="1" applyFont="1" applyBorder="1"/>
    <xf numFmtId="3" fontId="3" fillId="3" borderId="91" xfId="0" applyNumberFormat="1" applyFont="1" applyFill="1" applyBorder="1"/>
    <xf numFmtId="3" fontId="3" fillId="3" borderId="64" xfId="0" applyNumberFormat="1" applyFont="1" applyFill="1" applyBorder="1"/>
    <xf numFmtId="3" fontId="3" fillId="3" borderId="92" xfId="0" applyNumberFormat="1" applyFont="1" applyFill="1" applyBorder="1"/>
    <xf numFmtId="3" fontId="3" fillId="4" borderId="93" xfId="0" applyNumberFormat="1" applyFont="1" applyFill="1" applyBorder="1"/>
    <xf numFmtId="3" fontId="3" fillId="4" borderId="94" xfId="0" applyNumberFormat="1" applyFont="1" applyFill="1" applyBorder="1"/>
    <xf numFmtId="3" fontId="3" fillId="4" borderId="95" xfId="0" applyNumberFormat="1" applyFont="1" applyFill="1" applyBorder="1"/>
    <xf numFmtId="3" fontId="3" fillId="4" borderId="96" xfId="0" applyNumberFormat="1" applyFont="1" applyFill="1" applyBorder="1" applyAlignment="1">
      <alignment horizontal="center" vertical="center"/>
    </xf>
    <xf numFmtId="10" fontId="3" fillId="4" borderId="96" xfId="3" applyNumberFormat="1" applyFont="1" applyFill="1" applyBorder="1" applyAlignment="1">
      <alignment horizontal="center" vertical="center"/>
    </xf>
    <xf numFmtId="3" fontId="4" fillId="0" borderId="0" xfId="3" applyNumberFormat="1" applyFont="1" applyBorder="1"/>
    <xf numFmtId="3" fontId="3" fillId="3" borderId="71" xfId="0" applyNumberFormat="1" applyFont="1" applyFill="1" applyBorder="1"/>
    <xf numFmtId="3" fontId="3" fillId="4" borderId="72" xfId="0" applyNumberFormat="1" applyFont="1" applyFill="1" applyBorder="1"/>
    <xf numFmtId="3" fontId="4" fillId="0" borderId="72" xfId="0" applyNumberFormat="1" applyFont="1" applyBorder="1"/>
    <xf numFmtId="3" fontId="3" fillId="3" borderId="72" xfId="0" applyNumberFormat="1" applyFont="1" applyFill="1" applyBorder="1"/>
    <xf numFmtId="3" fontId="3" fillId="4" borderId="73" xfId="0" applyNumberFormat="1" applyFont="1" applyFill="1" applyBorder="1"/>
    <xf numFmtId="3" fontId="3" fillId="4" borderId="9" xfId="0" applyNumberFormat="1" applyFont="1" applyFill="1" applyBorder="1"/>
    <xf numFmtId="3" fontId="4" fillId="0" borderId="8" xfId="0" applyNumberFormat="1" applyFont="1" applyBorder="1"/>
    <xf numFmtId="3" fontId="3" fillId="0" borderId="77" xfId="0" applyNumberFormat="1" applyFont="1" applyBorder="1"/>
    <xf numFmtId="0" fontId="3" fillId="0" borderId="10" xfId="0" applyFont="1" applyBorder="1"/>
    <xf numFmtId="0" fontId="13" fillId="0" borderId="0" xfId="0" applyFont="1" applyAlignment="1">
      <alignment horizontal="center" vertical="center"/>
    </xf>
    <xf numFmtId="0" fontId="13" fillId="0" borderId="0" xfId="0" applyFont="1" applyAlignment="1">
      <alignment horizontal="right"/>
    </xf>
    <xf numFmtId="10" fontId="3" fillId="0" borderId="0" xfId="0" applyNumberFormat="1" applyFont="1" applyAlignment="1">
      <alignment horizontal="right"/>
    </xf>
    <xf numFmtId="4" fontId="3" fillId="0" borderId="0" xfId="0" applyNumberFormat="1" applyFont="1" applyAlignment="1">
      <alignment horizontal="right"/>
    </xf>
    <xf numFmtId="3" fontId="3" fillId="4" borderId="97" xfId="0" applyNumberFormat="1" applyFont="1" applyFill="1" applyBorder="1"/>
    <xf numFmtId="10" fontId="3" fillId="4" borderId="97" xfId="3" applyNumberFormat="1" applyFont="1" applyFill="1" applyBorder="1"/>
    <xf numFmtId="3" fontId="3" fillId="0" borderId="65" xfId="0" applyNumberFormat="1" applyFont="1" applyBorder="1"/>
    <xf numFmtId="10" fontId="3" fillId="0" borderId="65" xfId="3" applyNumberFormat="1" applyFont="1" applyBorder="1"/>
    <xf numFmtId="0" fontId="3" fillId="4" borderId="74" xfId="0" applyFont="1" applyFill="1" applyBorder="1"/>
    <xf numFmtId="3" fontId="3" fillId="4" borderId="26" xfId="0" applyNumberFormat="1" applyFont="1" applyFill="1" applyBorder="1"/>
    <xf numFmtId="10" fontId="3" fillId="4" borderId="26" xfId="3" applyNumberFormat="1" applyFont="1" applyFill="1" applyBorder="1"/>
    <xf numFmtId="3" fontId="4" fillId="4" borderId="26" xfId="0" applyNumberFormat="1" applyFont="1" applyFill="1" applyBorder="1"/>
    <xf numFmtId="3" fontId="4" fillId="4" borderId="34" xfId="0" applyNumberFormat="1" applyFont="1" applyFill="1" applyBorder="1"/>
    <xf numFmtId="0" fontId="4" fillId="0" borderId="98" xfId="0" applyFont="1" applyBorder="1"/>
    <xf numFmtId="3" fontId="4" fillId="0" borderId="99" xfId="0" applyNumberFormat="1" applyFont="1" applyBorder="1"/>
    <xf numFmtId="0" fontId="3" fillId="0" borderId="91" xfId="0" applyFont="1" applyBorder="1"/>
    <xf numFmtId="0" fontId="3" fillId="4" borderId="91" xfId="0" applyFont="1" applyFill="1" applyBorder="1"/>
    <xf numFmtId="0" fontId="3" fillId="4" borderId="93" xfId="0" applyFont="1" applyFill="1" applyBorder="1"/>
    <xf numFmtId="0" fontId="3" fillId="0" borderId="100" xfId="0" applyFont="1" applyBorder="1" applyAlignment="1">
      <alignment horizontal="right"/>
    </xf>
    <xf numFmtId="3" fontId="3" fillId="0" borderId="101" xfId="0" applyNumberFormat="1" applyFont="1" applyBorder="1" applyAlignment="1">
      <alignment horizontal="right"/>
    </xf>
    <xf numFmtId="10" fontId="3" fillId="0" borderId="101" xfId="3" applyNumberFormat="1" applyFont="1" applyBorder="1" applyAlignment="1">
      <alignment horizontal="right"/>
    </xf>
    <xf numFmtId="3" fontId="3" fillId="0" borderId="102" xfId="0" applyNumberFormat="1" applyFont="1" applyBorder="1" applyAlignment="1">
      <alignment horizontal="right"/>
    </xf>
    <xf numFmtId="4" fontId="3" fillId="4" borderId="97" xfId="0" applyNumberFormat="1" applyFont="1" applyFill="1" applyBorder="1"/>
    <xf numFmtId="4" fontId="3" fillId="7" borderId="103" xfId="0" applyNumberFormat="1" applyFont="1" applyFill="1" applyBorder="1" applyAlignment="1">
      <alignment horizontal="center"/>
    </xf>
    <xf numFmtId="4" fontId="20" fillId="0" borderId="14" xfId="0" applyNumberFormat="1" applyFont="1" applyBorder="1"/>
    <xf numFmtId="4" fontId="20" fillId="0" borderId="0" xfId="0" applyNumberFormat="1" applyFont="1" applyAlignment="1">
      <alignment horizontal="center" vertical="center"/>
    </xf>
    <xf numFmtId="0" fontId="3" fillId="0" borderId="91" xfId="0" applyFont="1" applyFill="1" applyBorder="1"/>
    <xf numFmtId="3" fontId="3" fillId="0" borderId="65" xfId="0" applyNumberFormat="1" applyFont="1" applyFill="1" applyBorder="1"/>
    <xf numFmtId="10" fontId="3" fillId="0" borderId="65" xfId="3" applyNumberFormat="1" applyFont="1" applyFill="1" applyBorder="1"/>
    <xf numFmtId="10" fontId="3" fillId="0" borderId="65" xfId="0" applyNumberFormat="1" applyFont="1" applyFill="1" applyBorder="1"/>
    <xf numFmtId="179" fontId="2" fillId="0" borderId="0" xfId="0" applyNumberFormat="1" applyFont="1" applyAlignment="1">
      <alignment vertical="center" shrinkToFit="1"/>
    </xf>
    <xf numFmtId="179" fontId="3" fillId="0" borderId="0" xfId="0" applyNumberFormat="1" applyFont="1"/>
    <xf numFmtId="179" fontId="3" fillId="0" borderId="8" xfId="0" applyNumberFormat="1" applyFont="1" applyBorder="1"/>
    <xf numFmtId="179" fontId="3" fillId="0" borderId="0" xfId="0" applyNumberFormat="1" applyFont="1" applyBorder="1"/>
    <xf numFmtId="179" fontId="3" fillId="0" borderId="9" xfId="0" applyNumberFormat="1" applyFont="1" applyBorder="1"/>
    <xf numFmtId="179" fontId="3" fillId="4" borderId="12" xfId="0" applyNumberFormat="1" applyFont="1" applyFill="1" applyBorder="1" applyAlignment="1">
      <alignment horizontal="center" vertical="center"/>
    </xf>
    <xf numFmtId="179" fontId="3" fillId="5" borderId="21" xfId="0" applyNumberFormat="1" applyFont="1" applyFill="1" applyBorder="1" applyAlignment="1">
      <alignment horizontal="center"/>
    </xf>
    <xf numFmtId="179" fontId="4" fillId="4" borderId="21" xfId="0" applyNumberFormat="1" applyFont="1" applyFill="1" applyBorder="1"/>
    <xf numFmtId="179" fontId="4" fillId="0" borderId="15" xfId="0" applyNumberFormat="1" applyFont="1" applyBorder="1"/>
    <xf numFmtId="179" fontId="16" fillId="0" borderId="15" xfId="0" applyNumberFormat="1" applyFont="1" applyFill="1" applyBorder="1"/>
    <xf numFmtId="179" fontId="3" fillId="3" borderId="4" xfId="0" applyNumberFormat="1" applyFont="1" applyFill="1" applyBorder="1"/>
    <xf numFmtId="179" fontId="3" fillId="3" borderId="12" xfId="0" applyNumberFormat="1" applyFont="1" applyFill="1" applyBorder="1"/>
    <xf numFmtId="179" fontId="4" fillId="0" borderId="10" xfId="0" applyNumberFormat="1" applyFont="1" applyBorder="1"/>
    <xf numFmtId="179" fontId="4" fillId="0" borderId="15" xfId="0" applyNumberFormat="1" applyFont="1" applyFill="1" applyBorder="1"/>
    <xf numFmtId="179" fontId="4" fillId="0" borderId="10" xfId="0" applyNumberFormat="1" applyFont="1" applyFill="1" applyBorder="1"/>
    <xf numFmtId="179" fontId="3" fillId="3" borderId="21" xfId="0" applyNumberFormat="1" applyFont="1" applyFill="1" applyBorder="1"/>
    <xf numFmtId="179" fontId="3" fillId="3" borderId="4" xfId="0" applyNumberFormat="1" applyFont="1" applyFill="1" applyBorder="1" applyAlignment="1">
      <alignment vertical="center"/>
    </xf>
    <xf numFmtId="179" fontId="4" fillId="0" borderId="5" xfId="0" applyNumberFormat="1" applyFont="1" applyBorder="1"/>
    <xf numFmtId="179" fontId="4" fillId="4" borderId="26" xfId="0" applyNumberFormat="1" applyFont="1" applyFill="1" applyBorder="1"/>
    <xf numFmtId="179" fontId="4" fillId="0" borderId="70" xfId="0" applyNumberFormat="1" applyFont="1" applyBorder="1"/>
    <xf numFmtId="179" fontId="3" fillId="4" borderId="97" xfId="0" applyNumberFormat="1" applyFont="1" applyFill="1" applyBorder="1"/>
    <xf numFmtId="179" fontId="3" fillId="0" borderId="101" xfId="0" applyNumberFormat="1" applyFont="1" applyBorder="1" applyAlignment="1">
      <alignment horizontal="right"/>
    </xf>
    <xf numFmtId="179" fontId="4" fillId="0" borderId="0" xfId="0" applyNumberFormat="1" applyFont="1"/>
    <xf numFmtId="166" fontId="46" fillId="3" borderId="4" xfId="0" applyNumberFormat="1" applyFont="1" applyFill="1" applyBorder="1" applyAlignment="1"/>
    <xf numFmtId="173" fontId="20" fillId="0" borderId="0" xfId="0" applyNumberFormat="1" applyFont="1"/>
    <xf numFmtId="0" fontId="13" fillId="12" borderId="47" xfId="0" applyFont="1" applyFill="1" applyBorder="1" applyAlignment="1">
      <alignment horizontal="center" vertical="center"/>
    </xf>
    <xf numFmtId="170" fontId="4" fillId="11" borderId="29" xfId="0" quotePrefix="1" applyNumberFormat="1" applyFont="1" applyFill="1" applyBorder="1" applyAlignment="1">
      <alignment horizontal="right"/>
    </xf>
    <xf numFmtId="170" fontId="4" fillId="0" borderId="29" xfId="0" quotePrefix="1" applyNumberFormat="1" applyFont="1" applyFill="1" applyBorder="1" applyAlignment="1">
      <alignment horizontal="right"/>
    </xf>
    <xf numFmtId="0" fontId="4" fillId="11" borderId="104" xfId="0" quotePrefix="1" applyNumberFormat="1" applyFont="1" applyFill="1" applyBorder="1" applyAlignment="1">
      <alignment horizontal="center"/>
    </xf>
    <xf numFmtId="0" fontId="4" fillId="11" borderId="104" xfId="0" applyFont="1" applyFill="1" applyBorder="1" applyAlignment="1">
      <alignment horizontal="center"/>
    </xf>
    <xf numFmtId="4" fontId="4" fillId="11" borderId="104" xfId="0" applyNumberFormat="1" applyFont="1" applyFill="1" applyBorder="1" applyAlignment="1">
      <alignment horizontal="right"/>
    </xf>
    <xf numFmtId="4" fontId="4" fillId="11" borderId="63" xfId="0" applyNumberFormat="1" applyFont="1" applyFill="1" applyBorder="1" applyAlignment="1">
      <alignment horizontal="right"/>
    </xf>
    <xf numFmtId="172" fontId="4" fillId="11" borderId="104" xfId="4" quotePrefix="1" applyNumberFormat="1" applyFont="1" applyFill="1" applyBorder="1" applyAlignment="1">
      <alignment horizontal="center"/>
    </xf>
    <xf numFmtId="0" fontId="4" fillId="6" borderId="65" xfId="0" quotePrefix="1" applyNumberFormat="1" applyFont="1" applyFill="1" applyBorder="1" applyAlignment="1">
      <alignment horizontal="center"/>
    </xf>
    <xf numFmtId="0" fontId="4" fillId="6" borderId="65" xfId="0" applyFont="1" applyFill="1" applyBorder="1" applyAlignment="1">
      <alignment horizontal="center"/>
    </xf>
    <xf numFmtId="4" fontId="4" fillId="6" borderId="65" xfId="0" applyNumberFormat="1" applyFont="1" applyFill="1" applyBorder="1" applyAlignment="1">
      <alignment horizontal="right"/>
    </xf>
    <xf numFmtId="172" fontId="4" fillId="6" borderId="65" xfId="4" quotePrefix="1" applyNumberFormat="1" applyFont="1" applyFill="1" applyBorder="1" applyAlignment="1">
      <alignment horizontal="center"/>
    </xf>
    <xf numFmtId="0" fontId="4" fillId="11" borderId="65" xfId="0" quotePrefix="1" applyNumberFormat="1" applyFont="1" applyFill="1" applyBorder="1" applyAlignment="1">
      <alignment horizontal="center"/>
    </xf>
    <xf numFmtId="0" fontId="4" fillId="11" borderId="65" xfId="0" applyFont="1" applyFill="1" applyBorder="1" applyAlignment="1">
      <alignment horizontal="center"/>
    </xf>
    <xf numFmtId="4" fontId="4" fillId="11" borderId="65" xfId="0" applyNumberFormat="1" applyFont="1" applyFill="1" applyBorder="1" applyAlignment="1">
      <alignment horizontal="right"/>
    </xf>
    <xf numFmtId="172" fontId="4" fillId="11" borderId="65" xfId="4" quotePrefix="1" applyNumberFormat="1" applyFont="1" applyFill="1" applyBorder="1" applyAlignment="1">
      <alignment horizontal="center"/>
    </xf>
    <xf numFmtId="172" fontId="4" fillId="0" borderId="65" xfId="4" quotePrefix="1" applyNumberFormat="1" applyFont="1" applyFill="1" applyBorder="1" applyAlignment="1">
      <alignment horizontal="center"/>
    </xf>
    <xf numFmtId="0" fontId="4" fillId="6" borderId="105" xfId="0" quotePrefix="1" applyNumberFormat="1" applyFont="1" applyFill="1" applyBorder="1" applyAlignment="1">
      <alignment horizontal="center"/>
    </xf>
    <xf numFmtId="0" fontId="4" fillId="6" borderId="105" xfId="0" applyFont="1" applyFill="1" applyBorder="1" applyAlignment="1">
      <alignment horizontal="center"/>
    </xf>
    <xf numFmtId="4" fontId="4" fillId="6" borderId="105" xfId="0" applyNumberFormat="1" applyFont="1" applyFill="1" applyBorder="1" applyAlignment="1">
      <alignment horizontal="right"/>
    </xf>
    <xf numFmtId="170" fontId="4" fillId="0" borderId="106" xfId="0" quotePrefix="1" applyNumberFormat="1" applyFont="1" applyFill="1" applyBorder="1" applyAlignment="1">
      <alignment horizontal="right"/>
    </xf>
    <xf numFmtId="172" fontId="4" fillId="6" borderId="105" xfId="4" quotePrefix="1" applyNumberFormat="1" applyFont="1" applyFill="1" applyBorder="1" applyAlignment="1">
      <alignment horizontal="center"/>
    </xf>
    <xf numFmtId="0" fontId="9" fillId="4" borderId="21" xfId="0" applyFont="1" applyFill="1" applyBorder="1" applyAlignment="1">
      <alignment horizontal="center" vertical="center"/>
    </xf>
    <xf numFmtId="166" fontId="8" fillId="4" borderId="12" xfId="0" applyNumberFormat="1" applyFont="1" applyFill="1" applyBorder="1" applyAlignment="1">
      <alignment horizontal="right"/>
    </xf>
    <xf numFmtId="166" fontId="8" fillId="4" borderId="1" xfId="0" applyNumberFormat="1" applyFont="1" applyFill="1" applyBorder="1" applyAlignment="1">
      <alignment horizontal="right"/>
    </xf>
    <xf numFmtId="166" fontId="8" fillId="4" borderId="2" xfId="0" applyNumberFormat="1" applyFont="1" applyFill="1" applyBorder="1" applyAlignment="1">
      <alignment horizontal="right"/>
    </xf>
    <xf numFmtId="180" fontId="8" fillId="4" borderId="4" xfId="0" applyNumberFormat="1" applyFont="1" applyFill="1" applyBorder="1" applyAlignment="1">
      <alignment horizontal="right"/>
    </xf>
    <xf numFmtId="180" fontId="8" fillId="4" borderId="12" xfId="0" applyNumberFormat="1" applyFont="1" applyFill="1" applyBorder="1" applyAlignment="1">
      <alignment horizontal="right"/>
    </xf>
    <xf numFmtId="10" fontId="3" fillId="4" borderId="107" xfId="3" applyNumberFormat="1" applyFont="1" applyFill="1" applyBorder="1"/>
    <xf numFmtId="10" fontId="3" fillId="4" borderId="29" xfId="0" applyNumberFormat="1" applyFont="1" applyFill="1" applyBorder="1"/>
    <xf numFmtId="179" fontId="3" fillId="4" borderId="108" xfId="0" applyNumberFormat="1" applyFont="1" applyFill="1" applyBorder="1"/>
    <xf numFmtId="0" fontId="3" fillId="0" borderId="65" xfId="0" applyFont="1" applyBorder="1"/>
    <xf numFmtId="179" fontId="3" fillId="0" borderId="92" xfId="0" applyNumberFormat="1" applyFont="1" applyBorder="1"/>
    <xf numFmtId="179" fontId="20" fillId="0" borderId="92" xfId="0" applyNumberFormat="1" applyFont="1" applyFill="1" applyBorder="1"/>
    <xf numFmtId="179" fontId="3" fillId="0" borderId="92" xfId="0" applyNumberFormat="1" applyFont="1" applyFill="1" applyBorder="1"/>
    <xf numFmtId="43" fontId="3" fillId="0" borderId="0" xfId="7" applyFont="1"/>
    <xf numFmtId="164" fontId="14" fillId="0" borderId="0" xfId="0" applyNumberFormat="1" applyFont="1" applyAlignment="1">
      <alignment horizontal="center"/>
    </xf>
    <xf numFmtId="0" fontId="2" fillId="0" borderId="0" xfId="0" applyFont="1" applyAlignment="1">
      <alignment horizontal="center" vertical="center"/>
    </xf>
    <xf numFmtId="3" fontId="2" fillId="0" borderId="0" xfId="0" applyNumberFormat="1" applyFont="1" applyAlignment="1">
      <alignment horizontal="left" vertical="center"/>
    </xf>
    <xf numFmtId="3" fontId="2" fillId="0" borderId="0" xfId="0" applyNumberFormat="1" applyFont="1" applyAlignment="1">
      <alignment horizontal="center" vertical="center"/>
    </xf>
    <xf numFmtId="0" fontId="13" fillId="0" borderId="28" xfId="0" applyFont="1" applyBorder="1" applyAlignment="1">
      <alignment horizontal="left" vertical="top"/>
    </xf>
    <xf numFmtId="0" fontId="13" fillId="0" borderId="29" xfId="0" applyFont="1" applyBorder="1" applyAlignment="1">
      <alignment horizontal="left" vertical="top"/>
    </xf>
    <xf numFmtId="0" fontId="13" fillId="0" borderId="52" xfId="0" applyFont="1" applyBorder="1" applyAlignment="1">
      <alignment horizontal="left" vertical="top"/>
    </xf>
    <xf numFmtId="0" fontId="1" fillId="0" borderId="17" xfId="0" applyFont="1" applyBorder="1" applyAlignment="1">
      <alignment horizontal="left" vertical="center"/>
    </xf>
    <xf numFmtId="0" fontId="1" fillId="0" borderId="51" xfId="0" applyFont="1" applyBorder="1" applyAlignment="1">
      <alignment horizontal="left" vertical="center"/>
    </xf>
    <xf numFmtId="0" fontId="13" fillId="0" borderId="30" xfId="0" applyFont="1" applyBorder="1" applyAlignment="1">
      <alignment horizontal="left" vertical="top"/>
    </xf>
    <xf numFmtId="0" fontId="13" fillId="0" borderId="31" xfId="0" applyFont="1" applyBorder="1" applyAlignment="1">
      <alignment horizontal="left" vertical="top"/>
    </xf>
    <xf numFmtId="0" fontId="13" fillId="0" borderId="37" xfId="0" applyFont="1" applyBorder="1" applyAlignment="1">
      <alignment horizontal="left" vertical="top"/>
    </xf>
    <xf numFmtId="0" fontId="13" fillId="0" borderId="49" xfId="0" applyFont="1" applyBorder="1" applyAlignment="1">
      <alignment horizontal="left" vertical="top"/>
    </xf>
    <xf numFmtId="0" fontId="13" fillId="0" borderId="50" xfId="0" applyFont="1" applyBorder="1" applyAlignment="1">
      <alignment horizontal="left" vertical="top"/>
    </xf>
    <xf numFmtId="0" fontId="13" fillId="0" borderId="53" xfId="0" applyFont="1" applyBorder="1" applyAlignment="1">
      <alignment horizontal="left" vertical="top"/>
    </xf>
    <xf numFmtId="0" fontId="3" fillId="7" borderId="40" xfId="0" applyNumberFormat="1" applyFont="1" applyFill="1" applyBorder="1" applyAlignment="1">
      <alignment horizontal="center" vertical="justify"/>
    </xf>
    <xf numFmtId="0" fontId="3" fillId="7" borderId="45" xfId="0" applyNumberFormat="1" applyFont="1" applyFill="1" applyBorder="1" applyAlignment="1">
      <alignment horizontal="center" vertical="justify"/>
    </xf>
    <xf numFmtId="4" fontId="18" fillId="0" borderId="0" xfId="0" applyNumberFormat="1" applyFont="1" applyFill="1" applyBorder="1" applyAlignment="1">
      <alignment horizontal="right" vertical="center"/>
    </xf>
    <xf numFmtId="0" fontId="18" fillId="0" borderId="0" xfId="0" applyFont="1" applyAlignment="1">
      <alignment horizontal="center" vertical="center"/>
    </xf>
    <xf numFmtId="0" fontId="3" fillId="7" borderId="38" xfId="0" applyFont="1" applyFill="1" applyBorder="1" applyAlignment="1">
      <alignment horizontal="center" vertical="center"/>
    </xf>
    <xf numFmtId="0" fontId="3" fillId="7" borderId="42" xfId="0" applyFont="1" applyFill="1" applyBorder="1" applyAlignment="1">
      <alignment horizontal="center" vertical="center"/>
    </xf>
    <xf numFmtId="0" fontId="3" fillId="7" borderId="39" xfId="0" applyFont="1" applyFill="1" applyBorder="1" applyAlignment="1">
      <alignment horizontal="center" vertical="center"/>
    </xf>
    <xf numFmtId="0" fontId="3" fillId="7" borderId="43" xfId="0" applyFont="1" applyFill="1" applyBorder="1" applyAlignment="1">
      <alignment horizontal="center" vertical="center"/>
    </xf>
    <xf numFmtId="0" fontId="3" fillId="7" borderId="40" xfId="0" applyFont="1" applyFill="1" applyBorder="1" applyAlignment="1">
      <alignment horizontal="center" vertical="center" wrapText="1"/>
    </xf>
    <xf numFmtId="0" fontId="3" fillId="7" borderId="45" xfId="0" applyFont="1" applyFill="1" applyBorder="1" applyAlignment="1">
      <alignment horizontal="center" vertical="center" wrapText="1"/>
    </xf>
    <xf numFmtId="0" fontId="3" fillId="7" borderId="44" xfId="0" applyFont="1" applyFill="1" applyBorder="1" applyAlignment="1">
      <alignment horizontal="center" vertical="center"/>
    </xf>
    <xf numFmtId="0" fontId="3" fillId="7" borderId="66"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21" xfId="0" applyFont="1" applyFill="1" applyBorder="1" applyAlignment="1">
      <alignment horizontal="center" vertical="center"/>
    </xf>
    <xf numFmtId="0" fontId="9" fillId="3" borderId="18" xfId="0" applyFont="1" applyFill="1" applyBorder="1" applyAlignment="1">
      <alignment horizontal="center" vertical="center"/>
    </xf>
    <xf numFmtId="14" fontId="7" fillId="0" borderId="0" xfId="0" applyNumberFormat="1" applyFont="1" applyAlignment="1">
      <alignment horizontal="center" vertical="center" shrinkToFit="1"/>
    </xf>
    <xf numFmtId="0" fontId="7" fillId="0" borderId="0" xfId="0" applyFont="1" applyAlignment="1">
      <alignment horizontal="center" vertical="center" shrinkToFit="1"/>
    </xf>
    <xf numFmtId="14" fontId="9" fillId="2" borderId="17" xfId="0" applyNumberFormat="1" applyFont="1" applyFill="1" applyBorder="1" applyAlignment="1">
      <alignment horizontal="center" vertical="center"/>
    </xf>
    <xf numFmtId="14" fontId="9" fillId="2" borderId="23" xfId="0" applyNumberFormat="1" applyFont="1" applyFill="1" applyBorder="1" applyAlignment="1">
      <alignment horizontal="center" vertical="center"/>
    </xf>
    <xf numFmtId="0" fontId="9" fillId="4" borderId="12" xfId="0" applyFont="1" applyFill="1" applyBorder="1" applyAlignment="1">
      <alignment horizontal="center" vertical="center"/>
    </xf>
    <xf numFmtId="0" fontId="9" fillId="4" borderId="21" xfId="0" applyFont="1" applyFill="1" applyBorder="1" applyAlignment="1">
      <alignment horizontal="center" vertical="center"/>
    </xf>
    <xf numFmtId="0" fontId="9" fillId="4" borderId="18" xfId="0" applyFont="1" applyFill="1" applyBorder="1" applyAlignment="1">
      <alignment horizontal="center" vertical="center"/>
    </xf>
    <xf numFmtId="164" fontId="21" fillId="0" borderId="0" xfId="0" applyNumberFormat="1" applyFont="1" applyAlignment="1">
      <alignment horizontal="center"/>
    </xf>
    <xf numFmtId="174" fontId="28" fillId="0" borderId="0" xfId="5" applyNumberFormat="1" applyFont="1" applyFill="1" applyBorder="1" applyAlignment="1" applyProtection="1">
      <alignment horizontal="center"/>
      <protection hidden="1"/>
    </xf>
    <xf numFmtId="174" fontId="26" fillId="0" borderId="0" xfId="6" applyNumberFormat="1" applyFont="1" applyFill="1" applyBorder="1" applyAlignment="1" applyProtection="1">
      <alignment horizontal="left"/>
      <protection hidden="1"/>
    </xf>
    <xf numFmtId="4" fontId="14" fillId="0" borderId="5" xfId="0" applyNumberFormat="1" applyFont="1" applyBorder="1" applyAlignment="1">
      <alignment horizontal="center" vertical="center" wrapText="1"/>
    </xf>
    <xf numFmtId="4" fontId="14" fillId="0" borderId="10" xfId="0" applyNumberFormat="1" applyFont="1" applyBorder="1" applyAlignment="1">
      <alignment horizontal="center" vertical="center" wrapText="1"/>
    </xf>
    <xf numFmtId="4" fontId="14" fillId="0" borderId="6" xfId="0" applyNumberFormat="1" applyFont="1" applyBorder="1" applyAlignment="1">
      <alignment horizontal="center" vertical="center" wrapText="1"/>
    </xf>
    <xf numFmtId="0" fontId="0" fillId="0" borderId="0" xfId="0" applyAlignment="1">
      <alignment horizontal="left"/>
    </xf>
    <xf numFmtId="0" fontId="43" fillId="10" borderId="17" xfId="0" applyFont="1" applyFill="1" applyBorder="1" applyAlignment="1">
      <alignment horizontal="center" vertical="center"/>
    </xf>
    <xf numFmtId="0" fontId="43" fillId="10" borderId="51" xfId="0" applyFont="1" applyFill="1" applyBorder="1" applyAlignment="1">
      <alignment horizontal="center" vertical="center"/>
    </xf>
    <xf numFmtId="0" fontId="43" fillId="10" borderId="23" xfId="0" applyFont="1" applyFill="1" applyBorder="1" applyAlignment="1">
      <alignment horizontal="center" vertical="center"/>
    </xf>
    <xf numFmtId="15" fontId="30" fillId="0" borderId="0" xfId="0" applyNumberFormat="1" applyFont="1" applyFill="1" applyBorder="1" applyAlignment="1">
      <alignment horizontal="center" vertical="center"/>
    </xf>
    <xf numFmtId="4" fontId="14" fillId="0" borderId="5" xfId="0" applyNumberFormat="1" applyFont="1" applyBorder="1" applyAlignment="1">
      <alignment horizontal="center" vertical="center"/>
    </xf>
    <xf numFmtId="4" fontId="14" fillId="0" borderId="10" xfId="0" applyNumberFormat="1" applyFont="1" applyBorder="1" applyAlignment="1">
      <alignment horizontal="center" vertical="center"/>
    </xf>
    <xf numFmtId="4" fontId="14" fillId="0" borderId="6" xfId="0" applyNumberFormat="1" applyFont="1" applyBorder="1" applyAlignment="1">
      <alignment horizontal="center" vertical="center"/>
    </xf>
    <xf numFmtId="182" fontId="8" fillId="0" borderId="0" xfId="3" applyNumberFormat="1" applyFont="1"/>
    <xf numFmtId="0" fontId="3" fillId="3" borderId="91" xfId="0" applyFont="1" applyFill="1" applyBorder="1"/>
    <xf numFmtId="3" fontId="3" fillId="3" borderId="65" xfId="0" applyNumberFormat="1" applyFont="1" applyFill="1" applyBorder="1"/>
    <xf numFmtId="10" fontId="3" fillId="3" borderId="65" xfId="3" applyNumberFormat="1" applyFont="1" applyFill="1" applyBorder="1"/>
    <xf numFmtId="179" fontId="3" fillId="3" borderId="65" xfId="0" applyNumberFormat="1" applyFont="1" applyFill="1" applyBorder="1"/>
    <xf numFmtId="4" fontId="3" fillId="3" borderId="65" xfId="0" applyNumberFormat="1" applyFont="1" applyFill="1" applyBorder="1"/>
    <xf numFmtId="0" fontId="4" fillId="0" borderId="91" xfId="0" applyFont="1" applyBorder="1"/>
    <xf numFmtId="3" fontId="4" fillId="0" borderId="65" xfId="0" applyNumberFormat="1" applyFont="1" applyBorder="1"/>
    <xf numFmtId="10" fontId="4" fillId="0" borderId="65" xfId="3" applyNumberFormat="1" applyFont="1" applyBorder="1"/>
    <xf numFmtId="179" fontId="4" fillId="0" borderId="65" xfId="0" applyNumberFormat="1" applyFont="1" applyBorder="1"/>
    <xf numFmtId="4" fontId="4" fillId="0" borderId="65" xfId="0" applyNumberFormat="1" applyFont="1" applyBorder="1"/>
    <xf numFmtId="179" fontId="3" fillId="4" borderId="65" xfId="0" applyNumberFormat="1" applyFont="1" applyFill="1" applyBorder="1"/>
    <xf numFmtId="4" fontId="3" fillId="4" borderId="65" xfId="0" applyNumberFormat="1" applyFont="1" applyFill="1" applyBorder="1"/>
  </cellXfs>
  <cellStyles count="8">
    <cellStyle name="Euro" xfId="1"/>
    <cellStyle name="Lien hypertexte" xfId="6" builtinId="8"/>
    <cellStyle name="Milliers" xfId="7" builtinId="3"/>
    <cellStyle name="Monétaire" xfId="4" builtinId="4"/>
    <cellStyle name="Normal" xfId="0" builtinId="0"/>
    <cellStyle name="Normal 2" xfId="2"/>
    <cellStyle name="Normal 3" xfId="5"/>
    <cellStyle name="Pourcentage" xfId="3" builtinId="5"/>
  </cellStyles>
  <dxfs count="1">
    <dxf>
      <border>
        <left style="thin">
          <color indexed="64"/>
        </left>
        <right style="thin">
          <color indexed="64"/>
        </right>
      </border>
    </dxf>
  </dxfs>
  <tableStyles count="0" defaultTableStyle="TableStyleMedium9" defaultPivotStyle="PivotStyleLight16"/>
  <colors>
    <mruColors>
      <color rgb="FFFFFF99"/>
      <color rgb="FFCCECFF"/>
      <color rgb="FFCCFF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68580</xdr:colOff>
      <xdr:row>0</xdr:row>
      <xdr:rowOff>0</xdr:rowOff>
    </xdr:from>
    <xdr:to>
      <xdr:col>0</xdr:col>
      <xdr:colOff>1278695</xdr:colOff>
      <xdr:row>7</xdr:row>
      <xdr:rowOff>134788</xdr:rowOff>
    </xdr:to>
    <xdr:pic>
      <xdr:nvPicPr>
        <xdr:cNvPr id="3" name="Image 2" descr="C:\Users\JPD\Desktop\MODEX\ADMIN\Logo modex.jpg"/>
        <xdr:cNvPicPr/>
      </xdr:nvPicPr>
      <xdr:blipFill>
        <a:blip xmlns:r="http://schemas.openxmlformats.org/officeDocument/2006/relationships" r:embed="rId1" cstate="print"/>
        <a:srcRect/>
        <a:stretch>
          <a:fillRect/>
        </a:stretch>
      </xdr:blipFill>
      <xdr:spPr bwMode="auto">
        <a:xfrm>
          <a:off x="68580" y="0"/>
          <a:ext cx="1210115" cy="135398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1210115</xdr:colOff>
      <xdr:row>8</xdr:row>
      <xdr:rowOff>58588</xdr:rowOff>
    </xdr:to>
    <xdr:pic>
      <xdr:nvPicPr>
        <xdr:cNvPr id="2" name="Image 1" descr="C:\Users\JPD\Desktop\MODEX\ADMIN\Logo modex.jpg"/>
        <xdr:cNvPicPr/>
      </xdr:nvPicPr>
      <xdr:blipFill>
        <a:blip xmlns:r="http://schemas.openxmlformats.org/officeDocument/2006/relationships" r:embed="rId1" cstate="print"/>
        <a:srcRect/>
        <a:stretch>
          <a:fillRect/>
        </a:stretch>
      </xdr:blipFill>
      <xdr:spPr bwMode="auto">
        <a:xfrm>
          <a:off x="0" y="155510"/>
          <a:ext cx="1210115" cy="122491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319852</xdr:colOff>
      <xdr:row>0</xdr:row>
      <xdr:rowOff>159926</xdr:rowOff>
    </xdr:from>
    <xdr:to>
      <xdr:col>27</xdr:col>
      <xdr:colOff>749152</xdr:colOff>
      <xdr:row>8</xdr:row>
      <xdr:rowOff>143063</xdr:rowOff>
    </xdr:to>
    <xdr:pic>
      <xdr:nvPicPr>
        <xdr:cNvPr id="2" name="Image 1" descr="C:\Users\JPD\Desktop\MODEX\ADMIN\Logo modex.jpg"/>
        <xdr:cNvPicPr/>
      </xdr:nvPicPr>
      <xdr:blipFill>
        <a:blip xmlns:r="http://schemas.openxmlformats.org/officeDocument/2006/relationships" r:embed="rId1" cstate="print"/>
        <a:srcRect/>
        <a:stretch>
          <a:fillRect/>
        </a:stretch>
      </xdr:blipFill>
      <xdr:spPr bwMode="auto">
        <a:xfrm>
          <a:off x="12869333" y="159926"/>
          <a:ext cx="1210115" cy="122491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586740</xdr:colOff>
          <xdr:row>4</xdr:row>
          <xdr:rowOff>7620</xdr:rowOff>
        </xdr:to>
        <xdr:sp macro="" textlink="">
          <xdr:nvSpPr>
            <xdr:cNvPr id="6145" name="Object 1" hidden="1">
              <a:extLst>
                <a:ext uri="{63B3BB69-23CF-44E3-9099-C40C66FF867C}">
                  <a14:compatExt spid="_x0000_s61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D/AppData/Local/Temp/Temp2_Del%20BZ%20657.zip/surfaces%20SUV%20modJP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aileys/Desktop/SARL%20MODEX/MODEX/Inverst%20OI/ECONOMIE/STAR%20INVEST/Belle%20Vie%2025%20JAN%202014%20ST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tail de surfaces"/>
      <sheetName val="SHOB-SHON"/>
      <sheetName val="donnée"/>
      <sheetName val="Feuil1"/>
    </sheetNames>
    <sheetDataSet>
      <sheetData sheetId="0">
        <row r="15">
          <cell r="F15">
            <v>21.19</v>
          </cell>
        </row>
        <row r="16">
          <cell r="F16">
            <v>10.039999999999999</v>
          </cell>
        </row>
        <row r="22">
          <cell r="F22">
            <v>5.17</v>
          </cell>
        </row>
        <row r="23">
          <cell r="F23">
            <v>4.45</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faces"/>
      <sheetName val="Budget"/>
      <sheetName val="GRILLE"/>
      <sheetName val="Budg prev"/>
      <sheetName val="Plan de trésorerie"/>
    </sheetNames>
    <sheetDataSet>
      <sheetData sheetId="0">
        <row r="15">
          <cell r="I15">
            <v>0</v>
          </cell>
        </row>
        <row r="16">
          <cell r="I16">
            <v>1670.7400000000002</v>
          </cell>
        </row>
      </sheetData>
      <sheetData sheetId="1"/>
      <sheetData sheetId="2"/>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calculateurimmo.fr/"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5" Type="http://schemas.openxmlformats.org/officeDocument/2006/relationships/image" Target="../media/image2.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pageSetUpPr fitToPage="1"/>
  </sheetPr>
  <dimension ref="A1:M72"/>
  <sheetViews>
    <sheetView view="pageLayout" topLeftCell="A4" zoomScaleNormal="100" workbookViewId="0">
      <selection activeCell="I16" sqref="I16"/>
    </sheetView>
  </sheetViews>
  <sheetFormatPr baseColWidth="10" defaultColWidth="11.5546875" defaultRowHeight="20.100000000000001" customHeight="1" x14ac:dyDescent="0.3"/>
  <cols>
    <col min="1" max="1" width="12.5546875" style="41" customWidth="1"/>
    <col min="2" max="2" width="11.5546875" style="42" customWidth="1"/>
    <col min="3" max="4" width="12.33203125" style="42" customWidth="1"/>
    <col min="5" max="6" width="11.6640625" style="42" customWidth="1"/>
    <col min="7" max="7" width="8.88671875" style="41" customWidth="1"/>
    <col min="8" max="8" width="12" style="41" customWidth="1"/>
    <col min="9" max="9" width="15.21875" style="42" customWidth="1"/>
    <col min="10" max="11" width="14.44140625" style="46" customWidth="1"/>
    <col min="12" max="12" width="17" style="46" customWidth="1"/>
    <col min="13" max="256" width="11.5546875" style="41"/>
    <col min="257" max="261" width="14.6640625" style="41" customWidth="1"/>
    <col min="262" max="262" width="17.44140625" style="41" customWidth="1"/>
    <col min="263" max="263" width="14.6640625" style="41" customWidth="1"/>
    <col min="264" max="264" width="16.44140625" style="41" customWidth="1"/>
    <col min="265" max="265" width="18.109375" style="41" customWidth="1"/>
    <col min="266" max="512" width="11.5546875" style="41"/>
    <col min="513" max="517" width="14.6640625" style="41" customWidth="1"/>
    <col min="518" max="518" width="17.44140625" style="41" customWidth="1"/>
    <col min="519" max="519" width="14.6640625" style="41" customWidth="1"/>
    <col min="520" max="520" width="16.44140625" style="41" customWidth="1"/>
    <col min="521" max="521" width="18.109375" style="41" customWidth="1"/>
    <col min="522" max="768" width="11.5546875" style="41"/>
    <col min="769" max="773" width="14.6640625" style="41" customWidth="1"/>
    <col min="774" max="774" width="17.44140625" style="41" customWidth="1"/>
    <col min="775" max="775" width="14.6640625" style="41" customWidth="1"/>
    <col min="776" max="776" width="16.44140625" style="41" customWidth="1"/>
    <col min="777" max="777" width="18.109375" style="41" customWidth="1"/>
    <col min="778" max="1024" width="11.5546875" style="41"/>
    <col min="1025" max="1029" width="14.6640625" style="41" customWidth="1"/>
    <col min="1030" max="1030" width="17.44140625" style="41" customWidth="1"/>
    <col min="1031" max="1031" width="14.6640625" style="41" customWidth="1"/>
    <col min="1032" max="1032" width="16.44140625" style="41" customWidth="1"/>
    <col min="1033" max="1033" width="18.109375" style="41" customWidth="1"/>
    <col min="1034" max="1280" width="11.5546875" style="41"/>
    <col min="1281" max="1285" width="14.6640625" style="41" customWidth="1"/>
    <col min="1286" max="1286" width="17.44140625" style="41" customWidth="1"/>
    <col min="1287" max="1287" width="14.6640625" style="41" customWidth="1"/>
    <col min="1288" max="1288" width="16.44140625" style="41" customWidth="1"/>
    <col min="1289" max="1289" width="18.109375" style="41" customWidth="1"/>
    <col min="1290" max="1536" width="11.5546875" style="41"/>
    <col min="1537" max="1541" width="14.6640625" style="41" customWidth="1"/>
    <col min="1542" max="1542" width="17.44140625" style="41" customWidth="1"/>
    <col min="1543" max="1543" width="14.6640625" style="41" customWidth="1"/>
    <col min="1544" max="1544" width="16.44140625" style="41" customWidth="1"/>
    <col min="1545" max="1545" width="18.109375" style="41" customWidth="1"/>
    <col min="1546" max="1792" width="11.5546875" style="41"/>
    <col min="1793" max="1797" width="14.6640625" style="41" customWidth="1"/>
    <col min="1798" max="1798" width="17.44140625" style="41" customWidth="1"/>
    <col min="1799" max="1799" width="14.6640625" style="41" customWidth="1"/>
    <col min="1800" max="1800" width="16.44140625" style="41" customWidth="1"/>
    <col min="1801" max="1801" width="18.109375" style="41" customWidth="1"/>
    <col min="1802" max="2048" width="11.5546875" style="41"/>
    <col min="2049" max="2053" width="14.6640625" style="41" customWidth="1"/>
    <col min="2054" max="2054" width="17.44140625" style="41" customWidth="1"/>
    <col min="2055" max="2055" width="14.6640625" style="41" customWidth="1"/>
    <col min="2056" max="2056" width="16.44140625" style="41" customWidth="1"/>
    <col min="2057" max="2057" width="18.109375" style="41" customWidth="1"/>
    <col min="2058" max="2304" width="11.5546875" style="41"/>
    <col min="2305" max="2309" width="14.6640625" style="41" customWidth="1"/>
    <col min="2310" max="2310" width="17.44140625" style="41" customWidth="1"/>
    <col min="2311" max="2311" width="14.6640625" style="41" customWidth="1"/>
    <col min="2312" max="2312" width="16.44140625" style="41" customWidth="1"/>
    <col min="2313" max="2313" width="18.109375" style="41" customWidth="1"/>
    <col min="2314" max="2560" width="11.5546875" style="41"/>
    <col min="2561" max="2565" width="14.6640625" style="41" customWidth="1"/>
    <col min="2566" max="2566" width="17.44140625" style="41" customWidth="1"/>
    <col min="2567" max="2567" width="14.6640625" style="41" customWidth="1"/>
    <col min="2568" max="2568" width="16.44140625" style="41" customWidth="1"/>
    <col min="2569" max="2569" width="18.109375" style="41" customWidth="1"/>
    <col min="2570" max="2816" width="11.5546875" style="41"/>
    <col min="2817" max="2821" width="14.6640625" style="41" customWidth="1"/>
    <col min="2822" max="2822" width="17.44140625" style="41" customWidth="1"/>
    <col min="2823" max="2823" width="14.6640625" style="41" customWidth="1"/>
    <col min="2824" max="2824" width="16.44140625" style="41" customWidth="1"/>
    <col min="2825" max="2825" width="18.109375" style="41" customWidth="1"/>
    <col min="2826" max="3072" width="11.5546875" style="41"/>
    <col min="3073" max="3077" width="14.6640625" style="41" customWidth="1"/>
    <col min="3078" max="3078" width="17.44140625" style="41" customWidth="1"/>
    <col min="3079" max="3079" width="14.6640625" style="41" customWidth="1"/>
    <col min="3080" max="3080" width="16.44140625" style="41" customWidth="1"/>
    <col min="3081" max="3081" width="18.109375" style="41" customWidth="1"/>
    <col min="3082" max="3328" width="11.5546875" style="41"/>
    <col min="3329" max="3333" width="14.6640625" style="41" customWidth="1"/>
    <col min="3334" max="3334" width="17.44140625" style="41" customWidth="1"/>
    <col min="3335" max="3335" width="14.6640625" style="41" customWidth="1"/>
    <col min="3336" max="3336" width="16.44140625" style="41" customWidth="1"/>
    <col min="3337" max="3337" width="18.109375" style="41" customWidth="1"/>
    <col min="3338" max="3584" width="11.5546875" style="41"/>
    <col min="3585" max="3589" width="14.6640625" style="41" customWidth="1"/>
    <col min="3590" max="3590" width="17.44140625" style="41" customWidth="1"/>
    <col min="3591" max="3591" width="14.6640625" style="41" customWidth="1"/>
    <col min="3592" max="3592" width="16.44140625" style="41" customWidth="1"/>
    <col min="3593" max="3593" width="18.109375" style="41" customWidth="1"/>
    <col min="3594" max="3840" width="11.5546875" style="41"/>
    <col min="3841" max="3845" width="14.6640625" style="41" customWidth="1"/>
    <col min="3846" max="3846" width="17.44140625" style="41" customWidth="1"/>
    <col min="3847" max="3847" width="14.6640625" style="41" customWidth="1"/>
    <col min="3848" max="3848" width="16.44140625" style="41" customWidth="1"/>
    <col min="3849" max="3849" width="18.109375" style="41" customWidth="1"/>
    <col min="3850" max="4096" width="11.5546875" style="41"/>
    <col min="4097" max="4101" width="14.6640625" style="41" customWidth="1"/>
    <col min="4102" max="4102" width="17.44140625" style="41" customWidth="1"/>
    <col min="4103" max="4103" width="14.6640625" style="41" customWidth="1"/>
    <col min="4104" max="4104" width="16.44140625" style="41" customWidth="1"/>
    <col min="4105" max="4105" width="18.109375" style="41" customWidth="1"/>
    <col min="4106" max="4352" width="11.5546875" style="41"/>
    <col min="4353" max="4357" width="14.6640625" style="41" customWidth="1"/>
    <col min="4358" max="4358" width="17.44140625" style="41" customWidth="1"/>
    <col min="4359" max="4359" width="14.6640625" style="41" customWidth="1"/>
    <col min="4360" max="4360" width="16.44140625" style="41" customWidth="1"/>
    <col min="4361" max="4361" width="18.109375" style="41" customWidth="1"/>
    <col min="4362" max="4608" width="11.5546875" style="41"/>
    <col min="4609" max="4613" width="14.6640625" style="41" customWidth="1"/>
    <col min="4614" max="4614" width="17.44140625" style="41" customWidth="1"/>
    <col min="4615" max="4615" width="14.6640625" style="41" customWidth="1"/>
    <col min="4616" max="4616" width="16.44140625" style="41" customWidth="1"/>
    <col min="4617" max="4617" width="18.109375" style="41" customWidth="1"/>
    <col min="4618" max="4864" width="11.5546875" style="41"/>
    <col min="4865" max="4869" width="14.6640625" style="41" customWidth="1"/>
    <col min="4870" max="4870" width="17.44140625" style="41" customWidth="1"/>
    <col min="4871" max="4871" width="14.6640625" style="41" customWidth="1"/>
    <col min="4872" max="4872" width="16.44140625" style="41" customWidth="1"/>
    <col min="4873" max="4873" width="18.109375" style="41" customWidth="1"/>
    <col min="4874" max="5120" width="11.5546875" style="41"/>
    <col min="5121" max="5125" width="14.6640625" style="41" customWidth="1"/>
    <col min="5126" max="5126" width="17.44140625" style="41" customWidth="1"/>
    <col min="5127" max="5127" width="14.6640625" style="41" customWidth="1"/>
    <col min="5128" max="5128" width="16.44140625" style="41" customWidth="1"/>
    <col min="5129" max="5129" width="18.109375" style="41" customWidth="1"/>
    <col min="5130" max="5376" width="11.5546875" style="41"/>
    <col min="5377" max="5381" width="14.6640625" style="41" customWidth="1"/>
    <col min="5382" max="5382" width="17.44140625" style="41" customWidth="1"/>
    <col min="5383" max="5383" width="14.6640625" style="41" customWidth="1"/>
    <col min="5384" max="5384" width="16.44140625" style="41" customWidth="1"/>
    <col min="5385" max="5385" width="18.109375" style="41" customWidth="1"/>
    <col min="5386" max="5632" width="11.5546875" style="41"/>
    <col min="5633" max="5637" width="14.6640625" style="41" customWidth="1"/>
    <col min="5638" max="5638" width="17.44140625" style="41" customWidth="1"/>
    <col min="5639" max="5639" width="14.6640625" style="41" customWidth="1"/>
    <col min="5640" max="5640" width="16.44140625" style="41" customWidth="1"/>
    <col min="5641" max="5641" width="18.109375" style="41" customWidth="1"/>
    <col min="5642" max="5888" width="11.5546875" style="41"/>
    <col min="5889" max="5893" width="14.6640625" style="41" customWidth="1"/>
    <col min="5894" max="5894" width="17.44140625" style="41" customWidth="1"/>
    <col min="5895" max="5895" width="14.6640625" style="41" customWidth="1"/>
    <col min="5896" max="5896" width="16.44140625" style="41" customWidth="1"/>
    <col min="5897" max="5897" width="18.109375" style="41" customWidth="1"/>
    <col min="5898" max="6144" width="11.5546875" style="41"/>
    <col min="6145" max="6149" width="14.6640625" style="41" customWidth="1"/>
    <col min="6150" max="6150" width="17.44140625" style="41" customWidth="1"/>
    <col min="6151" max="6151" width="14.6640625" style="41" customWidth="1"/>
    <col min="6152" max="6152" width="16.44140625" style="41" customWidth="1"/>
    <col min="6153" max="6153" width="18.109375" style="41" customWidth="1"/>
    <col min="6154" max="6400" width="11.5546875" style="41"/>
    <col min="6401" max="6405" width="14.6640625" style="41" customWidth="1"/>
    <col min="6406" max="6406" width="17.44140625" style="41" customWidth="1"/>
    <col min="6407" max="6407" width="14.6640625" style="41" customWidth="1"/>
    <col min="6408" max="6408" width="16.44140625" style="41" customWidth="1"/>
    <col min="6409" max="6409" width="18.109375" style="41" customWidth="1"/>
    <col min="6410" max="6656" width="11.5546875" style="41"/>
    <col min="6657" max="6661" width="14.6640625" style="41" customWidth="1"/>
    <col min="6662" max="6662" width="17.44140625" style="41" customWidth="1"/>
    <col min="6663" max="6663" width="14.6640625" style="41" customWidth="1"/>
    <col min="6664" max="6664" width="16.44140625" style="41" customWidth="1"/>
    <col min="6665" max="6665" width="18.109375" style="41" customWidth="1"/>
    <col min="6666" max="6912" width="11.5546875" style="41"/>
    <col min="6913" max="6917" width="14.6640625" style="41" customWidth="1"/>
    <col min="6918" max="6918" width="17.44140625" style="41" customWidth="1"/>
    <col min="6919" max="6919" width="14.6640625" style="41" customWidth="1"/>
    <col min="6920" max="6920" width="16.44140625" style="41" customWidth="1"/>
    <col min="6921" max="6921" width="18.109375" style="41" customWidth="1"/>
    <col min="6922" max="7168" width="11.5546875" style="41"/>
    <col min="7169" max="7173" width="14.6640625" style="41" customWidth="1"/>
    <col min="7174" max="7174" width="17.44140625" style="41" customWidth="1"/>
    <col min="7175" max="7175" width="14.6640625" style="41" customWidth="1"/>
    <col min="7176" max="7176" width="16.44140625" style="41" customWidth="1"/>
    <col min="7177" max="7177" width="18.109375" style="41" customWidth="1"/>
    <col min="7178" max="7424" width="11.5546875" style="41"/>
    <col min="7425" max="7429" width="14.6640625" style="41" customWidth="1"/>
    <col min="7430" max="7430" width="17.44140625" style="41" customWidth="1"/>
    <col min="7431" max="7431" width="14.6640625" style="41" customWidth="1"/>
    <col min="7432" max="7432" width="16.44140625" style="41" customWidth="1"/>
    <col min="7433" max="7433" width="18.109375" style="41" customWidth="1"/>
    <col min="7434" max="7680" width="11.5546875" style="41"/>
    <col min="7681" max="7685" width="14.6640625" style="41" customWidth="1"/>
    <col min="7686" max="7686" width="17.44140625" style="41" customWidth="1"/>
    <col min="7687" max="7687" width="14.6640625" style="41" customWidth="1"/>
    <col min="7688" max="7688" width="16.44140625" style="41" customWidth="1"/>
    <col min="7689" max="7689" width="18.109375" style="41" customWidth="1"/>
    <col min="7690" max="7936" width="11.5546875" style="41"/>
    <col min="7937" max="7941" width="14.6640625" style="41" customWidth="1"/>
    <col min="7942" max="7942" width="17.44140625" style="41" customWidth="1"/>
    <col min="7943" max="7943" width="14.6640625" style="41" customWidth="1"/>
    <col min="7944" max="7944" width="16.44140625" style="41" customWidth="1"/>
    <col min="7945" max="7945" width="18.109375" style="41" customWidth="1"/>
    <col min="7946" max="8192" width="11.5546875" style="41"/>
    <col min="8193" max="8197" width="14.6640625" style="41" customWidth="1"/>
    <col min="8198" max="8198" width="17.44140625" style="41" customWidth="1"/>
    <col min="8199" max="8199" width="14.6640625" style="41" customWidth="1"/>
    <col min="8200" max="8200" width="16.44140625" style="41" customWidth="1"/>
    <col min="8201" max="8201" width="18.109375" style="41" customWidth="1"/>
    <col min="8202" max="8448" width="11.5546875" style="41"/>
    <col min="8449" max="8453" width="14.6640625" style="41" customWidth="1"/>
    <col min="8454" max="8454" width="17.44140625" style="41" customWidth="1"/>
    <col min="8455" max="8455" width="14.6640625" style="41" customWidth="1"/>
    <col min="8456" max="8456" width="16.44140625" style="41" customWidth="1"/>
    <col min="8457" max="8457" width="18.109375" style="41" customWidth="1"/>
    <col min="8458" max="8704" width="11.5546875" style="41"/>
    <col min="8705" max="8709" width="14.6640625" style="41" customWidth="1"/>
    <col min="8710" max="8710" width="17.44140625" style="41" customWidth="1"/>
    <col min="8711" max="8711" width="14.6640625" style="41" customWidth="1"/>
    <col min="8712" max="8712" width="16.44140625" style="41" customWidth="1"/>
    <col min="8713" max="8713" width="18.109375" style="41" customWidth="1"/>
    <col min="8714" max="8960" width="11.5546875" style="41"/>
    <col min="8961" max="8965" width="14.6640625" style="41" customWidth="1"/>
    <col min="8966" max="8966" width="17.44140625" style="41" customWidth="1"/>
    <col min="8967" max="8967" width="14.6640625" style="41" customWidth="1"/>
    <col min="8968" max="8968" width="16.44140625" style="41" customWidth="1"/>
    <col min="8969" max="8969" width="18.109375" style="41" customWidth="1"/>
    <col min="8970" max="9216" width="11.5546875" style="41"/>
    <col min="9217" max="9221" width="14.6640625" style="41" customWidth="1"/>
    <col min="9222" max="9222" width="17.44140625" style="41" customWidth="1"/>
    <col min="9223" max="9223" width="14.6640625" style="41" customWidth="1"/>
    <col min="9224" max="9224" width="16.44140625" style="41" customWidth="1"/>
    <col min="9225" max="9225" width="18.109375" style="41" customWidth="1"/>
    <col min="9226" max="9472" width="11.5546875" style="41"/>
    <col min="9473" max="9477" width="14.6640625" style="41" customWidth="1"/>
    <col min="9478" max="9478" width="17.44140625" style="41" customWidth="1"/>
    <col min="9479" max="9479" width="14.6640625" style="41" customWidth="1"/>
    <col min="9480" max="9480" width="16.44140625" style="41" customWidth="1"/>
    <col min="9481" max="9481" width="18.109375" style="41" customWidth="1"/>
    <col min="9482" max="9728" width="11.5546875" style="41"/>
    <col min="9729" max="9733" width="14.6640625" style="41" customWidth="1"/>
    <col min="9734" max="9734" width="17.44140625" style="41" customWidth="1"/>
    <col min="9735" max="9735" width="14.6640625" style="41" customWidth="1"/>
    <col min="9736" max="9736" width="16.44140625" style="41" customWidth="1"/>
    <col min="9737" max="9737" width="18.109375" style="41" customWidth="1"/>
    <col min="9738" max="9984" width="11.5546875" style="41"/>
    <col min="9985" max="9989" width="14.6640625" style="41" customWidth="1"/>
    <col min="9990" max="9990" width="17.44140625" style="41" customWidth="1"/>
    <col min="9991" max="9991" width="14.6640625" style="41" customWidth="1"/>
    <col min="9992" max="9992" width="16.44140625" style="41" customWidth="1"/>
    <col min="9993" max="9993" width="18.109375" style="41" customWidth="1"/>
    <col min="9994" max="10240" width="11.5546875" style="41"/>
    <col min="10241" max="10245" width="14.6640625" style="41" customWidth="1"/>
    <col min="10246" max="10246" width="17.44140625" style="41" customWidth="1"/>
    <col min="10247" max="10247" width="14.6640625" style="41" customWidth="1"/>
    <col min="10248" max="10248" width="16.44140625" style="41" customWidth="1"/>
    <col min="10249" max="10249" width="18.109375" style="41" customWidth="1"/>
    <col min="10250" max="10496" width="11.5546875" style="41"/>
    <col min="10497" max="10501" width="14.6640625" style="41" customWidth="1"/>
    <col min="10502" max="10502" width="17.44140625" style="41" customWidth="1"/>
    <col min="10503" max="10503" width="14.6640625" style="41" customWidth="1"/>
    <col min="10504" max="10504" width="16.44140625" style="41" customWidth="1"/>
    <col min="10505" max="10505" width="18.109375" style="41" customWidth="1"/>
    <col min="10506" max="10752" width="11.5546875" style="41"/>
    <col min="10753" max="10757" width="14.6640625" style="41" customWidth="1"/>
    <col min="10758" max="10758" width="17.44140625" style="41" customWidth="1"/>
    <col min="10759" max="10759" width="14.6640625" style="41" customWidth="1"/>
    <col min="10760" max="10760" width="16.44140625" style="41" customWidth="1"/>
    <col min="10761" max="10761" width="18.109375" style="41" customWidth="1"/>
    <col min="10762" max="11008" width="11.5546875" style="41"/>
    <col min="11009" max="11013" width="14.6640625" style="41" customWidth="1"/>
    <col min="11014" max="11014" width="17.44140625" style="41" customWidth="1"/>
    <col min="11015" max="11015" width="14.6640625" style="41" customWidth="1"/>
    <col min="11016" max="11016" width="16.44140625" style="41" customWidth="1"/>
    <col min="11017" max="11017" width="18.109375" style="41" customWidth="1"/>
    <col min="11018" max="11264" width="11.5546875" style="41"/>
    <col min="11265" max="11269" width="14.6640625" style="41" customWidth="1"/>
    <col min="11270" max="11270" width="17.44140625" style="41" customWidth="1"/>
    <col min="11271" max="11271" width="14.6640625" style="41" customWidth="1"/>
    <col min="11272" max="11272" width="16.44140625" style="41" customWidth="1"/>
    <col min="11273" max="11273" width="18.109375" style="41" customWidth="1"/>
    <col min="11274" max="11520" width="11.5546875" style="41"/>
    <col min="11521" max="11525" width="14.6640625" style="41" customWidth="1"/>
    <col min="11526" max="11526" width="17.44140625" style="41" customWidth="1"/>
    <col min="11527" max="11527" width="14.6640625" style="41" customWidth="1"/>
    <col min="11528" max="11528" width="16.44140625" style="41" customWidth="1"/>
    <col min="11529" max="11529" width="18.109375" style="41" customWidth="1"/>
    <col min="11530" max="11776" width="11.5546875" style="41"/>
    <col min="11777" max="11781" width="14.6640625" style="41" customWidth="1"/>
    <col min="11782" max="11782" width="17.44140625" style="41" customWidth="1"/>
    <col min="11783" max="11783" width="14.6640625" style="41" customWidth="1"/>
    <col min="11784" max="11784" width="16.44140625" style="41" customWidth="1"/>
    <col min="11785" max="11785" width="18.109375" style="41" customWidth="1"/>
    <col min="11786" max="12032" width="11.5546875" style="41"/>
    <col min="12033" max="12037" width="14.6640625" style="41" customWidth="1"/>
    <col min="12038" max="12038" width="17.44140625" style="41" customWidth="1"/>
    <col min="12039" max="12039" width="14.6640625" style="41" customWidth="1"/>
    <col min="12040" max="12040" width="16.44140625" style="41" customWidth="1"/>
    <col min="12041" max="12041" width="18.109375" style="41" customWidth="1"/>
    <col min="12042" max="12288" width="11.5546875" style="41"/>
    <col min="12289" max="12293" width="14.6640625" style="41" customWidth="1"/>
    <col min="12294" max="12294" width="17.44140625" style="41" customWidth="1"/>
    <col min="12295" max="12295" width="14.6640625" style="41" customWidth="1"/>
    <col min="12296" max="12296" width="16.44140625" style="41" customWidth="1"/>
    <col min="12297" max="12297" width="18.109375" style="41" customWidth="1"/>
    <col min="12298" max="12544" width="11.5546875" style="41"/>
    <col min="12545" max="12549" width="14.6640625" style="41" customWidth="1"/>
    <col min="12550" max="12550" width="17.44140625" style="41" customWidth="1"/>
    <col min="12551" max="12551" width="14.6640625" style="41" customWidth="1"/>
    <col min="12552" max="12552" width="16.44140625" style="41" customWidth="1"/>
    <col min="12553" max="12553" width="18.109375" style="41" customWidth="1"/>
    <col min="12554" max="12800" width="11.5546875" style="41"/>
    <col min="12801" max="12805" width="14.6640625" style="41" customWidth="1"/>
    <col min="12806" max="12806" width="17.44140625" style="41" customWidth="1"/>
    <col min="12807" max="12807" width="14.6640625" style="41" customWidth="1"/>
    <col min="12808" max="12808" width="16.44140625" style="41" customWidth="1"/>
    <col min="12809" max="12809" width="18.109375" style="41" customWidth="1"/>
    <col min="12810" max="13056" width="11.5546875" style="41"/>
    <col min="13057" max="13061" width="14.6640625" style="41" customWidth="1"/>
    <col min="13062" max="13062" width="17.44140625" style="41" customWidth="1"/>
    <col min="13063" max="13063" width="14.6640625" style="41" customWidth="1"/>
    <col min="13064" max="13064" width="16.44140625" style="41" customWidth="1"/>
    <col min="13065" max="13065" width="18.109375" style="41" customWidth="1"/>
    <col min="13066" max="13312" width="11.5546875" style="41"/>
    <col min="13313" max="13317" width="14.6640625" style="41" customWidth="1"/>
    <col min="13318" max="13318" width="17.44140625" style="41" customWidth="1"/>
    <col min="13319" max="13319" width="14.6640625" style="41" customWidth="1"/>
    <col min="13320" max="13320" width="16.44140625" style="41" customWidth="1"/>
    <col min="13321" max="13321" width="18.109375" style="41" customWidth="1"/>
    <col min="13322" max="13568" width="11.5546875" style="41"/>
    <col min="13569" max="13573" width="14.6640625" style="41" customWidth="1"/>
    <col min="13574" max="13574" width="17.44140625" style="41" customWidth="1"/>
    <col min="13575" max="13575" width="14.6640625" style="41" customWidth="1"/>
    <col min="13576" max="13576" width="16.44140625" style="41" customWidth="1"/>
    <col min="13577" max="13577" width="18.109375" style="41" customWidth="1"/>
    <col min="13578" max="13824" width="11.5546875" style="41"/>
    <col min="13825" max="13829" width="14.6640625" style="41" customWidth="1"/>
    <col min="13830" max="13830" width="17.44140625" style="41" customWidth="1"/>
    <col min="13831" max="13831" width="14.6640625" style="41" customWidth="1"/>
    <col min="13832" max="13832" width="16.44140625" style="41" customWidth="1"/>
    <col min="13833" max="13833" width="18.109375" style="41" customWidth="1"/>
    <col min="13834" max="14080" width="11.5546875" style="41"/>
    <col min="14081" max="14085" width="14.6640625" style="41" customWidth="1"/>
    <col min="14086" max="14086" width="17.44140625" style="41" customWidth="1"/>
    <col min="14087" max="14087" width="14.6640625" style="41" customWidth="1"/>
    <col min="14088" max="14088" width="16.44140625" style="41" customWidth="1"/>
    <col min="14089" max="14089" width="18.109375" style="41" customWidth="1"/>
    <col min="14090" max="14336" width="11.5546875" style="41"/>
    <col min="14337" max="14341" width="14.6640625" style="41" customWidth="1"/>
    <col min="14342" max="14342" width="17.44140625" style="41" customWidth="1"/>
    <col min="14343" max="14343" width="14.6640625" style="41" customWidth="1"/>
    <col min="14344" max="14344" width="16.44140625" style="41" customWidth="1"/>
    <col min="14345" max="14345" width="18.109375" style="41" customWidth="1"/>
    <col min="14346" max="14592" width="11.5546875" style="41"/>
    <col min="14593" max="14597" width="14.6640625" style="41" customWidth="1"/>
    <col min="14598" max="14598" width="17.44140625" style="41" customWidth="1"/>
    <col min="14599" max="14599" width="14.6640625" style="41" customWidth="1"/>
    <col min="14600" max="14600" width="16.44140625" style="41" customWidth="1"/>
    <col min="14601" max="14601" width="18.109375" style="41" customWidth="1"/>
    <col min="14602" max="14848" width="11.5546875" style="41"/>
    <col min="14849" max="14853" width="14.6640625" style="41" customWidth="1"/>
    <col min="14854" max="14854" width="17.44140625" style="41" customWidth="1"/>
    <col min="14855" max="14855" width="14.6640625" style="41" customWidth="1"/>
    <col min="14856" max="14856" width="16.44140625" style="41" customWidth="1"/>
    <col min="14857" max="14857" width="18.109375" style="41" customWidth="1"/>
    <col min="14858" max="15104" width="11.5546875" style="41"/>
    <col min="15105" max="15109" width="14.6640625" style="41" customWidth="1"/>
    <col min="15110" max="15110" width="17.44140625" style="41" customWidth="1"/>
    <col min="15111" max="15111" width="14.6640625" style="41" customWidth="1"/>
    <col min="15112" max="15112" width="16.44140625" style="41" customWidth="1"/>
    <col min="15113" max="15113" width="18.109375" style="41" customWidth="1"/>
    <col min="15114" max="15360" width="11.5546875" style="41"/>
    <col min="15361" max="15365" width="14.6640625" style="41" customWidth="1"/>
    <col min="15366" max="15366" width="17.44140625" style="41" customWidth="1"/>
    <col min="15367" max="15367" width="14.6640625" style="41" customWidth="1"/>
    <col min="15368" max="15368" width="16.44140625" style="41" customWidth="1"/>
    <col min="15369" max="15369" width="18.109375" style="41" customWidth="1"/>
    <col min="15370" max="15616" width="11.5546875" style="41"/>
    <col min="15617" max="15621" width="14.6640625" style="41" customWidth="1"/>
    <col min="15622" max="15622" width="17.44140625" style="41" customWidth="1"/>
    <col min="15623" max="15623" width="14.6640625" style="41" customWidth="1"/>
    <col min="15624" max="15624" width="16.44140625" style="41" customWidth="1"/>
    <col min="15625" max="15625" width="18.109375" style="41" customWidth="1"/>
    <col min="15626" max="15872" width="11.5546875" style="41"/>
    <col min="15873" max="15877" width="14.6640625" style="41" customWidth="1"/>
    <col min="15878" max="15878" width="17.44140625" style="41" customWidth="1"/>
    <col min="15879" max="15879" width="14.6640625" style="41" customWidth="1"/>
    <col min="15880" max="15880" width="16.44140625" style="41" customWidth="1"/>
    <col min="15881" max="15881" width="18.109375" style="41" customWidth="1"/>
    <col min="15882" max="16128" width="11.5546875" style="41"/>
    <col min="16129" max="16133" width="14.6640625" style="41" customWidth="1"/>
    <col min="16134" max="16134" width="17.44140625" style="41" customWidth="1"/>
    <col min="16135" max="16135" width="14.6640625" style="41" customWidth="1"/>
    <col min="16136" max="16136" width="16.44140625" style="41" customWidth="1"/>
    <col min="16137" max="16137" width="18.109375" style="41" customWidth="1"/>
    <col min="16138" max="16384" width="11.5546875" style="41"/>
  </cols>
  <sheetData>
    <row r="1" spans="1:13" ht="20.100000000000001" customHeight="1" x14ac:dyDescent="0.3">
      <c r="A1" s="609">
        <f>+Budget!F1</f>
        <v>41768</v>
      </c>
      <c r="B1" s="609"/>
    </row>
    <row r="2" spans="1:13" ht="20.100000000000001" customHeight="1" x14ac:dyDescent="0.3">
      <c r="A2" s="71"/>
      <c r="B2" s="71"/>
    </row>
    <row r="3" spans="1:13" ht="20.100000000000001" customHeight="1" x14ac:dyDescent="0.3">
      <c r="A3" s="71"/>
      <c r="B3" s="71"/>
    </row>
    <row r="4" spans="1:13" ht="20.100000000000001" customHeight="1" thickBot="1" x14ac:dyDescent="0.35"/>
    <row r="5" spans="1:13" s="45" customFormat="1" ht="33" customHeight="1" x14ac:dyDescent="0.3">
      <c r="A5" s="67" t="s">
        <v>55</v>
      </c>
      <c r="B5" s="68" t="s">
        <v>50</v>
      </c>
      <c r="C5" s="69" t="s">
        <v>47</v>
      </c>
      <c r="D5" s="69" t="s">
        <v>58</v>
      </c>
      <c r="E5" s="69" t="s">
        <v>51</v>
      </c>
      <c r="F5" s="69" t="s">
        <v>82</v>
      </c>
      <c r="G5" s="70" t="s">
        <v>52</v>
      </c>
      <c r="H5" s="58" t="s">
        <v>27</v>
      </c>
      <c r="I5" s="57" t="s">
        <v>53</v>
      </c>
      <c r="J5" s="59" t="s">
        <v>57</v>
      </c>
      <c r="K5" s="108"/>
      <c r="L5" s="66" t="s">
        <v>54</v>
      </c>
    </row>
    <row r="6" spans="1:13" s="44" customFormat="1" ht="20.100000000000001" customHeight="1" x14ac:dyDescent="0.3">
      <c r="A6" s="52" t="s">
        <v>28</v>
      </c>
      <c r="B6" s="53">
        <f>+'[1]Détail de surfaces'!F15+'[1]Détail de surfaces'!F16+'[1]Détail de surfaces'!F17+'[1]Détail de surfaces'!F22+'[1]Détail de surfaces'!F23+'[1]Détail de surfaces'!F24+'[1]Détail de surfaces'!F25+'[1]Détail de surfaces'!F27</f>
        <v>40.85</v>
      </c>
      <c r="C6" s="53">
        <v>6.6</v>
      </c>
      <c r="D6" s="53">
        <f>+C6*G6</f>
        <v>33</v>
      </c>
      <c r="E6" s="54">
        <f t="shared" ref="E6:E14" si="0">+C6+B6</f>
        <v>47.45</v>
      </c>
      <c r="F6" s="96"/>
      <c r="G6" s="55">
        <v>5</v>
      </c>
      <c r="H6" s="55" t="s">
        <v>29</v>
      </c>
      <c r="I6" s="53">
        <f t="shared" ref="I6:I15" si="1">+E6*G6</f>
        <v>237.25</v>
      </c>
      <c r="J6" s="56">
        <v>4000</v>
      </c>
      <c r="K6" s="109">
        <f>+J6*E6</f>
        <v>189800</v>
      </c>
      <c r="L6" s="64">
        <f>+J6*I6</f>
        <v>949000</v>
      </c>
    </row>
    <row r="7" spans="1:13" s="44" customFormat="1" ht="20.100000000000001" customHeight="1" x14ac:dyDescent="0.3">
      <c r="A7" s="47" t="s">
        <v>30</v>
      </c>
      <c r="B7" s="48">
        <v>45.55</v>
      </c>
      <c r="C7" s="48">
        <v>0</v>
      </c>
      <c r="D7" s="53">
        <f t="shared" ref="D7:D14" si="2">+C7*G7</f>
        <v>0</v>
      </c>
      <c r="E7" s="49">
        <f t="shared" si="0"/>
        <v>45.55</v>
      </c>
      <c r="F7" s="97"/>
      <c r="G7" s="50">
        <v>1</v>
      </c>
      <c r="H7" s="50" t="s">
        <v>31</v>
      </c>
      <c r="I7" s="48">
        <f t="shared" si="1"/>
        <v>45.55</v>
      </c>
      <c r="J7" s="56">
        <v>4000</v>
      </c>
      <c r="K7" s="109">
        <f t="shared" ref="K7:K15" si="3">+J7*E7</f>
        <v>182200</v>
      </c>
      <c r="L7" s="64">
        <f t="shared" ref="L7:L15" si="4">+J7*I7</f>
        <v>182200</v>
      </c>
    </row>
    <row r="8" spans="1:13" s="44" customFormat="1" ht="20.100000000000001" customHeight="1" x14ac:dyDescent="0.3">
      <c r="A8" s="47" t="s">
        <v>56</v>
      </c>
      <c r="B8" s="48">
        <f>76.14+13.35</f>
        <v>89.49</v>
      </c>
      <c r="C8" s="48">
        <v>13.35</v>
      </c>
      <c r="D8" s="53">
        <f t="shared" si="2"/>
        <v>53.4</v>
      </c>
      <c r="E8" s="49">
        <f t="shared" si="0"/>
        <v>102.83999999999999</v>
      </c>
      <c r="F8" s="97"/>
      <c r="G8" s="50">
        <v>4</v>
      </c>
      <c r="H8" s="50" t="s">
        <v>32</v>
      </c>
      <c r="I8" s="48">
        <f t="shared" si="1"/>
        <v>411.35999999999996</v>
      </c>
      <c r="J8" s="56">
        <f>+K8/E8</f>
        <v>2917.1528588098017</v>
      </c>
      <c r="K8" s="109">
        <v>300000</v>
      </c>
      <c r="L8" s="64">
        <f>+K8*G8</f>
        <v>1200000</v>
      </c>
    </row>
    <row r="9" spans="1:13" s="44" customFormat="1" ht="20.100000000000001" customHeight="1" x14ac:dyDescent="0.3">
      <c r="A9" s="47" t="s">
        <v>33</v>
      </c>
      <c r="B9" s="48">
        <v>76.81</v>
      </c>
      <c r="C9" s="48">
        <v>13.35</v>
      </c>
      <c r="D9" s="53">
        <f t="shared" si="2"/>
        <v>26.7</v>
      </c>
      <c r="E9" s="49">
        <f t="shared" si="0"/>
        <v>90.16</v>
      </c>
      <c r="F9" s="97"/>
      <c r="G9" s="50">
        <v>2</v>
      </c>
      <c r="H9" s="51" t="s">
        <v>114</v>
      </c>
      <c r="I9" s="48">
        <f t="shared" si="1"/>
        <v>180.32</v>
      </c>
      <c r="J9" s="56">
        <f t="shared" ref="J9:J13" si="5">+K9/E9</f>
        <v>3327.4179236912159</v>
      </c>
      <c r="K9" s="109">
        <v>300000</v>
      </c>
      <c r="L9" s="64">
        <f t="shared" ref="L9:L11" si="6">+K9*G9</f>
        <v>600000</v>
      </c>
    </row>
    <row r="10" spans="1:13" s="44" customFormat="1" ht="20.100000000000001" customHeight="1" x14ac:dyDescent="0.3">
      <c r="A10" s="47" t="s">
        <v>34</v>
      </c>
      <c r="B10" s="48">
        <v>76.81</v>
      </c>
      <c r="C10" s="48">
        <v>13.35</v>
      </c>
      <c r="D10" s="53">
        <f t="shared" si="2"/>
        <v>40.049999999999997</v>
      </c>
      <c r="E10" s="49">
        <f t="shared" si="0"/>
        <v>90.16</v>
      </c>
      <c r="F10" s="97"/>
      <c r="G10" s="50">
        <v>3</v>
      </c>
      <c r="H10" s="51" t="s">
        <v>35</v>
      </c>
      <c r="I10" s="48">
        <f t="shared" si="1"/>
        <v>270.48</v>
      </c>
      <c r="J10" s="56">
        <f t="shared" si="5"/>
        <v>3327.4179236912159</v>
      </c>
      <c r="K10" s="109">
        <v>300000</v>
      </c>
      <c r="L10" s="64">
        <f t="shared" si="6"/>
        <v>900000</v>
      </c>
    </row>
    <row r="11" spans="1:13" s="44" customFormat="1" ht="20.100000000000001" customHeight="1" x14ac:dyDescent="0.3">
      <c r="A11" s="47" t="s">
        <v>36</v>
      </c>
      <c r="B11" s="48">
        <v>76.81</v>
      </c>
      <c r="C11" s="48">
        <v>13.35</v>
      </c>
      <c r="D11" s="53">
        <f t="shared" si="2"/>
        <v>13.35</v>
      </c>
      <c r="E11" s="49">
        <f t="shared" si="0"/>
        <v>90.16</v>
      </c>
      <c r="F11" s="97"/>
      <c r="G11" s="50">
        <v>1</v>
      </c>
      <c r="H11" s="50" t="s">
        <v>37</v>
      </c>
      <c r="I11" s="48">
        <f t="shared" si="1"/>
        <v>90.16</v>
      </c>
      <c r="J11" s="56">
        <f t="shared" si="5"/>
        <v>3327.4179236912159</v>
      </c>
      <c r="K11" s="109">
        <v>300000</v>
      </c>
      <c r="L11" s="64">
        <f t="shared" si="6"/>
        <v>300000</v>
      </c>
    </row>
    <row r="12" spans="1:13" s="44" customFormat="1" ht="20.100000000000001" customHeight="1" x14ac:dyDescent="0.3">
      <c r="A12" s="47" t="s">
        <v>38</v>
      </c>
      <c r="B12" s="48">
        <v>76.14</v>
      </c>
      <c r="C12" s="48">
        <v>13.35</v>
      </c>
      <c r="D12" s="53">
        <f t="shared" si="2"/>
        <v>40.049999999999997</v>
      </c>
      <c r="E12" s="49">
        <f t="shared" si="0"/>
        <v>89.49</v>
      </c>
      <c r="F12" s="97"/>
      <c r="G12" s="50">
        <v>3</v>
      </c>
      <c r="H12" s="51" t="s">
        <v>39</v>
      </c>
      <c r="I12" s="48">
        <f t="shared" si="1"/>
        <v>268.46999999999997</v>
      </c>
      <c r="J12" s="56">
        <f>+(Budget!$C$70+Budget!$C$71)*1.085</f>
        <v>0</v>
      </c>
      <c r="K12" s="109">
        <f t="shared" si="3"/>
        <v>0</v>
      </c>
      <c r="L12" s="64">
        <f t="shared" si="4"/>
        <v>0</v>
      </c>
    </row>
    <row r="13" spans="1:13" s="44" customFormat="1" ht="20.100000000000001" customHeight="1" x14ac:dyDescent="0.3">
      <c r="A13" s="47" t="s">
        <v>40</v>
      </c>
      <c r="B13" s="48">
        <v>76.81</v>
      </c>
      <c r="C13" s="48">
        <v>13.35</v>
      </c>
      <c r="D13" s="53">
        <f t="shared" si="2"/>
        <v>13.35</v>
      </c>
      <c r="E13" s="49">
        <f t="shared" si="0"/>
        <v>90.16</v>
      </c>
      <c r="F13" s="97"/>
      <c r="G13" s="50">
        <v>1</v>
      </c>
      <c r="H13" s="51" t="s">
        <v>41</v>
      </c>
      <c r="I13" s="48">
        <f t="shared" si="1"/>
        <v>90.16</v>
      </c>
      <c r="J13" s="56">
        <f t="shared" si="5"/>
        <v>3327.4179236912159</v>
      </c>
      <c r="K13" s="109">
        <v>300000</v>
      </c>
      <c r="L13" s="64">
        <f t="shared" si="4"/>
        <v>300000</v>
      </c>
    </row>
    <row r="14" spans="1:13" s="44" customFormat="1" ht="20.100000000000001" customHeight="1" x14ac:dyDescent="0.3">
      <c r="A14" s="47" t="s">
        <v>42</v>
      </c>
      <c r="B14" s="48">
        <v>76.989999999999995</v>
      </c>
      <c r="C14" s="48">
        <v>0</v>
      </c>
      <c r="D14" s="53">
        <f t="shared" si="2"/>
        <v>0</v>
      </c>
      <c r="E14" s="49">
        <f t="shared" si="0"/>
        <v>76.989999999999995</v>
      </c>
      <c r="F14" s="97"/>
      <c r="G14" s="50">
        <v>1</v>
      </c>
      <c r="H14" s="51" t="s">
        <v>43</v>
      </c>
      <c r="I14" s="48">
        <f t="shared" si="1"/>
        <v>76.989999999999995</v>
      </c>
      <c r="J14" s="56">
        <f>+Budget!$C$70+450-17.1579</f>
        <v>432.84210000000002</v>
      </c>
      <c r="K14" s="109">
        <f t="shared" si="3"/>
        <v>33324.513278999999</v>
      </c>
      <c r="L14" s="64">
        <f t="shared" si="4"/>
        <v>33324.513278999999</v>
      </c>
    </row>
    <row r="15" spans="1:13" s="44" customFormat="1" ht="19.8" customHeight="1" x14ac:dyDescent="0.3">
      <c r="A15" s="47"/>
      <c r="B15" s="48"/>
      <c r="C15" s="48"/>
      <c r="D15" s="53"/>
      <c r="E15" s="49"/>
      <c r="F15" s="97"/>
      <c r="G15" s="50">
        <v>1</v>
      </c>
      <c r="H15" s="50"/>
      <c r="I15" s="48">
        <f t="shared" si="1"/>
        <v>0</v>
      </c>
      <c r="J15" s="56">
        <v>3100</v>
      </c>
      <c r="K15" s="109">
        <f t="shared" si="3"/>
        <v>0</v>
      </c>
      <c r="L15" s="64">
        <f t="shared" si="4"/>
        <v>0</v>
      </c>
    </row>
    <row r="16" spans="1:13" s="43" customFormat="1" ht="20.100000000000001" customHeight="1" thickBot="1" x14ac:dyDescent="0.35">
      <c r="A16" s="60" t="s">
        <v>44</v>
      </c>
      <c r="B16" s="61"/>
      <c r="C16" s="61"/>
      <c r="D16" s="61">
        <f>SUM(D6:D15)</f>
        <v>219.9</v>
      </c>
      <c r="E16" s="61"/>
      <c r="F16" s="61"/>
      <c r="G16" s="62">
        <f>SUM(G6:G15)</f>
        <v>22</v>
      </c>
      <c r="H16" s="62"/>
      <c r="I16" s="61">
        <f>SUM(I6:I15)</f>
        <v>1670.7400000000002</v>
      </c>
      <c r="J16" s="63"/>
      <c r="K16" s="110"/>
      <c r="L16" s="65">
        <f>SUM(L6:L15)</f>
        <v>4464524.5132790003</v>
      </c>
      <c r="M16" s="146">
        <f>+Budget!F72</f>
        <v>0</v>
      </c>
    </row>
    <row r="17" spans="13:13" ht="20.100000000000001" customHeight="1" x14ac:dyDescent="0.3">
      <c r="M17" s="46">
        <f>+M16-L16</f>
        <v>-4464524.5132790003</v>
      </c>
    </row>
    <row r="72" spans="9:9" ht="20.100000000000001" customHeight="1" x14ac:dyDescent="0.3">
      <c r="I72" s="42">
        <f>+surfaces!J6255</f>
        <v>0</v>
      </c>
    </row>
  </sheetData>
  <mergeCells count="1">
    <mergeCell ref="A1:B1"/>
  </mergeCells>
  <pageMargins left="0.7" right="0.7" top="0.75" bottom="0.75" header="0.3" footer="0.3"/>
  <pageSetup paperSize="9" scale="35" orientation="landscape" horizontalDpi="4294967292" verticalDpi="4294967292" r:id="rId1"/>
  <headerFooter>
    <oddHeader xml:space="preserve">&amp;C&amp;16OPERATION BELLE VIE
GRILLE PREVISIONNELLE DE PRIX DE VENTE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L90"/>
  <sheetViews>
    <sheetView topLeftCell="A24" workbookViewId="0">
      <selection activeCell="B3" sqref="B3:E4"/>
    </sheetView>
  </sheetViews>
  <sheetFormatPr baseColWidth="10" defaultColWidth="11.5546875" defaultRowHeight="11.4" x14ac:dyDescent="0.2"/>
  <cols>
    <col min="1" max="1" width="46.6640625" style="4" customWidth="1"/>
    <col min="2" max="2" width="16.33203125" style="115" customWidth="1"/>
    <col min="3" max="3" width="9.109375" style="83" customWidth="1"/>
    <col min="4" max="4" width="17.6640625" style="115" customWidth="1"/>
    <col min="5" max="5" width="14.5546875" style="115" customWidth="1"/>
    <col min="6" max="6" width="18.109375" style="115" customWidth="1"/>
    <col min="7" max="7" width="0" style="88" hidden="1" customWidth="1"/>
    <col min="8" max="8" width="11.5546875" style="88"/>
    <col min="9" max="9" width="13.44140625" style="4" bestFit="1" customWidth="1"/>
    <col min="10" max="10" width="11.5546875" style="3"/>
    <col min="11" max="16384" width="11.5546875" style="4"/>
  </cols>
  <sheetData>
    <row r="1" spans="1:10" ht="12" customHeight="1" x14ac:dyDescent="0.2">
      <c r="A1" s="73"/>
      <c r="B1" s="113"/>
      <c r="C1" s="81"/>
      <c r="D1" s="113"/>
      <c r="E1" s="173" t="s">
        <v>118</v>
      </c>
      <c r="F1" s="2">
        <v>41746</v>
      </c>
    </row>
    <row r="2" spans="1:10" ht="12" customHeight="1" x14ac:dyDescent="0.2">
      <c r="A2" s="73"/>
      <c r="B2" s="113"/>
      <c r="C2" s="81"/>
      <c r="D2" s="113"/>
      <c r="E2" s="173"/>
      <c r="F2" s="2"/>
    </row>
    <row r="3" spans="1:10" ht="12" customHeight="1" x14ac:dyDescent="0.25">
      <c r="A3" s="5"/>
      <c r="B3" s="611" t="s">
        <v>283</v>
      </c>
      <c r="C3" s="611"/>
      <c r="D3" s="611"/>
      <c r="E3" s="611"/>
      <c r="F3" s="113"/>
    </row>
    <row r="4" spans="1:10" ht="12" customHeight="1" x14ac:dyDescent="0.25">
      <c r="A4" s="5"/>
      <c r="B4" s="611"/>
      <c r="C4" s="611"/>
      <c r="D4" s="611"/>
      <c r="E4" s="611"/>
      <c r="F4" s="113"/>
    </row>
    <row r="5" spans="1:10" ht="18" customHeight="1" x14ac:dyDescent="0.2">
      <c r="A5" s="610" t="s">
        <v>122</v>
      </c>
      <c r="B5" s="610"/>
      <c r="C5" s="610"/>
      <c r="D5" s="610"/>
      <c r="E5" s="610"/>
      <c r="F5" s="610"/>
    </row>
    <row r="6" spans="1:10" ht="18" customHeight="1" x14ac:dyDescent="0.2">
      <c r="A6" s="322"/>
      <c r="B6" s="322"/>
      <c r="C6" s="322"/>
      <c r="D6" s="322"/>
      <c r="E6" s="322"/>
      <c r="F6" s="322"/>
    </row>
    <row r="7" spans="1:10" ht="12" customHeight="1" thickBot="1" x14ac:dyDescent="0.3">
      <c r="B7" s="114"/>
      <c r="C7" s="82"/>
      <c r="D7" s="72"/>
      <c r="E7" s="113"/>
      <c r="F7" s="113"/>
    </row>
    <row r="8" spans="1:10" ht="12" customHeight="1" x14ac:dyDescent="0.25">
      <c r="B8" s="479"/>
      <c r="C8" s="480" t="str">
        <f>+Budget!C6</f>
        <v>SURF TERRAIN</v>
      </c>
      <c r="D8" s="481">
        <f>+Budget!D6</f>
        <v>3568</v>
      </c>
      <c r="E8" s="482" t="str">
        <f>+Budget!E6</f>
        <v>SUV M²</v>
      </c>
      <c r="F8" s="483">
        <f>+Budget!F6</f>
        <v>5084.3999999999996</v>
      </c>
      <c r="G8" s="89"/>
      <c r="H8" s="89"/>
    </row>
    <row r="9" spans="1:10" ht="12" customHeight="1" x14ac:dyDescent="0.25">
      <c r="B9" s="484"/>
      <c r="C9" s="444" t="str">
        <f>+Budget!C7</f>
        <v>SURF CONST, 50% M² ≤</v>
      </c>
      <c r="D9" s="445"/>
      <c r="E9" s="446" t="str">
        <f>+Budget!E7</f>
        <v>NB LOGTS</v>
      </c>
      <c r="F9" s="485">
        <f>+Budget!F7</f>
        <v>62.004878048780483</v>
      </c>
    </row>
    <row r="10" spans="1:10" ht="12.6" customHeight="1" x14ac:dyDescent="0.3">
      <c r="A10" s="171"/>
      <c r="B10" s="484"/>
      <c r="C10" s="444" t="str">
        <f>+Budget!C8</f>
        <v>SURF. PERMEABLE 35% M² ≤</v>
      </c>
      <c r="D10" s="445"/>
      <c r="E10" s="446" t="str">
        <f>+Budget!E8</f>
        <v>Surface PK m²</v>
      </c>
      <c r="F10" s="485">
        <f>+Budget!F8</f>
        <v>1694.8</v>
      </c>
    </row>
    <row r="11" spans="1:10" ht="12" x14ac:dyDescent="0.25">
      <c r="B11" s="484"/>
      <c r="C11" s="447" t="str">
        <f>+Budget!C9</f>
        <v>PLANCHER TAXABLE M²</v>
      </c>
      <c r="D11" s="448">
        <f>+Budget!D9</f>
        <v>5084.3999999999996</v>
      </c>
      <c r="E11" s="449" t="str">
        <f>+Budget!E9</f>
        <v xml:space="preserve">PK </v>
      </c>
      <c r="F11" s="486">
        <f>+Budget!F9</f>
        <v>16</v>
      </c>
    </row>
    <row r="12" spans="1:10" ht="12.6" thickBot="1" x14ac:dyDescent="0.3">
      <c r="B12" s="476"/>
      <c r="C12" s="487"/>
      <c r="D12" s="488"/>
      <c r="E12" s="489"/>
      <c r="F12" s="490"/>
      <c r="G12" s="89"/>
      <c r="H12" s="89"/>
    </row>
    <row r="13" spans="1:10" s="143" customFormat="1" ht="18.600000000000001" customHeight="1" x14ac:dyDescent="0.25">
      <c r="A13" s="460" t="s">
        <v>7</v>
      </c>
      <c r="B13" s="506"/>
      <c r="C13" s="507"/>
      <c r="D13" s="461" t="s">
        <v>0</v>
      </c>
      <c r="E13" s="462" t="s">
        <v>1</v>
      </c>
      <c r="F13" s="463" t="s">
        <v>2</v>
      </c>
      <c r="G13" s="142" t="s">
        <v>26</v>
      </c>
      <c r="H13" s="175"/>
      <c r="J13" s="144"/>
    </row>
    <row r="14" spans="1:10" s="6" customFormat="1" ht="12.6" customHeight="1" x14ac:dyDescent="0.25">
      <c r="A14" s="464"/>
      <c r="B14" s="116"/>
      <c r="C14" s="84"/>
      <c r="D14" s="116"/>
      <c r="E14" s="116"/>
      <c r="F14" s="465"/>
      <c r="G14" s="90"/>
      <c r="H14" s="176"/>
      <c r="J14" s="10"/>
    </row>
    <row r="15" spans="1:10" ht="12" hidden="1" x14ac:dyDescent="0.25">
      <c r="A15" s="466" t="s">
        <v>65</v>
      </c>
      <c r="B15" s="117"/>
      <c r="C15" s="85"/>
      <c r="D15" s="126"/>
      <c r="E15" s="126"/>
      <c r="F15" s="467"/>
      <c r="G15" s="79"/>
      <c r="H15" s="180" t="s">
        <v>73</v>
      </c>
    </row>
    <row r="16" spans="1:10" s="115" customFormat="1" ht="12" hidden="1" x14ac:dyDescent="0.25">
      <c r="A16" s="468" t="str">
        <f>+Budget!A14</f>
        <v>ACQUISITION XY 06</v>
      </c>
      <c r="B16" s="459">
        <f>+Budget!B14</f>
        <v>3280</v>
      </c>
      <c r="C16" s="459">
        <f>+Budget!C14</f>
        <v>304.8780487804878</v>
      </c>
      <c r="D16" s="118">
        <f>+Budget!D14</f>
        <v>1000000</v>
      </c>
      <c r="E16" s="118">
        <f>+Budget!E14</f>
        <v>0</v>
      </c>
      <c r="F16" s="469">
        <f>+Budget!F14</f>
        <v>1000000</v>
      </c>
      <c r="G16" s="450" t="e">
        <f>+F16/#REF!</f>
        <v>#REF!</v>
      </c>
      <c r="H16" s="451">
        <f t="shared" ref="H16:H67" si="0">+F16/$F$68</f>
        <v>0.10607575936672044</v>
      </c>
      <c r="J16" s="115">
        <v>420000</v>
      </c>
    </row>
    <row r="17" spans="1:10" s="115" customFormat="1" ht="12" hidden="1" x14ac:dyDescent="0.25">
      <c r="A17" s="468" t="s">
        <v>115</v>
      </c>
      <c r="B17" s="459"/>
      <c r="C17" s="508"/>
      <c r="D17" s="118">
        <v>0</v>
      </c>
      <c r="E17" s="123"/>
      <c r="F17" s="469">
        <f t="shared" ref="F17" si="1">E17+D17</f>
        <v>0</v>
      </c>
      <c r="G17" s="450"/>
      <c r="H17" s="451">
        <f t="shared" si="0"/>
        <v>0</v>
      </c>
      <c r="J17" s="115">
        <v>0</v>
      </c>
    </row>
    <row r="18" spans="1:10" s="115" customFormat="1" ht="12" hidden="1" x14ac:dyDescent="0.25">
      <c r="A18" s="468" t="str">
        <f>+Budget!A16</f>
        <v>DROIT DE MUTATION</v>
      </c>
      <c r="B18" s="459"/>
      <c r="C18" s="459"/>
      <c r="D18" s="118">
        <f>+Budget!D16</f>
        <v>63094.719999999994</v>
      </c>
      <c r="E18" s="118">
        <f>+Budget!E16</f>
        <v>0</v>
      </c>
      <c r="F18" s="469">
        <f>+Budget!F16</f>
        <v>63094.719999999994</v>
      </c>
      <c r="G18" s="450"/>
      <c r="H18" s="451">
        <f t="shared" si="0"/>
        <v>6.6928203360306021E-3</v>
      </c>
    </row>
    <row r="19" spans="1:10" ht="12" hidden="1" x14ac:dyDescent="0.25">
      <c r="A19" s="468" t="str">
        <f>+Budget!A17</f>
        <v>FRAIS NOTAIRES</v>
      </c>
      <c r="B19" s="459"/>
      <c r="C19" s="459"/>
      <c r="D19" s="118">
        <f>+Budget!D17</f>
        <v>9450</v>
      </c>
      <c r="E19" s="118">
        <f>+Budget!E17</f>
        <v>803.25000000000011</v>
      </c>
      <c r="F19" s="469">
        <f>+Budget!F17</f>
        <v>10253.25</v>
      </c>
      <c r="G19" s="98" t="e">
        <f>+F19/#REF!</f>
        <v>#REF!</v>
      </c>
      <c r="H19" s="179">
        <f t="shared" si="0"/>
        <v>1.0876212797268263E-3</v>
      </c>
      <c r="I19" s="3"/>
      <c r="J19" s="3">
        <f>+J16*3%</f>
        <v>12600</v>
      </c>
    </row>
    <row r="20" spans="1:10" ht="12" hidden="1" x14ac:dyDescent="0.25">
      <c r="A20" s="468" t="str">
        <f>+Budget!A19</f>
        <v>SONDAGES GEOTECHNIQUES</v>
      </c>
      <c r="B20" s="459"/>
      <c r="C20" s="459"/>
      <c r="D20" s="118">
        <f>+Budget!D19</f>
        <v>5500</v>
      </c>
      <c r="E20" s="118">
        <f>+Budget!E19</f>
        <v>467.5</v>
      </c>
      <c r="F20" s="469">
        <f>+Budget!F19</f>
        <v>5967.5</v>
      </c>
      <c r="G20" s="98" t="e">
        <f>+F20/#REF!</f>
        <v>#REF!</v>
      </c>
      <c r="H20" s="179">
        <f t="shared" si="0"/>
        <v>6.3300709402090423E-4</v>
      </c>
    </row>
    <row r="21" spans="1:10" ht="12" hidden="1" x14ac:dyDescent="0.25">
      <c r="A21" s="468" t="str">
        <f>+Budget!A20</f>
        <v>GEOMETRE</v>
      </c>
      <c r="B21" s="459"/>
      <c r="C21" s="459"/>
      <c r="D21" s="118">
        <f>+Budget!D20</f>
        <v>3000</v>
      </c>
      <c r="E21" s="118">
        <f>+Budget!E20</f>
        <v>255</v>
      </c>
      <c r="F21" s="469">
        <f>+Budget!F20</f>
        <v>3255</v>
      </c>
      <c r="G21" s="98" t="e">
        <f>+F21/#REF!</f>
        <v>#REF!</v>
      </c>
      <c r="H21" s="179">
        <f t="shared" si="0"/>
        <v>3.4527659673867501E-4</v>
      </c>
    </row>
    <row r="22" spans="1:10" ht="12" hidden="1" x14ac:dyDescent="0.25">
      <c r="A22" s="468" t="str">
        <f>+Budget!A21</f>
        <v>HUISSIER (affichage PC-recours)</v>
      </c>
      <c r="B22" s="459"/>
      <c r="C22" s="459"/>
      <c r="D22" s="118">
        <f>+Budget!D21</f>
        <v>600</v>
      </c>
      <c r="E22" s="118">
        <f>+Budget!E21</f>
        <v>51</v>
      </c>
      <c r="F22" s="469">
        <f>+Budget!F21</f>
        <v>651</v>
      </c>
      <c r="G22" s="98" t="e">
        <f>+F22/#REF!</f>
        <v>#REF!</v>
      </c>
      <c r="H22" s="179">
        <f t="shared" si="0"/>
        <v>6.9055319347735005E-5</v>
      </c>
    </row>
    <row r="23" spans="1:10" ht="12" hidden="1" x14ac:dyDescent="0.25">
      <c r="A23" s="468" t="str">
        <f>+Budget!A22</f>
        <v>ALEAS</v>
      </c>
      <c r="B23" s="459">
        <f>+Budget!B22</f>
        <v>0</v>
      </c>
      <c r="C23" s="459">
        <f>+Budget!C22</f>
        <v>0</v>
      </c>
      <c r="D23" s="118">
        <f>+Budget!D22</f>
        <v>0</v>
      </c>
      <c r="E23" s="118">
        <f>+Budget!E22</f>
        <v>0</v>
      </c>
      <c r="F23" s="469">
        <f>+Budget!F22</f>
        <v>0</v>
      </c>
      <c r="G23" s="98" t="e">
        <f>+F23/#REF!</f>
        <v>#REF!</v>
      </c>
      <c r="H23" s="179">
        <f t="shared" si="0"/>
        <v>0</v>
      </c>
    </row>
    <row r="24" spans="1:10" s="249" customFormat="1" ht="12" x14ac:dyDescent="0.25">
      <c r="A24" s="491" t="str">
        <f>+Budget!A23</f>
        <v>TOTAL FONCIER</v>
      </c>
      <c r="B24" s="509"/>
      <c r="C24" s="509"/>
      <c r="D24" s="492">
        <f>+Budget!D23</f>
        <v>1191859.72</v>
      </c>
      <c r="E24" s="492">
        <f>+Budget!E23</f>
        <v>1576.75</v>
      </c>
      <c r="F24" s="493">
        <f>+Budget!F23</f>
        <v>1193436.47</v>
      </c>
      <c r="G24" s="104" t="e">
        <f>SUM(G16:G22)</f>
        <v>#REF!</v>
      </c>
      <c r="H24" s="179">
        <f t="shared" si="0"/>
        <v>0.12659467981118827</v>
      </c>
      <c r="I24" s="72">
        <f>+F24</f>
        <v>1193436.47</v>
      </c>
      <c r="J24" s="306"/>
    </row>
    <row r="25" spans="1:10" s="249" customFormat="1" ht="12" hidden="1" x14ac:dyDescent="0.25">
      <c r="A25" s="494" t="str">
        <f>+Budget!A24</f>
        <v>2 - TAXES PC</v>
      </c>
      <c r="B25" s="510"/>
      <c r="C25" s="510"/>
      <c r="D25" s="495"/>
      <c r="E25" s="495"/>
      <c r="F25" s="496"/>
      <c r="G25" s="453"/>
      <c r="H25" s="179">
        <f t="shared" si="0"/>
        <v>0</v>
      </c>
      <c r="J25" s="306"/>
    </row>
    <row r="26" spans="1:10" ht="12" hidden="1" x14ac:dyDescent="0.25">
      <c r="A26" s="497" t="str">
        <f>+Budget!A25</f>
        <v>Taxe Aménagement</v>
      </c>
      <c r="B26" s="511"/>
      <c r="C26" s="511"/>
      <c r="D26" s="498">
        <f>+Budget!D25</f>
        <v>201505.10399999999</v>
      </c>
      <c r="E26" s="498"/>
      <c r="F26" s="499">
        <f>+Budget!F25</f>
        <v>201505.10399999999</v>
      </c>
      <c r="G26" s="98" t="e">
        <f>+F26/#REF!</f>
        <v>#REF!</v>
      </c>
      <c r="H26" s="179">
        <f t="shared" si="0"/>
        <v>2.1374806923069974E-2</v>
      </c>
      <c r="J26" s="4"/>
    </row>
    <row r="27" spans="1:10" ht="12" hidden="1" x14ac:dyDescent="0.25">
      <c r="A27" s="497" t="str">
        <f>+Budget!A26</f>
        <v>Redevance Archéologique Préventive</v>
      </c>
      <c r="B27" s="511"/>
      <c r="C27" s="511"/>
      <c r="D27" s="498">
        <f>+Budget!D26</f>
        <v>9050.232</v>
      </c>
      <c r="E27" s="498"/>
      <c r="F27" s="499">
        <f>+Budget!F26</f>
        <v>9050.232</v>
      </c>
      <c r="G27" s="98" t="e">
        <f>+F27/#REF!</f>
        <v>#REF!</v>
      </c>
      <c r="H27" s="179">
        <f t="shared" si="0"/>
        <v>9.6001023184499293E-4</v>
      </c>
      <c r="J27" s="4"/>
    </row>
    <row r="28" spans="1:10" ht="12" hidden="1" x14ac:dyDescent="0.25">
      <c r="A28" s="497" t="str">
        <f>+Budget!A27</f>
        <v>TAXE RACCORDEMENT EGOUT</v>
      </c>
      <c r="B28" s="511"/>
      <c r="C28" s="511"/>
      <c r="D28" s="498">
        <f>+Budget!D27</f>
        <v>46776.479999999996</v>
      </c>
      <c r="E28" s="498"/>
      <c r="F28" s="499">
        <f>+Budget!F27</f>
        <v>46776.479999999996</v>
      </c>
      <c r="G28" s="98" t="e">
        <f>+F28/#REF!</f>
        <v>#REF!</v>
      </c>
      <c r="H28" s="179">
        <f t="shared" si="0"/>
        <v>4.9618506365022106E-3</v>
      </c>
      <c r="J28" s="4"/>
    </row>
    <row r="29" spans="1:10" s="249" customFormat="1" ht="12" x14ac:dyDescent="0.25">
      <c r="A29" s="500" t="str">
        <f>+Budget!A28</f>
        <v>TOTAL TAXES SUR PC</v>
      </c>
      <c r="B29" s="512"/>
      <c r="C29" s="512"/>
      <c r="D29" s="501">
        <f>+Budget!D28</f>
        <v>257331.81599999999</v>
      </c>
      <c r="E29" s="501">
        <f>+Budget!E28</f>
        <v>0</v>
      </c>
      <c r="F29" s="502">
        <f>+Budget!F28</f>
        <v>257331.81599999999</v>
      </c>
      <c r="G29" s="104" t="e">
        <f>+F29/#REF!</f>
        <v>#REF!</v>
      </c>
      <c r="H29" s="179">
        <f t="shared" si="0"/>
        <v>2.7296667791417178E-2</v>
      </c>
      <c r="I29" s="72">
        <f>+F29+I24</f>
        <v>1450768.2859999998</v>
      </c>
      <c r="J29" s="306"/>
    </row>
    <row r="30" spans="1:10" s="249" customFormat="1" ht="12" hidden="1" x14ac:dyDescent="0.25">
      <c r="A30" s="494" t="str">
        <f>+Budget!A29</f>
        <v>3 - CONSTRUCTION</v>
      </c>
      <c r="B30" s="510"/>
      <c r="C30" s="510"/>
      <c r="D30" s="495">
        <f>+Budget!D29</f>
        <v>0</v>
      </c>
      <c r="E30" s="495">
        <f>+Budget!E29</f>
        <v>0</v>
      </c>
      <c r="F30" s="496">
        <f>+Budget!F29</f>
        <v>0</v>
      </c>
      <c r="G30" s="453"/>
      <c r="H30" s="179">
        <f t="shared" si="0"/>
        <v>0</v>
      </c>
      <c r="J30" s="306"/>
    </row>
    <row r="31" spans="1:10" ht="12" hidden="1" x14ac:dyDescent="0.25">
      <c r="A31" s="497" t="str">
        <f>+Budget!A30</f>
        <v>Terrassement - VRD - Esp. Verts - Clôtures</v>
      </c>
      <c r="B31" s="511"/>
      <c r="C31" s="511"/>
      <c r="D31" s="498">
        <f>+Budget!D30</f>
        <v>0</v>
      </c>
      <c r="E31" s="498">
        <f>+Budget!E30</f>
        <v>0</v>
      </c>
      <c r="F31" s="499">
        <f>+Budget!F30</f>
        <v>0</v>
      </c>
      <c r="G31" s="98" t="e">
        <f>+F31/#REF!</f>
        <v>#REF!</v>
      </c>
      <c r="H31" s="179">
        <f t="shared" si="0"/>
        <v>0</v>
      </c>
    </row>
    <row r="32" spans="1:10" ht="12" hidden="1" x14ac:dyDescent="0.25">
      <c r="A32" s="497" t="str">
        <f>+Budget!A31</f>
        <v xml:space="preserve">RACCORDEMENT - EU </v>
      </c>
      <c r="B32" s="511"/>
      <c r="C32" s="511"/>
      <c r="D32" s="498">
        <f>+Budget!D31</f>
        <v>0</v>
      </c>
      <c r="E32" s="498">
        <f>+Budget!E31</f>
        <v>0</v>
      </c>
      <c r="F32" s="499">
        <f>+Budget!F31</f>
        <v>0</v>
      </c>
      <c r="G32" s="98" t="e">
        <f>+F32/#REF!</f>
        <v>#REF!</v>
      </c>
      <c r="H32" s="179">
        <f t="shared" si="0"/>
        <v>0</v>
      </c>
    </row>
    <row r="33" spans="1:12" ht="12" hidden="1" x14ac:dyDescent="0.25">
      <c r="A33" s="497" t="str">
        <f>+Budget!A32</f>
        <v>BASSE TENSION - Dépose et repose de transfo</v>
      </c>
      <c r="B33" s="511"/>
      <c r="C33" s="511"/>
      <c r="D33" s="498">
        <f>+Budget!D32</f>
        <v>50000</v>
      </c>
      <c r="E33" s="498">
        <f>+Budget!E32</f>
        <v>4250</v>
      </c>
      <c r="F33" s="499">
        <f>+Budget!F32</f>
        <v>54250</v>
      </c>
      <c r="G33" s="98" t="e">
        <f>+F33/#REF!</f>
        <v>#REF!</v>
      </c>
      <c r="H33" s="179">
        <f t="shared" si="0"/>
        <v>5.7546099456445834E-3</v>
      </c>
    </row>
    <row r="34" spans="1:12" ht="12" hidden="1" x14ac:dyDescent="0.25">
      <c r="A34" s="497" t="str">
        <f>+Budget!A33</f>
        <v xml:space="preserve">RACCORDEMENT - FT- AEP </v>
      </c>
      <c r="B34" s="511"/>
      <c r="C34" s="511"/>
      <c r="D34" s="498">
        <f>+Budget!D33</f>
        <v>0</v>
      </c>
      <c r="E34" s="498">
        <f>+Budget!E33</f>
        <v>0</v>
      </c>
      <c r="F34" s="499">
        <f>+Budget!F33</f>
        <v>0</v>
      </c>
      <c r="G34" s="98" t="e">
        <f>+F34/#REF!</f>
        <v>#REF!</v>
      </c>
      <c r="H34" s="179">
        <f t="shared" si="0"/>
        <v>0</v>
      </c>
    </row>
    <row r="35" spans="1:12" ht="12" hidden="1" x14ac:dyDescent="0.25">
      <c r="A35" s="497" t="str">
        <f>+Budget!A34</f>
        <v xml:space="preserve">CONSTRUCTION </v>
      </c>
      <c r="B35" s="511"/>
      <c r="C35" s="511"/>
      <c r="D35" s="498">
        <f>+Budget!D34</f>
        <v>0</v>
      </c>
      <c r="E35" s="498">
        <f>+Budget!E34</f>
        <v>0</v>
      </c>
      <c r="F35" s="499">
        <f>+Budget!F34</f>
        <v>0</v>
      </c>
      <c r="G35" s="98" t="e">
        <f>+F35/#REF!</f>
        <v>#REF!</v>
      </c>
      <c r="H35" s="179">
        <f t="shared" si="0"/>
        <v>0</v>
      </c>
    </row>
    <row r="36" spans="1:12" ht="12" hidden="1" x14ac:dyDescent="0.25">
      <c r="A36" s="497" t="str">
        <f>+Budget!A35</f>
        <v>TOTAL CONSTRUCTION</v>
      </c>
      <c r="B36" s="511"/>
      <c r="C36" s="511"/>
      <c r="D36" s="498">
        <f>+Budget!D35</f>
        <v>5607197.8859465737</v>
      </c>
      <c r="E36" s="498">
        <f>+Budget!E35</f>
        <v>476611.82030545874</v>
      </c>
      <c r="F36" s="499">
        <f>+Budget!F35</f>
        <v>6083809.7062520329</v>
      </c>
      <c r="G36" s="98"/>
      <c r="H36" s="179">
        <f t="shared" si="0"/>
        <v>0.64534473443330875</v>
      </c>
    </row>
    <row r="37" spans="1:12" ht="12" hidden="1" x14ac:dyDescent="0.25">
      <c r="A37" s="497">
        <f>+Budget!A36</f>
        <v>0</v>
      </c>
      <c r="B37" s="511"/>
      <c r="C37" s="511"/>
      <c r="D37" s="498">
        <f>+Budget!D36</f>
        <v>0</v>
      </c>
      <c r="E37" s="498">
        <f>+Budget!E36</f>
        <v>0</v>
      </c>
      <c r="F37" s="499">
        <f>+Budget!F36</f>
        <v>0</v>
      </c>
      <c r="G37" s="98" t="e">
        <f>+F37/#REF!</f>
        <v>#REF!</v>
      </c>
      <c r="H37" s="179">
        <f t="shared" si="0"/>
        <v>0</v>
      </c>
    </row>
    <row r="38" spans="1:12" ht="12" hidden="1" x14ac:dyDescent="0.25">
      <c r="A38" s="497">
        <f>+Budget!A37</f>
        <v>0</v>
      </c>
      <c r="B38" s="511"/>
      <c r="C38" s="511"/>
      <c r="D38" s="498">
        <f>+Budget!D37</f>
        <v>0</v>
      </c>
      <c r="E38" s="498">
        <f>+Budget!E37</f>
        <v>0</v>
      </c>
      <c r="F38" s="499">
        <f>+Budget!F37</f>
        <v>0</v>
      </c>
      <c r="G38" s="98"/>
      <c r="H38" s="179">
        <f t="shared" si="0"/>
        <v>0</v>
      </c>
    </row>
    <row r="39" spans="1:12" s="249" customFormat="1" ht="12" x14ac:dyDescent="0.25">
      <c r="A39" s="500" t="str">
        <f>+Budget!A38</f>
        <v xml:space="preserve">TOTAL CONSTRUCTION </v>
      </c>
      <c r="B39" s="512"/>
      <c r="C39" s="512"/>
      <c r="D39" s="501">
        <f>+Budget!D38</f>
        <v>5657197.8859465737</v>
      </c>
      <c r="E39" s="501">
        <f>+Budget!E38</f>
        <v>480861.82030545874</v>
      </c>
      <c r="F39" s="502">
        <f>+Budget!F38</f>
        <v>6138059.7062520329</v>
      </c>
      <c r="G39" s="105" t="e">
        <f t="shared" ref="G39" si="2">SUM(G31:G37)</f>
        <v>#REF!</v>
      </c>
      <c r="H39" s="179">
        <f t="shared" si="0"/>
        <v>0.65109934437895334</v>
      </c>
      <c r="I39" s="169">
        <f>+F39/F8</f>
        <v>1207.2338341302875</v>
      </c>
      <c r="J39" s="170" t="s">
        <v>280</v>
      </c>
      <c r="L39" s="72">
        <f>+F39+F46</f>
        <v>6517545.2475910652</v>
      </c>
    </row>
    <row r="40" spans="1:12" s="249" customFormat="1" ht="12" hidden="1" x14ac:dyDescent="0.25">
      <c r="A40" s="494" t="str">
        <f>+Budget!A39</f>
        <v>4 - HON. TECHNIQUES</v>
      </c>
      <c r="B40" s="510"/>
      <c r="C40" s="510"/>
      <c r="D40" s="495">
        <f>+Budget!D39</f>
        <v>0</v>
      </c>
      <c r="E40" s="495">
        <f>+Budget!E39</f>
        <v>0</v>
      </c>
      <c r="F40" s="496">
        <f>+Budget!F39</f>
        <v>0</v>
      </c>
      <c r="G40" s="453"/>
      <c r="H40" s="179">
        <f t="shared" si="0"/>
        <v>0</v>
      </c>
      <c r="I40" s="169">
        <f>+F39/D11</f>
        <v>1207.2338341302875</v>
      </c>
      <c r="J40" s="170" t="s">
        <v>281</v>
      </c>
      <c r="K40" s="454"/>
    </row>
    <row r="41" spans="1:12" ht="12" hidden="1" x14ac:dyDescent="0.25">
      <c r="A41" s="497" t="str">
        <f>+Budget!A40</f>
        <v>CONCEPTION PERMIS DE CONST-PIECES ECRITES</v>
      </c>
      <c r="B41" s="511"/>
      <c r="C41" s="511"/>
      <c r="D41" s="498">
        <f>+Budget!D40</f>
        <v>138106.34339067072</v>
      </c>
      <c r="E41" s="498">
        <f>+Budget!E40</f>
        <v>11739.039188207011</v>
      </c>
      <c r="F41" s="499">
        <f>+Budget!F40</f>
        <v>149845.38257887773</v>
      </c>
      <c r="G41" s="98" t="e">
        <f>+F41/#REF!</f>
        <v>#REF!</v>
      </c>
      <c r="H41" s="179">
        <f t="shared" si="0"/>
        <v>1.5894962744651197E-2</v>
      </c>
      <c r="I41" s="39"/>
      <c r="K41" s="40"/>
    </row>
    <row r="42" spans="1:12" ht="12" hidden="1" x14ac:dyDescent="0.25">
      <c r="A42" s="497" t="str">
        <f>+Budget!A41</f>
        <v>MOD OPC</v>
      </c>
      <c r="B42" s="511"/>
      <c r="C42" s="511"/>
      <c r="D42" s="498">
        <f>+Budget!D41</f>
        <v>138106.34339067072</v>
      </c>
      <c r="E42" s="498">
        <f>+Budget!E41</f>
        <v>11739.039188207011</v>
      </c>
      <c r="F42" s="499">
        <f>+Budget!F41</f>
        <v>149845.38257887773</v>
      </c>
      <c r="G42" s="98" t="e">
        <f>+F42/#REF!</f>
        <v>#REF!</v>
      </c>
      <c r="H42" s="179">
        <f t="shared" si="0"/>
        <v>1.5894962744651197E-2</v>
      </c>
      <c r="I42" s="39"/>
      <c r="K42" s="40"/>
    </row>
    <row r="43" spans="1:12" ht="12" hidden="1" x14ac:dyDescent="0.25">
      <c r="A43" s="497" t="str">
        <f>+Budget!A42</f>
        <v>CONTRÔLE - TECHNIQUE</v>
      </c>
      <c r="B43" s="511"/>
      <c r="C43" s="511"/>
      <c r="D43" s="498">
        <f>+Budget!D42</f>
        <v>56571.978859465737</v>
      </c>
      <c r="E43" s="498">
        <f>+Budget!E42</f>
        <v>4808.618203054587</v>
      </c>
      <c r="F43" s="499">
        <f>+Budget!F42</f>
        <v>61380.597062520326</v>
      </c>
      <c r="G43" s="98" t="e">
        <f>+F43/#REF!</f>
        <v>#REF!</v>
      </c>
      <c r="H43" s="179">
        <f t="shared" si="0"/>
        <v>6.5109934437895334E-3</v>
      </c>
    </row>
    <row r="44" spans="1:12" ht="12" hidden="1" x14ac:dyDescent="0.25">
      <c r="A44" s="497" t="str">
        <f>+Budget!A43</f>
        <v xml:space="preserve">MISSION SPS </v>
      </c>
      <c r="B44" s="511"/>
      <c r="C44" s="511"/>
      <c r="D44" s="498">
        <f>+Budget!D43</f>
        <v>16971.593657839723</v>
      </c>
      <c r="E44" s="498">
        <f>+Budget!E43</f>
        <v>1442.5854609163764</v>
      </c>
      <c r="F44" s="499">
        <f>+Budget!F43</f>
        <v>18414.179118756099</v>
      </c>
      <c r="G44" s="98" t="e">
        <f>+F44/#REF!</f>
        <v>#REF!</v>
      </c>
      <c r="H44" s="179">
        <f t="shared" si="0"/>
        <v>1.95329803313686E-3</v>
      </c>
    </row>
    <row r="45" spans="1:12" ht="12" hidden="1" x14ac:dyDescent="0.25">
      <c r="A45" s="497"/>
      <c r="B45" s="511"/>
      <c r="C45" s="511"/>
      <c r="D45" s="498">
        <f>+Budget!D44</f>
        <v>0</v>
      </c>
      <c r="E45" s="498">
        <f>+Budget!E44</f>
        <v>0</v>
      </c>
      <c r="F45" s="499">
        <f>+Budget!F44</f>
        <v>0</v>
      </c>
      <c r="G45" s="98"/>
      <c r="H45" s="179">
        <f t="shared" si="0"/>
        <v>0</v>
      </c>
    </row>
    <row r="46" spans="1:12" s="249" customFormat="1" ht="12" x14ac:dyDescent="0.25">
      <c r="A46" s="500" t="str">
        <f>+Budget!A45</f>
        <v>TOTAL  HONO. TECHNIQUES</v>
      </c>
      <c r="B46" s="512"/>
      <c r="C46" s="512"/>
      <c r="D46" s="501">
        <f>+Budget!D45</f>
        <v>349756.25929864694</v>
      </c>
      <c r="E46" s="501">
        <f>+Budget!E45</f>
        <v>29729.282040384984</v>
      </c>
      <c r="F46" s="502">
        <f>+Budget!F45</f>
        <v>379485.54133903189</v>
      </c>
      <c r="G46" s="104" t="e">
        <f>+F46/#REF!</f>
        <v>#REF!</v>
      </c>
      <c r="H46" s="179">
        <f t="shared" si="0"/>
        <v>4.0254216966228787E-2</v>
      </c>
      <c r="I46" s="306">
        <f>+F46+F39</f>
        <v>6517545.2475910652</v>
      </c>
      <c r="J46" s="306">
        <v>2959521</v>
      </c>
    </row>
    <row r="47" spans="1:12" s="249" customFormat="1" ht="12" hidden="1" x14ac:dyDescent="0.25">
      <c r="A47" s="494" t="str">
        <f>+Budget!A46</f>
        <v>5 - GESTION</v>
      </c>
      <c r="B47" s="510"/>
      <c r="C47" s="510"/>
      <c r="D47" s="495">
        <f>+Budget!D46</f>
        <v>0</v>
      </c>
      <c r="E47" s="495">
        <f>+Budget!E46</f>
        <v>0</v>
      </c>
      <c r="F47" s="496">
        <f>+Budget!F46</f>
        <v>0</v>
      </c>
      <c r="G47" s="453"/>
      <c r="H47" s="179">
        <f t="shared" si="0"/>
        <v>0</v>
      </c>
      <c r="J47" s="306"/>
    </row>
    <row r="48" spans="1:12" ht="12" hidden="1" x14ac:dyDescent="0.25">
      <c r="A48" s="497" t="str">
        <f>+Budget!A47</f>
        <v>HONORAIRE  MODEX 5%</v>
      </c>
      <c r="B48" s="511"/>
      <c r="C48" s="511"/>
      <c r="D48" s="498">
        <f>+Budget!D47</f>
        <v>471250</v>
      </c>
      <c r="E48" s="498">
        <f>+Budget!E47</f>
        <v>40056.25</v>
      </c>
      <c r="F48" s="499">
        <f>+Budget!F47</f>
        <v>511306.25</v>
      </c>
      <c r="G48" s="98" t="e">
        <f>+F48/#REF!</f>
        <v>#REF!</v>
      </c>
      <c r="H48" s="179">
        <f t="shared" si="0"/>
        <v>5.42371987377002E-2</v>
      </c>
      <c r="I48" s="115">
        <f>+B48+F48</f>
        <v>511306.25</v>
      </c>
    </row>
    <row r="49" spans="1:10" ht="12" hidden="1" x14ac:dyDescent="0.25">
      <c r="A49" s="497" t="str">
        <f>+Budget!A48</f>
        <v>COM SUR VENTE 5%</v>
      </c>
      <c r="B49" s="511"/>
      <c r="C49" s="511"/>
      <c r="D49" s="498">
        <f>+Budget!D48</f>
        <v>471250</v>
      </c>
      <c r="E49" s="498">
        <f>+Budget!E48</f>
        <v>40056.25</v>
      </c>
      <c r="F49" s="499">
        <f>+Budget!F48</f>
        <v>511306.25</v>
      </c>
      <c r="G49" s="98"/>
      <c r="H49" s="179">
        <f t="shared" si="0"/>
        <v>5.42371987377002E-2</v>
      </c>
      <c r="I49" s="115">
        <f t="shared" ref="I49:I51" si="3">+B49+F49</f>
        <v>511306.25</v>
      </c>
    </row>
    <row r="50" spans="1:10" ht="12" hidden="1" x14ac:dyDescent="0.25">
      <c r="A50" s="497" t="str">
        <f>+Budget!A49</f>
        <v xml:space="preserve">INTERETS BANCAIRES </v>
      </c>
      <c r="B50" s="511"/>
      <c r="C50" s="511"/>
      <c r="D50" s="498">
        <f>+Budget!D49</f>
        <v>160000</v>
      </c>
      <c r="E50" s="498">
        <f>+Budget!E49</f>
        <v>0</v>
      </c>
      <c r="F50" s="499">
        <f>+Budget!F49</f>
        <v>160000</v>
      </c>
      <c r="G50" s="98" t="e">
        <f>+F50/#REF!</f>
        <v>#REF!</v>
      </c>
      <c r="H50" s="179">
        <f t="shared" si="0"/>
        <v>1.6972121498675267E-2</v>
      </c>
      <c r="I50" s="115">
        <f>+B50+F50</f>
        <v>160000</v>
      </c>
    </row>
    <row r="51" spans="1:10" ht="12" hidden="1" x14ac:dyDescent="0.25">
      <c r="A51" s="497" t="str">
        <f>+Budget!A50</f>
        <v>CHARGES BANCAIRES (frais de dossier &amp; com engmt)</v>
      </c>
      <c r="B51" s="511"/>
      <c r="C51" s="511"/>
      <c r="D51" s="498">
        <f>+Budget!D50</f>
        <v>120000</v>
      </c>
      <c r="E51" s="498">
        <f>+Budget!E50</f>
        <v>10200</v>
      </c>
      <c r="F51" s="499">
        <f>+Budget!F50</f>
        <v>130200</v>
      </c>
      <c r="G51" s="98" t="e">
        <f>+F51/#REF!</f>
        <v>#REF!</v>
      </c>
      <c r="H51" s="179">
        <f t="shared" si="0"/>
        <v>1.3811063869547001E-2</v>
      </c>
      <c r="I51" s="115">
        <f t="shared" si="3"/>
        <v>130200</v>
      </c>
    </row>
    <row r="52" spans="1:10" ht="12" hidden="1" x14ac:dyDescent="0.25">
      <c r="A52" s="497" t="str">
        <f>+Budget!A51</f>
        <v>ASSURANCE DO / CNR</v>
      </c>
      <c r="B52" s="511"/>
      <c r="C52" s="511"/>
      <c r="D52" s="498">
        <f>+Budget!D51</f>
        <v>0</v>
      </c>
      <c r="E52" s="498">
        <f>+Budget!E51</f>
        <v>0</v>
      </c>
      <c r="F52" s="499">
        <f>+Budget!F51</f>
        <v>0</v>
      </c>
      <c r="G52" s="98" t="e">
        <f>+F52/#REF!</f>
        <v>#REF!</v>
      </c>
      <c r="H52" s="179">
        <f t="shared" si="0"/>
        <v>0</v>
      </c>
      <c r="I52" s="115">
        <f>+I51+F52</f>
        <v>130200</v>
      </c>
    </row>
    <row r="53" spans="1:10" ht="12" hidden="1" x14ac:dyDescent="0.25">
      <c r="A53" s="497" t="str">
        <f>+Budget!A52</f>
        <v>ASSURANCE TRC</v>
      </c>
      <c r="B53" s="511"/>
      <c r="C53" s="511"/>
      <c r="D53" s="498">
        <f>+Budget!D52</f>
        <v>28285.989429732868</v>
      </c>
      <c r="E53" s="498">
        <f>+Budget!E52</f>
        <v>0</v>
      </c>
      <c r="F53" s="499">
        <f>+Budget!F52</f>
        <v>28285.989429732868</v>
      </c>
      <c r="G53" s="98" t="e">
        <f>+F53/#REF!</f>
        <v>#REF!</v>
      </c>
      <c r="H53" s="179">
        <f t="shared" si="0"/>
        <v>3.0004578081979415E-3</v>
      </c>
      <c r="I53" s="115">
        <f>+I52+F53</f>
        <v>158485.98942973287</v>
      </c>
    </row>
    <row r="54" spans="1:10" ht="12" hidden="1" x14ac:dyDescent="0.25">
      <c r="A54" s="497" t="str">
        <f>+Budget!A53</f>
        <v>ASSURANCE - GFA</v>
      </c>
      <c r="B54" s="511"/>
      <c r="C54" s="511"/>
      <c r="D54" s="498">
        <f>+Budget!D53</f>
        <v>117812.5</v>
      </c>
      <c r="E54" s="498">
        <f>+Budget!E53</f>
        <v>0</v>
      </c>
      <c r="F54" s="499">
        <f>+Budget!F53</f>
        <v>117812.5</v>
      </c>
      <c r="G54" s="98" t="e">
        <f>+F54/#REF!</f>
        <v>#REF!</v>
      </c>
      <c r="H54" s="179">
        <f t="shared" si="0"/>
        <v>1.249705040039175E-2</v>
      </c>
    </row>
    <row r="55" spans="1:10" ht="12" hidden="1" x14ac:dyDescent="0.25">
      <c r="A55" s="497" t="str">
        <f>+Budget!A54</f>
        <v>PUBLICITE COMMERCIAL</v>
      </c>
      <c r="B55" s="511"/>
      <c r="C55" s="511"/>
      <c r="D55" s="498">
        <f>+Budget!D54</f>
        <v>0</v>
      </c>
      <c r="E55" s="498">
        <f>+Budget!E54</f>
        <v>0</v>
      </c>
      <c r="F55" s="499">
        <f>+Budget!F54</f>
        <v>0</v>
      </c>
      <c r="G55" s="98" t="e">
        <f>+F55/#REF!</f>
        <v>#REF!</v>
      </c>
      <c r="H55" s="179">
        <f t="shared" si="0"/>
        <v>0</v>
      </c>
    </row>
    <row r="56" spans="1:10" ht="12" hidden="1" x14ac:dyDescent="0.25">
      <c r="A56" s="497" t="str">
        <f>+Budget!A55</f>
        <v>Création SCCV</v>
      </c>
      <c r="B56" s="511"/>
      <c r="C56" s="511"/>
      <c r="D56" s="498">
        <f>+Budget!D55</f>
        <v>0</v>
      </c>
      <c r="E56" s="498">
        <f>+Budget!E55</f>
        <v>0</v>
      </c>
      <c r="F56" s="499">
        <f>+Budget!F55</f>
        <v>0</v>
      </c>
      <c r="G56" s="98" t="e">
        <f>+F56/#REF!</f>
        <v>#REF!</v>
      </c>
      <c r="H56" s="179">
        <f t="shared" si="0"/>
        <v>0</v>
      </c>
    </row>
    <row r="57" spans="1:10" ht="12" hidden="1" x14ac:dyDescent="0.25">
      <c r="A57" s="497" t="str">
        <f>+Budget!A56</f>
        <v>ALEAS</v>
      </c>
      <c r="B57" s="511"/>
      <c r="C57" s="511"/>
      <c r="D57" s="498">
        <f>+Budget!D56</f>
        <v>0</v>
      </c>
      <c r="E57" s="498">
        <f>+Budget!E56</f>
        <v>0</v>
      </c>
      <c r="F57" s="499">
        <f>+Budget!F56</f>
        <v>0</v>
      </c>
      <c r="G57" s="98" t="e">
        <f>+F57/#REF!</f>
        <v>#REF!</v>
      </c>
      <c r="H57" s="179">
        <f t="shared" si="0"/>
        <v>0</v>
      </c>
    </row>
    <row r="58" spans="1:10" ht="12" hidden="1" x14ac:dyDescent="0.25">
      <c r="A58" s="497"/>
      <c r="B58" s="511"/>
      <c r="C58" s="511"/>
      <c r="D58" s="498">
        <f>+Budget!D57</f>
        <v>0</v>
      </c>
      <c r="E58" s="498">
        <f>+Budget!E57</f>
        <v>0</v>
      </c>
      <c r="F58" s="499">
        <f>+Budget!F57</f>
        <v>0</v>
      </c>
      <c r="G58" s="98"/>
      <c r="H58" s="179">
        <f t="shared" si="0"/>
        <v>0</v>
      </c>
    </row>
    <row r="59" spans="1:10" s="249" customFormat="1" ht="12" x14ac:dyDescent="0.25">
      <c r="A59" s="500" t="str">
        <f>+Budget!A58</f>
        <v>TOTAL GESTION</v>
      </c>
      <c r="B59" s="512"/>
      <c r="C59" s="512"/>
      <c r="D59" s="501">
        <f>+Budget!D58</f>
        <v>1368598.4894297328</v>
      </c>
      <c r="E59" s="501">
        <f>+Budget!E58</f>
        <v>90312.5</v>
      </c>
      <c r="F59" s="502">
        <f>+Budget!F58</f>
        <v>1458910.9894297328</v>
      </c>
      <c r="G59" s="93" t="e">
        <f>SUM(G48:G58)</f>
        <v>#REF!</v>
      </c>
      <c r="H59" s="179">
        <f t="shared" si="0"/>
        <v>0.15475509105221236</v>
      </c>
      <c r="I59" s="306"/>
      <c r="J59" s="306">
        <v>625927</v>
      </c>
    </row>
    <row r="60" spans="1:10" s="249" customFormat="1" ht="12" hidden="1" x14ac:dyDescent="0.25">
      <c r="A60" s="500" t="str">
        <f>+Budget!A59</f>
        <v>COÛT DE REVIENT  (1+2+3+4+5)</v>
      </c>
      <c r="B60" s="512">
        <f>+Budget!B59</f>
        <v>5084.3999999999996</v>
      </c>
      <c r="C60" s="512">
        <f>+Budget!C59</f>
        <v>1735.6510445037673</v>
      </c>
      <c r="D60" s="501">
        <f>+Budget!D59</f>
        <v>8824744.1706749536</v>
      </c>
      <c r="E60" s="501">
        <f>+Budget!E59</f>
        <v>602480.35234584368</v>
      </c>
      <c r="F60" s="502">
        <f>+Budget!F59</f>
        <v>9427224.5230207983</v>
      </c>
      <c r="G60" s="93"/>
      <c r="H60" s="179">
        <f t="shared" si="0"/>
        <v>1</v>
      </c>
      <c r="J60" s="306"/>
    </row>
    <row r="61" spans="1:10" ht="12" hidden="1" x14ac:dyDescent="0.25">
      <c r="A61" s="497" t="str">
        <f>+Budget!A60</f>
        <v>6 - FRAIS DE VENTE</v>
      </c>
      <c r="B61" s="511">
        <f>+Budget!B60</f>
        <v>0</v>
      </c>
      <c r="C61" s="511">
        <f>+Budget!C60</f>
        <v>0</v>
      </c>
      <c r="D61" s="498">
        <f>+Budget!D60</f>
        <v>0</v>
      </c>
      <c r="E61" s="498">
        <f>+Budget!E60</f>
        <v>0</v>
      </c>
      <c r="F61" s="499">
        <f>+Budget!F60</f>
        <v>0</v>
      </c>
      <c r="G61" s="79"/>
      <c r="H61" s="179">
        <f t="shared" si="0"/>
        <v>0</v>
      </c>
    </row>
    <row r="62" spans="1:10" ht="12" hidden="1" x14ac:dyDescent="0.25">
      <c r="A62" s="497" t="str">
        <f>+Budget!A61</f>
        <v>COMMERCIALISATION (via réseaux CGP)</v>
      </c>
      <c r="B62" s="511">
        <f>+Budget!B61</f>
        <v>0</v>
      </c>
      <c r="C62" s="511">
        <f>+Budget!C61</f>
        <v>0.1</v>
      </c>
      <c r="D62" s="498">
        <f>+Budget!D61</f>
        <v>0</v>
      </c>
      <c r="E62" s="498">
        <f>+Budget!E61</f>
        <v>0</v>
      </c>
      <c r="F62" s="499">
        <f>+Budget!F61</f>
        <v>0</v>
      </c>
      <c r="G62" s="98" t="e">
        <f>+F62/#REF!</f>
        <v>#REF!</v>
      </c>
      <c r="H62" s="179">
        <f t="shared" si="0"/>
        <v>0</v>
      </c>
    </row>
    <row r="63" spans="1:10" ht="12" hidden="1" x14ac:dyDescent="0.25">
      <c r="A63" s="497" t="str">
        <f>+Budget!A62</f>
        <v>PLATEFORME RESEAUX</v>
      </c>
      <c r="B63" s="511">
        <f>+Budget!B62</f>
        <v>0</v>
      </c>
      <c r="C63" s="511">
        <f>+Budget!C62</f>
        <v>0</v>
      </c>
      <c r="D63" s="498">
        <f>+Budget!D62</f>
        <v>0</v>
      </c>
      <c r="E63" s="498">
        <f>+Budget!E62</f>
        <v>0</v>
      </c>
      <c r="F63" s="499">
        <f>+Budget!F62</f>
        <v>0</v>
      </c>
      <c r="G63" s="98"/>
      <c r="H63" s="179">
        <f t="shared" si="0"/>
        <v>0</v>
      </c>
    </row>
    <row r="64" spans="1:10" ht="12" hidden="1" x14ac:dyDescent="0.25">
      <c r="A64" s="497" t="str">
        <f>+Budget!A63</f>
        <v>GARANTIE DU PREMIER LOCATAIRE (3 MOIS)</v>
      </c>
      <c r="B64" s="511">
        <f>+Budget!B63</f>
        <v>0</v>
      </c>
      <c r="C64" s="511">
        <f>+Budget!C63</f>
        <v>0</v>
      </c>
      <c r="D64" s="498">
        <f>+Budget!D63</f>
        <v>0</v>
      </c>
      <c r="E64" s="498">
        <f>+Budget!E63</f>
        <v>0</v>
      </c>
      <c r="F64" s="499">
        <f>+Budget!F63</f>
        <v>0</v>
      </c>
      <c r="G64" s="98" t="e">
        <f>+F64/#REF!</f>
        <v>#REF!</v>
      </c>
      <c r="H64" s="179">
        <f t="shared" si="0"/>
        <v>0</v>
      </c>
    </row>
    <row r="65" spans="1:11" ht="12" hidden="1" x14ac:dyDescent="0.25">
      <c r="A65" s="497" t="str">
        <f>+Budget!A64</f>
        <v>ALEAS</v>
      </c>
      <c r="B65" s="511">
        <f>+Budget!B64</f>
        <v>0</v>
      </c>
      <c r="C65" s="511">
        <f>+Budget!C64</f>
        <v>0</v>
      </c>
      <c r="D65" s="498">
        <f>+Budget!D64</f>
        <v>0</v>
      </c>
      <c r="E65" s="498">
        <f>+Budget!E64</f>
        <v>0</v>
      </c>
      <c r="F65" s="499">
        <f>+Budget!F64</f>
        <v>0</v>
      </c>
      <c r="G65" s="98" t="e">
        <f>+F65/#REF!</f>
        <v>#REF!</v>
      </c>
      <c r="H65" s="179">
        <f t="shared" si="0"/>
        <v>0</v>
      </c>
    </row>
    <row r="66" spans="1:11" ht="12" hidden="1" x14ac:dyDescent="0.25">
      <c r="A66" s="497">
        <f>+Budget!A65</f>
        <v>0</v>
      </c>
      <c r="B66" s="511">
        <f>+Budget!B65</f>
        <v>0</v>
      </c>
      <c r="C66" s="511">
        <f>+Budget!C65</f>
        <v>0</v>
      </c>
      <c r="D66" s="498">
        <f>+Budget!D65</f>
        <v>0</v>
      </c>
      <c r="E66" s="498">
        <f>+Budget!E65</f>
        <v>0</v>
      </c>
      <c r="F66" s="499">
        <f>+Budget!F65</f>
        <v>0</v>
      </c>
      <c r="G66" s="98"/>
      <c r="H66" s="179">
        <f t="shared" si="0"/>
        <v>0</v>
      </c>
    </row>
    <row r="67" spans="1:11" ht="12" hidden="1" x14ac:dyDescent="0.25">
      <c r="A67" s="497" t="str">
        <f>+Budget!A66</f>
        <v>DEPENSES DE COMMERCIALISATION</v>
      </c>
      <c r="B67" s="511">
        <f>+Budget!B66</f>
        <v>5084.3999999999996</v>
      </c>
      <c r="C67" s="511">
        <f>+Budget!C66</f>
        <v>0</v>
      </c>
      <c r="D67" s="498">
        <f>+Budget!D66</f>
        <v>0</v>
      </c>
      <c r="E67" s="498">
        <f>+Budget!E66</f>
        <v>0</v>
      </c>
      <c r="F67" s="499">
        <f>+Budget!F66</f>
        <v>0</v>
      </c>
      <c r="G67" s="93"/>
      <c r="H67" s="179">
        <f t="shared" si="0"/>
        <v>0</v>
      </c>
    </row>
    <row r="68" spans="1:11" ht="12" hidden="1" x14ac:dyDescent="0.25">
      <c r="A68" s="497" t="str">
        <f>+Budget!A67</f>
        <v>TOTAL DEPENSES (FRAIS BRUT +6)</v>
      </c>
      <c r="B68" s="511">
        <f>+Budget!B67</f>
        <v>5084.3999999999996</v>
      </c>
      <c r="C68" s="511">
        <f>+Budget!C67</f>
        <v>1735.6510445037673</v>
      </c>
      <c r="D68" s="498">
        <f>+Budget!D67</f>
        <v>8824744.1706749536</v>
      </c>
      <c r="E68" s="498">
        <f>+Budget!E67</f>
        <v>602480.35234584368</v>
      </c>
      <c r="F68" s="499">
        <f>+Budget!F67</f>
        <v>9427224.5230207983</v>
      </c>
      <c r="G68" s="106" t="e">
        <f>G59+G46+G39+G29+G24</f>
        <v>#REF!</v>
      </c>
      <c r="H68" s="179">
        <f>+F68/$F$68</f>
        <v>1</v>
      </c>
      <c r="I68" s="3">
        <f>83700-6500</f>
        <v>77200</v>
      </c>
      <c r="J68" s="3">
        <f>+I68+F68</f>
        <v>9504424.5230207983</v>
      </c>
    </row>
    <row r="69" spans="1:11" hidden="1" x14ac:dyDescent="0.2">
      <c r="A69" s="497" t="str">
        <f>+Budget!A68</f>
        <v>CHIFFRE D'AFFAIRE</v>
      </c>
      <c r="B69" s="511">
        <f>+Budget!B68</f>
        <v>0</v>
      </c>
      <c r="C69" s="511">
        <f>+Budget!C68</f>
        <v>0</v>
      </c>
      <c r="D69" s="498">
        <f>+Budget!D68</f>
        <v>0</v>
      </c>
      <c r="E69" s="498">
        <f>+Budget!E68</f>
        <v>0</v>
      </c>
      <c r="F69" s="499">
        <f>+Budget!F68</f>
        <v>0</v>
      </c>
      <c r="G69" s="79"/>
      <c r="H69" s="177"/>
    </row>
    <row r="70" spans="1:11" hidden="1" x14ac:dyDescent="0.2">
      <c r="A70" s="497">
        <f>+Budget!A69</f>
        <v>0</v>
      </c>
      <c r="B70" s="511">
        <f>+Budget!B69</f>
        <v>0</v>
      </c>
      <c r="C70" s="511">
        <f>+Budget!C69</f>
        <v>0</v>
      </c>
      <c r="D70" s="498">
        <f>+Budget!D69</f>
        <v>0</v>
      </c>
      <c r="E70" s="498">
        <f>+Budget!E69</f>
        <v>0</v>
      </c>
      <c r="F70" s="499">
        <f>+Budget!F69</f>
        <v>0</v>
      </c>
      <c r="G70" s="98" t="e">
        <f>+F70/#REF!</f>
        <v>#REF!</v>
      </c>
      <c r="H70" s="178"/>
      <c r="K70" s="4">
        <f>0.5%+(0.9%*(5150000-3000000)/7000000)</f>
        <v>7.7642857142857149E-3</v>
      </c>
    </row>
    <row r="71" spans="1:11" ht="12" hidden="1" x14ac:dyDescent="0.25">
      <c r="A71" s="497" t="str">
        <f>+Budget!A70</f>
        <v>TVA RESIDUELLE (à  récuperer)</v>
      </c>
      <c r="B71" s="511">
        <f>+Budget!B70</f>
        <v>5084.3999999999996</v>
      </c>
      <c r="C71" s="511">
        <f>+Budget!C70</f>
        <v>0</v>
      </c>
      <c r="D71" s="498">
        <f>+Budget!D70</f>
        <v>8824744.1706749555</v>
      </c>
      <c r="E71" s="498">
        <f>+Budget!E70</f>
        <v>602480.35234584368</v>
      </c>
      <c r="F71" s="499">
        <f>+Budget!F70</f>
        <v>0</v>
      </c>
      <c r="G71" s="98" t="e">
        <f>+F71/#REF!</f>
        <v>#REF!</v>
      </c>
      <c r="H71" s="179"/>
      <c r="J71" s="4"/>
    </row>
    <row r="72" spans="1:11" hidden="1" x14ac:dyDescent="0.2">
      <c r="A72" s="497">
        <f>+Budget!A71</f>
        <v>0</v>
      </c>
      <c r="B72" s="511">
        <f>+Budget!B71</f>
        <v>0</v>
      </c>
      <c r="C72" s="511">
        <f>+Budget!C71</f>
        <v>0</v>
      </c>
      <c r="D72" s="498">
        <f>+Budget!D71</f>
        <v>0</v>
      </c>
      <c r="E72" s="498">
        <f>+Budget!E71</f>
        <v>0</v>
      </c>
      <c r="F72" s="499">
        <f>+Budget!F71</f>
        <v>0</v>
      </c>
      <c r="G72" s="98"/>
      <c r="H72" s="178"/>
    </row>
    <row r="73" spans="1:11" ht="12" hidden="1" x14ac:dyDescent="0.25">
      <c r="A73" s="497" t="str">
        <f>+Budget!A72</f>
        <v>TOTAL CHIFFRE D'AFFAIRE</v>
      </c>
      <c r="B73" s="511">
        <f>+Budget!B72</f>
        <v>5084.3999999999996</v>
      </c>
      <c r="C73" s="511">
        <f>+Budget!C72</f>
        <v>1735.6510445037677</v>
      </c>
      <c r="D73" s="498">
        <f>+Budget!D72</f>
        <v>8824744.1706749555</v>
      </c>
      <c r="E73" s="498">
        <f>+Budget!E72</f>
        <v>602480.35234584368</v>
      </c>
      <c r="F73" s="499">
        <f>+Budget!F72</f>
        <v>0</v>
      </c>
      <c r="H73" s="179"/>
      <c r="J73" s="3">
        <f>+F73-surfaces!L16</f>
        <v>-4464524.5132790003</v>
      </c>
      <c r="K73" s="4">
        <f>+J73/(surfaces!I6+surfaces!I7)</f>
        <v>-15786.861786700849</v>
      </c>
    </row>
    <row r="74" spans="1:11" x14ac:dyDescent="0.2">
      <c r="A74" s="497"/>
      <c r="B74" s="511"/>
      <c r="C74" s="511"/>
      <c r="D74" s="498"/>
      <c r="E74" s="498"/>
      <c r="F74" s="499"/>
    </row>
    <row r="75" spans="1:11" s="249" customFormat="1" ht="13.2" customHeight="1" x14ac:dyDescent="0.25">
      <c r="A75" s="503" t="e">
        <f>+Budget!#REF!</f>
        <v>#REF!</v>
      </c>
      <c r="B75" s="513"/>
      <c r="C75" s="513"/>
      <c r="D75" s="504" t="e">
        <f>+Budget!#REF!</f>
        <v>#REF!</v>
      </c>
      <c r="E75" s="504">
        <f>+E60</f>
        <v>602480.35234584368</v>
      </c>
      <c r="F75" s="505">
        <f>+F60</f>
        <v>9427224.5230207983</v>
      </c>
      <c r="G75" s="453"/>
      <c r="H75" s="455"/>
      <c r="I75" s="170"/>
      <c r="J75" s="170"/>
      <c r="K75" s="174"/>
    </row>
    <row r="76" spans="1:11" s="249" customFormat="1" ht="12" x14ac:dyDescent="0.25">
      <c r="A76" s="472"/>
      <c r="B76" s="514"/>
      <c r="C76" s="514"/>
      <c r="D76" s="456"/>
      <c r="E76" s="456"/>
      <c r="F76" s="473"/>
      <c r="G76" s="453"/>
      <c r="H76" s="455"/>
      <c r="J76" s="306"/>
    </row>
    <row r="77" spans="1:11" x14ac:dyDescent="0.2">
      <c r="A77" s="468"/>
      <c r="B77" s="459"/>
      <c r="C77" s="459"/>
      <c r="D77" s="118"/>
      <c r="E77" s="118"/>
      <c r="F77" s="469"/>
    </row>
    <row r="78" spans="1:11" s="249" customFormat="1" ht="12" x14ac:dyDescent="0.25">
      <c r="A78" s="470" t="str">
        <f>+Budget!A79</f>
        <v>BILAN DE L'OPERATION</v>
      </c>
      <c r="B78" s="117"/>
      <c r="C78" s="117"/>
      <c r="D78" s="452"/>
      <c r="E78" s="452"/>
      <c r="F78" s="471"/>
      <c r="G78" s="453"/>
      <c r="H78" s="175" t="s">
        <v>73</v>
      </c>
      <c r="J78" s="306"/>
    </row>
    <row r="79" spans="1:11" x14ac:dyDescent="0.2">
      <c r="A79" s="474"/>
      <c r="B79" s="515"/>
      <c r="C79" s="515"/>
      <c r="D79" s="457"/>
      <c r="E79" s="457"/>
      <c r="F79" s="475"/>
    </row>
    <row r="80" spans="1:11" ht="12" x14ac:dyDescent="0.25">
      <c r="A80" s="468" t="str">
        <f>+Budget!A81</f>
        <v>TOTAL DEPENSES TTC</v>
      </c>
      <c r="B80" s="459"/>
      <c r="C80" s="459"/>
      <c r="D80" s="458">
        <f>+Budget!F81</f>
        <v>9427224.5230207983</v>
      </c>
      <c r="E80" s="118"/>
      <c r="F80" s="469"/>
    </row>
    <row r="81" spans="1:10" ht="12" x14ac:dyDescent="0.25">
      <c r="A81" s="468" t="e">
        <f>+Budget!#REF!</f>
        <v>#REF!</v>
      </c>
      <c r="B81" s="459"/>
      <c r="C81" s="459"/>
      <c r="D81" s="458" t="e">
        <f>+Budget!#REF!</f>
        <v>#REF!</v>
      </c>
      <c r="E81" s="118"/>
      <c r="F81" s="469"/>
    </row>
    <row r="82" spans="1:10" ht="12" x14ac:dyDescent="0.25">
      <c r="A82" s="468" t="e">
        <f>+Budget!#REF!</f>
        <v>#REF!</v>
      </c>
      <c r="B82" s="459"/>
      <c r="C82" s="459"/>
      <c r="D82" s="458" t="e">
        <f>+Budget!#REF!</f>
        <v>#REF!</v>
      </c>
      <c r="E82" s="118"/>
      <c r="F82" s="469"/>
    </row>
    <row r="83" spans="1:10" s="249" customFormat="1" ht="12" x14ac:dyDescent="0.25">
      <c r="A83" s="468" t="e">
        <f>+Budget!#REF!</f>
        <v>#REF!</v>
      </c>
      <c r="B83" s="459"/>
      <c r="C83" s="459"/>
      <c r="D83" s="517"/>
      <c r="E83" s="118"/>
      <c r="F83" s="516" t="e">
        <f>+Budget!#REF!</f>
        <v>#REF!</v>
      </c>
      <c r="G83" s="89"/>
      <c r="H83" s="89"/>
      <c r="J83" s="306"/>
    </row>
    <row r="84" spans="1:10" ht="12" x14ac:dyDescent="0.25">
      <c r="A84" s="468"/>
      <c r="B84" s="459"/>
      <c r="C84" s="459"/>
      <c r="D84" s="458"/>
      <c r="E84" s="118"/>
      <c r="F84" s="469"/>
    </row>
    <row r="85" spans="1:10" s="249" customFormat="1" ht="12" x14ac:dyDescent="0.25">
      <c r="A85" s="468" t="e">
        <f>+Budget!#REF!</f>
        <v>#REF!</v>
      </c>
      <c r="B85" s="459"/>
      <c r="C85" s="459"/>
      <c r="D85" s="458" t="e">
        <f>+Budget!#REF!</f>
        <v>#REF!</v>
      </c>
      <c r="E85" s="118"/>
      <c r="F85" s="469"/>
      <c r="G85" s="89"/>
      <c r="H85" s="89"/>
      <c r="J85" s="306"/>
    </row>
    <row r="86" spans="1:10" ht="12" x14ac:dyDescent="0.25">
      <c r="A86" s="468"/>
      <c r="B86" s="459"/>
      <c r="C86" s="459"/>
      <c r="D86" s="458"/>
      <c r="E86" s="118"/>
      <c r="F86" s="469"/>
    </row>
    <row r="87" spans="1:10" s="249" customFormat="1" ht="12" x14ac:dyDescent="0.25">
      <c r="A87" s="468" t="e">
        <f>+Budget!#REF!</f>
        <v>#REF!</v>
      </c>
      <c r="B87" s="459"/>
      <c r="C87" s="459"/>
      <c r="D87" s="458" t="e">
        <f>+Budget!#REF!</f>
        <v>#REF!</v>
      </c>
      <c r="E87" s="118"/>
      <c r="F87" s="469"/>
      <c r="G87" s="89"/>
      <c r="H87" s="89"/>
      <c r="J87" s="306"/>
    </row>
    <row r="88" spans="1:10" ht="12" x14ac:dyDescent="0.25">
      <c r="A88" s="468"/>
      <c r="B88" s="459"/>
      <c r="C88" s="459"/>
      <c r="D88" s="458"/>
      <c r="E88" s="118"/>
      <c r="F88" s="469"/>
    </row>
    <row r="89" spans="1:10" ht="12" x14ac:dyDescent="0.25">
      <c r="A89" s="468" t="e">
        <f>+Budget!#REF!</f>
        <v>#REF!</v>
      </c>
      <c r="B89" s="459"/>
      <c r="C89" s="459"/>
      <c r="D89" s="458" t="e">
        <f>+Budget!#REF!</f>
        <v>#REF!</v>
      </c>
      <c r="E89" s="118"/>
      <c r="F89" s="469"/>
    </row>
    <row r="90" spans="1:10" ht="12" thickBot="1" x14ac:dyDescent="0.25">
      <c r="A90" s="476"/>
      <c r="B90" s="488"/>
      <c r="C90" s="488"/>
      <c r="D90" s="477"/>
      <c r="E90" s="477"/>
      <c r="F90" s="478"/>
    </row>
  </sheetData>
  <mergeCells count="2">
    <mergeCell ref="A5:F5"/>
    <mergeCell ref="B3:E4"/>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2"/>
  <sheetViews>
    <sheetView tabSelected="1" topLeftCell="B41" zoomScale="102" zoomScaleNormal="102" workbookViewId="0">
      <selection activeCell="J84" sqref="J84"/>
    </sheetView>
  </sheetViews>
  <sheetFormatPr baseColWidth="10" defaultColWidth="11.5546875" defaultRowHeight="11.4" x14ac:dyDescent="0.2"/>
  <cols>
    <col min="1" max="1" width="46.6640625" style="4" customWidth="1"/>
    <col min="2" max="2" width="16.33203125" style="115" customWidth="1"/>
    <col min="3" max="3" width="9.109375" style="83" customWidth="1"/>
    <col min="4" max="4" width="17.6640625" style="570" customWidth="1"/>
    <col min="5" max="5" width="14.5546875" style="115" customWidth="1"/>
    <col min="6" max="6" width="18.109375" style="115" customWidth="1"/>
    <col min="7" max="7" width="0" style="88" hidden="1" customWidth="1"/>
    <col min="8" max="8" width="11.5546875" style="88"/>
    <col min="9" max="9" width="13.44140625" style="4" bestFit="1" customWidth="1"/>
    <col min="10" max="10" width="11.5546875" style="3"/>
    <col min="11" max="16384" width="11.5546875" style="4"/>
  </cols>
  <sheetData>
    <row r="1" spans="1:10" ht="12" customHeight="1" x14ac:dyDescent="0.2">
      <c r="A1" s="73"/>
      <c r="B1" s="113"/>
      <c r="C1" s="81"/>
      <c r="D1" s="548"/>
      <c r="E1" s="173" t="s">
        <v>118</v>
      </c>
      <c r="F1" s="2">
        <v>41768</v>
      </c>
    </row>
    <row r="2" spans="1:10" ht="12" customHeight="1" x14ac:dyDescent="0.25">
      <c r="A2" s="5"/>
      <c r="B2" s="612" t="s">
        <v>120</v>
      </c>
      <c r="C2" s="612"/>
      <c r="D2" s="612"/>
      <c r="E2" s="172"/>
      <c r="F2" s="113"/>
    </row>
    <row r="3" spans="1:10" ht="12" customHeight="1" x14ac:dyDescent="0.25">
      <c r="A3" s="5"/>
      <c r="B3" s="612"/>
      <c r="C3" s="612"/>
      <c r="D3" s="612"/>
      <c r="E3" s="113"/>
      <c r="F3" s="113"/>
    </row>
    <row r="4" spans="1:10" ht="18" customHeight="1" x14ac:dyDescent="0.2">
      <c r="A4" s="610" t="s">
        <v>340</v>
      </c>
      <c r="B4" s="610"/>
      <c r="C4" s="610"/>
      <c r="D4" s="610"/>
      <c r="E4" s="610"/>
      <c r="F4" s="610"/>
    </row>
    <row r="5" spans="1:10" ht="12" customHeight="1" x14ac:dyDescent="0.25">
      <c r="B5" s="114"/>
      <c r="C5" s="82"/>
      <c r="D5" s="549"/>
      <c r="E5" s="113"/>
      <c r="F5" s="113"/>
    </row>
    <row r="6" spans="1:10" ht="12" customHeight="1" x14ac:dyDescent="0.25">
      <c r="B6" s="147"/>
      <c r="C6" s="148" t="s">
        <v>59</v>
      </c>
      <c r="D6" s="550">
        <f>+B14+B15</f>
        <v>3568</v>
      </c>
      <c r="E6" s="149" t="s">
        <v>74</v>
      </c>
      <c r="F6" s="150">
        <f>+D7*3*95%</f>
        <v>5084.3999999999996</v>
      </c>
      <c r="G6" s="89"/>
      <c r="H6" s="89"/>
      <c r="J6" s="3">
        <f>+D7*3</f>
        <v>5352</v>
      </c>
    </row>
    <row r="7" spans="1:10" ht="12" customHeight="1" x14ac:dyDescent="0.25">
      <c r="B7" s="151"/>
      <c r="C7" s="152" t="s">
        <v>285</v>
      </c>
      <c r="D7" s="551">
        <f>+D6/2</f>
        <v>1784</v>
      </c>
      <c r="E7" s="153" t="s">
        <v>60</v>
      </c>
      <c r="F7" s="154">
        <f>+F6/82</f>
        <v>62.004878048780483</v>
      </c>
    </row>
    <row r="8" spans="1:10" ht="12.6" customHeight="1" x14ac:dyDescent="0.3">
      <c r="A8" s="171"/>
      <c r="B8" s="151"/>
      <c r="C8" s="152" t="s">
        <v>284</v>
      </c>
      <c r="D8" s="551">
        <f>+D6*35%</f>
        <v>1248.8</v>
      </c>
      <c r="E8" s="153" t="s">
        <v>124</v>
      </c>
      <c r="F8" s="155">
        <f>+F6/3</f>
        <v>1694.8</v>
      </c>
    </row>
    <row r="9" spans="1:10" ht="12" x14ac:dyDescent="0.25">
      <c r="B9" s="151"/>
      <c r="C9" s="152" t="s">
        <v>75</v>
      </c>
      <c r="D9" s="551">
        <f>+F6</f>
        <v>5084.3999999999996</v>
      </c>
      <c r="E9" s="153" t="s">
        <v>292</v>
      </c>
      <c r="F9" s="155">
        <v>16</v>
      </c>
    </row>
    <row r="10" spans="1:10" ht="12" x14ac:dyDescent="0.25">
      <c r="B10" s="156"/>
      <c r="C10" s="152"/>
      <c r="D10" s="552"/>
      <c r="E10" s="157"/>
      <c r="F10" s="158"/>
      <c r="G10" s="89"/>
      <c r="H10" s="89"/>
    </row>
    <row r="11" spans="1:10" s="143" customFormat="1" ht="18.600000000000001" customHeight="1" x14ac:dyDescent="0.25">
      <c r="A11" s="138" t="s">
        <v>7</v>
      </c>
      <c r="B11" s="139" t="s">
        <v>64</v>
      </c>
      <c r="C11" s="140" t="s">
        <v>63</v>
      </c>
      <c r="D11" s="553" t="s">
        <v>0</v>
      </c>
      <c r="E11" s="141" t="s">
        <v>1</v>
      </c>
      <c r="F11" s="141" t="s">
        <v>2</v>
      </c>
      <c r="G11" s="142" t="s">
        <v>26</v>
      </c>
      <c r="H11" s="175"/>
      <c r="J11" s="144"/>
    </row>
    <row r="12" spans="1:10" s="6" customFormat="1" ht="12.6" customHeight="1" x14ac:dyDescent="0.25">
      <c r="A12" s="78"/>
      <c r="B12" s="116"/>
      <c r="C12" s="84"/>
      <c r="D12" s="554"/>
      <c r="E12" s="116"/>
      <c r="F12" s="125"/>
      <c r="G12" s="90"/>
      <c r="H12" s="176"/>
      <c r="J12" s="10"/>
    </row>
    <row r="13" spans="1:10" ht="12" x14ac:dyDescent="0.25">
      <c r="A13" s="77" t="s">
        <v>65</v>
      </c>
      <c r="B13" s="117"/>
      <c r="C13" s="85"/>
      <c r="D13" s="555"/>
      <c r="E13" s="126"/>
      <c r="F13" s="127"/>
      <c r="G13" s="79"/>
      <c r="H13" s="180" t="s">
        <v>73</v>
      </c>
    </row>
    <row r="14" spans="1:10" ht="12" x14ac:dyDescent="0.25">
      <c r="A14" s="7" t="s">
        <v>341</v>
      </c>
      <c r="B14" s="118">
        <v>3280</v>
      </c>
      <c r="C14" s="107">
        <f>+D14/B14</f>
        <v>304.8780487804878</v>
      </c>
      <c r="D14" s="556">
        <v>1000000</v>
      </c>
      <c r="E14" s="128">
        <v>0</v>
      </c>
      <c r="F14" s="128">
        <f>E14+D14</f>
        <v>1000000</v>
      </c>
      <c r="G14" s="98" t="e">
        <f>+F14/#REF!</f>
        <v>#REF!</v>
      </c>
      <c r="H14" s="179">
        <f t="shared" ref="H14:H57" si="0">+F14/$F$59</f>
        <v>0.10607575936672044</v>
      </c>
      <c r="I14" s="3"/>
      <c r="J14" s="3">
        <v>420000</v>
      </c>
    </row>
    <row r="15" spans="1:10" ht="12" x14ac:dyDescent="0.25">
      <c r="A15" s="7" t="s">
        <v>342</v>
      </c>
      <c r="B15" s="118">
        <v>288</v>
      </c>
      <c r="C15" s="107">
        <v>305</v>
      </c>
      <c r="D15" s="556">
        <f>+C15*B15</f>
        <v>87840</v>
      </c>
      <c r="E15" s="123"/>
      <c r="F15" s="128">
        <f t="shared" ref="F15:F21" si="1">E15+D15</f>
        <v>87840</v>
      </c>
      <c r="G15" s="98"/>
      <c r="H15" s="179">
        <f t="shared" si="0"/>
        <v>9.3176947027727233E-3</v>
      </c>
      <c r="I15" s="3"/>
      <c r="J15" s="3">
        <v>0</v>
      </c>
    </row>
    <row r="16" spans="1:10" ht="12" x14ac:dyDescent="0.25">
      <c r="A16" s="7" t="s">
        <v>123</v>
      </c>
      <c r="B16" s="118"/>
      <c r="C16" s="86"/>
      <c r="D16" s="556">
        <f>(+D14+D15)*5.8%</f>
        <v>63094.719999999994</v>
      </c>
      <c r="E16" s="123"/>
      <c r="F16" s="128">
        <f t="shared" ref="F16" si="2">E16+D16</f>
        <v>63094.719999999994</v>
      </c>
      <c r="G16" s="98"/>
      <c r="H16" s="179">
        <f t="shared" si="0"/>
        <v>6.6928203360306021E-3</v>
      </c>
      <c r="I16" s="3"/>
    </row>
    <row r="17" spans="1:10" ht="12" x14ac:dyDescent="0.25">
      <c r="A17" s="9" t="s">
        <v>87</v>
      </c>
      <c r="B17" s="119"/>
      <c r="C17" s="87"/>
      <c r="D17" s="556">
        <f>+D14*0.825%+1200</f>
        <v>9450</v>
      </c>
      <c r="E17" s="123">
        <f>+D17*8.5%</f>
        <v>803.25000000000011</v>
      </c>
      <c r="F17" s="128">
        <f t="shared" si="1"/>
        <v>10253.25</v>
      </c>
      <c r="G17" s="98" t="e">
        <f>+F17/#REF!</f>
        <v>#REF!</v>
      </c>
      <c r="H17" s="179">
        <f t="shared" si="0"/>
        <v>1.0876212797268263E-3</v>
      </c>
      <c r="I17" s="3"/>
      <c r="J17" s="3">
        <f>+J14*3%</f>
        <v>12600</v>
      </c>
    </row>
    <row r="18" spans="1:10" ht="12" x14ac:dyDescent="0.25">
      <c r="A18" s="9" t="s">
        <v>299</v>
      </c>
      <c r="B18" s="119">
        <f>+'Plan de trésorerie'!AG64</f>
        <v>1425000</v>
      </c>
      <c r="C18" s="87"/>
      <c r="D18" s="556">
        <f>+B18*1.5%+1000</f>
        <v>22375</v>
      </c>
      <c r="E18" s="123"/>
      <c r="F18" s="128">
        <f t="shared" si="1"/>
        <v>22375</v>
      </c>
      <c r="G18" s="98"/>
      <c r="H18" s="179">
        <f t="shared" si="0"/>
        <v>2.3734451158303697E-3</v>
      </c>
      <c r="I18" s="3"/>
    </row>
    <row r="19" spans="1:10" ht="12" x14ac:dyDescent="0.25">
      <c r="A19" s="9" t="s">
        <v>306</v>
      </c>
      <c r="B19" s="119"/>
      <c r="C19" s="87"/>
      <c r="D19" s="556">
        <v>5500</v>
      </c>
      <c r="E19" s="123">
        <f>D19*8.5/100</f>
        <v>467.5</v>
      </c>
      <c r="F19" s="128">
        <f t="shared" si="1"/>
        <v>5967.5</v>
      </c>
      <c r="G19" s="98" t="e">
        <f>+F19/#REF!</f>
        <v>#REF!</v>
      </c>
      <c r="H19" s="179">
        <f t="shared" si="0"/>
        <v>6.3300709402090423E-4</v>
      </c>
    </row>
    <row r="20" spans="1:10" ht="12" x14ac:dyDescent="0.25">
      <c r="A20" s="9" t="s">
        <v>3</v>
      </c>
      <c r="B20" s="119"/>
      <c r="C20" s="87"/>
      <c r="D20" s="556">
        <v>3000</v>
      </c>
      <c r="E20" s="123">
        <f>D20*8.5/100</f>
        <v>255</v>
      </c>
      <c r="F20" s="128">
        <f t="shared" si="1"/>
        <v>3255</v>
      </c>
      <c r="G20" s="98" t="e">
        <f>+F20/#REF!</f>
        <v>#REF!</v>
      </c>
      <c r="H20" s="179">
        <f t="shared" si="0"/>
        <v>3.4527659673867501E-4</v>
      </c>
    </row>
    <row r="21" spans="1:10" ht="12" x14ac:dyDescent="0.25">
      <c r="A21" s="9" t="s">
        <v>61</v>
      </c>
      <c r="B21" s="119"/>
      <c r="C21" s="87"/>
      <c r="D21" s="556">
        <f>300*2</f>
        <v>600</v>
      </c>
      <c r="E21" s="123">
        <f>D21*8.5/100</f>
        <v>51</v>
      </c>
      <c r="F21" s="128">
        <f t="shared" si="1"/>
        <v>651</v>
      </c>
      <c r="G21" s="98" t="e">
        <f>+F21/#REF!</f>
        <v>#REF!</v>
      </c>
      <c r="H21" s="179">
        <f t="shared" si="0"/>
        <v>6.9055319347735005E-5</v>
      </c>
    </row>
    <row r="22" spans="1:10" ht="12" hidden="1" x14ac:dyDescent="0.25">
      <c r="A22" s="111" t="s">
        <v>85</v>
      </c>
      <c r="B22" s="121">
        <f>+$F$72</f>
        <v>0</v>
      </c>
      <c r="C22" s="112">
        <v>0</v>
      </c>
      <c r="D22" s="557">
        <f>+B22*C22</f>
        <v>0</v>
      </c>
      <c r="E22" s="133">
        <f>D22*8.5%</f>
        <v>0</v>
      </c>
      <c r="F22" s="133">
        <f>D22+E22</f>
        <v>0</v>
      </c>
      <c r="G22" s="98" t="e">
        <f>+F22/#REF!</f>
        <v>#REF!</v>
      </c>
      <c r="H22" s="179">
        <f t="shared" si="0"/>
        <v>0</v>
      </c>
    </row>
    <row r="23" spans="1:10" ht="12" x14ac:dyDescent="0.25">
      <c r="A23" s="80" t="s">
        <v>66</v>
      </c>
      <c r="B23" s="120">
        <f>+$F$6</f>
        <v>5084.3999999999996</v>
      </c>
      <c r="C23" s="165">
        <f>+D23/B23</f>
        <v>234.41501848792385</v>
      </c>
      <c r="D23" s="558">
        <f>SUM(D14:D21)</f>
        <v>1191859.72</v>
      </c>
      <c r="E23" s="129">
        <f>SUM(E14:E21)</f>
        <v>1576.75</v>
      </c>
      <c r="F23" s="129">
        <f>SUM(F14:F22)</f>
        <v>1193436.47</v>
      </c>
      <c r="G23" s="104" t="e">
        <f>SUM(G14:G21)</f>
        <v>#REF!</v>
      </c>
      <c r="H23" s="179">
        <f t="shared" si="0"/>
        <v>0.12659467981118827</v>
      </c>
      <c r="I23" s="115">
        <f>+F23</f>
        <v>1193436.47</v>
      </c>
    </row>
    <row r="24" spans="1:10" ht="12" x14ac:dyDescent="0.25">
      <c r="A24" s="77" t="s">
        <v>84</v>
      </c>
      <c r="B24" s="117"/>
      <c r="C24" s="145"/>
      <c r="D24" s="555"/>
      <c r="E24" s="126"/>
      <c r="F24" s="127"/>
      <c r="G24" s="79"/>
      <c r="H24" s="179">
        <f t="shared" si="0"/>
        <v>0</v>
      </c>
    </row>
    <row r="25" spans="1:10" ht="12" x14ac:dyDescent="0.25">
      <c r="A25" s="9" t="s">
        <v>62</v>
      </c>
      <c r="B25" s="119"/>
      <c r="C25" s="87"/>
      <c r="D25" s="556">
        <f>+$D$9*712*5.5%+150*F9</f>
        <v>201505.10399999999</v>
      </c>
      <c r="E25" s="123">
        <v>0</v>
      </c>
      <c r="F25" s="128">
        <f t="shared" ref="F25:F27" si="3">E25+D25</f>
        <v>201505.10399999999</v>
      </c>
      <c r="G25" s="98" t="e">
        <f>+F25/#REF!</f>
        <v>#REF!</v>
      </c>
      <c r="H25" s="179">
        <f t="shared" si="0"/>
        <v>2.1374806923069974E-2</v>
      </c>
      <c r="J25" s="4"/>
    </row>
    <row r="26" spans="1:10" ht="12" x14ac:dyDescent="0.25">
      <c r="A26" s="9" t="s">
        <v>15</v>
      </c>
      <c r="B26" s="119"/>
      <c r="C26" s="87"/>
      <c r="D26" s="556">
        <f>+$D$9*712/2*0.5%</f>
        <v>9050.232</v>
      </c>
      <c r="E26" s="123">
        <v>0</v>
      </c>
      <c r="F26" s="128">
        <f t="shared" si="3"/>
        <v>9050.232</v>
      </c>
      <c r="G26" s="98" t="e">
        <f>+F26/#REF!</f>
        <v>#REF!</v>
      </c>
      <c r="H26" s="179">
        <f t="shared" si="0"/>
        <v>9.6001023184499293E-4</v>
      </c>
      <c r="J26" s="4"/>
    </row>
    <row r="27" spans="1:10" ht="12" x14ac:dyDescent="0.25">
      <c r="A27" s="9" t="s">
        <v>4</v>
      </c>
      <c r="B27" s="119"/>
      <c r="C27" s="87"/>
      <c r="D27" s="556">
        <f>+D9*9.2</f>
        <v>46776.479999999996</v>
      </c>
      <c r="E27" s="130">
        <v>0</v>
      </c>
      <c r="F27" s="128">
        <f t="shared" si="3"/>
        <v>46776.479999999996</v>
      </c>
      <c r="G27" s="98" t="e">
        <f>+F27/#REF!</f>
        <v>#REF!</v>
      </c>
      <c r="H27" s="179">
        <f t="shared" si="0"/>
        <v>4.9618506365022106E-3</v>
      </c>
      <c r="J27" s="4"/>
    </row>
    <row r="28" spans="1:10" ht="12" x14ac:dyDescent="0.25">
      <c r="A28" s="75" t="s">
        <v>282</v>
      </c>
      <c r="B28" s="120">
        <f>+$F$6</f>
        <v>5084.3999999999996</v>
      </c>
      <c r="C28" s="165">
        <f>+D28/B28</f>
        <v>50.612032098182681</v>
      </c>
      <c r="D28" s="559">
        <f>SUM(D24:D27)</f>
        <v>257331.81599999999</v>
      </c>
      <c r="E28" s="129">
        <f>SUM(E24:E27)</f>
        <v>0</v>
      </c>
      <c r="F28" s="129">
        <f>SUM(F24:F27)</f>
        <v>257331.81599999999</v>
      </c>
      <c r="G28" s="104" t="e">
        <f>+F28/#REF!</f>
        <v>#REF!</v>
      </c>
      <c r="H28" s="179">
        <f t="shared" si="0"/>
        <v>2.7296667791417178E-2</v>
      </c>
      <c r="I28" s="115">
        <f>+F28+I23</f>
        <v>1450768.2859999998</v>
      </c>
    </row>
    <row r="29" spans="1:10" ht="12" x14ac:dyDescent="0.25">
      <c r="A29" s="77" t="s">
        <v>67</v>
      </c>
      <c r="B29" s="117"/>
      <c r="C29" s="85"/>
      <c r="D29" s="555"/>
      <c r="E29" s="126"/>
      <c r="F29" s="127"/>
      <c r="G29" s="79"/>
      <c r="H29" s="179">
        <f t="shared" si="0"/>
        <v>0</v>
      </c>
    </row>
    <row r="30" spans="1:10" ht="12" x14ac:dyDescent="0.25">
      <c r="A30" s="8" t="s">
        <v>22</v>
      </c>
      <c r="B30" s="119"/>
      <c r="C30" s="87"/>
      <c r="D30" s="560"/>
      <c r="E30" s="132"/>
      <c r="F30" s="128"/>
      <c r="G30" s="98" t="e">
        <f>+F30/#REF!</f>
        <v>#REF!</v>
      </c>
      <c r="H30" s="179">
        <f t="shared" si="0"/>
        <v>0</v>
      </c>
    </row>
    <row r="31" spans="1:10" ht="12" x14ac:dyDescent="0.25">
      <c r="A31" s="8" t="s">
        <v>314</v>
      </c>
      <c r="B31" s="119"/>
      <c r="C31" s="87"/>
      <c r="D31" s="560"/>
      <c r="E31" s="132"/>
      <c r="F31" s="128"/>
      <c r="G31" s="98" t="e">
        <f>+F31/#REF!</f>
        <v>#REF!</v>
      </c>
      <c r="H31" s="179">
        <f t="shared" si="0"/>
        <v>0</v>
      </c>
    </row>
    <row r="32" spans="1:10" ht="12" x14ac:dyDescent="0.25">
      <c r="A32" s="8" t="s">
        <v>313</v>
      </c>
      <c r="B32" s="119"/>
      <c r="C32" s="87"/>
      <c r="D32" s="560">
        <v>50000</v>
      </c>
      <c r="E32" s="132">
        <f>+D32*8.5%</f>
        <v>4250</v>
      </c>
      <c r="F32" s="128">
        <f>+E32+D32</f>
        <v>54250</v>
      </c>
      <c r="G32" s="98" t="e">
        <f>+F32/#REF!</f>
        <v>#REF!</v>
      </c>
      <c r="H32" s="179">
        <f t="shared" si="0"/>
        <v>5.7546099456445834E-3</v>
      </c>
    </row>
    <row r="33" spans="1:12" ht="12" x14ac:dyDescent="0.25">
      <c r="A33" s="8" t="s">
        <v>49</v>
      </c>
      <c r="B33" s="119"/>
      <c r="C33" s="87"/>
      <c r="D33" s="560"/>
      <c r="E33" s="132"/>
      <c r="F33" s="128"/>
      <c r="G33" s="98" t="e">
        <f>+F33/#REF!</f>
        <v>#REF!</v>
      </c>
      <c r="H33" s="179">
        <f t="shared" si="0"/>
        <v>0</v>
      </c>
    </row>
    <row r="34" spans="1:12" ht="12" x14ac:dyDescent="0.25">
      <c r="A34" s="9" t="s">
        <v>8</v>
      </c>
      <c r="B34" s="119"/>
      <c r="C34" s="87"/>
      <c r="D34" s="556"/>
      <c r="E34" s="123"/>
      <c r="F34" s="128"/>
      <c r="G34" s="98" t="e">
        <f>+F34/#REF!</f>
        <v>#REF!</v>
      </c>
      <c r="H34" s="179">
        <f t="shared" si="0"/>
        <v>0</v>
      </c>
    </row>
    <row r="35" spans="1:12" ht="12" x14ac:dyDescent="0.25">
      <c r="A35" s="252" t="s">
        <v>150</v>
      </c>
      <c r="B35" s="119"/>
      <c r="C35" s="253"/>
      <c r="D35" s="561">
        <f>+Estimation!E31</f>
        <v>5607197.8859465737</v>
      </c>
      <c r="E35" s="123">
        <f>D35*8.5/100</f>
        <v>476611.82030545874</v>
      </c>
      <c r="F35" s="128">
        <f t="shared" ref="F35" si="4">E35+D35</f>
        <v>6083809.7062520329</v>
      </c>
      <c r="G35" s="98"/>
      <c r="H35" s="179">
        <f t="shared" si="0"/>
        <v>0.64534473443330875</v>
      </c>
    </row>
    <row r="36" spans="1:12" ht="12" x14ac:dyDescent="0.25">
      <c r="A36" s="111"/>
      <c r="B36" s="121"/>
      <c r="C36" s="112"/>
      <c r="D36" s="557"/>
      <c r="E36" s="133"/>
      <c r="F36" s="128"/>
      <c r="G36" s="98" t="e">
        <f>+F36/#REF!</f>
        <v>#REF!</v>
      </c>
      <c r="H36" s="179">
        <f t="shared" si="0"/>
        <v>0</v>
      </c>
    </row>
    <row r="37" spans="1:12" ht="12" x14ac:dyDescent="0.25">
      <c r="A37" s="111"/>
      <c r="B37" s="121"/>
      <c r="C37" s="112"/>
      <c r="D37" s="557"/>
      <c r="E37" s="133"/>
      <c r="F37" s="133"/>
      <c r="G37" s="98"/>
      <c r="H37" s="179">
        <f t="shared" si="0"/>
        <v>0</v>
      </c>
    </row>
    <row r="38" spans="1:12" ht="12" x14ac:dyDescent="0.25">
      <c r="A38" s="80" t="s">
        <v>45</v>
      </c>
      <c r="B38" s="120">
        <f>+$F$6</f>
        <v>5084.3999999999996</v>
      </c>
      <c r="C38" s="165">
        <f>+D38/B38</f>
        <v>1112.6579116408177</v>
      </c>
      <c r="D38" s="558">
        <f>SUM(D30:D36)</f>
        <v>5657197.8859465737</v>
      </c>
      <c r="E38" s="129">
        <f t="shared" ref="E38:G38" si="5">SUM(E30:E36)</f>
        <v>480861.82030545874</v>
      </c>
      <c r="F38" s="129">
        <f>SUM(F30:F37)</f>
        <v>6138059.7062520329</v>
      </c>
      <c r="G38" s="105" t="e">
        <f t="shared" si="5"/>
        <v>#REF!</v>
      </c>
      <c r="H38" s="179">
        <f t="shared" si="0"/>
        <v>0.65109934437895334</v>
      </c>
      <c r="I38" s="572">
        <f>(+F38+F14)/$F$6</f>
        <v>1403.913875039736</v>
      </c>
      <c r="J38" s="170" t="s">
        <v>301</v>
      </c>
      <c r="L38" s="115">
        <f>+F38+F45</f>
        <v>6517545.2475910652</v>
      </c>
    </row>
    <row r="39" spans="1:12" ht="12" x14ac:dyDescent="0.25">
      <c r="A39" s="77" t="s">
        <v>68</v>
      </c>
      <c r="B39" s="117"/>
      <c r="C39" s="85"/>
      <c r="D39" s="555"/>
      <c r="E39" s="126"/>
      <c r="F39" s="127"/>
      <c r="G39" s="79"/>
      <c r="H39" s="179">
        <f t="shared" si="0"/>
        <v>0</v>
      </c>
      <c r="I39" s="169"/>
      <c r="J39" s="170"/>
      <c r="K39" s="40"/>
    </row>
    <row r="40" spans="1:12" ht="12" x14ac:dyDescent="0.25">
      <c r="A40" s="9" t="s">
        <v>321</v>
      </c>
      <c r="B40" s="119">
        <f>+$F$38</f>
        <v>6138059.7062520329</v>
      </c>
      <c r="C40" s="87">
        <v>2.2499999999999999E-2</v>
      </c>
      <c r="D40" s="556">
        <f>+B40*C40</f>
        <v>138106.34339067072</v>
      </c>
      <c r="E40" s="123">
        <f>D40*8.5/100</f>
        <v>11739.039188207011</v>
      </c>
      <c r="F40" s="128">
        <f t="shared" ref="F40:F43" si="6">E40+D40</f>
        <v>149845.38257887773</v>
      </c>
      <c r="G40" s="98" t="e">
        <f>+F40/#REF!</f>
        <v>#REF!</v>
      </c>
      <c r="H40" s="179">
        <f t="shared" si="0"/>
        <v>1.5894962744651197E-2</v>
      </c>
      <c r="I40" s="39"/>
      <c r="K40" s="40"/>
    </row>
    <row r="41" spans="1:12" ht="12" x14ac:dyDescent="0.25">
      <c r="A41" s="9" t="s">
        <v>322</v>
      </c>
      <c r="B41" s="119">
        <f>+$F$38</f>
        <v>6138059.7062520329</v>
      </c>
      <c r="C41" s="87">
        <v>2.2499999999999999E-2</v>
      </c>
      <c r="D41" s="556">
        <f>+B41*C41</f>
        <v>138106.34339067072</v>
      </c>
      <c r="E41" s="123">
        <f>D41*8.5/100</f>
        <v>11739.039188207011</v>
      </c>
      <c r="F41" s="128">
        <f t="shared" ref="F41" si="7">E41+D41</f>
        <v>149845.38257887773</v>
      </c>
      <c r="G41" s="98" t="e">
        <f>+F41/#REF!</f>
        <v>#REF!</v>
      </c>
      <c r="H41" s="179">
        <f t="shared" si="0"/>
        <v>1.5894962744651197E-2</v>
      </c>
      <c r="I41" s="39"/>
      <c r="K41" s="40"/>
    </row>
    <row r="42" spans="1:12" ht="12" x14ac:dyDescent="0.25">
      <c r="A42" s="9" t="s">
        <v>20</v>
      </c>
      <c r="B42" s="119"/>
      <c r="C42" s="87">
        <v>0.01</v>
      </c>
      <c r="D42" s="556">
        <f>+D38*1%</f>
        <v>56571.978859465737</v>
      </c>
      <c r="E42" s="123">
        <f>D42*8.5/100</f>
        <v>4808.618203054587</v>
      </c>
      <c r="F42" s="128">
        <f t="shared" si="6"/>
        <v>61380.597062520326</v>
      </c>
      <c r="G42" s="98" t="e">
        <f>+F42/#REF!</f>
        <v>#REF!</v>
      </c>
      <c r="H42" s="179">
        <f t="shared" si="0"/>
        <v>6.5109934437895334E-3</v>
      </c>
    </row>
    <row r="43" spans="1:12" ht="12" x14ac:dyDescent="0.25">
      <c r="A43" s="9" t="s">
        <v>21</v>
      </c>
      <c r="B43" s="119"/>
      <c r="C43" s="87">
        <v>3.0000000000000001E-3</v>
      </c>
      <c r="D43" s="556">
        <f>+D38*0.3%</f>
        <v>16971.593657839723</v>
      </c>
      <c r="E43" s="123">
        <f>D43*8.5/100</f>
        <v>1442.5854609163764</v>
      </c>
      <c r="F43" s="128">
        <f t="shared" si="6"/>
        <v>18414.179118756099</v>
      </c>
      <c r="G43" s="98" t="e">
        <f>+F43/#REF!</f>
        <v>#REF!</v>
      </c>
      <c r="H43" s="179">
        <f t="shared" si="0"/>
        <v>1.95329803313686E-3</v>
      </c>
    </row>
    <row r="44" spans="1:12" ht="12" x14ac:dyDescent="0.25">
      <c r="A44" s="9"/>
      <c r="B44" s="119"/>
      <c r="C44" s="87"/>
      <c r="D44" s="556"/>
      <c r="E44" s="123"/>
      <c r="F44" s="123"/>
      <c r="G44" s="98"/>
      <c r="H44" s="179">
        <f t="shared" si="0"/>
        <v>0</v>
      </c>
    </row>
    <row r="45" spans="1:12" ht="12" x14ac:dyDescent="0.25">
      <c r="A45" s="80" t="s">
        <v>46</v>
      </c>
      <c r="B45" s="120">
        <f>+$F$6</f>
        <v>5084.3999999999996</v>
      </c>
      <c r="C45" s="165">
        <f>+D45/B45</f>
        <v>68.790075387193568</v>
      </c>
      <c r="D45" s="558">
        <f>SUM(D40:D44)</f>
        <v>349756.25929864694</v>
      </c>
      <c r="E45" s="129">
        <f>SUM(E40:E44)</f>
        <v>29729.282040384984</v>
      </c>
      <c r="F45" s="129">
        <f>SUM(F40:F44)</f>
        <v>379485.54133903189</v>
      </c>
      <c r="G45" s="104" t="e">
        <f>+F45/#REF!</f>
        <v>#REF!</v>
      </c>
      <c r="H45" s="179">
        <f t="shared" si="0"/>
        <v>4.0254216966228787E-2</v>
      </c>
      <c r="I45" s="3">
        <f>+F45+F38</f>
        <v>6517545.2475910652</v>
      </c>
      <c r="J45" s="3">
        <v>2959521</v>
      </c>
    </row>
    <row r="46" spans="1:12" ht="12.6" thickBot="1" x14ac:dyDescent="0.3">
      <c r="A46" s="77" t="s">
        <v>69</v>
      </c>
      <c r="B46" s="117"/>
      <c r="C46" s="85"/>
      <c r="D46" s="555"/>
      <c r="E46" s="126"/>
      <c r="F46" s="127"/>
      <c r="G46" s="79"/>
      <c r="H46" s="179">
        <f t="shared" si="0"/>
        <v>0</v>
      </c>
    </row>
    <row r="47" spans="1:12" ht="12.6" thickBot="1" x14ac:dyDescent="0.3">
      <c r="A47" s="8" t="s">
        <v>325</v>
      </c>
      <c r="B47" s="119">
        <f>+J73</f>
        <v>9425000</v>
      </c>
      <c r="C47" s="87">
        <v>0.05</v>
      </c>
      <c r="D47" s="560">
        <f>+B47*C47</f>
        <v>471250</v>
      </c>
      <c r="E47" s="132">
        <f>D47*8.5%</f>
        <v>40056.25</v>
      </c>
      <c r="F47" s="128">
        <f t="shared" ref="F47:F55" si="8">E47+D47</f>
        <v>511306.25</v>
      </c>
      <c r="G47" s="98" t="e">
        <f>+F47/#REF!</f>
        <v>#REF!</v>
      </c>
      <c r="H47" s="179">
        <f t="shared" si="0"/>
        <v>5.42371987377002E-2</v>
      </c>
      <c r="I47" s="115">
        <f>+B47+F47</f>
        <v>9936306.25</v>
      </c>
      <c r="J47" s="542"/>
    </row>
    <row r="48" spans="1:12" ht="12" x14ac:dyDescent="0.25">
      <c r="A48" s="8" t="s">
        <v>326</v>
      </c>
      <c r="B48" s="119">
        <f>+J73</f>
        <v>9425000</v>
      </c>
      <c r="C48" s="87">
        <v>0.05</v>
      </c>
      <c r="D48" s="560">
        <f>+B48*C48</f>
        <v>471250</v>
      </c>
      <c r="E48" s="132">
        <f>D48*8.5%</f>
        <v>40056.25</v>
      </c>
      <c r="F48" s="128">
        <f t="shared" si="8"/>
        <v>511306.25</v>
      </c>
      <c r="G48" s="98"/>
      <c r="H48" s="179">
        <f t="shared" si="0"/>
        <v>5.42371987377002E-2</v>
      </c>
      <c r="I48" s="115">
        <f t="shared" ref="I48:I50" si="9">+B48+F48</f>
        <v>9936306.25</v>
      </c>
    </row>
    <row r="49" spans="1:11" ht="12" x14ac:dyDescent="0.25">
      <c r="A49" s="8" t="s">
        <v>48</v>
      </c>
      <c r="B49" s="119"/>
      <c r="C49" s="87"/>
      <c r="D49" s="560">
        <v>160000</v>
      </c>
      <c r="E49" s="119">
        <v>0</v>
      </c>
      <c r="F49" s="128">
        <f t="shared" si="8"/>
        <v>160000</v>
      </c>
      <c r="G49" s="98" t="e">
        <f>+F49/#REF!</f>
        <v>#REF!</v>
      </c>
      <c r="H49" s="179">
        <f t="shared" si="0"/>
        <v>1.6972121498675267E-2</v>
      </c>
      <c r="I49" s="115">
        <f>+B49+F49</f>
        <v>160000</v>
      </c>
      <c r="J49" s="543" t="s">
        <v>298</v>
      </c>
    </row>
    <row r="50" spans="1:11" ht="12" x14ac:dyDescent="0.25">
      <c r="A50" s="8" t="s">
        <v>277</v>
      </c>
      <c r="B50" s="119">
        <v>8000000</v>
      </c>
      <c r="C50" s="87">
        <v>1.4999999999999999E-2</v>
      </c>
      <c r="D50" s="556">
        <f>+B50*C50</f>
        <v>120000</v>
      </c>
      <c r="E50" s="132">
        <f>D50*8.5%</f>
        <v>10200</v>
      </c>
      <c r="F50" s="123">
        <f>E50+D50</f>
        <v>130200</v>
      </c>
      <c r="G50" s="98" t="e">
        <f>+F50/#REF!</f>
        <v>#REF!</v>
      </c>
      <c r="H50" s="179">
        <f t="shared" si="0"/>
        <v>1.3811063869547001E-2</v>
      </c>
      <c r="I50" s="115">
        <f t="shared" si="9"/>
        <v>8130200</v>
      </c>
    </row>
    <row r="51" spans="1:11" ht="12" x14ac:dyDescent="0.25">
      <c r="A51" s="8" t="s">
        <v>70</v>
      </c>
      <c r="B51" s="119">
        <f>+(F38+F45)</f>
        <v>6517545.2475910652</v>
      </c>
      <c r="C51" s="87">
        <v>0</v>
      </c>
      <c r="D51" s="556">
        <f>+C51*B51</f>
        <v>0</v>
      </c>
      <c r="E51" s="123"/>
      <c r="F51" s="128">
        <f t="shared" si="8"/>
        <v>0</v>
      </c>
      <c r="G51" s="98" t="e">
        <f>+F51/#REF!</f>
        <v>#REF!</v>
      </c>
      <c r="H51" s="179">
        <f t="shared" si="0"/>
        <v>0</v>
      </c>
      <c r="I51" s="115">
        <f>+I50+F51</f>
        <v>8130200</v>
      </c>
    </row>
    <row r="52" spans="1:11" ht="12" x14ac:dyDescent="0.25">
      <c r="A52" s="8" t="s">
        <v>71</v>
      </c>
      <c r="B52" s="119">
        <f>+B51</f>
        <v>6517545.2475910652</v>
      </c>
      <c r="C52" s="87">
        <v>5.0000000000000001E-3</v>
      </c>
      <c r="D52" s="556">
        <f>+D38*C52</f>
        <v>28285.989429732868</v>
      </c>
      <c r="E52" s="123"/>
      <c r="F52" s="128">
        <f t="shared" si="8"/>
        <v>28285.989429732868</v>
      </c>
      <c r="G52" s="98" t="e">
        <f>+F52/#REF!</f>
        <v>#REF!</v>
      </c>
      <c r="H52" s="179">
        <f t="shared" si="0"/>
        <v>3.0004578081979415E-3</v>
      </c>
      <c r="I52" s="115">
        <f>+I51+F52</f>
        <v>8158485.9894297328</v>
      </c>
    </row>
    <row r="53" spans="1:11" ht="12" x14ac:dyDescent="0.25">
      <c r="A53" s="8" t="s">
        <v>16</v>
      </c>
      <c r="B53" s="119">
        <f>+J73</f>
        <v>9425000</v>
      </c>
      <c r="C53" s="87">
        <v>1.2500000000000001E-2</v>
      </c>
      <c r="D53" s="560">
        <f>+C53*B53</f>
        <v>117812.5</v>
      </c>
      <c r="E53" s="123"/>
      <c r="F53" s="128">
        <f t="shared" si="8"/>
        <v>117812.5</v>
      </c>
      <c r="G53" s="98" t="e">
        <f>+F53/#REF!</f>
        <v>#REF!</v>
      </c>
      <c r="H53" s="179">
        <f t="shared" si="0"/>
        <v>1.249705040039175E-2</v>
      </c>
    </row>
    <row r="54" spans="1:11" ht="12" hidden="1" x14ac:dyDescent="0.25">
      <c r="A54" s="8" t="s">
        <v>72</v>
      </c>
      <c r="B54" s="119"/>
      <c r="C54" s="87">
        <v>1.5E-3</v>
      </c>
      <c r="D54" s="560">
        <f>+C54*B54</f>
        <v>0</v>
      </c>
      <c r="E54" s="123">
        <f t="shared" ref="E54" si="10">D54*8.5/100</f>
        <v>0</v>
      </c>
      <c r="F54" s="128">
        <f t="shared" si="8"/>
        <v>0</v>
      </c>
      <c r="G54" s="98" t="e">
        <f>+F54/#REF!</f>
        <v>#REF!</v>
      </c>
      <c r="H54" s="179">
        <f t="shared" si="0"/>
        <v>0</v>
      </c>
    </row>
    <row r="55" spans="1:11" ht="12" hidden="1" x14ac:dyDescent="0.25">
      <c r="A55" s="8" t="s">
        <v>17</v>
      </c>
      <c r="B55" s="119"/>
      <c r="C55" s="87"/>
      <c r="D55" s="560"/>
      <c r="E55" s="123">
        <f t="shared" ref="E55" si="11">D55*8.5/100</f>
        <v>0</v>
      </c>
      <c r="F55" s="128">
        <f t="shared" si="8"/>
        <v>0</v>
      </c>
      <c r="G55" s="98" t="e">
        <f>+F55/#REF!</f>
        <v>#REF!</v>
      </c>
      <c r="H55" s="179">
        <f t="shared" si="0"/>
        <v>0</v>
      </c>
    </row>
    <row r="56" spans="1:11" ht="12" hidden="1" x14ac:dyDescent="0.25">
      <c r="A56" s="111" t="s">
        <v>85</v>
      </c>
      <c r="B56" s="121">
        <f>+$F$72</f>
        <v>0</v>
      </c>
      <c r="C56" s="112">
        <v>0</v>
      </c>
      <c r="D56" s="557">
        <f>+B56*C56</f>
        <v>0</v>
      </c>
      <c r="E56" s="133">
        <f>D56*8.5%</f>
        <v>0</v>
      </c>
      <c r="F56" s="133">
        <f t="shared" ref="F56" si="12">E56+D56</f>
        <v>0</v>
      </c>
      <c r="G56" s="98" t="e">
        <f>+F56/#REF!</f>
        <v>#REF!</v>
      </c>
      <c r="H56" s="179">
        <f t="shared" si="0"/>
        <v>0</v>
      </c>
    </row>
    <row r="57" spans="1:11" ht="12" x14ac:dyDescent="0.25">
      <c r="A57" s="8"/>
      <c r="B57" s="119"/>
      <c r="C57" s="87"/>
      <c r="D57" s="562"/>
      <c r="E57" s="123"/>
      <c r="F57" s="123"/>
      <c r="G57" s="98"/>
      <c r="H57" s="179">
        <f t="shared" si="0"/>
        <v>0</v>
      </c>
    </row>
    <row r="58" spans="1:11" ht="12" x14ac:dyDescent="0.25">
      <c r="A58" s="74" t="s">
        <v>76</v>
      </c>
      <c r="B58" s="120">
        <f>+$F$6</f>
        <v>5084.3999999999996</v>
      </c>
      <c r="C58" s="165">
        <f>+D58/B58</f>
        <v>269.17600688964927</v>
      </c>
      <c r="D58" s="559">
        <f>SUM(D47:D57)</f>
        <v>1368598.4894297328</v>
      </c>
      <c r="E58" s="131">
        <f>SUM(E47:E57)</f>
        <v>90312.5</v>
      </c>
      <c r="F58" s="129">
        <f>SUM(F47:F57)</f>
        <v>1458910.9894297328</v>
      </c>
      <c r="G58" s="93" t="e">
        <f>SUM(G47:G57)</f>
        <v>#REF!</v>
      </c>
      <c r="H58" s="179">
        <f>+F58/$F$59</f>
        <v>0.15475509105221236</v>
      </c>
      <c r="I58" s="3"/>
      <c r="J58" s="3">
        <v>625927</v>
      </c>
    </row>
    <row r="59" spans="1:11" ht="12.6" thickBot="1" x14ac:dyDescent="0.3">
      <c r="A59" s="94" t="s">
        <v>324</v>
      </c>
      <c r="B59" s="120">
        <f>+$F$6</f>
        <v>5084.3999999999996</v>
      </c>
      <c r="C59" s="165">
        <f>+D59/B59</f>
        <v>1735.6510445037673</v>
      </c>
      <c r="D59" s="563">
        <f>+D58+D45+D38+D28+D23</f>
        <v>8824744.1706749536</v>
      </c>
      <c r="E59" s="134">
        <f>+E58+E45+E38+E28+E23</f>
        <v>602480.35234584368</v>
      </c>
      <c r="F59" s="135">
        <f>+F58+F45+F38+F28+F23</f>
        <v>9427224.5230207983</v>
      </c>
      <c r="G59" s="93"/>
      <c r="H59" s="179">
        <f>+F59/$F$59</f>
        <v>1</v>
      </c>
      <c r="I59" s="572">
        <f>+F59/$F$6</f>
        <v>1854.146904850287</v>
      </c>
      <c r="J59" s="170" t="s">
        <v>302</v>
      </c>
    </row>
    <row r="60" spans="1:11" ht="12" hidden="1" x14ac:dyDescent="0.25">
      <c r="A60" s="77" t="s">
        <v>77</v>
      </c>
      <c r="B60" s="117"/>
      <c r="C60" s="85"/>
      <c r="D60" s="555"/>
      <c r="E60" s="126"/>
      <c r="F60" s="127"/>
      <c r="G60" s="79"/>
      <c r="H60" s="179">
        <f t="shared" ref="H60:H67" si="13">+F60/$F$67</f>
        <v>0</v>
      </c>
      <c r="I60" s="169">
        <f>+F59/$D$9</f>
        <v>1854.146904850287</v>
      </c>
      <c r="J60" s="170" t="s">
        <v>281</v>
      </c>
      <c r="K60" s="40"/>
    </row>
    <row r="61" spans="1:11" ht="12" hidden="1" x14ac:dyDescent="0.25">
      <c r="A61" s="8" t="s">
        <v>119</v>
      </c>
      <c r="B61" s="119"/>
      <c r="C61" s="87">
        <v>0.1</v>
      </c>
      <c r="D61" s="560">
        <f>+C61*B61</f>
        <v>0</v>
      </c>
      <c r="E61" s="132">
        <f>D61*8.5%</f>
        <v>0</v>
      </c>
      <c r="F61" s="128">
        <f t="shared" ref="F61:F63" si="14">E61+D61</f>
        <v>0</v>
      </c>
      <c r="G61" s="98" t="e">
        <f>+F61/#REF!</f>
        <v>#REF!</v>
      </c>
      <c r="H61" s="179">
        <f t="shared" si="13"/>
        <v>0</v>
      </c>
    </row>
    <row r="62" spans="1:11" ht="12" hidden="1" x14ac:dyDescent="0.25">
      <c r="A62" s="8" t="s">
        <v>102</v>
      </c>
      <c r="B62" s="119">
        <f>+$F$72</f>
        <v>0</v>
      </c>
      <c r="C62" s="87">
        <v>0</v>
      </c>
      <c r="D62" s="560">
        <f>+C62*B62</f>
        <v>0</v>
      </c>
      <c r="E62" s="132">
        <f>D62*8.5%</f>
        <v>0</v>
      </c>
      <c r="F62" s="128">
        <f t="shared" si="14"/>
        <v>0</v>
      </c>
      <c r="G62" s="98"/>
      <c r="H62" s="179">
        <f t="shared" si="13"/>
        <v>0</v>
      </c>
    </row>
    <row r="63" spans="1:11" ht="12" hidden="1" x14ac:dyDescent="0.25">
      <c r="A63" s="8" t="s">
        <v>78</v>
      </c>
      <c r="B63" s="119"/>
      <c r="C63" s="87"/>
      <c r="D63" s="560">
        <v>0</v>
      </c>
      <c r="E63" s="132"/>
      <c r="F63" s="128">
        <f t="shared" si="14"/>
        <v>0</v>
      </c>
      <c r="G63" s="98" t="e">
        <f>+F63/#REF!</f>
        <v>#REF!</v>
      </c>
      <c r="H63" s="179">
        <f t="shared" si="13"/>
        <v>0</v>
      </c>
    </row>
    <row r="64" spans="1:11" ht="12" hidden="1" x14ac:dyDescent="0.25">
      <c r="A64" s="111" t="s">
        <v>85</v>
      </c>
      <c r="B64" s="121">
        <f>+$F$72</f>
        <v>0</v>
      </c>
      <c r="C64" s="112">
        <v>0</v>
      </c>
      <c r="D64" s="557">
        <f>+B64*C64</f>
        <v>0</v>
      </c>
      <c r="E64" s="133">
        <f>D64*8.5%</f>
        <v>0</v>
      </c>
      <c r="F64" s="133">
        <f>D64+E64</f>
        <v>0</v>
      </c>
      <c r="G64" s="98" t="e">
        <f>+F64/#REF!</f>
        <v>#REF!</v>
      </c>
      <c r="H64" s="179">
        <f t="shared" si="13"/>
        <v>0</v>
      </c>
    </row>
    <row r="65" spans="1:11" ht="12" hidden="1" x14ac:dyDescent="0.25">
      <c r="A65" s="8"/>
      <c r="B65" s="119"/>
      <c r="C65" s="87"/>
      <c r="D65" s="556"/>
      <c r="E65" s="123"/>
      <c r="F65" s="123"/>
      <c r="G65" s="98"/>
      <c r="H65" s="179">
        <f t="shared" si="13"/>
        <v>0</v>
      </c>
    </row>
    <row r="66" spans="1:11" ht="12" hidden="1" x14ac:dyDescent="0.25">
      <c r="A66" s="74" t="s">
        <v>79</v>
      </c>
      <c r="B66" s="120">
        <f>+$F$6</f>
        <v>5084.3999999999996</v>
      </c>
      <c r="C66" s="165">
        <f>+D66/B66</f>
        <v>0</v>
      </c>
      <c r="D66" s="559">
        <f>SUM(D61:D65)</f>
        <v>0</v>
      </c>
      <c r="E66" s="131">
        <f t="shared" ref="E66" si="15">SUM(E61:E65)</f>
        <v>0</v>
      </c>
      <c r="F66" s="129">
        <f>SUM(F61:F65)</f>
        <v>0</v>
      </c>
      <c r="G66" s="93"/>
      <c r="H66" s="179">
        <f t="shared" si="13"/>
        <v>0</v>
      </c>
    </row>
    <row r="67" spans="1:11" ht="12" hidden="1" x14ac:dyDescent="0.25">
      <c r="A67" s="95" t="s">
        <v>80</v>
      </c>
      <c r="B67" s="120">
        <f>+$F$6</f>
        <v>5084.3999999999996</v>
      </c>
      <c r="C67" s="165">
        <f>+D67/B67</f>
        <v>1735.6510445037673</v>
      </c>
      <c r="D67" s="564">
        <f>+D66+D59</f>
        <v>8824744.1706749536</v>
      </c>
      <c r="E67" s="136">
        <f t="shared" ref="E67:F67" si="16">+E66+E59</f>
        <v>602480.35234584368</v>
      </c>
      <c r="F67" s="136">
        <f t="shared" si="16"/>
        <v>9427224.5230207983</v>
      </c>
      <c r="G67" s="106" t="e">
        <f>G58+G45+G38+G28+G23</f>
        <v>#REF!</v>
      </c>
      <c r="H67" s="179">
        <f t="shared" si="13"/>
        <v>1</v>
      </c>
      <c r="I67" s="3">
        <f>83700-6500</f>
        <v>77200</v>
      </c>
      <c r="J67" s="3">
        <f>+I67+F67</f>
        <v>9504424.5230207983</v>
      </c>
    </row>
    <row r="68" spans="1:11" ht="12" hidden="1" x14ac:dyDescent="0.25">
      <c r="A68" s="77" t="s">
        <v>81</v>
      </c>
      <c r="B68" s="117"/>
      <c r="C68" s="85"/>
      <c r="D68" s="555"/>
      <c r="E68" s="126"/>
      <c r="F68" s="127"/>
      <c r="G68" s="79"/>
      <c r="H68" s="177"/>
    </row>
    <row r="69" spans="1:11" hidden="1" x14ac:dyDescent="0.2">
      <c r="A69" s="76"/>
      <c r="B69" s="122"/>
      <c r="C69" s="99"/>
      <c r="D69" s="565"/>
      <c r="E69" s="122"/>
      <c r="F69" s="122"/>
      <c r="G69" s="98" t="e">
        <f>+F69/#REF!</f>
        <v>#REF!</v>
      </c>
      <c r="H69" s="178"/>
      <c r="K69" s="4">
        <f>0.5%+(0.9%*(5150000-3000000)/7000000)</f>
        <v>7.7642857142857149E-3</v>
      </c>
    </row>
    <row r="70" spans="1:11" ht="12" hidden="1" x14ac:dyDescent="0.25">
      <c r="A70" s="102" t="s">
        <v>151</v>
      </c>
      <c r="B70" s="123">
        <f>+$F$6</f>
        <v>5084.3999999999996</v>
      </c>
      <c r="C70" s="100"/>
      <c r="D70" s="560">
        <f>+F59-E72</f>
        <v>8824744.1706749555</v>
      </c>
      <c r="E70" s="123">
        <f>+E67</f>
        <v>602480.35234584368</v>
      </c>
      <c r="F70" s="123"/>
      <c r="G70" s="98" t="e">
        <f>+F70/#REF!</f>
        <v>#REF!</v>
      </c>
      <c r="H70" s="179"/>
      <c r="J70" s="4"/>
    </row>
    <row r="71" spans="1:11" hidden="1" x14ac:dyDescent="0.2">
      <c r="A71" s="9"/>
      <c r="B71" s="123"/>
      <c r="C71" s="101"/>
      <c r="D71" s="560"/>
      <c r="E71" s="123"/>
      <c r="F71" s="123"/>
      <c r="G71" s="98"/>
      <c r="H71" s="178"/>
    </row>
    <row r="72" spans="1:11" ht="12" hidden="1" x14ac:dyDescent="0.25">
      <c r="A72" s="103" t="s">
        <v>83</v>
      </c>
      <c r="B72" s="124">
        <f>+$F$6</f>
        <v>5084.3999999999996</v>
      </c>
      <c r="C72" s="165">
        <f>+D72/B72</f>
        <v>1735.6510445037677</v>
      </c>
      <c r="D72" s="558">
        <f>SUM(D70:D71)</f>
        <v>8824744.1706749555</v>
      </c>
      <c r="E72" s="129">
        <f>SUM(E70:E71)</f>
        <v>602480.35234584368</v>
      </c>
      <c r="F72" s="129">
        <f>+F71+F70</f>
        <v>0</v>
      </c>
      <c r="H72" s="179"/>
      <c r="J72" s="3">
        <f>+F72-surfaces!L16</f>
        <v>-4464524.5132790003</v>
      </c>
      <c r="K72" s="4">
        <f>+J72/(surfaces!I6+surfaces!I7)</f>
        <v>-15786.861786700849</v>
      </c>
    </row>
    <row r="73" spans="1:11" ht="12.6" thickBot="1" x14ac:dyDescent="0.3">
      <c r="A73" s="77" t="s">
        <v>81</v>
      </c>
      <c r="B73" s="117"/>
      <c r="C73" s="85"/>
      <c r="D73" s="126"/>
      <c r="E73" s="126"/>
      <c r="F73" s="127"/>
      <c r="G73" s="79"/>
      <c r="H73" s="177"/>
      <c r="I73" s="543" t="s">
        <v>323</v>
      </c>
      <c r="J73" s="542">
        <v>9425000</v>
      </c>
    </row>
    <row r="74" spans="1:11" hidden="1" x14ac:dyDescent="0.2">
      <c r="A74" s="76"/>
      <c r="B74" s="122"/>
      <c r="C74" s="99"/>
      <c r="D74" s="137"/>
      <c r="E74" s="122"/>
      <c r="F74" s="122"/>
      <c r="G74" s="98" t="e">
        <f>+F74/'[2]Budg prev'!#REF!</f>
        <v>#REF!</v>
      </c>
      <c r="H74" s="178"/>
      <c r="K74" s="4">
        <f>0.5%+(0.9%*(5150000-3000000)/7000000)</f>
        <v>7.7642857142857149E-3</v>
      </c>
    </row>
    <row r="75" spans="1:11" ht="12" hidden="1" x14ac:dyDescent="0.25">
      <c r="A75" s="9" t="s">
        <v>310</v>
      </c>
      <c r="B75" s="123">
        <f>+$F$6</f>
        <v>5084.3999999999996</v>
      </c>
      <c r="C75" s="100">
        <f>+D75/B75</f>
        <v>2304.15</v>
      </c>
      <c r="D75" s="128">
        <f>2304.15*B75</f>
        <v>11715220.26</v>
      </c>
      <c r="E75" s="123">
        <f>+D75*8.5%</f>
        <v>995793.72210000001</v>
      </c>
      <c r="F75" s="123">
        <f>+E75+D75</f>
        <v>12711013.982100001</v>
      </c>
      <c r="G75" s="98" t="e">
        <f>+F75/'[2]Budg prev'!#REF!</f>
        <v>#REF!</v>
      </c>
      <c r="H75" s="179"/>
      <c r="J75" s="4"/>
    </row>
    <row r="76" spans="1:11" ht="12" hidden="1" thickBot="1" x14ac:dyDescent="0.25">
      <c r="A76" s="9"/>
      <c r="B76" s="123"/>
      <c r="C76" s="101"/>
      <c r="D76" s="128"/>
      <c r="E76" s="123"/>
      <c r="F76" s="123"/>
      <c r="G76" s="98"/>
      <c r="H76" s="178"/>
      <c r="K76" s="115"/>
    </row>
    <row r="77" spans="1:11" ht="12.6" hidden="1" thickBot="1" x14ac:dyDescent="0.3">
      <c r="A77" s="103" t="s">
        <v>83</v>
      </c>
      <c r="B77" s="124">
        <f>+$F$6</f>
        <v>5084.3999999999996</v>
      </c>
      <c r="C77" s="165">
        <f>+D77/B77</f>
        <v>2304.15</v>
      </c>
      <c r="D77" s="129">
        <f>SUM(D75:D76)</f>
        <v>11715220.26</v>
      </c>
      <c r="E77" s="129">
        <f>SUM(E75:E76)</f>
        <v>995793.72210000001</v>
      </c>
      <c r="F77" s="129">
        <f>+F76+F75</f>
        <v>12711013.982100001</v>
      </c>
      <c r="H77" s="179">
        <f>+F77/F77</f>
        <v>1</v>
      </c>
      <c r="I77" s="543" t="s">
        <v>311</v>
      </c>
      <c r="J77" s="542"/>
      <c r="K77" s="4">
        <f>+J77/([2]surfaces!I15+[2]surfaces!I16)</f>
        <v>0</v>
      </c>
    </row>
    <row r="78" spans="1:11" ht="12" thickBot="1" x14ac:dyDescent="0.25">
      <c r="B78" s="128"/>
      <c r="C78" s="303"/>
      <c r="D78" s="560"/>
      <c r="E78" s="128"/>
      <c r="F78" s="128"/>
    </row>
    <row r="79" spans="1:11" ht="12" x14ac:dyDescent="0.25">
      <c r="A79" s="526" t="s">
        <v>184</v>
      </c>
      <c r="B79" s="527"/>
      <c r="C79" s="528"/>
      <c r="D79" s="566"/>
      <c r="E79" s="529"/>
      <c r="F79" s="530"/>
      <c r="G79" s="79"/>
      <c r="H79" s="180" t="s">
        <v>73</v>
      </c>
    </row>
    <row r="80" spans="1:11" ht="12" x14ac:dyDescent="0.25">
      <c r="A80" s="531"/>
      <c r="B80" s="442"/>
      <c r="C80" s="443"/>
      <c r="D80" s="567"/>
      <c r="E80" s="442"/>
      <c r="F80" s="532"/>
      <c r="J80" s="306"/>
    </row>
    <row r="81" spans="1:10" s="249" customFormat="1" ht="12" x14ac:dyDescent="0.25">
      <c r="A81" s="533" t="s">
        <v>183</v>
      </c>
      <c r="B81" s="524"/>
      <c r="C81" s="525"/>
      <c r="D81" s="604"/>
      <c r="E81" s="525"/>
      <c r="F81" s="605">
        <f>+F59</f>
        <v>9427224.5230207983</v>
      </c>
      <c r="G81" s="89"/>
      <c r="H81" s="179">
        <f t="shared" ref="H81:H87" si="17">+F81/$F$59</f>
        <v>1</v>
      </c>
      <c r="J81" s="306">
        <v>2500</v>
      </c>
    </row>
    <row r="82" spans="1:10" s="249" customFormat="1" ht="12" x14ac:dyDescent="0.25">
      <c r="A82" s="544" t="s">
        <v>339</v>
      </c>
      <c r="B82" s="545"/>
      <c r="C82" s="546"/>
      <c r="D82" s="604"/>
      <c r="E82" s="547"/>
      <c r="F82" s="606">
        <f>+'Plan de trésorerie'!F50</f>
        <v>1669395.7081060032</v>
      </c>
      <c r="G82" s="89"/>
      <c r="H82" s="179">
        <f t="shared" si="17"/>
        <v>0.17708241742088826</v>
      </c>
      <c r="J82" s="306"/>
    </row>
    <row r="83" spans="1:10" s="249" customFormat="1" ht="12" x14ac:dyDescent="0.25">
      <c r="A83" s="544" t="s">
        <v>312</v>
      </c>
      <c r="B83" s="545"/>
      <c r="C83" s="546"/>
      <c r="D83" s="604"/>
      <c r="E83" s="547"/>
      <c r="F83" s="606">
        <f>+E59</f>
        <v>602480.35234584368</v>
      </c>
      <c r="G83" s="89"/>
      <c r="H83" s="179">
        <f t="shared" si="17"/>
        <v>6.3908560878614656E-2</v>
      </c>
      <c r="J83" s="306"/>
    </row>
    <row r="84" spans="1:10" s="249" customFormat="1" ht="12" x14ac:dyDescent="0.25">
      <c r="A84" s="544" t="s">
        <v>332</v>
      </c>
      <c r="B84" s="545"/>
      <c r="C84" s="546"/>
      <c r="D84" s="604"/>
      <c r="E84" s="547"/>
      <c r="F84" s="607">
        <f>+F81-F82-F83</f>
        <v>7155348.4625689508</v>
      </c>
      <c r="G84" s="89"/>
      <c r="H84" s="179">
        <f t="shared" si="17"/>
        <v>0.759009021700497</v>
      </c>
      <c r="J84" s="306"/>
    </row>
    <row r="85" spans="1:10" s="249" customFormat="1" ht="12" x14ac:dyDescent="0.25">
      <c r="A85" s="534" t="s">
        <v>337</v>
      </c>
      <c r="B85" s="304"/>
      <c r="C85" s="305"/>
      <c r="D85" s="601"/>
      <c r="E85" s="602"/>
      <c r="F85" s="603">
        <f>+F81/3</f>
        <v>3142408.1743402663</v>
      </c>
      <c r="G85" s="89"/>
      <c r="H85" s="179">
        <f t="shared" si="17"/>
        <v>0.33333333333333337</v>
      </c>
      <c r="J85" s="306"/>
    </row>
    <row r="86" spans="1:10" s="249" customFormat="1" ht="12" hidden="1" x14ac:dyDescent="0.25">
      <c r="A86" s="535" t="s">
        <v>293</v>
      </c>
      <c r="B86" s="522"/>
      <c r="C86" s="523"/>
      <c r="D86" s="568" t="e">
        <f>+#REF!-#REF!</f>
        <v>#REF!</v>
      </c>
      <c r="E86" s="540" t="e">
        <f>+#REF!-#REF!</f>
        <v>#REF!</v>
      </c>
      <c r="F86" s="505"/>
      <c r="G86" s="89"/>
      <c r="H86" s="179">
        <f t="shared" si="17"/>
        <v>0</v>
      </c>
      <c r="J86" s="521"/>
    </row>
    <row r="87" spans="1:10" s="249" customFormat="1" ht="12" x14ac:dyDescent="0.25">
      <c r="A87" s="535" t="s">
        <v>338</v>
      </c>
      <c r="B87" s="522"/>
      <c r="C87" s="523"/>
      <c r="D87" s="568"/>
      <c r="E87" s="540"/>
      <c r="F87" s="505">
        <f>+F84-F85</f>
        <v>4012940.2882286846</v>
      </c>
      <c r="G87" s="89"/>
      <c r="H87" s="179">
        <f t="shared" si="17"/>
        <v>0.42567568836716368</v>
      </c>
      <c r="J87" s="521"/>
    </row>
    <row r="88" spans="1:10" s="249" customFormat="1" ht="12" x14ac:dyDescent="0.25">
      <c r="A88" s="661" t="s">
        <v>336</v>
      </c>
      <c r="B88" s="662"/>
      <c r="C88" s="663"/>
      <c r="D88" s="664">
        <f>+mensualitetotale</f>
        <v>43286.975879864774</v>
      </c>
      <c r="E88" s="665">
        <f>+D88*12</f>
        <v>519443.71055837732</v>
      </c>
      <c r="F88" s="502"/>
      <c r="G88" s="89"/>
      <c r="H88" s="89"/>
      <c r="J88" s="306"/>
    </row>
    <row r="89" spans="1:10" x14ac:dyDescent="0.2">
      <c r="A89" s="666"/>
      <c r="B89" s="667"/>
      <c r="C89" s="668"/>
      <c r="D89" s="669"/>
      <c r="E89" s="670"/>
      <c r="F89" s="499"/>
    </row>
    <row r="90" spans="1:10" s="249" customFormat="1" ht="12" x14ac:dyDescent="0.25">
      <c r="A90" s="534" t="s">
        <v>333</v>
      </c>
      <c r="B90" s="304"/>
      <c r="C90" s="305"/>
      <c r="D90" s="671">
        <f>+F6*9</f>
        <v>45759.6</v>
      </c>
      <c r="E90" s="672">
        <f>+D90*12</f>
        <v>549115.19999999995</v>
      </c>
      <c r="F90" s="496"/>
      <c r="G90" s="89"/>
      <c r="H90" s="89"/>
      <c r="J90" s="306"/>
    </row>
    <row r="91" spans="1:10" s="249" customFormat="1" ht="12" hidden="1" x14ac:dyDescent="0.25">
      <c r="A91" s="535" t="s">
        <v>293</v>
      </c>
      <c r="B91" s="522"/>
      <c r="C91" s="523"/>
      <c r="D91" s="568">
        <f>+D90-D88</f>
        <v>2472.6241201352241</v>
      </c>
      <c r="E91" s="540">
        <f>+E90-E88</f>
        <v>29671.489441622631</v>
      </c>
      <c r="F91" s="505"/>
      <c r="G91" s="89"/>
      <c r="H91" s="89"/>
      <c r="J91" s="306"/>
    </row>
    <row r="92" spans="1:10" s="5" customFormat="1" ht="12.6" thickBot="1" x14ac:dyDescent="0.3">
      <c r="A92" s="536"/>
      <c r="B92" s="537"/>
      <c r="C92" s="538"/>
      <c r="D92" s="569" t="s">
        <v>334</v>
      </c>
      <c r="E92" s="537" t="s">
        <v>335</v>
      </c>
      <c r="F92" s="539"/>
      <c r="G92" s="520"/>
      <c r="H92" s="520"/>
      <c r="J92" s="521"/>
    </row>
  </sheetData>
  <mergeCells count="2">
    <mergeCell ref="A4:F4"/>
    <mergeCell ref="B2:D3"/>
  </mergeCells>
  <phoneticPr fontId="0" type="noConversion"/>
  <pageMargins left="0.39370078740157483" right="0.39370078740157483" top="0.98425196850393704" bottom="0.98425196850393704" header="0.51181102362204722" footer="0.51181102362204722"/>
  <pageSetup paperSize="9" scale="7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ublished="0">
    <pageSetUpPr fitToPage="1"/>
  </sheetPr>
  <dimension ref="B2:J33"/>
  <sheetViews>
    <sheetView topLeftCell="A13" zoomScale="102" zoomScaleNormal="102" workbookViewId="0">
      <selection activeCell="E18" sqref="E18"/>
    </sheetView>
  </sheetViews>
  <sheetFormatPr baseColWidth="10" defaultRowHeight="13.2" x14ac:dyDescent="0.25"/>
  <cols>
    <col min="4" max="4" width="18.6640625" customWidth="1"/>
    <col min="5" max="5" width="15.88671875" customWidth="1"/>
    <col min="6" max="6" width="16.33203125" customWidth="1"/>
    <col min="7" max="7" width="13.109375" customWidth="1"/>
    <col min="8" max="8" width="13.5546875" customWidth="1"/>
    <col min="9" max="9" width="15.5546875" customWidth="1"/>
  </cols>
  <sheetData>
    <row r="2" spans="2:10" ht="22.8" x14ac:dyDescent="0.4">
      <c r="B2" s="227" t="str">
        <f>+Budget!A4</f>
        <v xml:space="preserve">                            Résidence "XY 000"  </v>
      </c>
      <c r="D2" s="227"/>
      <c r="E2" s="227"/>
    </row>
    <row r="4" spans="2:10" ht="15.6" x14ac:dyDescent="0.3">
      <c r="B4" s="228" t="s">
        <v>307</v>
      </c>
    </row>
    <row r="6" spans="2:10" s="4" customFormat="1" ht="11.4" x14ac:dyDescent="0.2">
      <c r="B6" s="4" t="s">
        <v>127</v>
      </c>
      <c r="C6" s="229">
        <f>+Budget!F1</f>
        <v>41768</v>
      </c>
    </row>
    <row r="7" spans="2:10" s="4" customFormat="1" ht="11.4" x14ac:dyDescent="0.2">
      <c r="B7" s="4" t="s">
        <v>129</v>
      </c>
      <c r="C7" s="232" t="s">
        <v>144</v>
      </c>
      <c r="F7" s="115"/>
    </row>
    <row r="8" spans="2:10" s="4" customFormat="1" ht="12" x14ac:dyDescent="0.25">
      <c r="B8" s="4" t="s">
        <v>128</v>
      </c>
      <c r="C8" s="115">
        <f>+Budget!F7</f>
        <v>62.004878048780483</v>
      </c>
      <c r="E8" s="4" t="s">
        <v>328</v>
      </c>
      <c r="F8" s="115">
        <f>+Budget!F6</f>
        <v>5084.3999999999996</v>
      </c>
      <c r="G8" s="4" t="s">
        <v>330</v>
      </c>
      <c r="I8" s="608">
        <f>+F31/F8</f>
        <v>1196.5639419109496</v>
      </c>
    </row>
    <row r="9" spans="2:10" s="4" customFormat="1" ht="12" x14ac:dyDescent="0.25">
      <c r="B9" s="4" t="s">
        <v>130</v>
      </c>
      <c r="C9" s="4">
        <v>1</v>
      </c>
      <c r="E9" s="4" t="s">
        <v>327</v>
      </c>
      <c r="F9" s="115">
        <f>+Budget!F8</f>
        <v>1694.8</v>
      </c>
      <c r="I9" s="608"/>
    </row>
    <row r="10" spans="2:10" s="4" customFormat="1" ht="12" x14ac:dyDescent="0.25">
      <c r="B10" s="4" t="s">
        <v>131</v>
      </c>
      <c r="C10" s="115">
        <f>+Budget!D6</f>
        <v>3568</v>
      </c>
      <c r="E10" s="4" t="s">
        <v>329</v>
      </c>
      <c r="F10" s="115">
        <f>+F9+F8</f>
        <v>6779.2</v>
      </c>
      <c r="G10" s="4" t="s">
        <v>331</v>
      </c>
      <c r="I10" s="608">
        <f>+F31/F10</f>
        <v>897.42295643321222</v>
      </c>
    </row>
    <row r="11" spans="2:10" ht="13.8" thickBot="1" x14ac:dyDescent="0.3"/>
    <row r="12" spans="2:10" s="92" customFormat="1" ht="15.6" customHeight="1" thickBot="1" x14ac:dyDescent="0.3">
      <c r="B12" s="616" t="s">
        <v>132</v>
      </c>
      <c r="C12" s="617"/>
      <c r="D12" s="617"/>
      <c r="E12" s="230" t="s">
        <v>0</v>
      </c>
      <c r="F12" s="230" t="s">
        <v>141</v>
      </c>
      <c r="G12" s="230" t="s">
        <v>142</v>
      </c>
      <c r="H12" s="230" t="s">
        <v>148</v>
      </c>
      <c r="I12" s="230" t="s">
        <v>149</v>
      </c>
      <c r="J12" s="231" t="s">
        <v>143</v>
      </c>
    </row>
    <row r="13" spans="2:10" s="91" customFormat="1" x14ac:dyDescent="0.25">
      <c r="B13" s="618" t="s">
        <v>146</v>
      </c>
      <c r="C13" s="619"/>
      <c r="D13" s="620"/>
      <c r="E13" s="236">
        <v>300000</v>
      </c>
      <c r="F13" s="236">
        <f>+E13*1.085</f>
        <v>325500</v>
      </c>
      <c r="G13" s="236">
        <f>+E13/$C$8</f>
        <v>4838.3290063724335</v>
      </c>
      <c r="H13" s="236">
        <f>+E13/$F$8</f>
        <v>59.004012272834558</v>
      </c>
      <c r="I13" s="239">
        <f>+E13/$F$10</f>
        <v>44.253009204625918</v>
      </c>
      <c r="J13" s="241">
        <f t="shared" ref="J13:J27" si="0">+E13/$E$31</f>
        <v>5.3502659635376107E-2</v>
      </c>
    </row>
    <row r="14" spans="2:10" s="91" customFormat="1" x14ac:dyDescent="0.25">
      <c r="B14" s="613" t="s">
        <v>296</v>
      </c>
      <c r="C14" s="614"/>
      <c r="D14" s="615"/>
      <c r="E14" s="237">
        <v>300000</v>
      </c>
      <c r="F14" s="237">
        <f>+E14*1.085</f>
        <v>325500</v>
      </c>
      <c r="G14" s="237">
        <f>+E14/$C$8</f>
        <v>4838.3290063724335</v>
      </c>
      <c r="H14" s="237">
        <f>+F14/$F$8</f>
        <v>64.019353316025487</v>
      </c>
      <c r="I14" s="240">
        <f t="shared" ref="I14:I30" si="1">+E14/$F$10</f>
        <v>44.253009204625918</v>
      </c>
      <c r="J14" s="242">
        <f t="shared" si="0"/>
        <v>5.3502659635376107E-2</v>
      </c>
    </row>
    <row r="15" spans="2:10" s="91" customFormat="1" x14ac:dyDescent="0.25">
      <c r="B15" s="403" t="s">
        <v>303</v>
      </c>
      <c r="C15" s="404"/>
      <c r="D15" s="405"/>
      <c r="E15" s="237">
        <v>0</v>
      </c>
      <c r="F15" s="237">
        <f>+E15*1.085</f>
        <v>0</v>
      </c>
      <c r="G15" s="237">
        <f>+E15/$C$8</f>
        <v>0</v>
      </c>
      <c r="H15" s="237">
        <f>+F15/$F$8</f>
        <v>0</v>
      </c>
      <c r="I15" s="240">
        <f t="shared" ref="I15" si="2">+E15/$F$10</f>
        <v>0</v>
      </c>
      <c r="J15" s="242">
        <f t="shared" si="0"/>
        <v>0</v>
      </c>
    </row>
    <row r="16" spans="2:10" s="91" customFormat="1" x14ac:dyDescent="0.25">
      <c r="B16" s="613" t="s">
        <v>133</v>
      </c>
      <c r="C16" s="614"/>
      <c r="D16" s="615"/>
      <c r="E16" s="237">
        <v>60000</v>
      </c>
      <c r="F16" s="237">
        <f t="shared" ref="F16:F27" si="3">+E16*1.085</f>
        <v>65100</v>
      </c>
      <c r="G16" s="237">
        <f t="shared" ref="G16:G27" si="4">+E16/$C$8</f>
        <v>967.66580127448674</v>
      </c>
      <c r="H16" s="237">
        <f t="shared" ref="H16:H27" si="5">+F16/$F$8</f>
        <v>12.8038706632051</v>
      </c>
      <c r="I16" s="240">
        <f t="shared" si="1"/>
        <v>8.850601840925183</v>
      </c>
      <c r="J16" s="242">
        <f t="shared" si="0"/>
        <v>1.0700531927075221E-2</v>
      </c>
    </row>
    <row r="17" spans="2:10" s="91" customFormat="1" x14ac:dyDescent="0.25">
      <c r="B17" s="613" t="s">
        <v>134</v>
      </c>
      <c r="C17" s="614"/>
      <c r="D17" s="615"/>
      <c r="E17" s="237">
        <f>+F8*550</f>
        <v>2796420</v>
      </c>
      <c r="F17" s="237">
        <f t="shared" si="3"/>
        <v>3034115.6999999997</v>
      </c>
      <c r="G17" s="237">
        <f t="shared" si="4"/>
        <v>45100</v>
      </c>
      <c r="H17" s="237">
        <f t="shared" si="5"/>
        <v>596.75</v>
      </c>
      <c r="I17" s="240">
        <f t="shared" si="1"/>
        <v>412.5</v>
      </c>
      <c r="J17" s="242">
        <f t="shared" si="0"/>
        <v>0.49871969152519485</v>
      </c>
    </row>
    <row r="18" spans="2:10" s="91" customFormat="1" x14ac:dyDescent="0.25">
      <c r="B18" s="613" t="s">
        <v>185</v>
      </c>
      <c r="C18" s="614"/>
      <c r="D18" s="615"/>
      <c r="E18" s="237">
        <f>75000*2.5</f>
        <v>187500</v>
      </c>
      <c r="F18" s="237">
        <f t="shared" si="3"/>
        <v>203437.5</v>
      </c>
      <c r="G18" s="237">
        <f t="shared" si="4"/>
        <v>3023.955628982771</v>
      </c>
      <c r="H18" s="237">
        <f t="shared" si="5"/>
        <v>40.012095822515931</v>
      </c>
      <c r="I18" s="240">
        <f t="shared" si="1"/>
        <v>27.658130752891196</v>
      </c>
      <c r="J18" s="242">
        <f t="shared" si="0"/>
        <v>3.3439162272110065E-2</v>
      </c>
    </row>
    <row r="19" spans="2:10" s="91" customFormat="1" x14ac:dyDescent="0.25">
      <c r="B19" s="613" t="s">
        <v>147</v>
      </c>
      <c r="C19" s="614"/>
      <c r="D19" s="615"/>
      <c r="E19" s="237">
        <f>60*F8</f>
        <v>305064</v>
      </c>
      <c r="F19" s="237">
        <f t="shared" si="3"/>
        <v>330994.44</v>
      </c>
      <c r="G19" s="237">
        <f t="shared" si="4"/>
        <v>4920</v>
      </c>
      <c r="H19" s="237">
        <f t="shared" si="5"/>
        <v>65.100000000000009</v>
      </c>
      <c r="I19" s="240">
        <f t="shared" si="1"/>
        <v>45</v>
      </c>
      <c r="J19" s="242">
        <f t="shared" si="0"/>
        <v>5.4405784530021255E-2</v>
      </c>
    </row>
    <row r="20" spans="2:10" s="91" customFormat="1" x14ac:dyDescent="0.25">
      <c r="B20" s="613" t="s">
        <v>304</v>
      </c>
      <c r="C20" s="614"/>
      <c r="D20" s="615"/>
      <c r="E20" s="237">
        <v>50000</v>
      </c>
      <c r="F20" s="237">
        <f t="shared" si="3"/>
        <v>54250</v>
      </c>
      <c r="G20" s="237">
        <f t="shared" si="4"/>
        <v>806.38816772873895</v>
      </c>
      <c r="H20" s="237">
        <f t="shared" si="5"/>
        <v>10.669892219337582</v>
      </c>
      <c r="I20" s="240">
        <f t="shared" si="1"/>
        <v>7.3755015341043189</v>
      </c>
      <c r="J20" s="242">
        <f t="shared" si="0"/>
        <v>8.9171099392293517E-3</v>
      </c>
    </row>
    <row r="21" spans="2:10" s="91" customFormat="1" x14ac:dyDescent="0.25">
      <c r="B21" s="613" t="s">
        <v>275</v>
      </c>
      <c r="C21" s="614"/>
      <c r="D21" s="615"/>
      <c r="E21" s="237">
        <f>50*F8</f>
        <v>254219.99999999997</v>
      </c>
      <c r="F21" s="237">
        <f t="shared" si="3"/>
        <v>275828.69999999995</v>
      </c>
      <c r="G21" s="237">
        <f t="shared" si="4"/>
        <v>4100</v>
      </c>
      <c r="H21" s="237">
        <f t="shared" si="5"/>
        <v>54.249999999999993</v>
      </c>
      <c r="I21" s="240">
        <f t="shared" si="1"/>
        <v>37.5</v>
      </c>
      <c r="J21" s="242">
        <f t="shared" si="0"/>
        <v>4.5338153775017709E-2</v>
      </c>
    </row>
    <row r="22" spans="2:10" s="91" customFormat="1" x14ac:dyDescent="0.25">
      <c r="B22" s="613" t="s">
        <v>135</v>
      </c>
      <c r="C22" s="614"/>
      <c r="D22" s="615"/>
      <c r="E22" s="237">
        <f>+F8*45*1.1</f>
        <v>251677.8</v>
      </c>
      <c r="F22" s="237">
        <f t="shared" si="3"/>
        <v>273070.413</v>
      </c>
      <c r="G22" s="237">
        <f t="shared" si="4"/>
        <v>4059</v>
      </c>
      <c r="H22" s="237">
        <f t="shared" si="5"/>
        <v>53.707500000000003</v>
      </c>
      <c r="I22" s="240">
        <f t="shared" si="1"/>
        <v>37.125</v>
      </c>
      <c r="J22" s="242">
        <f t="shared" si="0"/>
        <v>4.4884772237267535E-2</v>
      </c>
    </row>
    <row r="23" spans="2:10" s="91" customFormat="1" x14ac:dyDescent="0.25">
      <c r="B23" s="613" t="s">
        <v>136</v>
      </c>
      <c r="C23" s="614"/>
      <c r="D23" s="615"/>
      <c r="E23" s="237">
        <f>65000/1260*F8</f>
        <v>262290.47619047615</v>
      </c>
      <c r="F23" s="237">
        <f t="shared" si="3"/>
        <v>284585.16666666663</v>
      </c>
      <c r="G23" s="237">
        <f t="shared" si="4"/>
        <v>4230.1587301587297</v>
      </c>
      <c r="H23" s="237">
        <f t="shared" si="5"/>
        <v>55.972222222222221</v>
      </c>
      <c r="I23" s="240">
        <f t="shared" si="1"/>
        <v>38.690476190476183</v>
      </c>
      <c r="J23" s="242">
        <f t="shared" si="0"/>
        <v>4.6777460244065892E-2</v>
      </c>
    </row>
    <row r="24" spans="2:10" s="91" customFormat="1" x14ac:dyDescent="0.25">
      <c r="B24" s="613" t="s">
        <v>137</v>
      </c>
      <c r="C24" s="614"/>
      <c r="D24" s="615"/>
      <c r="E24" s="237">
        <f>17500*3</f>
        <v>52500</v>
      </c>
      <c r="F24" s="237">
        <f t="shared" si="3"/>
        <v>56962.5</v>
      </c>
      <c r="G24" s="237">
        <f t="shared" si="4"/>
        <v>846.70757611517593</v>
      </c>
      <c r="H24" s="237">
        <f t="shared" si="5"/>
        <v>11.203386830304462</v>
      </c>
      <c r="I24" s="240">
        <f t="shared" si="1"/>
        <v>7.7442766108095356</v>
      </c>
      <c r="J24" s="242">
        <f t="shared" si="0"/>
        <v>9.3629654361908187E-3</v>
      </c>
    </row>
    <row r="25" spans="2:10" s="91" customFormat="1" x14ac:dyDescent="0.25">
      <c r="B25" s="613" t="s">
        <v>138</v>
      </c>
      <c r="C25" s="614"/>
      <c r="D25" s="615"/>
      <c r="E25" s="237">
        <f>2000*C8+4000*GRILLE!B29</f>
        <v>192009.75609756098</v>
      </c>
      <c r="F25" s="237">
        <f t="shared" si="3"/>
        <v>208330.58536585365</v>
      </c>
      <c r="G25" s="237">
        <f t="shared" si="4"/>
        <v>3096.6879081110851</v>
      </c>
      <c r="H25" s="237">
        <f t="shared" si="5"/>
        <v>40.974468052445452</v>
      </c>
      <c r="I25" s="240">
        <f t="shared" si="1"/>
        <v>28.323365013211145</v>
      </c>
      <c r="J25" s="242">
        <f t="shared" si="0"/>
        <v>3.424344209053129E-2</v>
      </c>
    </row>
    <row r="26" spans="2:10" s="91" customFormat="1" x14ac:dyDescent="0.25">
      <c r="B26" s="233" t="s">
        <v>145</v>
      </c>
      <c r="C26" s="234"/>
      <c r="D26" s="235"/>
      <c r="E26" s="237">
        <f>38000*3</f>
        <v>114000</v>
      </c>
      <c r="F26" s="237">
        <f t="shared" si="3"/>
        <v>123690</v>
      </c>
      <c r="G26" s="237">
        <f t="shared" si="4"/>
        <v>1838.5650224215249</v>
      </c>
      <c r="H26" s="237">
        <f t="shared" si="5"/>
        <v>24.327354260089688</v>
      </c>
      <c r="I26" s="240">
        <f t="shared" si="1"/>
        <v>16.816143497757849</v>
      </c>
      <c r="J26" s="242">
        <f t="shared" si="0"/>
        <v>2.0331010661442921E-2</v>
      </c>
    </row>
    <row r="27" spans="2:10" s="91" customFormat="1" x14ac:dyDescent="0.25">
      <c r="B27" s="613" t="s">
        <v>139</v>
      </c>
      <c r="C27" s="614"/>
      <c r="D27" s="615"/>
      <c r="E27" s="237">
        <f>+C8*2750</f>
        <v>170513.41463414632</v>
      </c>
      <c r="F27" s="237">
        <f t="shared" si="3"/>
        <v>185007.05487804874</v>
      </c>
      <c r="G27" s="237">
        <f t="shared" si="4"/>
        <v>2750</v>
      </c>
      <c r="H27" s="237">
        <f t="shared" si="5"/>
        <v>36.387195121951216</v>
      </c>
      <c r="I27" s="240">
        <f t="shared" si="1"/>
        <v>25.15243902439024</v>
      </c>
      <c r="J27" s="242">
        <f t="shared" si="0"/>
        <v>3.0409737288121633E-2</v>
      </c>
    </row>
    <row r="28" spans="2:10" s="91" customFormat="1" x14ac:dyDescent="0.25">
      <c r="B28" s="613" t="s">
        <v>140</v>
      </c>
      <c r="C28" s="614"/>
      <c r="D28" s="615"/>
      <c r="E28" s="237">
        <f>45000*4</f>
        <v>180000</v>
      </c>
      <c r="F28" s="237">
        <f>+E28*1.085</f>
        <v>195300</v>
      </c>
      <c r="G28" s="237">
        <f>+E28/$C$8</f>
        <v>2902.99740382346</v>
      </c>
      <c r="H28" s="237">
        <f>+E28/$F$8</f>
        <v>35.402407363700732</v>
      </c>
      <c r="I28" s="248">
        <f t="shared" ref="I28" si="6">+E28/$F$10</f>
        <v>26.551805522775549</v>
      </c>
      <c r="J28" s="242">
        <f t="shared" ref="J28" si="7">+E28/$E$31</f>
        <v>3.2101595781225664E-2</v>
      </c>
    </row>
    <row r="29" spans="2:10" s="91" customFormat="1" x14ac:dyDescent="0.25">
      <c r="B29" s="244" t="s">
        <v>300</v>
      </c>
      <c r="C29" s="245"/>
      <c r="D29" s="246"/>
      <c r="E29" s="247">
        <f>500*C8</f>
        <v>31002.439024390242</v>
      </c>
      <c r="F29" s="237">
        <f>+E29*1.085</f>
        <v>33637.646341463413</v>
      </c>
      <c r="G29" s="237">
        <f>+E29/$C$8</f>
        <v>500</v>
      </c>
      <c r="H29" s="237">
        <f>+E29/$F$8</f>
        <v>6.0975609756097562</v>
      </c>
      <c r="I29" s="248">
        <f t="shared" ref="I29" si="8">+E29/$F$10</f>
        <v>4.5731707317073171</v>
      </c>
      <c r="J29" s="242">
        <f t="shared" ref="J29" si="9">+E29/$E$31</f>
        <v>5.529043143294843E-3</v>
      </c>
    </row>
    <row r="30" spans="2:10" s="91" customFormat="1" ht="13.8" thickBot="1" x14ac:dyDescent="0.3">
      <c r="B30" s="621" t="s">
        <v>297</v>
      </c>
      <c r="C30" s="622"/>
      <c r="D30" s="623"/>
      <c r="E30" s="238">
        <v>100000</v>
      </c>
      <c r="F30" s="238">
        <f>+E30*1.085</f>
        <v>108500</v>
      </c>
      <c r="G30" s="238">
        <f>+E30/$C$8</f>
        <v>1612.7763354574779</v>
      </c>
      <c r="H30" s="238">
        <f>+E30/$F$8</f>
        <v>19.668004090944851</v>
      </c>
      <c r="I30" s="238">
        <f t="shared" si="1"/>
        <v>14.751003068208638</v>
      </c>
      <c r="J30" s="243">
        <f>+E30/$E$31</f>
        <v>1.7834219878458703E-2</v>
      </c>
    </row>
    <row r="31" spans="2:10" s="249" customFormat="1" ht="15" customHeight="1" thickBot="1" x14ac:dyDescent="0.3">
      <c r="E31" s="250">
        <f>SUM(E13:E30)</f>
        <v>5607197.8859465737</v>
      </c>
      <c r="F31" s="250">
        <f t="shared" ref="F31:J31" si="10">SUM(F13:F30)</f>
        <v>6083809.706252032</v>
      </c>
      <c r="G31" s="250">
        <f t="shared" si="10"/>
        <v>90431.560586818305</v>
      </c>
      <c r="H31" s="250">
        <f t="shared" si="10"/>
        <v>1186.3493232111869</v>
      </c>
      <c r="I31" s="250">
        <f t="shared" si="10"/>
        <v>827.11793219650895</v>
      </c>
      <c r="J31" s="251">
        <f t="shared" si="10"/>
        <v>1</v>
      </c>
    </row>
    <row r="32" spans="2:10" s="4" customFormat="1" ht="11.4" x14ac:dyDescent="0.2"/>
    <row r="33" s="4" customFormat="1" ht="11.4" x14ac:dyDescent="0.2"/>
  </sheetData>
  <mergeCells count="16">
    <mergeCell ref="B30:D30"/>
    <mergeCell ref="B19:D19"/>
    <mergeCell ref="B21:D21"/>
    <mergeCell ref="B22:D22"/>
    <mergeCell ref="B23:D23"/>
    <mergeCell ref="B24:D24"/>
    <mergeCell ref="B25:D25"/>
    <mergeCell ref="B18:D18"/>
    <mergeCell ref="B20:D20"/>
    <mergeCell ref="B28:D28"/>
    <mergeCell ref="B12:D12"/>
    <mergeCell ref="B13:D13"/>
    <mergeCell ref="B14:D14"/>
    <mergeCell ref="B16:D16"/>
    <mergeCell ref="B17:D17"/>
    <mergeCell ref="B27:D27"/>
  </mergeCells>
  <pageMargins left="0.70866141732283472" right="0.70866141732283472" top="0.74803149606299213" bottom="0.74803149606299213" header="0.31496062992125984" footer="0.31496062992125984"/>
  <pageSetup paperSize="9" scale="95"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N35"/>
  <sheetViews>
    <sheetView topLeftCell="A15" zoomScaleNormal="100" workbookViewId="0">
      <selection activeCell="K30" sqref="K30"/>
    </sheetView>
  </sheetViews>
  <sheetFormatPr baseColWidth="10" defaultRowHeight="13.2" x14ac:dyDescent="0.25"/>
  <cols>
    <col min="1" max="1" width="6.6640625" style="226" customWidth="1"/>
    <col min="2" max="2" width="6.21875" customWidth="1"/>
    <col min="3" max="3" width="7.5546875" customWidth="1"/>
    <col min="4" max="4" width="5.109375" hidden="1" customWidth="1"/>
    <col min="5" max="5" width="9.88671875" style="219" customWidth="1"/>
    <col min="6" max="6" width="9" style="219" customWidth="1"/>
    <col min="7" max="7" width="9.33203125" style="219" hidden="1" customWidth="1"/>
    <col min="8" max="8" width="10.44140625" style="219" customWidth="1"/>
    <col min="9" max="9" width="6.44140625" style="219" hidden="1" customWidth="1"/>
    <col min="10" max="10" width="15.77734375" style="219" customWidth="1"/>
    <col min="11" max="11" width="16" customWidth="1"/>
    <col min="12" max="12" width="16" style="167" customWidth="1"/>
    <col min="13" max="13" width="16.5546875" style="167" customWidth="1"/>
    <col min="14" max="14" width="16" customWidth="1"/>
    <col min="252" max="252" width="5.33203125" customWidth="1"/>
    <col min="253" max="253" width="4.88671875" customWidth="1"/>
    <col min="254" max="254" width="0" hidden="1" customWidth="1"/>
    <col min="255" max="256" width="7" bestFit="1" customWidth="1"/>
    <col min="257" max="257" width="0" hidden="1" customWidth="1"/>
    <col min="258" max="258" width="7" bestFit="1" customWidth="1"/>
    <col min="259" max="259" width="0" hidden="1" customWidth="1"/>
    <col min="260" max="260" width="7.5546875" bestFit="1" customWidth="1"/>
    <col min="261" max="261" width="18.33203125" bestFit="1" customWidth="1"/>
    <col min="262" max="262" width="20" customWidth="1"/>
    <col min="263" max="263" width="16.5546875" customWidth="1"/>
    <col min="264" max="264" width="10.5546875" customWidth="1"/>
    <col min="265" max="265" width="19" customWidth="1"/>
    <col min="266" max="266" width="13.109375" customWidth="1"/>
    <col min="267" max="267" width="12.44140625" customWidth="1"/>
    <col min="268" max="268" width="6.6640625" customWidth="1"/>
    <col min="269" max="269" width="0" hidden="1" customWidth="1"/>
    <col min="508" max="508" width="5.33203125" customWidth="1"/>
    <col min="509" max="509" width="4.88671875" customWidth="1"/>
    <col min="510" max="510" width="0" hidden="1" customWidth="1"/>
    <col min="511" max="512" width="7" bestFit="1" customWidth="1"/>
    <col min="513" max="513" width="0" hidden="1" customWidth="1"/>
    <col min="514" max="514" width="7" bestFit="1" customWidth="1"/>
    <col min="515" max="515" width="0" hidden="1" customWidth="1"/>
    <col min="516" max="516" width="7.5546875" bestFit="1" customWidth="1"/>
    <col min="517" max="517" width="18.33203125" bestFit="1" customWidth="1"/>
    <col min="518" max="518" width="20" customWidth="1"/>
    <col min="519" max="519" width="16.5546875" customWidth="1"/>
    <col min="520" max="520" width="10.5546875" customWidth="1"/>
    <col min="521" max="521" width="19" customWidth="1"/>
    <col min="522" max="522" width="13.109375" customWidth="1"/>
    <col min="523" max="523" width="12.44140625" customWidth="1"/>
    <col min="524" max="524" width="6.6640625" customWidth="1"/>
    <col min="525" max="525" width="0" hidden="1" customWidth="1"/>
    <col min="764" max="764" width="5.33203125" customWidth="1"/>
    <col min="765" max="765" width="4.88671875" customWidth="1"/>
    <col min="766" max="766" width="0" hidden="1" customWidth="1"/>
    <col min="767" max="768" width="7" bestFit="1" customWidth="1"/>
    <col min="769" max="769" width="0" hidden="1" customWidth="1"/>
    <col min="770" max="770" width="7" bestFit="1" customWidth="1"/>
    <col min="771" max="771" width="0" hidden="1" customWidth="1"/>
    <col min="772" max="772" width="7.5546875" bestFit="1" customWidth="1"/>
    <col min="773" max="773" width="18.33203125" bestFit="1" customWidth="1"/>
    <col min="774" max="774" width="20" customWidth="1"/>
    <col min="775" max="775" width="16.5546875" customWidth="1"/>
    <col min="776" max="776" width="10.5546875" customWidth="1"/>
    <col min="777" max="777" width="19" customWidth="1"/>
    <col min="778" max="778" width="13.109375" customWidth="1"/>
    <col min="779" max="779" width="12.44140625" customWidth="1"/>
    <col min="780" max="780" width="6.6640625" customWidth="1"/>
    <col min="781" max="781" width="0" hidden="1" customWidth="1"/>
    <col min="1020" max="1020" width="5.33203125" customWidth="1"/>
    <col min="1021" max="1021" width="4.88671875" customWidth="1"/>
    <col min="1022" max="1022" width="0" hidden="1" customWidth="1"/>
    <col min="1023" max="1024" width="7" bestFit="1" customWidth="1"/>
    <col min="1025" max="1025" width="0" hidden="1" customWidth="1"/>
    <col min="1026" max="1026" width="7" bestFit="1" customWidth="1"/>
    <col min="1027" max="1027" width="0" hidden="1" customWidth="1"/>
    <col min="1028" max="1028" width="7.5546875" bestFit="1" customWidth="1"/>
    <col min="1029" max="1029" width="18.33203125" bestFit="1" customWidth="1"/>
    <col min="1030" max="1030" width="20" customWidth="1"/>
    <col min="1031" max="1031" width="16.5546875" customWidth="1"/>
    <col min="1032" max="1032" width="10.5546875" customWidth="1"/>
    <col min="1033" max="1033" width="19" customWidth="1"/>
    <col min="1034" max="1034" width="13.109375" customWidth="1"/>
    <col min="1035" max="1035" width="12.44140625" customWidth="1"/>
    <col min="1036" max="1036" width="6.6640625" customWidth="1"/>
    <col min="1037" max="1037" width="0" hidden="1" customWidth="1"/>
    <col min="1276" max="1276" width="5.33203125" customWidth="1"/>
    <col min="1277" max="1277" width="4.88671875" customWidth="1"/>
    <col min="1278" max="1278" width="0" hidden="1" customWidth="1"/>
    <col min="1279" max="1280" width="7" bestFit="1" customWidth="1"/>
    <col min="1281" max="1281" width="0" hidden="1" customWidth="1"/>
    <col min="1282" max="1282" width="7" bestFit="1" customWidth="1"/>
    <col min="1283" max="1283" width="0" hidden="1" customWidth="1"/>
    <col min="1284" max="1284" width="7.5546875" bestFit="1" customWidth="1"/>
    <col min="1285" max="1285" width="18.33203125" bestFit="1" customWidth="1"/>
    <col min="1286" max="1286" width="20" customWidth="1"/>
    <col min="1287" max="1287" width="16.5546875" customWidth="1"/>
    <col min="1288" max="1288" width="10.5546875" customWidth="1"/>
    <col min="1289" max="1289" width="19" customWidth="1"/>
    <col min="1290" max="1290" width="13.109375" customWidth="1"/>
    <col min="1291" max="1291" width="12.44140625" customWidth="1"/>
    <col min="1292" max="1292" width="6.6640625" customWidth="1"/>
    <col min="1293" max="1293" width="0" hidden="1" customWidth="1"/>
    <col min="1532" max="1532" width="5.33203125" customWidth="1"/>
    <col min="1533" max="1533" width="4.88671875" customWidth="1"/>
    <col min="1534" max="1534" width="0" hidden="1" customWidth="1"/>
    <col min="1535" max="1536" width="7" bestFit="1" customWidth="1"/>
    <col min="1537" max="1537" width="0" hidden="1" customWidth="1"/>
    <col min="1538" max="1538" width="7" bestFit="1" customWidth="1"/>
    <col min="1539" max="1539" width="0" hidden="1" customWidth="1"/>
    <col min="1540" max="1540" width="7.5546875" bestFit="1" customWidth="1"/>
    <col min="1541" max="1541" width="18.33203125" bestFit="1" customWidth="1"/>
    <col min="1542" max="1542" width="20" customWidth="1"/>
    <col min="1543" max="1543" width="16.5546875" customWidth="1"/>
    <col min="1544" max="1544" width="10.5546875" customWidth="1"/>
    <col min="1545" max="1545" width="19" customWidth="1"/>
    <col min="1546" max="1546" width="13.109375" customWidth="1"/>
    <col min="1547" max="1547" width="12.44140625" customWidth="1"/>
    <col min="1548" max="1548" width="6.6640625" customWidth="1"/>
    <col min="1549" max="1549" width="0" hidden="1" customWidth="1"/>
    <col min="1788" max="1788" width="5.33203125" customWidth="1"/>
    <col min="1789" max="1789" width="4.88671875" customWidth="1"/>
    <col min="1790" max="1790" width="0" hidden="1" customWidth="1"/>
    <col min="1791" max="1792" width="7" bestFit="1" customWidth="1"/>
    <col min="1793" max="1793" width="0" hidden="1" customWidth="1"/>
    <col min="1794" max="1794" width="7" bestFit="1" customWidth="1"/>
    <col min="1795" max="1795" width="0" hidden="1" customWidth="1"/>
    <col min="1796" max="1796" width="7.5546875" bestFit="1" customWidth="1"/>
    <col min="1797" max="1797" width="18.33203125" bestFit="1" customWidth="1"/>
    <col min="1798" max="1798" width="20" customWidth="1"/>
    <col min="1799" max="1799" width="16.5546875" customWidth="1"/>
    <col min="1800" max="1800" width="10.5546875" customWidth="1"/>
    <col min="1801" max="1801" width="19" customWidth="1"/>
    <col min="1802" max="1802" width="13.109375" customWidth="1"/>
    <col min="1803" max="1803" width="12.44140625" customWidth="1"/>
    <col min="1804" max="1804" width="6.6640625" customWidth="1"/>
    <col min="1805" max="1805" width="0" hidden="1" customWidth="1"/>
    <col min="2044" max="2044" width="5.33203125" customWidth="1"/>
    <col min="2045" max="2045" width="4.88671875" customWidth="1"/>
    <col min="2046" max="2046" width="0" hidden="1" customWidth="1"/>
    <col min="2047" max="2048" width="7" bestFit="1" customWidth="1"/>
    <col min="2049" max="2049" width="0" hidden="1" customWidth="1"/>
    <col min="2050" max="2050" width="7" bestFit="1" customWidth="1"/>
    <col min="2051" max="2051" width="0" hidden="1" customWidth="1"/>
    <col min="2052" max="2052" width="7.5546875" bestFit="1" customWidth="1"/>
    <col min="2053" max="2053" width="18.33203125" bestFit="1" customWidth="1"/>
    <col min="2054" max="2054" width="20" customWidth="1"/>
    <col min="2055" max="2055" width="16.5546875" customWidth="1"/>
    <col min="2056" max="2056" width="10.5546875" customWidth="1"/>
    <col min="2057" max="2057" width="19" customWidth="1"/>
    <col min="2058" max="2058" width="13.109375" customWidth="1"/>
    <col min="2059" max="2059" width="12.44140625" customWidth="1"/>
    <col min="2060" max="2060" width="6.6640625" customWidth="1"/>
    <col min="2061" max="2061" width="0" hidden="1" customWidth="1"/>
    <col min="2300" max="2300" width="5.33203125" customWidth="1"/>
    <col min="2301" max="2301" width="4.88671875" customWidth="1"/>
    <col min="2302" max="2302" width="0" hidden="1" customWidth="1"/>
    <col min="2303" max="2304" width="7" bestFit="1" customWidth="1"/>
    <col min="2305" max="2305" width="0" hidden="1" customWidth="1"/>
    <col min="2306" max="2306" width="7" bestFit="1" customWidth="1"/>
    <col min="2307" max="2307" width="0" hidden="1" customWidth="1"/>
    <col min="2308" max="2308" width="7.5546875" bestFit="1" customWidth="1"/>
    <col min="2309" max="2309" width="18.33203125" bestFit="1" customWidth="1"/>
    <col min="2310" max="2310" width="20" customWidth="1"/>
    <col min="2311" max="2311" width="16.5546875" customWidth="1"/>
    <col min="2312" max="2312" width="10.5546875" customWidth="1"/>
    <col min="2313" max="2313" width="19" customWidth="1"/>
    <col min="2314" max="2314" width="13.109375" customWidth="1"/>
    <col min="2315" max="2315" width="12.44140625" customWidth="1"/>
    <col min="2316" max="2316" width="6.6640625" customWidth="1"/>
    <col min="2317" max="2317" width="0" hidden="1" customWidth="1"/>
    <col min="2556" max="2556" width="5.33203125" customWidth="1"/>
    <col min="2557" max="2557" width="4.88671875" customWidth="1"/>
    <col min="2558" max="2558" width="0" hidden="1" customWidth="1"/>
    <col min="2559" max="2560" width="7" bestFit="1" customWidth="1"/>
    <col min="2561" max="2561" width="0" hidden="1" customWidth="1"/>
    <col min="2562" max="2562" width="7" bestFit="1" customWidth="1"/>
    <col min="2563" max="2563" width="0" hidden="1" customWidth="1"/>
    <col min="2564" max="2564" width="7.5546875" bestFit="1" customWidth="1"/>
    <col min="2565" max="2565" width="18.33203125" bestFit="1" customWidth="1"/>
    <col min="2566" max="2566" width="20" customWidth="1"/>
    <col min="2567" max="2567" width="16.5546875" customWidth="1"/>
    <col min="2568" max="2568" width="10.5546875" customWidth="1"/>
    <col min="2569" max="2569" width="19" customWidth="1"/>
    <col min="2570" max="2570" width="13.109375" customWidth="1"/>
    <col min="2571" max="2571" width="12.44140625" customWidth="1"/>
    <col min="2572" max="2572" width="6.6640625" customWidth="1"/>
    <col min="2573" max="2573" width="0" hidden="1" customWidth="1"/>
    <col min="2812" max="2812" width="5.33203125" customWidth="1"/>
    <col min="2813" max="2813" width="4.88671875" customWidth="1"/>
    <col min="2814" max="2814" width="0" hidden="1" customWidth="1"/>
    <col min="2815" max="2816" width="7" bestFit="1" customWidth="1"/>
    <col min="2817" max="2817" width="0" hidden="1" customWidth="1"/>
    <col min="2818" max="2818" width="7" bestFit="1" customWidth="1"/>
    <col min="2819" max="2819" width="0" hidden="1" customWidth="1"/>
    <col min="2820" max="2820" width="7.5546875" bestFit="1" customWidth="1"/>
    <col min="2821" max="2821" width="18.33203125" bestFit="1" customWidth="1"/>
    <col min="2822" max="2822" width="20" customWidth="1"/>
    <col min="2823" max="2823" width="16.5546875" customWidth="1"/>
    <col min="2824" max="2824" width="10.5546875" customWidth="1"/>
    <col min="2825" max="2825" width="19" customWidth="1"/>
    <col min="2826" max="2826" width="13.109375" customWidth="1"/>
    <col min="2827" max="2827" width="12.44140625" customWidth="1"/>
    <col min="2828" max="2828" width="6.6640625" customWidth="1"/>
    <col min="2829" max="2829" width="0" hidden="1" customWidth="1"/>
    <col min="3068" max="3068" width="5.33203125" customWidth="1"/>
    <col min="3069" max="3069" width="4.88671875" customWidth="1"/>
    <col min="3070" max="3070" width="0" hidden="1" customWidth="1"/>
    <col min="3071" max="3072" width="7" bestFit="1" customWidth="1"/>
    <col min="3073" max="3073" width="0" hidden="1" customWidth="1"/>
    <col min="3074" max="3074" width="7" bestFit="1" customWidth="1"/>
    <col min="3075" max="3075" width="0" hidden="1" customWidth="1"/>
    <col min="3076" max="3076" width="7.5546875" bestFit="1" customWidth="1"/>
    <col min="3077" max="3077" width="18.33203125" bestFit="1" customWidth="1"/>
    <col min="3078" max="3078" width="20" customWidth="1"/>
    <col min="3079" max="3079" width="16.5546875" customWidth="1"/>
    <col min="3080" max="3080" width="10.5546875" customWidth="1"/>
    <col min="3081" max="3081" width="19" customWidth="1"/>
    <col min="3082" max="3082" width="13.109375" customWidth="1"/>
    <col min="3083" max="3083" width="12.44140625" customWidth="1"/>
    <col min="3084" max="3084" width="6.6640625" customWidth="1"/>
    <col min="3085" max="3085" width="0" hidden="1" customWidth="1"/>
    <col min="3324" max="3324" width="5.33203125" customWidth="1"/>
    <col min="3325" max="3325" width="4.88671875" customWidth="1"/>
    <col min="3326" max="3326" width="0" hidden="1" customWidth="1"/>
    <col min="3327" max="3328" width="7" bestFit="1" customWidth="1"/>
    <col min="3329" max="3329" width="0" hidden="1" customWidth="1"/>
    <col min="3330" max="3330" width="7" bestFit="1" customWidth="1"/>
    <col min="3331" max="3331" width="0" hidden="1" customWidth="1"/>
    <col min="3332" max="3332" width="7.5546875" bestFit="1" customWidth="1"/>
    <col min="3333" max="3333" width="18.33203125" bestFit="1" customWidth="1"/>
    <col min="3334" max="3334" width="20" customWidth="1"/>
    <col min="3335" max="3335" width="16.5546875" customWidth="1"/>
    <col min="3336" max="3336" width="10.5546875" customWidth="1"/>
    <col min="3337" max="3337" width="19" customWidth="1"/>
    <col min="3338" max="3338" width="13.109375" customWidth="1"/>
    <col min="3339" max="3339" width="12.44140625" customWidth="1"/>
    <col min="3340" max="3340" width="6.6640625" customWidth="1"/>
    <col min="3341" max="3341" width="0" hidden="1" customWidth="1"/>
    <col min="3580" max="3580" width="5.33203125" customWidth="1"/>
    <col min="3581" max="3581" width="4.88671875" customWidth="1"/>
    <col min="3582" max="3582" width="0" hidden="1" customWidth="1"/>
    <col min="3583" max="3584" width="7" bestFit="1" customWidth="1"/>
    <col min="3585" max="3585" width="0" hidden="1" customWidth="1"/>
    <col min="3586" max="3586" width="7" bestFit="1" customWidth="1"/>
    <col min="3587" max="3587" width="0" hidden="1" customWidth="1"/>
    <col min="3588" max="3588" width="7.5546875" bestFit="1" customWidth="1"/>
    <col min="3589" max="3589" width="18.33203125" bestFit="1" customWidth="1"/>
    <col min="3590" max="3590" width="20" customWidth="1"/>
    <col min="3591" max="3591" width="16.5546875" customWidth="1"/>
    <col min="3592" max="3592" width="10.5546875" customWidth="1"/>
    <col min="3593" max="3593" width="19" customWidth="1"/>
    <col min="3594" max="3594" width="13.109375" customWidth="1"/>
    <col min="3595" max="3595" width="12.44140625" customWidth="1"/>
    <col min="3596" max="3596" width="6.6640625" customWidth="1"/>
    <col min="3597" max="3597" width="0" hidden="1" customWidth="1"/>
    <col min="3836" max="3836" width="5.33203125" customWidth="1"/>
    <col min="3837" max="3837" width="4.88671875" customWidth="1"/>
    <col min="3838" max="3838" width="0" hidden="1" customWidth="1"/>
    <col min="3839" max="3840" width="7" bestFit="1" customWidth="1"/>
    <col min="3841" max="3841" width="0" hidden="1" customWidth="1"/>
    <col min="3842" max="3842" width="7" bestFit="1" customWidth="1"/>
    <col min="3843" max="3843" width="0" hidden="1" customWidth="1"/>
    <col min="3844" max="3844" width="7.5546875" bestFit="1" customWidth="1"/>
    <col min="3845" max="3845" width="18.33203125" bestFit="1" customWidth="1"/>
    <col min="3846" max="3846" width="20" customWidth="1"/>
    <col min="3847" max="3847" width="16.5546875" customWidth="1"/>
    <col min="3848" max="3848" width="10.5546875" customWidth="1"/>
    <col min="3849" max="3849" width="19" customWidth="1"/>
    <col min="3850" max="3850" width="13.109375" customWidth="1"/>
    <col min="3851" max="3851" width="12.44140625" customWidth="1"/>
    <col min="3852" max="3852" width="6.6640625" customWidth="1"/>
    <col min="3853" max="3853" width="0" hidden="1" customWidth="1"/>
    <col min="4092" max="4092" width="5.33203125" customWidth="1"/>
    <col min="4093" max="4093" width="4.88671875" customWidth="1"/>
    <col min="4094" max="4094" width="0" hidden="1" customWidth="1"/>
    <col min="4095" max="4096" width="7" bestFit="1" customWidth="1"/>
    <col min="4097" max="4097" width="0" hidden="1" customWidth="1"/>
    <col min="4098" max="4098" width="7" bestFit="1" customWidth="1"/>
    <col min="4099" max="4099" width="0" hidden="1" customWidth="1"/>
    <col min="4100" max="4100" width="7.5546875" bestFit="1" customWidth="1"/>
    <col min="4101" max="4101" width="18.33203125" bestFit="1" customWidth="1"/>
    <col min="4102" max="4102" width="20" customWidth="1"/>
    <col min="4103" max="4103" width="16.5546875" customWidth="1"/>
    <col min="4104" max="4104" width="10.5546875" customWidth="1"/>
    <col min="4105" max="4105" width="19" customWidth="1"/>
    <col min="4106" max="4106" width="13.109375" customWidth="1"/>
    <col min="4107" max="4107" width="12.44140625" customWidth="1"/>
    <col min="4108" max="4108" width="6.6640625" customWidth="1"/>
    <col min="4109" max="4109" width="0" hidden="1" customWidth="1"/>
    <col min="4348" max="4348" width="5.33203125" customWidth="1"/>
    <col min="4349" max="4349" width="4.88671875" customWidth="1"/>
    <col min="4350" max="4350" width="0" hidden="1" customWidth="1"/>
    <col min="4351" max="4352" width="7" bestFit="1" customWidth="1"/>
    <col min="4353" max="4353" width="0" hidden="1" customWidth="1"/>
    <col min="4354" max="4354" width="7" bestFit="1" customWidth="1"/>
    <col min="4355" max="4355" width="0" hidden="1" customWidth="1"/>
    <col min="4356" max="4356" width="7.5546875" bestFit="1" customWidth="1"/>
    <col min="4357" max="4357" width="18.33203125" bestFit="1" customWidth="1"/>
    <col min="4358" max="4358" width="20" customWidth="1"/>
    <col min="4359" max="4359" width="16.5546875" customWidth="1"/>
    <col min="4360" max="4360" width="10.5546875" customWidth="1"/>
    <col min="4361" max="4361" width="19" customWidth="1"/>
    <col min="4362" max="4362" width="13.109375" customWidth="1"/>
    <col min="4363" max="4363" width="12.44140625" customWidth="1"/>
    <col min="4364" max="4364" width="6.6640625" customWidth="1"/>
    <col min="4365" max="4365" width="0" hidden="1" customWidth="1"/>
    <col min="4604" max="4604" width="5.33203125" customWidth="1"/>
    <col min="4605" max="4605" width="4.88671875" customWidth="1"/>
    <col min="4606" max="4606" width="0" hidden="1" customWidth="1"/>
    <col min="4607" max="4608" width="7" bestFit="1" customWidth="1"/>
    <col min="4609" max="4609" width="0" hidden="1" customWidth="1"/>
    <col min="4610" max="4610" width="7" bestFit="1" customWidth="1"/>
    <col min="4611" max="4611" width="0" hidden="1" customWidth="1"/>
    <col min="4612" max="4612" width="7.5546875" bestFit="1" customWidth="1"/>
    <col min="4613" max="4613" width="18.33203125" bestFit="1" customWidth="1"/>
    <col min="4614" max="4614" width="20" customWidth="1"/>
    <col min="4615" max="4615" width="16.5546875" customWidth="1"/>
    <col min="4616" max="4616" width="10.5546875" customWidth="1"/>
    <col min="4617" max="4617" width="19" customWidth="1"/>
    <col min="4618" max="4618" width="13.109375" customWidth="1"/>
    <col min="4619" max="4619" width="12.44140625" customWidth="1"/>
    <col min="4620" max="4620" width="6.6640625" customWidth="1"/>
    <col min="4621" max="4621" width="0" hidden="1" customWidth="1"/>
    <col min="4860" max="4860" width="5.33203125" customWidth="1"/>
    <col min="4861" max="4861" width="4.88671875" customWidth="1"/>
    <col min="4862" max="4862" width="0" hidden="1" customWidth="1"/>
    <col min="4863" max="4864" width="7" bestFit="1" customWidth="1"/>
    <col min="4865" max="4865" width="0" hidden="1" customWidth="1"/>
    <col min="4866" max="4866" width="7" bestFit="1" customWidth="1"/>
    <col min="4867" max="4867" width="0" hidden="1" customWidth="1"/>
    <col min="4868" max="4868" width="7.5546875" bestFit="1" customWidth="1"/>
    <col min="4869" max="4869" width="18.33203125" bestFit="1" customWidth="1"/>
    <col min="4870" max="4870" width="20" customWidth="1"/>
    <col min="4871" max="4871" width="16.5546875" customWidth="1"/>
    <col min="4872" max="4872" width="10.5546875" customWidth="1"/>
    <col min="4873" max="4873" width="19" customWidth="1"/>
    <col min="4874" max="4874" width="13.109375" customWidth="1"/>
    <col min="4875" max="4875" width="12.44140625" customWidth="1"/>
    <col min="4876" max="4876" width="6.6640625" customWidth="1"/>
    <col min="4877" max="4877" width="0" hidden="1" customWidth="1"/>
    <col min="5116" max="5116" width="5.33203125" customWidth="1"/>
    <col min="5117" max="5117" width="4.88671875" customWidth="1"/>
    <col min="5118" max="5118" width="0" hidden="1" customWidth="1"/>
    <col min="5119" max="5120" width="7" bestFit="1" customWidth="1"/>
    <col min="5121" max="5121" width="0" hidden="1" customWidth="1"/>
    <col min="5122" max="5122" width="7" bestFit="1" customWidth="1"/>
    <col min="5123" max="5123" width="0" hidden="1" customWidth="1"/>
    <col min="5124" max="5124" width="7.5546875" bestFit="1" customWidth="1"/>
    <col min="5125" max="5125" width="18.33203125" bestFit="1" customWidth="1"/>
    <col min="5126" max="5126" width="20" customWidth="1"/>
    <col min="5127" max="5127" width="16.5546875" customWidth="1"/>
    <col min="5128" max="5128" width="10.5546875" customWidth="1"/>
    <col min="5129" max="5129" width="19" customWidth="1"/>
    <col min="5130" max="5130" width="13.109375" customWidth="1"/>
    <col min="5131" max="5131" width="12.44140625" customWidth="1"/>
    <col min="5132" max="5132" width="6.6640625" customWidth="1"/>
    <col min="5133" max="5133" width="0" hidden="1" customWidth="1"/>
    <col min="5372" max="5372" width="5.33203125" customWidth="1"/>
    <col min="5373" max="5373" width="4.88671875" customWidth="1"/>
    <col min="5374" max="5374" width="0" hidden="1" customWidth="1"/>
    <col min="5375" max="5376" width="7" bestFit="1" customWidth="1"/>
    <col min="5377" max="5377" width="0" hidden="1" customWidth="1"/>
    <col min="5378" max="5378" width="7" bestFit="1" customWidth="1"/>
    <col min="5379" max="5379" width="0" hidden="1" customWidth="1"/>
    <col min="5380" max="5380" width="7.5546875" bestFit="1" customWidth="1"/>
    <col min="5381" max="5381" width="18.33203125" bestFit="1" customWidth="1"/>
    <col min="5382" max="5382" width="20" customWidth="1"/>
    <col min="5383" max="5383" width="16.5546875" customWidth="1"/>
    <col min="5384" max="5384" width="10.5546875" customWidth="1"/>
    <col min="5385" max="5385" width="19" customWidth="1"/>
    <col min="5386" max="5386" width="13.109375" customWidth="1"/>
    <col min="5387" max="5387" width="12.44140625" customWidth="1"/>
    <col min="5388" max="5388" width="6.6640625" customWidth="1"/>
    <col min="5389" max="5389" width="0" hidden="1" customWidth="1"/>
    <col min="5628" max="5628" width="5.33203125" customWidth="1"/>
    <col min="5629" max="5629" width="4.88671875" customWidth="1"/>
    <col min="5630" max="5630" width="0" hidden="1" customWidth="1"/>
    <col min="5631" max="5632" width="7" bestFit="1" customWidth="1"/>
    <col min="5633" max="5633" width="0" hidden="1" customWidth="1"/>
    <col min="5634" max="5634" width="7" bestFit="1" customWidth="1"/>
    <col min="5635" max="5635" width="0" hidden="1" customWidth="1"/>
    <col min="5636" max="5636" width="7.5546875" bestFit="1" customWidth="1"/>
    <col min="5637" max="5637" width="18.33203125" bestFit="1" customWidth="1"/>
    <col min="5638" max="5638" width="20" customWidth="1"/>
    <col min="5639" max="5639" width="16.5546875" customWidth="1"/>
    <col min="5640" max="5640" width="10.5546875" customWidth="1"/>
    <col min="5641" max="5641" width="19" customWidth="1"/>
    <col min="5642" max="5642" width="13.109375" customWidth="1"/>
    <col min="5643" max="5643" width="12.44140625" customWidth="1"/>
    <col min="5644" max="5644" width="6.6640625" customWidth="1"/>
    <col min="5645" max="5645" width="0" hidden="1" customWidth="1"/>
    <col min="5884" max="5884" width="5.33203125" customWidth="1"/>
    <col min="5885" max="5885" width="4.88671875" customWidth="1"/>
    <col min="5886" max="5886" width="0" hidden="1" customWidth="1"/>
    <col min="5887" max="5888" width="7" bestFit="1" customWidth="1"/>
    <col min="5889" max="5889" width="0" hidden="1" customWidth="1"/>
    <col min="5890" max="5890" width="7" bestFit="1" customWidth="1"/>
    <col min="5891" max="5891" width="0" hidden="1" customWidth="1"/>
    <col min="5892" max="5892" width="7.5546875" bestFit="1" customWidth="1"/>
    <col min="5893" max="5893" width="18.33203125" bestFit="1" customWidth="1"/>
    <col min="5894" max="5894" width="20" customWidth="1"/>
    <col min="5895" max="5895" width="16.5546875" customWidth="1"/>
    <col min="5896" max="5896" width="10.5546875" customWidth="1"/>
    <col min="5897" max="5897" width="19" customWidth="1"/>
    <col min="5898" max="5898" width="13.109375" customWidth="1"/>
    <col min="5899" max="5899" width="12.44140625" customWidth="1"/>
    <col min="5900" max="5900" width="6.6640625" customWidth="1"/>
    <col min="5901" max="5901" width="0" hidden="1" customWidth="1"/>
    <col min="6140" max="6140" width="5.33203125" customWidth="1"/>
    <col min="6141" max="6141" width="4.88671875" customWidth="1"/>
    <col min="6142" max="6142" width="0" hidden="1" customWidth="1"/>
    <col min="6143" max="6144" width="7" bestFit="1" customWidth="1"/>
    <col min="6145" max="6145" width="0" hidden="1" customWidth="1"/>
    <col min="6146" max="6146" width="7" bestFit="1" customWidth="1"/>
    <col min="6147" max="6147" width="0" hidden="1" customWidth="1"/>
    <col min="6148" max="6148" width="7.5546875" bestFit="1" customWidth="1"/>
    <col min="6149" max="6149" width="18.33203125" bestFit="1" customWidth="1"/>
    <col min="6150" max="6150" width="20" customWidth="1"/>
    <col min="6151" max="6151" width="16.5546875" customWidth="1"/>
    <col min="6152" max="6152" width="10.5546875" customWidth="1"/>
    <col min="6153" max="6153" width="19" customWidth="1"/>
    <col min="6154" max="6154" width="13.109375" customWidth="1"/>
    <col min="6155" max="6155" width="12.44140625" customWidth="1"/>
    <col min="6156" max="6156" width="6.6640625" customWidth="1"/>
    <col min="6157" max="6157" width="0" hidden="1" customWidth="1"/>
    <col min="6396" max="6396" width="5.33203125" customWidth="1"/>
    <col min="6397" max="6397" width="4.88671875" customWidth="1"/>
    <col min="6398" max="6398" width="0" hidden="1" customWidth="1"/>
    <col min="6399" max="6400" width="7" bestFit="1" customWidth="1"/>
    <col min="6401" max="6401" width="0" hidden="1" customWidth="1"/>
    <col min="6402" max="6402" width="7" bestFit="1" customWidth="1"/>
    <col min="6403" max="6403" width="0" hidden="1" customWidth="1"/>
    <col min="6404" max="6404" width="7.5546875" bestFit="1" customWidth="1"/>
    <col min="6405" max="6405" width="18.33203125" bestFit="1" customWidth="1"/>
    <col min="6406" max="6406" width="20" customWidth="1"/>
    <col min="6407" max="6407" width="16.5546875" customWidth="1"/>
    <col min="6408" max="6408" width="10.5546875" customWidth="1"/>
    <col min="6409" max="6409" width="19" customWidth="1"/>
    <col min="6410" max="6410" width="13.109375" customWidth="1"/>
    <col min="6411" max="6411" width="12.44140625" customWidth="1"/>
    <col min="6412" max="6412" width="6.6640625" customWidth="1"/>
    <col min="6413" max="6413" width="0" hidden="1" customWidth="1"/>
    <col min="6652" max="6652" width="5.33203125" customWidth="1"/>
    <col min="6653" max="6653" width="4.88671875" customWidth="1"/>
    <col min="6654" max="6654" width="0" hidden="1" customWidth="1"/>
    <col min="6655" max="6656" width="7" bestFit="1" customWidth="1"/>
    <col min="6657" max="6657" width="0" hidden="1" customWidth="1"/>
    <col min="6658" max="6658" width="7" bestFit="1" customWidth="1"/>
    <col min="6659" max="6659" width="0" hidden="1" customWidth="1"/>
    <col min="6660" max="6660" width="7.5546875" bestFit="1" customWidth="1"/>
    <col min="6661" max="6661" width="18.33203125" bestFit="1" customWidth="1"/>
    <col min="6662" max="6662" width="20" customWidth="1"/>
    <col min="6663" max="6663" width="16.5546875" customWidth="1"/>
    <col min="6664" max="6664" width="10.5546875" customWidth="1"/>
    <col min="6665" max="6665" width="19" customWidth="1"/>
    <col min="6666" max="6666" width="13.109375" customWidth="1"/>
    <col min="6667" max="6667" width="12.44140625" customWidth="1"/>
    <col min="6668" max="6668" width="6.6640625" customWidth="1"/>
    <col min="6669" max="6669" width="0" hidden="1" customWidth="1"/>
    <col min="6908" max="6908" width="5.33203125" customWidth="1"/>
    <col min="6909" max="6909" width="4.88671875" customWidth="1"/>
    <col min="6910" max="6910" width="0" hidden="1" customWidth="1"/>
    <col min="6911" max="6912" width="7" bestFit="1" customWidth="1"/>
    <col min="6913" max="6913" width="0" hidden="1" customWidth="1"/>
    <col min="6914" max="6914" width="7" bestFit="1" customWidth="1"/>
    <col min="6915" max="6915" width="0" hidden="1" customWidth="1"/>
    <col min="6916" max="6916" width="7.5546875" bestFit="1" customWidth="1"/>
    <col min="6917" max="6917" width="18.33203125" bestFit="1" customWidth="1"/>
    <col min="6918" max="6918" width="20" customWidth="1"/>
    <col min="6919" max="6919" width="16.5546875" customWidth="1"/>
    <col min="6920" max="6920" width="10.5546875" customWidth="1"/>
    <col min="6921" max="6921" width="19" customWidth="1"/>
    <col min="6922" max="6922" width="13.109375" customWidth="1"/>
    <col min="6923" max="6923" width="12.44140625" customWidth="1"/>
    <col min="6924" max="6924" width="6.6640625" customWidth="1"/>
    <col min="6925" max="6925" width="0" hidden="1" customWidth="1"/>
    <col min="7164" max="7164" width="5.33203125" customWidth="1"/>
    <col min="7165" max="7165" width="4.88671875" customWidth="1"/>
    <col min="7166" max="7166" width="0" hidden="1" customWidth="1"/>
    <col min="7167" max="7168" width="7" bestFit="1" customWidth="1"/>
    <col min="7169" max="7169" width="0" hidden="1" customWidth="1"/>
    <col min="7170" max="7170" width="7" bestFit="1" customWidth="1"/>
    <col min="7171" max="7171" width="0" hidden="1" customWidth="1"/>
    <col min="7172" max="7172" width="7.5546875" bestFit="1" customWidth="1"/>
    <col min="7173" max="7173" width="18.33203125" bestFit="1" customWidth="1"/>
    <col min="7174" max="7174" width="20" customWidth="1"/>
    <col min="7175" max="7175" width="16.5546875" customWidth="1"/>
    <col min="7176" max="7176" width="10.5546875" customWidth="1"/>
    <col min="7177" max="7177" width="19" customWidth="1"/>
    <col min="7178" max="7178" width="13.109375" customWidth="1"/>
    <col min="7179" max="7179" width="12.44140625" customWidth="1"/>
    <col min="7180" max="7180" width="6.6640625" customWidth="1"/>
    <col min="7181" max="7181" width="0" hidden="1" customWidth="1"/>
    <col min="7420" max="7420" width="5.33203125" customWidth="1"/>
    <col min="7421" max="7421" width="4.88671875" customWidth="1"/>
    <col min="7422" max="7422" width="0" hidden="1" customWidth="1"/>
    <col min="7423" max="7424" width="7" bestFit="1" customWidth="1"/>
    <col min="7425" max="7425" width="0" hidden="1" customWidth="1"/>
    <col min="7426" max="7426" width="7" bestFit="1" customWidth="1"/>
    <col min="7427" max="7427" width="0" hidden="1" customWidth="1"/>
    <col min="7428" max="7428" width="7.5546875" bestFit="1" customWidth="1"/>
    <col min="7429" max="7429" width="18.33203125" bestFit="1" customWidth="1"/>
    <col min="7430" max="7430" width="20" customWidth="1"/>
    <col min="7431" max="7431" width="16.5546875" customWidth="1"/>
    <col min="7432" max="7432" width="10.5546875" customWidth="1"/>
    <col min="7433" max="7433" width="19" customWidth="1"/>
    <col min="7434" max="7434" width="13.109375" customWidth="1"/>
    <col min="7435" max="7435" width="12.44140625" customWidth="1"/>
    <col min="7436" max="7436" width="6.6640625" customWidth="1"/>
    <col min="7437" max="7437" width="0" hidden="1" customWidth="1"/>
    <col min="7676" max="7676" width="5.33203125" customWidth="1"/>
    <col min="7677" max="7677" width="4.88671875" customWidth="1"/>
    <col min="7678" max="7678" width="0" hidden="1" customWidth="1"/>
    <col min="7679" max="7680" width="7" bestFit="1" customWidth="1"/>
    <col min="7681" max="7681" width="0" hidden="1" customWidth="1"/>
    <col min="7682" max="7682" width="7" bestFit="1" customWidth="1"/>
    <col min="7683" max="7683" width="0" hidden="1" customWidth="1"/>
    <col min="7684" max="7684" width="7.5546875" bestFit="1" customWidth="1"/>
    <col min="7685" max="7685" width="18.33203125" bestFit="1" customWidth="1"/>
    <col min="7686" max="7686" width="20" customWidth="1"/>
    <col min="7687" max="7687" width="16.5546875" customWidth="1"/>
    <col min="7688" max="7688" width="10.5546875" customWidth="1"/>
    <col min="7689" max="7689" width="19" customWidth="1"/>
    <col min="7690" max="7690" width="13.109375" customWidth="1"/>
    <col min="7691" max="7691" width="12.44140625" customWidth="1"/>
    <col min="7692" max="7692" width="6.6640625" customWidth="1"/>
    <col min="7693" max="7693" width="0" hidden="1" customWidth="1"/>
    <col min="7932" max="7932" width="5.33203125" customWidth="1"/>
    <col min="7933" max="7933" width="4.88671875" customWidth="1"/>
    <col min="7934" max="7934" width="0" hidden="1" customWidth="1"/>
    <col min="7935" max="7936" width="7" bestFit="1" customWidth="1"/>
    <col min="7937" max="7937" width="0" hidden="1" customWidth="1"/>
    <col min="7938" max="7938" width="7" bestFit="1" customWidth="1"/>
    <col min="7939" max="7939" width="0" hidden="1" customWidth="1"/>
    <col min="7940" max="7940" width="7.5546875" bestFit="1" customWidth="1"/>
    <col min="7941" max="7941" width="18.33203125" bestFit="1" customWidth="1"/>
    <col min="7942" max="7942" width="20" customWidth="1"/>
    <col min="7943" max="7943" width="16.5546875" customWidth="1"/>
    <col min="7944" max="7944" width="10.5546875" customWidth="1"/>
    <col min="7945" max="7945" width="19" customWidth="1"/>
    <col min="7946" max="7946" width="13.109375" customWidth="1"/>
    <col min="7947" max="7947" width="12.44140625" customWidth="1"/>
    <col min="7948" max="7948" width="6.6640625" customWidth="1"/>
    <col min="7949" max="7949" width="0" hidden="1" customWidth="1"/>
    <col min="8188" max="8188" width="5.33203125" customWidth="1"/>
    <col min="8189" max="8189" width="4.88671875" customWidth="1"/>
    <col min="8190" max="8190" width="0" hidden="1" customWidth="1"/>
    <col min="8191" max="8192" width="7" bestFit="1" customWidth="1"/>
    <col min="8193" max="8193" width="0" hidden="1" customWidth="1"/>
    <col min="8194" max="8194" width="7" bestFit="1" customWidth="1"/>
    <col min="8195" max="8195" width="0" hidden="1" customWidth="1"/>
    <col min="8196" max="8196" width="7.5546875" bestFit="1" customWidth="1"/>
    <col min="8197" max="8197" width="18.33203125" bestFit="1" customWidth="1"/>
    <col min="8198" max="8198" width="20" customWidth="1"/>
    <col min="8199" max="8199" width="16.5546875" customWidth="1"/>
    <col min="8200" max="8200" width="10.5546875" customWidth="1"/>
    <col min="8201" max="8201" width="19" customWidth="1"/>
    <col min="8202" max="8202" width="13.109375" customWidth="1"/>
    <col min="8203" max="8203" width="12.44140625" customWidth="1"/>
    <col min="8204" max="8204" width="6.6640625" customWidth="1"/>
    <col min="8205" max="8205" width="0" hidden="1" customWidth="1"/>
    <col min="8444" max="8444" width="5.33203125" customWidth="1"/>
    <col min="8445" max="8445" width="4.88671875" customWidth="1"/>
    <col min="8446" max="8446" width="0" hidden="1" customWidth="1"/>
    <col min="8447" max="8448" width="7" bestFit="1" customWidth="1"/>
    <col min="8449" max="8449" width="0" hidden="1" customWidth="1"/>
    <col min="8450" max="8450" width="7" bestFit="1" customWidth="1"/>
    <col min="8451" max="8451" width="0" hidden="1" customWidth="1"/>
    <col min="8452" max="8452" width="7.5546875" bestFit="1" customWidth="1"/>
    <col min="8453" max="8453" width="18.33203125" bestFit="1" customWidth="1"/>
    <col min="8454" max="8454" width="20" customWidth="1"/>
    <col min="8455" max="8455" width="16.5546875" customWidth="1"/>
    <col min="8456" max="8456" width="10.5546875" customWidth="1"/>
    <col min="8457" max="8457" width="19" customWidth="1"/>
    <col min="8458" max="8458" width="13.109375" customWidth="1"/>
    <col min="8459" max="8459" width="12.44140625" customWidth="1"/>
    <col min="8460" max="8460" width="6.6640625" customWidth="1"/>
    <col min="8461" max="8461" width="0" hidden="1" customWidth="1"/>
    <col min="8700" max="8700" width="5.33203125" customWidth="1"/>
    <col min="8701" max="8701" width="4.88671875" customWidth="1"/>
    <col min="8702" max="8702" width="0" hidden="1" customWidth="1"/>
    <col min="8703" max="8704" width="7" bestFit="1" customWidth="1"/>
    <col min="8705" max="8705" width="0" hidden="1" customWidth="1"/>
    <col min="8706" max="8706" width="7" bestFit="1" customWidth="1"/>
    <col min="8707" max="8707" width="0" hidden="1" customWidth="1"/>
    <col min="8708" max="8708" width="7.5546875" bestFit="1" customWidth="1"/>
    <col min="8709" max="8709" width="18.33203125" bestFit="1" customWidth="1"/>
    <col min="8710" max="8710" width="20" customWidth="1"/>
    <col min="8711" max="8711" width="16.5546875" customWidth="1"/>
    <col min="8712" max="8712" width="10.5546875" customWidth="1"/>
    <col min="8713" max="8713" width="19" customWidth="1"/>
    <col min="8714" max="8714" width="13.109375" customWidth="1"/>
    <col min="8715" max="8715" width="12.44140625" customWidth="1"/>
    <col min="8716" max="8716" width="6.6640625" customWidth="1"/>
    <col min="8717" max="8717" width="0" hidden="1" customWidth="1"/>
    <col min="8956" max="8956" width="5.33203125" customWidth="1"/>
    <col min="8957" max="8957" width="4.88671875" customWidth="1"/>
    <col min="8958" max="8958" width="0" hidden="1" customWidth="1"/>
    <col min="8959" max="8960" width="7" bestFit="1" customWidth="1"/>
    <col min="8961" max="8961" width="0" hidden="1" customWidth="1"/>
    <col min="8962" max="8962" width="7" bestFit="1" customWidth="1"/>
    <col min="8963" max="8963" width="0" hidden="1" customWidth="1"/>
    <col min="8964" max="8964" width="7.5546875" bestFit="1" customWidth="1"/>
    <col min="8965" max="8965" width="18.33203125" bestFit="1" customWidth="1"/>
    <col min="8966" max="8966" width="20" customWidth="1"/>
    <col min="8967" max="8967" width="16.5546875" customWidth="1"/>
    <col min="8968" max="8968" width="10.5546875" customWidth="1"/>
    <col min="8969" max="8969" width="19" customWidth="1"/>
    <col min="8970" max="8970" width="13.109375" customWidth="1"/>
    <col min="8971" max="8971" width="12.44140625" customWidth="1"/>
    <col min="8972" max="8972" width="6.6640625" customWidth="1"/>
    <col min="8973" max="8973" width="0" hidden="1" customWidth="1"/>
    <col min="9212" max="9212" width="5.33203125" customWidth="1"/>
    <col min="9213" max="9213" width="4.88671875" customWidth="1"/>
    <col min="9214" max="9214" width="0" hidden="1" customWidth="1"/>
    <col min="9215" max="9216" width="7" bestFit="1" customWidth="1"/>
    <col min="9217" max="9217" width="0" hidden="1" customWidth="1"/>
    <col min="9218" max="9218" width="7" bestFit="1" customWidth="1"/>
    <col min="9219" max="9219" width="0" hidden="1" customWidth="1"/>
    <col min="9220" max="9220" width="7.5546875" bestFit="1" customWidth="1"/>
    <col min="9221" max="9221" width="18.33203125" bestFit="1" customWidth="1"/>
    <col min="9222" max="9222" width="20" customWidth="1"/>
    <col min="9223" max="9223" width="16.5546875" customWidth="1"/>
    <col min="9224" max="9224" width="10.5546875" customWidth="1"/>
    <col min="9225" max="9225" width="19" customWidth="1"/>
    <col min="9226" max="9226" width="13.109375" customWidth="1"/>
    <col min="9227" max="9227" width="12.44140625" customWidth="1"/>
    <col min="9228" max="9228" width="6.6640625" customWidth="1"/>
    <col min="9229" max="9229" width="0" hidden="1" customWidth="1"/>
    <col min="9468" max="9468" width="5.33203125" customWidth="1"/>
    <col min="9469" max="9469" width="4.88671875" customWidth="1"/>
    <col min="9470" max="9470" width="0" hidden="1" customWidth="1"/>
    <col min="9471" max="9472" width="7" bestFit="1" customWidth="1"/>
    <col min="9473" max="9473" width="0" hidden="1" customWidth="1"/>
    <col min="9474" max="9474" width="7" bestFit="1" customWidth="1"/>
    <col min="9475" max="9475" width="0" hidden="1" customWidth="1"/>
    <col min="9476" max="9476" width="7.5546875" bestFit="1" customWidth="1"/>
    <col min="9477" max="9477" width="18.33203125" bestFit="1" customWidth="1"/>
    <col min="9478" max="9478" width="20" customWidth="1"/>
    <col min="9479" max="9479" width="16.5546875" customWidth="1"/>
    <col min="9480" max="9480" width="10.5546875" customWidth="1"/>
    <col min="9481" max="9481" width="19" customWidth="1"/>
    <col min="9482" max="9482" width="13.109375" customWidth="1"/>
    <col min="9483" max="9483" width="12.44140625" customWidth="1"/>
    <col min="9484" max="9484" width="6.6640625" customWidth="1"/>
    <col min="9485" max="9485" width="0" hidden="1" customWidth="1"/>
    <col min="9724" max="9724" width="5.33203125" customWidth="1"/>
    <col min="9725" max="9725" width="4.88671875" customWidth="1"/>
    <col min="9726" max="9726" width="0" hidden="1" customWidth="1"/>
    <col min="9727" max="9728" width="7" bestFit="1" customWidth="1"/>
    <col min="9729" max="9729" width="0" hidden="1" customWidth="1"/>
    <col min="9730" max="9730" width="7" bestFit="1" customWidth="1"/>
    <col min="9731" max="9731" width="0" hidden="1" customWidth="1"/>
    <col min="9732" max="9732" width="7.5546875" bestFit="1" customWidth="1"/>
    <col min="9733" max="9733" width="18.33203125" bestFit="1" customWidth="1"/>
    <col min="9734" max="9734" width="20" customWidth="1"/>
    <col min="9735" max="9735" width="16.5546875" customWidth="1"/>
    <col min="9736" max="9736" width="10.5546875" customWidth="1"/>
    <col min="9737" max="9737" width="19" customWidth="1"/>
    <col min="9738" max="9738" width="13.109375" customWidth="1"/>
    <col min="9739" max="9739" width="12.44140625" customWidth="1"/>
    <col min="9740" max="9740" width="6.6640625" customWidth="1"/>
    <col min="9741" max="9741" width="0" hidden="1" customWidth="1"/>
    <col min="9980" max="9980" width="5.33203125" customWidth="1"/>
    <col min="9981" max="9981" width="4.88671875" customWidth="1"/>
    <col min="9982" max="9982" width="0" hidden="1" customWidth="1"/>
    <col min="9983" max="9984" width="7" bestFit="1" customWidth="1"/>
    <col min="9985" max="9985" width="0" hidden="1" customWidth="1"/>
    <col min="9986" max="9986" width="7" bestFit="1" customWidth="1"/>
    <col min="9987" max="9987" width="0" hidden="1" customWidth="1"/>
    <col min="9988" max="9988" width="7.5546875" bestFit="1" customWidth="1"/>
    <col min="9989" max="9989" width="18.33203125" bestFit="1" customWidth="1"/>
    <col min="9990" max="9990" width="20" customWidth="1"/>
    <col min="9991" max="9991" width="16.5546875" customWidth="1"/>
    <col min="9992" max="9992" width="10.5546875" customWidth="1"/>
    <col min="9993" max="9993" width="19" customWidth="1"/>
    <col min="9994" max="9994" width="13.109375" customWidth="1"/>
    <col min="9995" max="9995" width="12.44140625" customWidth="1"/>
    <col min="9996" max="9996" width="6.6640625" customWidth="1"/>
    <col min="9997" max="9997" width="0" hidden="1" customWidth="1"/>
    <col min="10236" max="10236" width="5.33203125" customWidth="1"/>
    <col min="10237" max="10237" width="4.88671875" customWidth="1"/>
    <col min="10238" max="10238" width="0" hidden="1" customWidth="1"/>
    <col min="10239" max="10240" width="7" bestFit="1" customWidth="1"/>
    <col min="10241" max="10241" width="0" hidden="1" customWidth="1"/>
    <col min="10242" max="10242" width="7" bestFit="1" customWidth="1"/>
    <col min="10243" max="10243" width="0" hidden="1" customWidth="1"/>
    <col min="10244" max="10244" width="7.5546875" bestFit="1" customWidth="1"/>
    <col min="10245" max="10245" width="18.33203125" bestFit="1" customWidth="1"/>
    <col min="10246" max="10246" width="20" customWidth="1"/>
    <col min="10247" max="10247" width="16.5546875" customWidth="1"/>
    <col min="10248" max="10248" width="10.5546875" customWidth="1"/>
    <col min="10249" max="10249" width="19" customWidth="1"/>
    <col min="10250" max="10250" width="13.109375" customWidth="1"/>
    <col min="10251" max="10251" width="12.44140625" customWidth="1"/>
    <col min="10252" max="10252" width="6.6640625" customWidth="1"/>
    <col min="10253" max="10253" width="0" hidden="1" customWidth="1"/>
    <col min="10492" max="10492" width="5.33203125" customWidth="1"/>
    <col min="10493" max="10493" width="4.88671875" customWidth="1"/>
    <col min="10494" max="10494" width="0" hidden="1" customWidth="1"/>
    <col min="10495" max="10496" width="7" bestFit="1" customWidth="1"/>
    <col min="10497" max="10497" width="0" hidden="1" customWidth="1"/>
    <col min="10498" max="10498" width="7" bestFit="1" customWidth="1"/>
    <col min="10499" max="10499" width="0" hidden="1" customWidth="1"/>
    <col min="10500" max="10500" width="7.5546875" bestFit="1" customWidth="1"/>
    <col min="10501" max="10501" width="18.33203125" bestFit="1" customWidth="1"/>
    <col min="10502" max="10502" width="20" customWidth="1"/>
    <col min="10503" max="10503" width="16.5546875" customWidth="1"/>
    <col min="10504" max="10504" width="10.5546875" customWidth="1"/>
    <col min="10505" max="10505" width="19" customWidth="1"/>
    <col min="10506" max="10506" width="13.109375" customWidth="1"/>
    <col min="10507" max="10507" width="12.44140625" customWidth="1"/>
    <col min="10508" max="10508" width="6.6640625" customWidth="1"/>
    <col min="10509" max="10509" width="0" hidden="1" customWidth="1"/>
    <col min="10748" max="10748" width="5.33203125" customWidth="1"/>
    <col min="10749" max="10749" width="4.88671875" customWidth="1"/>
    <col min="10750" max="10750" width="0" hidden="1" customWidth="1"/>
    <col min="10751" max="10752" width="7" bestFit="1" customWidth="1"/>
    <col min="10753" max="10753" width="0" hidden="1" customWidth="1"/>
    <col min="10754" max="10754" width="7" bestFit="1" customWidth="1"/>
    <col min="10755" max="10755" width="0" hidden="1" customWidth="1"/>
    <col min="10756" max="10756" width="7.5546875" bestFit="1" customWidth="1"/>
    <col min="10757" max="10757" width="18.33203125" bestFit="1" customWidth="1"/>
    <col min="10758" max="10758" width="20" customWidth="1"/>
    <col min="10759" max="10759" width="16.5546875" customWidth="1"/>
    <col min="10760" max="10760" width="10.5546875" customWidth="1"/>
    <col min="10761" max="10761" width="19" customWidth="1"/>
    <col min="10762" max="10762" width="13.109375" customWidth="1"/>
    <col min="10763" max="10763" width="12.44140625" customWidth="1"/>
    <col min="10764" max="10764" width="6.6640625" customWidth="1"/>
    <col min="10765" max="10765" width="0" hidden="1" customWidth="1"/>
    <col min="11004" max="11004" width="5.33203125" customWidth="1"/>
    <col min="11005" max="11005" width="4.88671875" customWidth="1"/>
    <col min="11006" max="11006" width="0" hidden="1" customWidth="1"/>
    <col min="11007" max="11008" width="7" bestFit="1" customWidth="1"/>
    <col min="11009" max="11009" width="0" hidden="1" customWidth="1"/>
    <col min="11010" max="11010" width="7" bestFit="1" customWidth="1"/>
    <col min="11011" max="11011" width="0" hidden="1" customWidth="1"/>
    <col min="11012" max="11012" width="7.5546875" bestFit="1" customWidth="1"/>
    <col min="11013" max="11013" width="18.33203125" bestFit="1" customWidth="1"/>
    <col min="11014" max="11014" width="20" customWidth="1"/>
    <col min="11015" max="11015" width="16.5546875" customWidth="1"/>
    <col min="11016" max="11016" width="10.5546875" customWidth="1"/>
    <col min="11017" max="11017" width="19" customWidth="1"/>
    <col min="11018" max="11018" width="13.109375" customWidth="1"/>
    <col min="11019" max="11019" width="12.44140625" customWidth="1"/>
    <col min="11020" max="11020" width="6.6640625" customWidth="1"/>
    <col min="11021" max="11021" width="0" hidden="1" customWidth="1"/>
    <col min="11260" max="11260" width="5.33203125" customWidth="1"/>
    <col min="11261" max="11261" width="4.88671875" customWidth="1"/>
    <col min="11262" max="11262" width="0" hidden="1" customWidth="1"/>
    <col min="11263" max="11264" width="7" bestFit="1" customWidth="1"/>
    <col min="11265" max="11265" width="0" hidden="1" customWidth="1"/>
    <col min="11266" max="11266" width="7" bestFit="1" customWidth="1"/>
    <col min="11267" max="11267" width="0" hidden="1" customWidth="1"/>
    <col min="11268" max="11268" width="7.5546875" bestFit="1" customWidth="1"/>
    <col min="11269" max="11269" width="18.33203125" bestFit="1" customWidth="1"/>
    <col min="11270" max="11270" width="20" customWidth="1"/>
    <col min="11271" max="11271" width="16.5546875" customWidth="1"/>
    <col min="11272" max="11272" width="10.5546875" customWidth="1"/>
    <col min="11273" max="11273" width="19" customWidth="1"/>
    <col min="11274" max="11274" width="13.109375" customWidth="1"/>
    <col min="11275" max="11275" width="12.44140625" customWidth="1"/>
    <col min="11276" max="11276" width="6.6640625" customWidth="1"/>
    <col min="11277" max="11277" width="0" hidden="1" customWidth="1"/>
    <col min="11516" max="11516" width="5.33203125" customWidth="1"/>
    <col min="11517" max="11517" width="4.88671875" customWidth="1"/>
    <col min="11518" max="11518" width="0" hidden="1" customWidth="1"/>
    <col min="11519" max="11520" width="7" bestFit="1" customWidth="1"/>
    <col min="11521" max="11521" width="0" hidden="1" customWidth="1"/>
    <col min="11522" max="11522" width="7" bestFit="1" customWidth="1"/>
    <col min="11523" max="11523" width="0" hidden="1" customWidth="1"/>
    <col min="11524" max="11524" width="7.5546875" bestFit="1" customWidth="1"/>
    <col min="11525" max="11525" width="18.33203125" bestFit="1" customWidth="1"/>
    <col min="11526" max="11526" width="20" customWidth="1"/>
    <col min="11527" max="11527" width="16.5546875" customWidth="1"/>
    <col min="11528" max="11528" width="10.5546875" customWidth="1"/>
    <col min="11529" max="11529" width="19" customWidth="1"/>
    <col min="11530" max="11530" width="13.109375" customWidth="1"/>
    <col min="11531" max="11531" width="12.44140625" customWidth="1"/>
    <col min="11532" max="11532" width="6.6640625" customWidth="1"/>
    <col min="11533" max="11533" width="0" hidden="1" customWidth="1"/>
    <col min="11772" max="11772" width="5.33203125" customWidth="1"/>
    <col min="11773" max="11773" width="4.88671875" customWidth="1"/>
    <col min="11774" max="11774" width="0" hidden="1" customWidth="1"/>
    <col min="11775" max="11776" width="7" bestFit="1" customWidth="1"/>
    <col min="11777" max="11777" width="0" hidden="1" customWidth="1"/>
    <col min="11778" max="11778" width="7" bestFit="1" customWidth="1"/>
    <col min="11779" max="11779" width="0" hidden="1" customWidth="1"/>
    <col min="11780" max="11780" width="7.5546875" bestFit="1" customWidth="1"/>
    <col min="11781" max="11781" width="18.33203125" bestFit="1" customWidth="1"/>
    <col min="11782" max="11782" width="20" customWidth="1"/>
    <col min="11783" max="11783" width="16.5546875" customWidth="1"/>
    <col min="11784" max="11784" width="10.5546875" customWidth="1"/>
    <col min="11785" max="11785" width="19" customWidth="1"/>
    <col min="11786" max="11786" width="13.109375" customWidth="1"/>
    <col min="11787" max="11787" width="12.44140625" customWidth="1"/>
    <col min="11788" max="11788" width="6.6640625" customWidth="1"/>
    <col min="11789" max="11789" width="0" hidden="1" customWidth="1"/>
    <col min="12028" max="12028" width="5.33203125" customWidth="1"/>
    <col min="12029" max="12029" width="4.88671875" customWidth="1"/>
    <col min="12030" max="12030" width="0" hidden="1" customWidth="1"/>
    <col min="12031" max="12032" width="7" bestFit="1" customWidth="1"/>
    <col min="12033" max="12033" width="0" hidden="1" customWidth="1"/>
    <col min="12034" max="12034" width="7" bestFit="1" customWidth="1"/>
    <col min="12035" max="12035" width="0" hidden="1" customWidth="1"/>
    <col min="12036" max="12036" width="7.5546875" bestFit="1" customWidth="1"/>
    <col min="12037" max="12037" width="18.33203125" bestFit="1" customWidth="1"/>
    <col min="12038" max="12038" width="20" customWidth="1"/>
    <col min="12039" max="12039" width="16.5546875" customWidth="1"/>
    <col min="12040" max="12040" width="10.5546875" customWidth="1"/>
    <col min="12041" max="12041" width="19" customWidth="1"/>
    <col min="12042" max="12042" width="13.109375" customWidth="1"/>
    <col min="12043" max="12043" width="12.44140625" customWidth="1"/>
    <col min="12044" max="12044" width="6.6640625" customWidth="1"/>
    <col min="12045" max="12045" width="0" hidden="1" customWidth="1"/>
    <col min="12284" max="12284" width="5.33203125" customWidth="1"/>
    <col min="12285" max="12285" width="4.88671875" customWidth="1"/>
    <col min="12286" max="12286" width="0" hidden="1" customWidth="1"/>
    <col min="12287" max="12288" width="7" bestFit="1" customWidth="1"/>
    <col min="12289" max="12289" width="0" hidden="1" customWidth="1"/>
    <col min="12290" max="12290" width="7" bestFit="1" customWidth="1"/>
    <col min="12291" max="12291" width="0" hidden="1" customWidth="1"/>
    <col min="12292" max="12292" width="7.5546875" bestFit="1" customWidth="1"/>
    <col min="12293" max="12293" width="18.33203125" bestFit="1" customWidth="1"/>
    <col min="12294" max="12294" width="20" customWidth="1"/>
    <col min="12295" max="12295" width="16.5546875" customWidth="1"/>
    <col min="12296" max="12296" width="10.5546875" customWidth="1"/>
    <col min="12297" max="12297" width="19" customWidth="1"/>
    <col min="12298" max="12298" width="13.109375" customWidth="1"/>
    <col min="12299" max="12299" width="12.44140625" customWidth="1"/>
    <col min="12300" max="12300" width="6.6640625" customWidth="1"/>
    <col min="12301" max="12301" width="0" hidden="1" customWidth="1"/>
    <col min="12540" max="12540" width="5.33203125" customWidth="1"/>
    <col min="12541" max="12541" width="4.88671875" customWidth="1"/>
    <col min="12542" max="12542" width="0" hidden="1" customWidth="1"/>
    <col min="12543" max="12544" width="7" bestFit="1" customWidth="1"/>
    <col min="12545" max="12545" width="0" hidden="1" customWidth="1"/>
    <col min="12546" max="12546" width="7" bestFit="1" customWidth="1"/>
    <col min="12547" max="12547" width="0" hidden="1" customWidth="1"/>
    <col min="12548" max="12548" width="7.5546875" bestFit="1" customWidth="1"/>
    <col min="12549" max="12549" width="18.33203125" bestFit="1" customWidth="1"/>
    <col min="12550" max="12550" width="20" customWidth="1"/>
    <col min="12551" max="12551" width="16.5546875" customWidth="1"/>
    <col min="12552" max="12552" width="10.5546875" customWidth="1"/>
    <col min="12553" max="12553" width="19" customWidth="1"/>
    <col min="12554" max="12554" width="13.109375" customWidth="1"/>
    <col min="12555" max="12555" width="12.44140625" customWidth="1"/>
    <col min="12556" max="12556" width="6.6640625" customWidth="1"/>
    <col min="12557" max="12557" width="0" hidden="1" customWidth="1"/>
    <col min="12796" max="12796" width="5.33203125" customWidth="1"/>
    <col min="12797" max="12797" width="4.88671875" customWidth="1"/>
    <col min="12798" max="12798" width="0" hidden="1" customWidth="1"/>
    <col min="12799" max="12800" width="7" bestFit="1" customWidth="1"/>
    <col min="12801" max="12801" width="0" hidden="1" customWidth="1"/>
    <col min="12802" max="12802" width="7" bestFit="1" customWidth="1"/>
    <col min="12803" max="12803" width="0" hidden="1" customWidth="1"/>
    <col min="12804" max="12804" width="7.5546875" bestFit="1" customWidth="1"/>
    <col min="12805" max="12805" width="18.33203125" bestFit="1" customWidth="1"/>
    <col min="12806" max="12806" width="20" customWidth="1"/>
    <col min="12807" max="12807" width="16.5546875" customWidth="1"/>
    <col min="12808" max="12808" width="10.5546875" customWidth="1"/>
    <col min="12809" max="12809" width="19" customWidth="1"/>
    <col min="12810" max="12810" width="13.109375" customWidth="1"/>
    <col min="12811" max="12811" width="12.44140625" customWidth="1"/>
    <col min="12812" max="12812" width="6.6640625" customWidth="1"/>
    <col min="12813" max="12813" width="0" hidden="1" customWidth="1"/>
    <col min="13052" max="13052" width="5.33203125" customWidth="1"/>
    <col min="13053" max="13053" width="4.88671875" customWidth="1"/>
    <col min="13054" max="13054" width="0" hidden="1" customWidth="1"/>
    <col min="13055" max="13056" width="7" bestFit="1" customWidth="1"/>
    <col min="13057" max="13057" width="0" hidden="1" customWidth="1"/>
    <col min="13058" max="13058" width="7" bestFit="1" customWidth="1"/>
    <col min="13059" max="13059" width="0" hidden="1" customWidth="1"/>
    <col min="13060" max="13060" width="7.5546875" bestFit="1" customWidth="1"/>
    <col min="13061" max="13061" width="18.33203125" bestFit="1" customWidth="1"/>
    <col min="13062" max="13062" width="20" customWidth="1"/>
    <col min="13063" max="13063" width="16.5546875" customWidth="1"/>
    <col min="13064" max="13064" width="10.5546875" customWidth="1"/>
    <col min="13065" max="13065" width="19" customWidth="1"/>
    <col min="13066" max="13066" width="13.109375" customWidth="1"/>
    <col min="13067" max="13067" width="12.44140625" customWidth="1"/>
    <col min="13068" max="13068" width="6.6640625" customWidth="1"/>
    <col min="13069" max="13069" width="0" hidden="1" customWidth="1"/>
    <col min="13308" max="13308" width="5.33203125" customWidth="1"/>
    <col min="13309" max="13309" width="4.88671875" customWidth="1"/>
    <col min="13310" max="13310" width="0" hidden="1" customWidth="1"/>
    <col min="13311" max="13312" width="7" bestFit="1" customWidth="1"/>
    <col min="13313" max="13313" width="0" hidden="1" customWidth="1"/>
    <col min="13314" max="13314" width="7" bestFit="1" customWidth="1"/>
    <col min="13315" max="13315" width="0" hidden="1" customWidth="1"/>
    <col min="13316" max="13316" width="7.5546875" bestFit="1" customWidth="1"/>
    <col min="13317" max="13317" width="18.33203125" bestFit="1" customWidth="1"/>
    <col min="13318" max="13318" width="20" customWidth="1"/>
    <col min="13319" max="13319" width="16.5546875" customWidth="1"/>
    <col min="13320" max="13320" width="10.5546875" customWidth="1"/>
    <col min="13321" max="13321" width="19" customWidth="1"/>
    <col min="13322" max="13322" width="13.109375" customWidth="1"/>
    <col min="13323" max="13323" width="12.44140625" customWidth="1"/>
    <col min="13324" max="13324" width="6.6640625" customWidth="1"/>
    <col min="13325" max="13325" width="0" hidden="1" customWidth="1"/>
    <col min="13564" max="13564" width="5.33203125" customWidth="1"/>
    <col min="13565" max="13565" width="4.88671875" customWidth="1"/>
    <col min="13566" max="13566" width="0" hidden="1" customWidth="1"/>
    <col min="13567" max="13568" width="7" bestFit="1" customWidth="1"/>
    <col min="13569" max="13569" width="0" hidden="1" customWidth="1"/>
    <col min="13570" max="13570" width="7" bestFit="1" customWidth="1"/>
    <col min="13571" max="13571" width="0" hidden="1" customWidth="1"/>
    <col min="13572" max="13572" width="7.5546875" bestFit="1" customWidth="1"/>
    <col min="13573" max="13573" width="18.33203125" bestFit="1" customWidth="1"/>
    <col min="13574" max="13574" width="20" customWidth="1"/>
    <col min="13575" max="13575" width="16.5546875" customWidth="1"/>
    <col min="13576" max="13576" width="10.5546875" customWidth="1"/>
    <col min="13577" max="13577" width="19" customWidth="1"/>
    <col min="13578" max="13578" width="13.109375" customWidth="1"/>
    <col min="13579" max="13579" width="12.44140625" customWidth="1"/>
    <col min="13580" max="13580" width="6.6640625" customWidth="1"/>
    <col min="13581" max="13581" width="0" hidden="1" customWidth="1"/>
    <col min="13820" max="13820" width="5.33203125" customWidth="1"/>
    <col min="13821" max="13821" width="4.88671875" customWidth="1"/>
    <col min="13822" max="13822" width="0" hidden="1" customWidth="1"/>
    <col min="13823" max="13824" width="7" bestFit="1" customWidth="1"/>
    <col min="13825" max="13825" width="0" hidden="1" customWidth="1"/>
    <col min="13826" max="13826" width="7" bestFit="1" customWidth="1"/>
    <col min="13827" max="13827" width="0" hidden="1" customWidth="1"/>
    <col min="13828" max="13828" width="7.5546875" bestFit="1" customWidth="1"/>
    <col min="13829" max="13829" width="18.33203125" bestFit="1" customWidth="1"/>
    <col min="13830" max="13830" width="20" customWidth="1"/>
    <col min="13831" max="13831" width="16.5546875" customWidth="1"/>
    <col min="13832" max="13832" width="10.5546875" customWidth="1"/>
    <col min="13833" max="13833" width="19" customWidth="1"/>
    <col min="13834" max="13834" width="13.109375" customWidth="1"/>
    <col min="13835" max="13835" width="12.44140625" customWidth="1"/>
    <col min="13836" max="13836" width="6.6640625" customWidth="1"/>
    <col min="13837" max="13837" width="0" hidden="1" customWidth="1"/>
    <col min="14076" max="14076" width="5.33203125" customWidth="1"/>
    <col min="14077" max="14077" width="4.88671875" customWidth="1"/>
    <col min="14078" max="14078" width="0" hidden="1" customWidth="1"/>
    <col min="14079" max="14080" width="7" bestFit="1" customWidth="1"/>
    <col min="14081" max="14081" width="0" hidden="1" customWidth="1"/>
    <col min="14082" max="14082" width="7" bestFit="1" customWidth="1"/>
    <col min="14083" max="14083" width="0" hidden="1" customWidth="1"/>
    <col min="14084" max="14084" width="7.5546875" bestFit="1" customWidth="1"/>
    <col min="14085" max="14085" width="18.33203125" bestFit="1" customWidth="1"/>
    <col min="14086" max="14086" width="20" customWidth="1"/>
    <col min="14087" max="14087" width="16.5546875" customWidth="1"/>
    <col min="14088" max="14088" width="10.5546875" customWidth="1"/>
    <col min="14089" max="14089" width="19" customWidth="1"/>
    <col min="14090" max="14090" width="13.109375" customWidth="1"/>
    <col min="14091" max="14091" width="12.44140625" customWidth="1"/>
    <col min="14092" max="14092" width="6.6640625" customWidth="1"/>
    <col min="14093" max="14093" width="0" hidden="1" customWidth="1"/>
    <col min="14332" max="14332" width="5.33203125" customWidth="1"/>
    <col min="14333" max="14333" width="4.88671875" customWidth="1"/>
    <col min="14334" max="14334" width="0" hidden="1" customWidth="1"/>
    <col min="14335" max="14336" width="7" bestFit="1" customWidth="1"/>
    <col min="14337" max="14337" width="0" hidden="1" customWidth="1"/>
    <col min="14338" max="14338" width="7" bestFit="1" customWidth="1"/>
    <col min="14339" max="14339" width="0" hidden="1" customWidth="1"/>
    <col min="14340" max="14340" width="7.5546875" bestFit="1" customWidth="1"/>
    <col min="14341" max="14341" width="18.33203125" bestFit="1" customWidth="1"/>
    <col min="14342" max="14342" width="20" customWidth="1"/>
    <col min="14343" max="14343" width="16.5546875" customWidth="1"/>
    <col min="14344" max="14344" width="10.5546875" customWidth="1"/>
    <col min="14345" max="14345" width="19" customWidth="1"/>
    <col min="14346" max="14346" width="13.109375" customWidth="1"/>
    <col min="14347" max="14347" width="12.44140625" customWidth="1"/>
    <col min="14348" max="14348" width="6.6640625" customWidth="1"/>
    <col min="14349" max="14349" width="0" hidden="1" customWidth="1"/>
    <col min="14588" max="14588" width="5.33203125" customWidth="1"/>
    <col min="14589" max="14589" width="4.88671875" customWidth="1"/>
    <col min="14590" max="14590" width="0" hidden="1" customWidth="1"/>
    <col min="14591" max="14592" width="7" bestFit="1" customWidth="1"/>
    <col min="14593" max="14593" width="0" hidden="1" customWidth="1"/>
    <col min="14594" max="14594" width="7" bestFit="1" customWidth="1"/>
    <col min="14595" max="14595" width="0" hidden="1" customWidth="1"/>
    <col min="14596" max="14596" width="7.5546875" bestFit="1" customWidth="1"/>
    <col min="14597" max="14597" width="18.33203125" bestFit="1" customWidth="1"/>
    <col min="14598" max="14598" width="20" customWidth="1"/>
    <col min="14599" max="14599" width="16.5546875" customWidth="1"/>
    <col min="14600" max="14600" width="10.5546875" customWidth="1"/>
    <col min="14601" max="14601" width="19" customWidth="1"/>
    <col min="14602" max="14602" width="13.109375" customWidth="1"/>
    <col min="14603" max="14603" width="12.44140625" customWidth="1"/>
    <col min="14604" max="14604" width="6.6640625" customWidth="1"/>
    <col min="14605" max="14605" width="0" hidden="1" customWidth="1"/>
    <col min="14844" max="14844" width="5.33203125" customWidth="1"/>
    <col min="14845" max="14845" width="4.88671875" customWidth="1"/>
    <col min="14846" max="14846" width="0" hidden="1" customWidth="1"/>
    <col min="14847" max="14848" width="7" bestFit="1" customWidth="1"/>
    <col min="14849" max="14849" width="0" hidden="1" customWidth="1"/>
    <col min="14850" max="14850" width="7" bestFit="1" customWidth="1"/>
    <col min="14851" max="14851" width="0" hidden="1" customWidth="1"/>
    <col min="14852" max="14852" width="7.5546875" bestFit="1" customWidth="1"/>
    <col min="14853" max="14853" width="18.33203125" bestFit="1" customWidth="1"/>
    <col min="14854" max="14854" width="20" customWidth="1"/>
    <col min="14855" max="14855" width="16.5546875" customWidth="1"/>
    <col min="14856" max="14856" width="10.5546875" customWidth="1"/>
    <col min="14857" max="14857" width="19" customWidth="1"/>
    <col min="14858" max="14858" width="13.109375" customWidth="1"/>
    <col min="14859" max="14859" width="12.44140625" customWidth="1"/>
    <col min="14860" max="14860" width="6.6640625" customWidth="1"/>
    <col min="14861" max="14861" width="0" hidden="1" customWidth="1"/>
    <col min="15100" max="15100" width="5.33203125" customWidth="1"/>
    <col min="15101" max="15101" width="4.88671875" customWidth="1"/>
    <col min="15102" max="15102" width="0" hidden="1" customWidth="1"/>
    <col min="15103" max="15104" width="7" bestFit="1" customWidth="1"/>
    <col min="15105" max="15105" width="0" hidden="1" customWidth="1"/>
    <col min="15106" max="15106" width="7" bestFit="1" customWidth="1"/>
    <col min="15107" max="15107" width="0" hidden="1" customWidth="1"/>
    <col min="15108" max="15108" width="7.5546875" bestFit="1" customWidth="1"/>
    <col min="15109" max="15109" width="18.33203125" bestFit="1" customWidth="1"/>
    <col min="15110" max="15110" width="20" customWidth="1"/>
    <col min="15111" max="15111" width="16.5546875" customWidth="1"/>
    <col min="15112" max="15112" width="10.5546875" customWidth="1"/>
    <col min="15113" max="15113" width="19" customWidth="1"/>
    <col min="15114" max="15114" width="13.109375" customWidth="1"/>
    <col min="15115" max="15115" width="12.44140625" customWidth="1"/>
    <col min="15116" max="15116" width="6.6640625" customWidth="1"/>
    <col min="15117" max="15117" width="0" hidden="1" customWidth="1"/>
    <col min="15356" max="15356" width="5.33203125" customWidth="1"/>
    <col min="15357" max="15357" width="4.88671875" customWidth="1"/>
    <col min="15358" max="15358" width="0" hidden="1" customWidth="1"/>
    <col min="15359" max="15360" width="7" bestFit="1" customWidth="1"/>
    <col min="15361" max="15361" width="0" hidden="1" customWidth="1"/>
    <col min="15362" max="15362" width="7" bestFit="1" customWidth="1"/>
    <col min="15363" max="15363" width="0" hidden="1" customWidth="1"/>
    <col min="15364" max="15364" width="7.5546875" bestFit="1" customWidth="1"/>
    <col min="15365" max="15365" width="18.33203125" bestFit="1" customWidth="1"/>
    <col min="15366" max="15366" width="20" customWidth="1"/>
    <col min="15367" max="15367" width="16.5546875" customWidth="1"/>
    <col min="15368" max="15368" width="10.5546875" customWidth="1"/>
    <col min="15369" max="15369" width="19" customWidth="1"/>
    <col min="15370" max="15370" width="13.109375" customWidth="1"/>
    <col min="15371" max="15371" width="12.44140625" customWidth="1"/>
    <col min="15372" max="15372" width="6.6640625" customWidth="1"/>
    <col min="15373" max="15373" width="0" hidden="1" customWidth="1"/>
    <col min="15612" max="15612" width="5.33203125" customWidth="1"/>
    <col min="15613" max="15613" width="4.88671875" customWidth="1"/>
    <col min="15614" max="15614" width="0" hidden="1" customWidth="1"/>
    <col min="15615" max="15616" width="7" bestFit="1" customWidth="1"/>
    <col min="15617" max="15617" width="0" hidden="1" customWidth="1"/>
    <col min="15618" max="15618" width="7" bestFit="1" customWidth="1"/>
    <col min="15619" max="15619" width="0" hidden="1" customWidth="1"/>
    <col min="15620" max="15620" width="7.5546875" bestFit="1" customWidth="1"/>
    <col min="15621" max="15621" width="18.33203125" bestFit="1" customWidth="1"/>
    <col min="15622" max="15622" width="20" customWidth="1"/>
    <col min="15623" max="15623" width="16.5546875" customWidth="1"/>
    <col min="15624" max="15624" width="10.5546875" customWidth="1"/>
    <col min="15625" max="15625" width="19" customWidth="1"/>
    <col min="15626" max="15626" width="13.109375" customWidth="1"/>
    <col min="15627" max="15627" width="12.44140625" customWidth="1"/>
    <col min="15628" max="15628" width="6.6640625" customWidth="1"/>
    <col min="15629" max="15629" width="0" hidden="1" customWidth="1"/>
    <col min="15868" max="15868" width="5.33203125" customWidth="1"/>
    <col min="15869" max="15869" width="4.88671875" customWidth="1"/>
    <col min="15870" max="15870" width="0" hidden="1" customWidth="1"/>
    <col min="15871" max="15872" width="7" bestFit="1" customWidth="1"/>
    <col min="15873" max="15873" width="0" hidden="1" customWidth="1"/>
    <col min="15874" max="15874" width="7" bestFit="1" customWidth="1"/>
    <col min="15875" max="15875" width="0" hidden="1" customWidth="1"/>
    <col min="15876" max="15876" width="7.5546875" bestFit="1" customWidth="1"/>
    <col min="15877" max="15877" width="18.33203125" bestFit="1" customWidth="1"/>
    <col min="15878" max="15878" width="20" customWidth="1"/>
    <col min="15879" max="15879" width="16.5546875" customWidth="1"/>
    <col min="15880" max="15880" width="10.5546875" customWidth="1"/>
    <col min="15881" max="15881" width="19" customWidth="1"/>
    <col min="15882" max="15882" width="13.109375" customWidth="1"/>
    <col min="15883" max="15883" width="12.44140625" customWidth="1"/>
    <col min="15884" max="15884" width="6.6640625" customWidth="1"/>
    <col min="15885" max="15885" width="0" hidden="1" customWidth="1"/>
    <col min="16124" max="16124" width="5.33203125" customWidth="1"/>
    <col min="16125" max="16125" width="4.88671875" customWidth="1"/>
    <col min="16126" max="16126" width="0" hidden="1" customWidth="1"/>
    <col min="16127" max="16128" width="7" bestFit="1" customWidth="1"/>
    <col min="16129" max="16129" width="0" hidden="1" customWidth="1"/>
    <col min="16130" max="16130" width="7" bestFit="1" customWidth="1"/>
    <col min="16131" max="16131" width="0" hidden="1" customWidth="1"/>
    <col min="16132" max="16132" width="7.5546875" bestFit="1" customWidth="1"/>
    <col min="16133" max="16133" width="18.33203125" bestFit="1" customWidth="1"/>
    <col min="16134" max="16134" width="20" customWidth="1"/>
    <col min="16135" max="16135" width="16.5546875" customWidth="1"/>
    <col min="16136" max="16136" width="10.5546875" customWidth="1"/>
    <col min="16137" max="16137" width="19" customWidth="1"/>
    <col min="16138" max="16138" width="13.109375" customWidth="1"/>
    <col min="16139" max="16139" width="12.44140625" customWidth="1"/>
    <col min="16140" max="16140" width="6.6640625" customWidth="1"/>
    <col min="16141" max="16141" width="0" hidden="1" customWidth="1"/>
  </cols>
  <sheetData>
    <row r="1" spans="1:14" x14ac:dyDescent="0.25">
      <c r="J1" s="218" t="str">
        <f>+Budget!E1</f>
        <v>Mise à jour le :</v>
      </c>
      <c r="K1" s="217">
        <f>+Budget!F1</f>
        <v>41768</v>
      </c>
    </row>
    <row r="2" spans="1:14" x14ac:dyDescent="0.25">
      <c r="K2" s="218"/>
      <c r="L2" s="217"/>
    </row>
    <row r="3" spans="1:14" ht="22.8" customHeight="1" x14ac:dyDescent="0.25">
      <c r="E3" s="627" t="s">
        <v>182</v>
      </c>
      <c r="F3" s="627"/>
      <c r="G3" s="627"/>
      <c r="H3" s="627"/>
      <c r="I3" s="627"/>
      <c r="J3" s="627"/>
      <c r="K3" s="321"/>
      <c r="L3" s="217"/>
    </row>
    <row r="5" spans="1:14" ht="13.8" customHeight="1" x14ac:dyDescent="0.25">
      <c r="A5" s="626" t="str">
        <f>+Budget!A4</f>
        <v xml:space="preserve">                            Résidence "XY 000"  </v>
      </c>
      <c r="B5" s="626"/>
      <c r="C5" s="626"/>
      <c r="D5" s="626"/>
      <c r="E5" s="626"/>
      <c r="F5" s="626"/>
      <c r="G5" s="626"/>
      <c r="H5" s="626"/>
      <c r="I5" s="626"/>
      <c r="J5" s="626"/>
      <c r="K5" s="626"/>
      <c r="L5" s="318"/>
      <c r="M5"/>
    </row>
    <row r="6" spans="1:14" ht="13.2" customHeight="1" x14ac:dyDescent="0.25">
      <c r="B6" s="318"/>
      <c r="C6" s="318"/>
      <c r="D6" s="318"/>
      <c r="E6" s="318"/>
      <c r="F6" s="318"/>
      <c r="G6" s="318"/>
      <c r="H6" s="318"/>
      <c r="I6" s="318"/>
      <c r="J6" s="318"/>
      <c r="K6" s="318"/>
      <c r="L6" s="318"/>
      <c r="M6" s="318"/>
      <c r="N6" s="318"/>
    </row>
    <row r="7" spans="1:14" x14ac:dyDescent="0.25">
      <c r="B7" s="159"/>
      <c r="C7" s="160"/>
      <c r="D7" s="161"/>
      <c r="E7" s="220"/>
      <c r="F7" s="220"/>
      <c r="I7" s="222"/>
      <c r="J7" s="518"/>
      <c r="K7" s="519" t="s">
        <v>308</v>
      </c>
      <c r="L7">
        <v>6</v>
      </c>
    </row>
    <row r="8" spans="1:14" x14ac:dyDescent="0.25">
      <c r="B8" s="159"/>
      <c r="C8" s="160"/>
      <c r="D8" s="161"/>
      <c r="E8" s="220"/>
      <c r="F8" s="220"/>
      <c r="I8" s="222"/>
      <c r="J8" s="518"/>
      <c r="K8" s="519" t="s">
        <v>309</v>
      </c>
      <c r="L8">
        <v>11</v>
      </c>
    </row>
    <row r="9" spans="1:14" ht="19.5" customHeight="1" thickBot="1" x14ac:dyDescent="0.3">
      <c r="B9" s="159"/>
      <c r="C9" s="162"/>
      <c r="D9" s="162"/>
      <c r="E9" s="221"/>
      <c r="F9" s="221"/>
      <c r="G9" s="223"/>
      <c r="H9" s="223"/>
      <c r="I9" s="222"/>
      <c r="J9" s="223"/>
      <c r="K9" s="163"/>
      <c r="L9"/>
      <c r="M9"/>
    </row>
    <row r="10" spans="1:14" s="164" customFormat="1" ht="13.2" customHeight="1" x14ac:dyDescent="0.25">
      <c r="A10" s="630" t="s">
        <v>103</v>
      </c>
      <c r="B10" s="628"/>
      <c r="C10" s="628" t="s">
        <v>104</v>
      </c>
      <c r="D10" s="630" t="s">
        <v>105</v>
      </c>
      <c r="E10" s="181" t="s">
        <v>288</v>
      </c>
      <c r="F10" s="182" t="s">
        <v>47</v>
      </c>
      <c r="G10" s="182" t="s">
        <v>106</v>
      </c>
      <c r="H10" s="182" t="s">
        <v>107</v>
      </c>
      <c r="I10" s="183" t="s">
        <v>108</v>
      </c>
      <c r="J10" s="632" t="s">
        <v>152</v>
      </c>
      <c r="K10" s="624" t="s">
        <v>290</v>
      </c>
      <c r="L10" s="624" t="s">
        <v>291</v>
      </c>
    </row>
    <row r="11" spans="1:14" s="164" customFormat="1" ht="13.8" thickBot="1" x14ac:dyDescent="0.3">
      <c r="A11" s="634"/>
      <c r="B11" s="635"/>
      <c r="C11" s="629"/>
      <c r="D11" s="631"/>
      <c r="E11" s="184" t="s">
        <v>289</v>
      </c>
      <c r="F11" s="185" t="s">
        <v>111</v>
      </c>
      <c r="G11" s="185" t="s">
        <v>110</v>
      </c>
      <c r="H11" s="541" t="s">
        <v>112</v>
      </c>
      <c r="I11" s="186" t="s">
        <v>113</v>
      </c>
      <c r="J11" s="633"/>
      <c r="K11" s="625"/>
      <c r="L11" s="625"/>
    </row>
    <row r="12" spans="1:14" x14ac:dyDescent="0.25">
      <c r="A12" s="573" t="s">
        <v>286</v>
      </c>
      <c r="B12" s="576">
        <v>1</v>
      </c>
      <c r="C12" s="577" t="s">
        <v>116</v>
      </c>
      <c r="D12" s="577"/>
      <c r="E12" s="578">
        <v>62</v>
      </c>
      <c r="F12" s="578">
        <v>10</v>
      </c>
      <c r="G12" s="578"/>
      <c r="H12" s="578">
        <f t="shared" ref="H12:H28" si="0">+E12</f>
        <v>62</v>
      </c>
      <c r="I12" s="579"/>
      <c r="J12" s="574">
        <f t="shared" ref="J12:J28" si="1">+H12/$H$29*$J$34</f>
        <v>463879.30192642024</v>
      </c>
      <c r="K12" s="580">
        <v>580</v>
      </c>
      <c r="L12" s="580">
        <f>700*12</f>
        <v>8400</v>
      </c>
      <c r="M12"/>
    </row>
    <row r="13" spans="1:14" x14ac:dyDescent="0.25">
      <c r="A13" s="320" t="s">
        <v>286</v>
      </c>
      <c r="B13" s="581">
        <f t="shared" ref="B13:B28" si="2">+B12+1</f>
        <v>2</v>
      </c>
      <c r="C13" s="582" t="s">
        <v>117</v>
      </c>
      <c r="D13" s="582"/>
      <c r="E13" s="583">
        <v>82</v>
      </c>
      <c r="F13" s="583">
        <v>10</v>
      </c>
      <c r="G13" s="583"/>
      <c r="H13" s="583">
        <f t="shared" si="0"/>
        <v>82</v>
      </c>
      <c r="I13" s="583"/>
      <c r="J13" s="575">
        <f t="shared" si="1"/>
        <v>613517.78641881386</v>
      </c>
      <c r="K13" s="584">
        <v>680</v>
      </c>
      <c r="L13" s="584">
        <f>600*12</f>
        <v>7200</v>
      </c>
      <c r="M13"/>
    </row>
    <row r="14" spans="1:14" x14ac:dyDescent="0.25">
      <c r="A14" s="573" t="s">
        <v>286</v>
      </c>
      <c r="B14" s="585">
        <f t="shared" si="2"/>
        <v>3</v>
      </c>
      <c r="C14" s="586" t="s">
        <v>116</v>
      </c>
      <c r="D14" s="586"/>
      <c r="E14" s="587">
        <v>62</v>
      </c>
      <c r="F14" s="587">
        <v>10</v>
      </c>
      <c r="G14" s="587"/>
      <c r="H14" s="587">
        <f t="shared" si="0"/>
        <v>62</v>
      </c>
      <c r="I14" s="587"/>
      <c r="J14" s="574">
        <f t="shared" si="1"/>
        <v>463879.30192642024</v>
      </c>
      <c r="K14" s="588">
        <v>580</v>
      </c>
      <c r="L14" s="588">
        <f>700*12</f>
        <v>8400</v>
      </c>
      <c r="M14"/>
    </row>
    <row r="15" spans="1:14" x14ac:dyDescent="0.25">
      <c r="A15" s="320" t="s">
        <v>286</v>
      </c>
      <c r="B15" s="581">
        <f t="shared" si="2"/>
        <v>4</v>
      </c>
      <c r="C15" s="582" t="s">
        <v>117</v>
      </c>
      <c r="D15" s="582"/>
      <c r="E15" s="583">
        <v>82</v>
      </c>
      <c r="F15" s="583">
        <v>10</v>
      </c>
      <c r="G15" s="583"/>
      <c r="H15" s="583">
        <f t="shared" si="0"/>
        <v>82</v>
      </c>
      <c r="I15" s="583"/>
      <c r="J15" s="575">
        <f t="shared" si="1"/>
        <v>613517.78641881386</v>
      </c>
      <c r="K15" s="584">
        <v>680</v>
      </c>
      <c r="L15" s="584">
        <f>600*12</f>
        <v>7200</v>
      </c>
      <c r="M15"/>
    </row>
    <row r="16" spans="1:14" x14ac:dyDescent="0.25">
      <c r="A16" s="320" t="s">
        <v>286</v>
      </c>
      <c r="B16" s="581">
        <f t="shared" si="2"/>
        <v>5</v>
      </c>
      <c r="C16" s="582" t="s">
        <v>117</v>
      </c>
      <c r="D16" s="582"/>
      <c r="E16" s="583">
        <v>82</v>
      </c>
      <c r="F16" s="583">
        <v>10</v>
      </c>
      <c r="G16" s="583"/>
      <c r="H16" s="583">
        <f t="shared" si="0"/>
        <v>82</v>
      </c>
      <c r="I16" s="583"/>
      <c r="J16" s="575">
        <f t="shared" si="1"/>
        <v>613517.78641881386</v>
      </c>
      <c r="K16" s="584">
        <v>680</v>
      </c>
      <c r="L16" s="584">
        <f>700*12</f>
        <v>8400</v>
      </c>
      <c r="M16"/>
    </row>
    <row r="17" spans="1:13" x14ac:dyDescent="0.25">
      <c r="A17" s="320" t="s">
        <v>287</v>
      </c>
      <c r="B17" s="581">
        <f t="shared" si="2"/>
        <v>6</v>
      </c>
      <c r="C17" s="582" t="s">
        <v>117</v>
      </c>
      <c r="D17" s="582"/>
      <c r="E17" s="583">
        <v>82</v>
      </c>
      <c r="F17" s="583">
        <v>10</v>
      </c>
      <c r="G17" s="583"/>
      <c r="H17" s="583">
        <f t="shared" si="0"/>
        <v>82</v>
      </c>
      <c r="I17" s="583">
        <v>63.52</v>
      </c>
      <c r="J17" s="575">
        <f t="shared" si="1"/>
        <v>613517.78641881386</v>
      </c>
      <c r="K17" s="584">
        <v>680</v>
      </c>
      <c r="L17" s="584">
        <f>700*12</f>
        <v>8400</v>
      </c>
      <c r="M17"/>
    </row>
    <row r="18" spans="1:13" x14ac:dyDescent="0.25">
      <c r="A18" s="320" t="s">
        <v>287</v>
      </c>
      <c r="B18" s="581">
        <f t="shared" si="2"/>
        <v>7</v>
      </c>
      <c r="C18" s="582" t="s">
        <v>117</v>
      </c>
      <c r="D18" s="582"/>
      <c r="E18" s="583">
        <v>82</v>
      </c>
      <c r="F18" s="583">
        <v>10</v>
      </c>
      <c r="G18" s="583"/>
      <c r="H18" s="583">
        <f t="shared" si="0"/>
        <v>82</v>
      </c>
      <c r="I18" s="583"/>
      <c r="J18" s="575">
        <f t="shared" si="1"/>
        <v>613517.78641881386</v>
      </c>
      <c r="K18" s="584">
        <v>680</v>
      </c>
      <c r="L18" s="584">
        <f>600*12</f>
        <v>7200</v>
      </c>
      <c r="M18"/>
    </row>
    <row r="19" spans="1:13" x14ac:dyDescent="0.25">
      <c r="A19" s="320" t="s">
        <v>287</v>
      </c>
      <c r="B19" s="581">
        <f t="shared" si="2"/>
        <v>8</v>
      </c>
      <c r="C19" s="582" t="s">
        <v>117</v>
      </c>
      <c r="D19" s="582"/>
      <c r="E19" s="583">
        <v>82</v>
      </c>
      <c r="F19" s="583">
        <v>10</v>
      </c>
      <c r="G19" s="583"/>
      <c r="H19" s="583">
        <f t="shared" si="0"/>
        <v>82</v>
      </c>
      <c r="I19" s="583"/>
      <c r="J19" s="575">
        <f t="shared" si="1"/>
        <v>613517.78641881386</v>
      </c>
      <c r="K19" s="584">
        <v>680</v>
      </c>
      <c r="L19" s="584">
        <f t="shared" ref="L19:L26" si="3">700*12</f>
        <v>8400</v>
      </c>
      <c r="M19"/>
    </row>
    <row r="20" spans="1:13" x14ac:dyDescent="0.25">
      <c r="A20" s="573" t="s">
        <v>287</v>
      </c>
      <c r="B20" s="585">
        <f t="shared" si="2"/>
        <v>9</v>
      </c>
      <c r="C20" s="586" t="s">
        <v>116</v>
      </c>
      <c r="D20" s="586"/>
      <c r="E20" s="587">
        <v>62</v>
      </c>
      <c r="F20" s="587">
        <v>10</v>
      </c>
      <c r="G20" s="587"/>
      <c r="H20" s="587">
        <f t="shared" ref="H20" si="4">+E20</f>
        <v>62</v>
      </c>
      <c r="I20" s="587"/>
      <c r="J20" s="574">
        <f t="shared" si="1"/>
        <v>463879.30192642024</v>
      </c>
      <c r="K20" s="588">
        <v>580</v>
      </c>
      <c r="L20" s="588">
        <f t="shared" si="3"/>
        <v>8400</v>
      </c>
      <c r="M20"/>
    </row>
    <row r="21" spans="1:13" x14ac:dyDescent="0.25">
      <c r="A21" s="320" t="s">
        <v>287</v>
      </c>
      <c r="B21" s="581">
        <f t="shared" si="2"/>
        <v>10</v>
      </c>
      <c r="C21" s="582" t="s">
        <v>117</v>
      </c>
      <c r="D21" s="582"/>
      <c r="E21" s="583">
        <v>82</v>
      </c>
      <c r="F21" s="583">
        <v>10</v>
      </c>
      <c r="G21" s="583"/>
      <c r="H21" s="583">
        <f t="shared" si="0"/>
        <v>82</v>
      </c>
      <c r="I21" s="583"/>
      <c r="J21" s="575">
        <f t="shared" si="1"/>
        <v>613517.78641881386</v>
      </c>
      <c r="K21" s="584">
        <v>680</v>
      </c>
      <c r="L21" s="584">
        <f t="shared" si="3"/>
        <v>8400</v>
      </c>
      <c r="M21"/>
    </row>
    <row r="22" spans="1:13" x14ac:dyDescent="0.25">
      <c r="A22" s="573" t="s">
        <v>287</v>
      </c>
      <c r="B22" s="585">
        <f t="shared" si="2"/>
        <v>11</v>
      </c>
      <c r="C22" s="586" t="s">
        <v>116</v>
      </c>
      <c r="D22" s="586"/>
      <c r="E22" s="587">
        <v>60</v>
      </c>
      <c r="F22" s="587">
        <v>10</v>
      </c>
      <c r="G22" s="587"/>
      <c r="H22" s="587">
        <f t="shared" ref="H22" si="5">+E22</f>
        <v>60</v>
      </c>
      <c r="I22" s="587"/>
      <c r="J22" s="574">
        <f t="shared" si="1"/>
        <v>448915.45347718085</v>
      </c>
      <c r="K22" s="588">
        <v>580</v>
      </c>
      <c r="L22" s="588">
        <f t="shared" si="3"/>
        <v>8400</v>
      </c>
      <c r="M22"/>
    </row>
    <row r="23" spans="1:13" x14ac:dyDescent="0.25">
      <c r="A23" s="320" t="s">
        <v>126</v>
      </c>
      <c r="B23" s="581">
        <f t="shared" si="2"/>
        <v>12</v>
      </c>
      <c r="C23" s="582" t="s">
        <v>117</v>
      </c>
      <c r="D23" s="582"/>
      <c r="E23" s="583">
        <v>80</v>
      </c>
      <c r="F23" s="583">
        <v>10</v>
      </c>
      <c r="G23" s="583"/>
      <c r="H23" s="583">
        <f t="shared" si="0"/>
        <v>80</v>
      </c>
      <c r="I23" s="583"/>
      <c r="J23" s="575">
        <f t="shared" si="1"/>
        <v>598553.93796957447</v>
      </c>
      <c r="K23" s="584">
        <v>680</v>
      </c>
      <c r="L23" s="584">
        <f t="shared" si="3"/>
        <v>8400</v>
      </c>
      <c r="M23"/>
    </row>
    <row r="24" spans="1:13" x14ac:dyDescent="0.25">
      <c r="A24" s="573" t="s">
        <v>126</v>
      </c>
      <c r="B24" s="585">
        <f t="shared" si="2"/>
        <v>13</v>
      </c>
      <c r="C24" s="586" t="s">
        <v>116</v>
      </c>
      <c r="D24" s="586"/>
      <c r="E24" s="587">
        <v>60</v>
      </c>
      <c r="F24" s="587">
        <v>10</v>
      </c>
      <c r="G24" s="587"/>
      <c r="H24" s="587">
        <f t="shared" ref="H24" si="6">+E24</f>
        <v>60</v>
      </c>
      <c r="I24" s="587"/>
      <c r="J24" s="574">
        <f t="shared" si="1"/>
        <v>448915.45347718085</v>
      </c>
      <c r="K24" s="588">
        <v>580</v>
      </c>
      <c r="L24" s="588">
        <f t="shared" si="3"/>
        <v>8400</v>
      </c>
      <c r="M24"/>
    </row>
    <row r="25" spans="1:13" x14ac:dyDescent="0.25">
      <c r="A25" s="320" t="s">
        <v>126</v>
      </c>
      <c r="B25" s="581">
        <f t="shared" si="2"/>
        <v>14</v>
      </c>
      <c r="C25" s="582" t="s">
        <v>117</v>
      </c>
      <c r="D25" s="582"/>
      <c r="E25" s="583">
        <v>80</v>
      </c>
      <c r="F25" s="583">
        <v>10</v>
      </c>
      <c r="G25" s="583"/>
      <c r="H25" s="583">
        <f t="shared" si="0"/>
        <v>80</v>
      </c>
      <c r="I25" s="583"/>
      <c r="J25" s="575">
        <f t="shared" si="1"/>
        <v>598553.93796957447</v>
      </c>
      <c r="K25" s="584">
        <v>680</v>
      </c>
      <c r="L25" s="584">
        <f t="shared" si="3"/>
        <v>8400</v>
      </c>
      <c r="M25"/>
    </row>
    <row r="26" spans="1:13" x14ac:dyDescent="0.25">
      <c r="A26" s="573" t="s">
        <v>126</v>
      </c>
      <c r="B26" s="585">
        <f t="shared" si="2"/>
        <v>15</v>
      </c>
      <c r="C26" s="586" t="s">
        <v>116</v>
      </c>
      <c r="D26" s="586"/>
      <c r="E26" s="587">
        <v>60</v>
      </c>
      <c r="F26" s="587">
        <v>10</v>
      </c>
      <c r="G26" s="587"/>
      <c r="H26" s="587">
        <f t="shared" ref="H26" si="7">+E26</f>
        <v>60</v>
      </c>
      <c r="I26" s="587"/>
      <c r="J26" s="574">
        <f t="shared" si="1"/>
        <v>448915.45347718085</v>
      </c>
      <c r="K26" s="588">
        <v>580</v>
      </c>
      <c r="L26" s="588">
        <f t="shared" si="3"/>
        <v>8400</v>
      </c>
      <c r="M26"/>
    </row>
    <row r="27" spans="1:13" x14ac:dyDescent="0.25">
      <c r="A27" s="320" t="s">
        <v>126</v>
      </c>
      <c r="B27" s="581">
        <f t="shared" si="2"/>
        <v>16</v>
      </c>
      <c r="C27" s="582" t="s">
        <v>117</v>
      </c>
      <c r="D27" s="582"/>
      <c r="E27" s="583">
        <v>80</v>
      </c>
      <c r="F27" s="583">
        <v>10</v>
      </c>
      <c r="G27" s="583"/>
      <c r="H27" s="583">
        <f t="shared" si="0"/>
        <v>80</v>
      </c>
      <c r="I27" s="583"/>
      <c r="J27" s="575">
        <f t="shared" si="1"/>
        <v>598553.93796957447</v>
      </c>
      <c r="K27" s="589">
        <v>680</v>
      </c>
      <c r="L27" s="584">
        <f>600*12</f>
        <v>7200</v>
      </c>
      <c r="M27"/>
    </row>
    <row r="28" spans="1:13" x14ac:dyDescent="0.25">
      <c r="A28" s="320" t="s">
        <v>126</v>
      </c>
      <c r="B28" s="590">
        <f t="shared" si="2"/>
        <v>17</v>
      </c>
      <c r="C28" s="591" t="s">
        <v>117</v>
      </c>
      <c r="D28" s="591"/>
      <c r="E28" s="592">
        <v>80</v>
      </c>
      <c r="F28" s="592">
        <v>10</v>
      </c>
      <c r="G28" s="592"/>
      <c r="H28" s="592">
        <f t="shared" si="0"/>
        <v>80</v>
      </c>
      <c r="I28" s="592"/>
      <c r="J28" s="593">
        <f t="shared" si="1"/>
        <v>598553.93796957447</v>
      </c>
      <c r="K28" s="594">
        <v>680</v>
      </c>
      <c r="L28" s="594">
        <f>700*12</f>
        <v>8400</v>
      </c>
      <c r="M28"/>
    </row>
    <row r="29" spans="1:13" s="1" customFormat="1" ht="13.8" thickBot="1" x14ac:dyDescent="0.3">
      <c r="A29" s="319"/>
      <c r="B29" s="190">
        <f>+B28</f>
        <v>17</v>
      </c>
      <c r="C29" s="191"/>
      <c r="D29" s="187"/>
      <c r="E29" s="188">
        <f>SUM(E12:E28)</f>
        <v>1260</v>
      </c>
      <c r="F29" s="188">
        <f>SUM(F12:F28)</f>
        <v>170</v>
      </c>
      <c r="G29" s="188">
        <f>SUM(G12:G28)</f>
        <v>0</v>
      </c>
      <c r="H29" s="188">
        <f>SUM(H12:H28)</f>
        <v>1260</v>
      </c>
      <c r="I29" s="188">
        <f>SUM(I12:I28)</f>
        <v>63.52</v>
      </c>
      <c r="J29" s="224">
        <f>+Budget!F81</f>
        <v>9427224.5230207983</v>
      </c>
      <c r="K29" s="189">
        <f>SUM(K12:K28)</f>
        <v>10960</v>
      </c>
      <c r="L29" s="189">
        <f>SUM(L12:L28)</f>
        <v>138000</v>
      </c>
    </row>
    <row r="30" spans="1:13" x14ac:dyDescent="0.25">
      <c r="K30">
        <f>+K29/E29</f>
        <v>8.6984126984126977</v>
      </c>
      <c r="L30"/>
      <c r="M30"/>
    </row>
    <row r="31" spans="1:13" x14ac:dyDescent="0.25">
      <c r="A31" s="518" t="s">
        <v>186</v>
      </c>
      <c r="B31" s="519" t="s">
        <v>125</v>
      </c>
      <c r="C31">
        <v>0</v>
      </c>
      <c r="L31"/>
      <c r="M31"/>
    </row>
    <row r="32" spans="1:13" x14ac:dyDescent="0.25">
      <c r="A32" s="518" t="s">
        <v>186</v>
      </c>
      <c r="B32" s="519" t="s">
        <v>116</v>
      </c>
      <c r="C32">
        <v>6</v>
      </c>
      <c r="L32"/>
      <c r="M32"/>
    </row>
    <row r="33" spans="1:13" x14ac:dyDescent="0.25">
      <c r="A33" s="518" t="s">
        <v>186</v>
      </c>
      <c r="B33" s="519" t="s">
        <v>117</v>
      </c>
      <c r="C33">
        <v>11</v>
      </c>
      <c r="L33"/>
      <c r="M33"/>
    </row>
    <row r="34" spans="1:13" x14ac:dyDescent="0.25">
      <c r="J34" s="225">
        <f>+Budget!F59</f>
        <v>9427224.5230207983</v>
      </c>
      <c r="K34" s="168"/>
      <c r="L34"/>
      <c r="M34"/>
    </row>
    <row r="35" spans="1:13" x14ac:dyDescent="0.25">
      <c r="K35" s="166"/>
      <c r="L35"/>
      <c r="M35"/>
    </row>
  </sheetData>
  <mergeCells count="8">
    <mergeCell ref="L10:L11"/>
    <mergeCell ref="A5:K5"/>
    <mergeCell ref="E3:J3"/>
    <mergeCell ref="C10:C11"/>
    <mergeCell ref="D10:D11"/>
    <mergeCell ref="J10:J11"/>
    <mergeCell ref="K10:K11"/>
    <mergeCell ref="A10:B11"/>
  </mergeCells>
  <pageMargins left="0.70866141732283472" right="0.70866141732283472"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5"/>
  <sheetViews>
    <sheetView topLeftCell="B32" zoomScale="81" zoomScaleNormal="81" workbookViewId="0">
      <selection activeCell="AG64" sqref="AG64"/>
    </sheetView>
  </sheetViews>
  <sheetFormatPr baseColWidth="10" defaultColWidth="11.44140625" defaultRowHeight="10.199999999999999" x14ac:dyDescent="0.2"/>
  <cols>
    <col min="1" max="1" width="31.109375" style="23" customWidth="1"/>
    <col min="2" max="2" width="12" style="307" customWidth="1"/>
    <col min="3" max="3" width="10" style="21" hidden="1" customWidth="1"/>
    <col min="4" max="4" width="11.109375" style="21" hidden="1" customWidth="1"/>
    <col min="5" max="5" width="9.44140625" style="21" hidden="1" customWidth="1"/>
    <col min="6" max="6" width="11.33203125" style="307" customWidth="1"/>
    <col min="7" max="24" width="8.77734375" style="21" customWidth="1"/>
    <col min="25" max="25" width="11.6640625" style="21" customWidth="1"/>
    <col min="26" max="26" width="11.5546875" style="21" customWidth="1"/>
    <col min="27" max="27" width="11.44140625" style="21" customWidth="1"/>
    <col min="28" max="28" width="11.5546875" style="21" customWidth="1"/>
    <col min="29" max="29" width="9.6640625" style="21" customWidth="1"/>
    <col min="30" max="30" width="13.44140625" style="21" hidden="1" customWidth="1"/>
    <col min="31" max="31" width="15" style="21" hidden="1" customWidth="1"/>
    <col min="32" max="32" width="11.44140625" style="36"/>
    <col min="33" max="33" width="11.44140625" style="414"/>
    <col min="34" max="16384" width="11.44140625" style="21"/>
  </cols>
  <sheetData>
    <row r="1" spans="1:46" ht="15" customHeight="1" x14ac:dyDescent="0.3">
      <c r="A1" s="38"/>
      <c r="C1" s="20"/>
    </row>
    <row r="2" spans="1:46" ht="12" customHeight="1" x14ac:dyDescent="0.2"/>
    <row r="3" spans="1:46" ht="12" customHeight="1" x14ac:dyDescent="0.2"/>
    <row r="4" spans="1:46" ht="12" customHeight="1" x14ac:dyDescent="0.2">
      <c r="A4" s="639" t="str">
        <f>+Budget!A4</f>
        <v xml:space="preserve">                            Résidence "XY 000"  </v>
      </c>
      <c r="B4" s="640"/>
      <c r="C4" s="640"/>
      <c r="D4" s="640"/>
      <c r="E4" s="640"/>
      <c r="F4" s="640"/>
      <c r="G4" s="640"/>
    </row>
    <row r="5" spans="1:46" ht="12" customHeight="1" x14ac:dyDescent="0.2">
      <c r="A5" s="640"/>
      <c r="B5" s="640"/>
      <c r="C5" s="640"/>
      <c r="D5" s="640"/>
      <c r="E5" s="640"/>
      <c r="F5" s="640"/>
      <c r="G5" s="640"/>
    </row>
    <row r="6" spans="1:46" ht="12" customHeight="1" x14ac:dyDescent="0.3">
      <c r="A6" s="216" t="str">
        <f>+Budget!E1</f>
        <v>Mise à jour le :</v>
      </c>
      <c r="B6" s="646">
        <f>+Budget!F1</f>
        <v>41768</v>
      </c>
      <c r="C6" s="646"/>
    </row>
    <row r="7" spans="1:46" ht="12" customHeight="1" x14ac:dyDescent="0.2">
      <c r="A7" s="215"/>
    </row>
    <row r="8" spans="1:46" ht="12" customHeight="1" x14ac:dyDescent="0.2">
      <c r="A8" s="640" t="s">
        <v>121</v>
      </c>
      <c r="B8" s="640"/>
      <c r="C8" s="640"/>
      <c r="D8" s="640"/>
      <c r="E8" s="640"/>
      <c r="F8" s="640"/>
      <c r="G8" s="640"/>
      <c r="J8" s="19"/>
      <c r="N8" s="19"/>
    </row>
    <row r="9" spans="1:46" ht="12" customHeight="1" x14ac:dyDescent="0.2">
      <c r="A9" s="640"/>
      <c r="B9" s="640"/>
      <c r="C9" s="640"/>
      <c r="D9" s="640"/>
      <c r="E9" s="640"/>
      <c r="F9" s="640"/>
      <c r="G9" s="640"/>
      <c r="J9" s="19"/>
      <c r="N9" s="19"/>
    </row>
    <row r="10" spans="1:46" ht="12" customHeight="1" thickBot="1" x14ac:dyDescent="0.25">
      <c r="A10" s="24"/>
      <c r="B10" s="308"/>
      <c r="C10" s="11"/>
      <c r="D10" s="11"/>
      <c r="E10" s="11"/>
      <c r="F10" s="308"/>
      <c r="G10" s="11"/>
      <c r="H10" s="11"/>
      <c r="I10" s="11"/>
      <c r="J10" s="11"/>
      <c r="K10" s="11"/>
      <c r="L10" s="11"/>
      <c r="M10" s="11"/>
      <c r="N10" s="11"/>
      <c r="O10" s="11"/>
      <c r="P10" s="11"/>
      <c r="Q10" s="11"/>
      <c r="R10" s="11"/>
      <c r="S10" s="11"/>
      <c r="T10" s="11"/>
      <c r="U10" s="11"/>
      <c r="V10" s="11"/>
      <c r="W10" s="11"/>
      <c r="X10" s="11"/>
      <c r="Y10" s="11"/>
      <c r="Z10" s="11"/>
      <c r="AA10" s="11"/>
      <c r="AB10" s="11"/>
    </row>
    <row r="11" spans="1:46" s="13" customFormat="1" ht="13.95" customHeight="1" thickBot="1" x14ac:dyDescent="0.3">
      <c r="A11" s="641" t="s">
        <v>19</v>
      </c>
      <c r="B11" s="642"/>
      <c r="C11" s="314"/>
      <c r="D11" s="314"/>
      <c r="E11" s="314"/>
      <c r="F11" s="314"/>
      <c r="G11" s="643" t="s">
        <v>24</v>
      </c>
      <c r="H11" s="644"/>
      <c r="I11" s="644"/>
      <c r="J11" s="644"/>
      <c r="K11" s="644"/>
      <c r="L11" s="644"/>
      <c r="M11" s="644"/>
      <c r="N11" s="644"/>
      <c r="O11" s="644"/>
      <c r="P11" s="644"/>
      <c r="Q11" s="644"/>
      <c r="R11" s="645"/>
      <c r="S11" s="595"/>
      <c r="T11" s="595"/>
      <c r="U11" s="595"/>
      <c r="V11" s="595"/>
      <c r="W11" s="595"/>
      <c r="X11" s="595"/>
      <c r="Y11" s="636" t="s">
        <v>25</v>
      </c>
      <c r="Z11" s="637"/>
      <c r="AA11" s="637"/>
      <c r="AB11" s="638"/>
      <c r="AC11" s="12"/>
      <c r="AD11" s="12"/>
      <c r="AE11" s="12"/>
      <c r="AF11" s="315"/>
      <c r="AG11" s="415"/>
    </row>
    <row r="12" spans="1:46" s="17" customFormat="1" ht="12" customHeight="1" x14ac:dyDescent="0.2">
      <c r="A12" s="14" t="s">
        <v>18</v>
      </c>
      <c r="B12" s="434" t="s">
        <v>23</v>
      </c>
      <c r="C12" s="192" t="s">
        <v>9</v>
      </c>
      <c r="D12" s="193" t="s">
        <v>10</v>
      </c>
      <c r="E12" s="193" t="s">
        <v>11</v>
      </c>
      <c r="F12" s="309" t="s">
        <v>12</v>
      </c>
      <c r="G12" s="208" t="s">
        <v>90</v>
      </c>
      <c r="H12" s="208" t="s">
        <v>91</v>
      </c>
      <c r="I12" s="208" t="s">
        <v>92</v>
      </c>
      <c r="J12" s="208" t="s">
        <v>93</v>
      </c>
      <c r="K12" s="208" t="s">
        <v>94</v>
      </c>
      <c r="L12" s="208" t="s">
        <v>95</v>
      </c>
      <c r="M12" s="208" t="s">
        <v>96</v>
      </c>
      <c r="N12" s="208" t="s">
        <v>97</v>
      </c>
      <c r="O12" s="208" t="s">
        <v>98</v>
      </c>
      <c r="P12" s="208" t="s">
        <v>99</v>
      </c>
      <c r="Q12" s="208" t="s">
        <v>100</v>
      </c>
      <c r="R12" s="208" t="s">
        <v>101</v>
      </c>
      <c r="S12" s="208" t="s">
        <v>315</v>
      </c>
      <c r="T12" s="208" t="s">
        <v>316</v>
      </c>
      <c r="U12" s="208" t="s">
        <v>317</v>
      </c>
      <c r="V12" s="208" t="s">
        <v>318</v>
      </c>
      <c r="W12" s="208" t="s">
        <v>319</v>
      </c>
      <c r="X12" s="208" t="s">
        <v>320</v>
      </c>
      <c r="Y12" s="193" t="s">
        <v>9</v>
      </c>
      <c r="Z12" s="192" t="s">
        <v>10</v>
      </c>
      <c r="AA12" s="192" t="s">
        <v>11</v>
      </c>
      <c r="AB12" s="201" t="s">
        <v>12</v>
      </c>
      <c r="AC12" s="15"/>
      <c r="AD12" s="15"/>
      <c r="AE12" s="15"/>
      <c r="AF12" s="316"/>
      <c r="AG12" s="416"/>
      <c r="AH12" s="16"/>
      <c r="AI12" s="16"/>
      <c r="AJ12" s="16"/>
      <c r="AK12" s="16"/>
      <c r="AL12" s="16"/>
      <c r="AM12" s="16"/>
      <c r="AN12" s="16"/>
      <c r="AO12" s="16"/>
      <c r="AP12" s="16"/>
      <c r="AQ12" s="16"/>
      <c r="AR12" s="16"/>
      <c r="AS12" s="16"/>
      <c r="AT12" s="16"/>
    </row>
    <row r="13" spans="1:46" ht="12" customHeight="1" x14ac:dyDescent="0.2">
      <c r="A13" s="25" t="str">
        <f>+Budget!A14</f>
        <v>ACQUISITION XY 06</v>
      </c>
      <c r="B13" s="435">
        <f>+Budget!F14</f>
        <v>1000000</v>
      </c>
      <c r="C13" s="194"/>
      <c r="D13" s="194"/>
      <c r="E13" s="195"/>
      <c r="F13" s="317">
        <f>+B13</f>
        <v>1000000</v>
      </c>
      <c r="G13" s="209"/>
      <c r="H13" s="209"/>
      <c r="I13" s="209"/>
      <c r="J13" s="209"/>
      <c r="K13" s="209"/>
      <c r="L13" s="209"/>
      <c r="M13" s="209"/>
      <c r="N13" s="209"/>
      <c r="O13" s="209"/>
      <c r="P13" s="209"/>
      <c r="Q13" s="209"/>
      <c r="R13" s="209"/>
      <c r="S13" s="596"/>
      <c r="T13" s="596"/>
      <c r="U13" s="596"/>
      <c r="V13" s="596"/>
      <c r="W13" s="596"/>
      <c r="X13" s="596"/>
      <c r="Y13" s="194"/>
      <c r="Z13" s="194"/>
      <c r="AA13" s="194"/>
      <c r="AB13" s="195"/>
      <c r="AC13" s="27"/>
      <c r="AD13" s="22">
        <f>SUM(C13:AB13)</f>
        <v>1000000</v>
      </c>
      <c r="AF13" s="36">
        <f t="shared" ref="AF13:AF50" si="0">SUM(C13:AB13)</f>
        <v>1000000</v>
      </c>
    </row>
    <row r="14" spans="1:46" ht="12" hidden="1" customHeight="1" x14ac:dyDescent="0.2">
      <c r="A14" s="25" t="str">
        <f>+Budget!A15</f>
        <v>ACQUISITION XY 07</v>
      </c>
      <c r="B14" s="435">
        <f>+Budget!F15</f>
        <v>87840</v>
      </c>
      <c r="C14" s="194"/>
      <c r="D14" s="194"/>
      <c r="E14" s="195"/>
      <c r="F14" s="317">
        <f t="shared" ref="F14:F18" si="1">+B14</f>
        <v>87840</v>
      </c>
      <c r="G14" s="209"/>
      <c r="H14" s="209"/>
      <c r="I14" s="209"/>
      <c r="J14" s="209"/>
      <c r="K14" s="209"/>
      <c r="L14" s="209"/>
      <c r="M14" s="209"/>
      <c r="N14" s="209"/>
      <c r="O14" s="209"/>
      <c r="P14" s="209"/>
      <c r="Q14" s="209"/>
      <c r="R14" s="209"/>
      <c r="S14" s="596"/>
      <c r="T14" s="596"/>
      <c r="U14" s="596"/>
      <c r="V14" s="596"/>
      <c r="W14" s="596"/>
      <c r="X14" s="596"/>
      <c r="Y14" s="194"/>
      <c r="Z14" s="194"/>
      <c r="AA14" s="194"/>
      <c r="AB14" s="195"/>
      <c r="AC14" s="27"/>
      <c r="AD14" s="22">
        <f>SUM(C14:AB14)</f>
        <v>87840</v>
      </c>
      <c r="AF14" s="36">
        <f t="shared" si="0"/>
        <v>87840</v>
      </c>
    </row>
    <row r="15" spans="1:46" ht="12" customHeight="1" x14ac:dyDescent="0.2">
      <c r="A15" s="25" t="str">
        <f>+Budget!A16</f>
        <v>DROIT DE MUTATION</v>
      </c>
      <c r="B15" s="435">
        <f>+Budget!F16</f>
        <v>63094.719999999994</v>
      </c>
      <c r="C15" s="194"/>
      <c r="D15" s="194"/>
      <c r="E15" s="195"/>
      <c r="F15" s="317">
        <f t="shared" si="1"/>
        <v>63094.719999999994</v>
      </c>
      <c r="G15" s="209"/>
      <c r="H15" s="209"/>
      <c r="I15" s="209"/>
      <c r="J15" s="209"/>
      <c r="K15" s="209"/>
      <c r="L15" s="209"/>
      <c r="M15" s="209"/>
      <c r="N15" s="209"/>
      <c r="O15" s="209"/>
      <c r="P15" s="209"/>
      <c r="Q15" s="209"/>
      <c r="R15" s="209"/>
      <c r="S15" s="596"/>
      <c r="T15" s="596"/>
      <c r="U15" s="596"/>
      <c r="V15" s="596"/>
      <c r="W15" s="596"/>
      <c r="X15" s="596"/>
      <c r="Y15" s="194"/>
      <c r="Z15" s="194"/>
      <c r="AA15" s="194"/>
      <c r="AB15" s="195"/>
      <c r="AC15" s="27"/>
      <c r="AD15" s="22">
        <f>SUM(C15:AB15)</f>
        <v>63094.719999999994</v>
      </c>
      <c r="AF15" s="36">
        <f t="shared" si="0"/>
        <v>63094.719999999994</v>
      </c>
    </row>
    <row r="16" spans="1:46" ht="12" customHeight="1" x14ac:dyDescent="0.2">
      <c r="A16" s="28" t="str">
        <f>+Budget!A17</f>
        <v>FRAIS NOTAIRES</v>
      </c>
      <c r="B16" s="436">
        <f>+Budget!F17</f>
        <v>10253.25</v>
      </c>
      <c r="C16" s="194"/>
      <c r="D16" s="194"/>
      <c r="E16" s="194"/>
      <c r="F16" s="317">
        <f t="shared" si="1"/>
        <v>10253.25</v>
      </c>
      <c r="G16" s="209"/>
      <c r="H16" s="209"/>
      <c r="I16" s="209"/>
      <c r="J16" s="209"/>
      <c r="K16" s="209"/>
      <c r="L16" s="209"/>
      <c r="M16" s="209"/>
      <c r="N16" s="209"/>
      <c r="O16" s="209"/>
      <c r="P16" s="209"/>
      <c r="Q16" s="209"/>
      <c r="R16" s="209"/>
      <c r="S16" s="596"/>
      <c r="T16" s="596"/>
      <c r="U16" s="596"/>
      <c r="V16" s="596"/>
      <c r="W16" s="596"/>
      <c r="X16" s="596"/>
      <c r="Y16" s="194"/>
      <c r="Z16" s="194"/>
      <c r="AA16" s="194"/>
      <c r="AB16" s="195"/>
      <c r="AC16" s="27"/>
      <c r="AD16" s="22">
        <f>SUM(C16:AB16)</f>
        <v>10253.25</v>
      </c>
      <c r="AF16" s="36">
        <f t="shared" si="0"/>
        <v>10253.25</v>
      </c>
    </row>
    <row r="17" spans="1:32" ht="12" customHeight="1" x14ac:dyDescent="0.2">
      <c r="A17" s="28" t="str">
        <f>+Budget!A18</f>
        <v>COÛT HYPOTHEQUE</v>
      </c>
      <c r="B17" s="436">
        <f>+Budget!F18</f>
        <v>22375</v>
      </c>
      <c r="C17" s="194"/>
      <c r="D17" s="194"/>
      <c r="E17" s="194"/>
      <c r="F17" s="317">
        <f t="shared" ref="F17" si="2">+B17</f>
        <v>22375</v>
      </c>
      <c r="G17" s="209"/>
      <c r="H17" s="209"/>
      <c r="I17" s="209"/>
      <c r="J17" s="209"/>
      <c r="K17" s="209"/>
      <c r="L17" s="209"/>
      <c r="M17" s="209"/>
      <c r="N17" s="209"/>
      <c r="O17" s="209"/>
      <c r="P17" s="209"/>
      <c r="Q17" s="209"/>
      <c r="R17" s="209"/>
      <c r="S17" s="596"/>
      <c r="T17" s="596"/>
      <c r="U17" s="596"/>
      <c r="V17" s="596"/>
      <c r="W17" s="596"/>
      <c r="X17" s="596"/>
      <c r="Y17" s="194"/>
      <c r="Z17" s="194"/>
      <c r="AA17" s="194"/>
      <c r="AB17" s="195"/>
      <c r="AC17" s="27"/>
      <c r="AD17" s="22"/>
      <c r="AF17" s="36">
        <f t="shared" si="0"/>
        <v>22375</v>
      </c>
    </row>
    <row r="18" spans="1:32" ht="12" customHeight="1" x14ac:dyDescent="0.2">
      <c r="A18" s="29" t="str">
        <f>+Budget!A19</f>
        <v>SONDAGES GEOTECHNIQUES</v>
      </c>
      <c r="B18" s="437">
        <f>+Budget!F19</f>
        <v>5967.5</v>
      </c>
      <c r="C18" s="194"/>
      <c r="D18" s="194"/>
      <c r="E18" s="194"/>
      <c r="F18" s="317">
        <f t="shared" si="1"/>
        <v>5967.5</v>
      </c>
      <c r="G18" s="209"/>
      <c r="H18" s="209"/>
      <c r="I18" s="209"/>
      <c r="J18" s="209"/>
      <c r="K18" s="209"/>
      <c r="L18" s="209"/>
      <c r="M18" s="209"/>
      <c r="N18" s="209"/>
      <c r="O18" s="209"/>
      <c r="P18" s="209"/>
      <c r="Q18" s="209"/>
      <c r="R18" s="209"/>
      <c r="S18" s="596"/>
      <c r="T18" s="596"/>
      <c r="U18" s="596"/>
      <c r="V18" s="596"/>
      <c r="W18" s="596"/>
      <c r="X18" s="596"/>
      <c r="Y18" s="194"/>
      <c r="Z18" s="194"/>
      <c r="AA18" s="194"/>
      <c r="AB18" s="195"/>
      <c r="AC18" s="27"/>
      <c r="AD18" s="22">
        <f t="shared" ref="AD18:AD27" si="3">SUM(C18:AB18)</f>
        <v>5967.5</v>
      </c>
      <c r="AF18" s="36">
        <f t="shared" si="0"/>
        <v>5967.5</v>
      </c>
    </row>
    <row r="19" spans="1:32" ht="12" customHeight="1" x14ac:dyDescent="0.2">
      <c r="A19" s="29" t="str">
        <f>+Budget!A20</f>
        <v>GEOMETRE</v>
      </c>
      <c r="B19" s="437">
        <f>+Budget!F20</f>
        <v>3255</v>
      </c>
      <c r="C19" s="194"/>
      <c r="D19" s="195"/>
      <c r="E19" s="197"/>
      <c r="F19" s="309">
        <f>+B19</f>
        <v>3255</v>
      </c>
      <c r="G19" s="209"/>
      <c r="H19" s="209"/>
      <c r="I19" s="209"/>
      <c r="J19" s="209"/>
      <c r="K19" s="209"/>
      <c r="L19" s="209"/>
      <c r="M19" s="209"/>
      <c r="N19" s="209"/>
      <c r="O19" s="209"/>
      <c r="P19" s="209"/>
      <c r="Q19" s="209"/>
      <c r="R19" s="209"/>
      <c r="S19" s="596"/>
      <c r="T19" s="596"/>
      <c r="U19" s="596"/>
      <c r="V19" s="596"/>
      <c r="W19" s="596"/>
      <c r="X19" s="596"/>
      <c r="Y19" s="194"/>
      <c r="Z19" s="194"/>
      <c r="AA19" s="194"/>
      <c r="AB19" s="195"/>
      <c r="AC19" s="27"/>
      <c r="AD19" s="22">
        <f t="shared" si="3"/>
        <v>3255</v>
      </c>
      <c r="AF19" s="36">
        <f t="shared" si="0"/>
        <v>3255</v>
      </c>
    </row>
    <row r="20" spans="1:32" ht="12" customHeight="1" x14ac:dyDescent="0.2">
      <c r="A20" s="29" t="str">
        <f>+Budget!A21</f>
        <v>HUISSIER (affichage PC-recours)</v>
      </c>
      <c r="B20" s="437">
        <f>+Budget!F21</f>
        <v>651</v>
      </c>
      <c r="C20" s="194"/>
      <c r="D20" s="194"/>
      <c r="E20" s="194"/>
      <c r="F20" s="309">
        <f>+B20</f>
        <v>651</v>
      </c>
      <c r="G20" s="209"/>
      <c r="H20" s="209"/>
      <c r="I20" s="209"/>
      <c r="J20" s="209"/>
      <c r="K20" s="209"/>
      <c r="L20" s="209"/>
      <c r="M20" s="209"/>
      <c r="N20" s="209"/>
      <c r="O20" s="209"/>
      <c r="P20" s="209"/>
      <c r="Q20" s="209"/>
      <c r="R20" s="209"/>
      <c r="S20" s="596"/>
      <c r="T20" s="596"/>
      <c r="U20" s="596"/>
      <c r="V20" s="596"/>
      <c r="W20" s="596"/>
      <c r="X20" s="596"/>
      <c r="Y20" s="194"/>
      <c r="Z20" s="194"/>
      <c r="AA20" s="194"/>
      <c r="AB20" s="195"/>
      <c r="AC20" s="27"/>
      <c r="AD20" s="22">
        <f t="shared" si="3"/>
        <v>651</v>
      </c>
      <c r="AF20" s="36">
        <f t="shared" si="0"/>
        <v>651</v>
      </c>
    </row>
    <row r="21" spans="1:32" ht="12" customHeight="1" x14ac:dyDescent="0.2">
      <c r="A21" s="29" t="str">
        <f>+Budget!A25</f>
        <v>Taxe Aménagement</v>
      </c>
      <c r="B21" s="437">
        <f>+Budget!F25</f>
        <v>201505.10399999999</v>
      </c>
      <c r="C21" s="194"/>
      <c r="D21" s="194"/>
      <c r="E21" s="194"/>
      <c r="F21" s="309"/>
      <c r="G21" s="209"/>
      <c r="H21" s="209"/>
      <c r="I21" s="209"/>
      <c r="J21" s="209"/>
      <c r="K21" s="209"/>
      <c r="L21" s="209"/>
      <c r="M21" s="209"/>
      <c r="N21" s="209">
        <f>+B21/2</f>
        <v>100752.552</v>
      </c>
      <c r="O21" s="209"/>
      <c r="P21" s="209"/>
      <c r="Q21" s="209"/>
      <c r="R21" s="209"/>
      <c r="S21" s="596"/>
      <c r="T21" s="596"/>
      <c r="U21" s="596"/>
      <c r="V21" s="596"/>
      <c r="W21" s="596"/>
      <c r="X21" s="596"/>
      <c r="Y21" s="194"/>
      <c r="Z21" s="194">
        <f>+B21/2</f>
        <v>100752.552</v>
      </c>
      <c r="AA21" s="194"/>
      <c r="AB21" s="195"/>
      <c r="AC21" s="27"/>
      <c r="AD21" s="22">
        <f t="shared" si="3"/>
        <v>201505.10399999999</v>
      </c>
      <c r="AF21" s="36">
        <f t="shared" si="0"/>
        <v>201505.10399999999</v>
      </c>
    </row>
    <row r="22" spans="1:32" ht="12" customHeight="1" x14ac:dyDescent="0.2">
      <c r="A22" s="29" t="str">
        <f>+Budget!A26</f>
        <v>Redevance Archéologique Préventive</v>
      </c>
      <c r="B22" s="437">
        <f>+Budget!F26</f>
        <v>9050.232</v>
      </c>
      <c r="C22" s="194"/>
      <c r="D22" s="194"/>
      <c r="E22" s="194"/>
      <c r="F22" s="309"/>
      <c r="G22" s="209"/>
      <c r="H22" s="209"/>
      <c r="I22" s="209"/>
      <c r="J22" s="209"/>
      <c r="K22" s="209"/>
      <c r="L22" s="209"/>
      <c r="M22" s="209"/>
      <c r="N22" s="209">
        <f>+B22/2</f>
        <v>4525.116</v>
      </c>
      <c r="O22" s="209"/>
      <c r="P22" s="209"/>
      <c r="Q22" s="209"/>
      <c r="R22" s="209"/>
      <c r="S22" s="596"/>
      <c r="T22" s="596"/>
      <c r="U22" s="596"/>
      <c r="V22" s="596"/>
      <c r="W22" s="596"/>
      <c r="X22" s="596"/>
      <c r="Y22" s="194"/>
      <c r="Z22" s="194">
        <f>+B22/2</f>
        <v>4525.116</v>
      </c>
      <c r="AA22" s="194"/>
      <c r="AB22" s="195"/>
      <c r="AC22" s="27"/>
      <c r="AD22" s="22">
        <f t="shared" si="3"/>
        <v>9050.232</v>
      </c>
      <c r="AF22" s="36">
        <f t="shared" si="0"/>
        <v>9050.232</v>
      </c>
    </row>
    <row r="23" spans="1:32" ht="12" customHeight="1" x14ac:dyDescent="0.2">
      <c r="A23" s="29" t="str">
        <f>+Budget!A27</f>
        <v>TAXE RACCORDEMENT EGOUT</v>
      </c>
      <c r="B23" s="437">
        <f>+Budget!F27</f>
        <v>46776.479999999996</v>
      </c>
      <c r="C23" s="194"/>
      <c r="D23" s="194"/>
      <c r="E23" s="194"/>
      <c r="F23" s="309"/>
      <c r="G23" s="209"/>
      <c r="H23" s="209"/>
      <c r="I23" s="209"/>
      <c r="J23" s="209"/>
      <c r="K23" s="209"/>
      <c r="L23" s="209"/>
      <c r="M23" s="209"/>
      <c r="N23" s="209">
        <f>+B23/2</f>
        <v>23388.239999999998</v>
      </c>
      <c r="O23" s="209"/>
      <c r="P23" s="209"/>
      <c r="Q23" s="209"/>
      <c r="R23" s="209"/>
      <c r="S23" s="596"/>
      <c r="T23" s="596"/>
      <c r="U23" s="596"/>
      <c r="V23" s="596"/>
      <c r="W23" s="596"/>
      <c r="X23" s="596"/>
      <c r="Y23" s="194"/>
      <c r="Z23" s="194">
        <f>+B23/2</f>
        <v>23388.239999999998</v>
      </c>
      <c r="AA23" s="194"/>
      <c r="AB23" s="195"/>
      <c r="AC23" s="27"/>
      <c r="AD23" s="22">
        <f t="shared" si="3"/>
        <v>46776.479999999996</v>
      </c>
      <c r="AF23" s="36">
        <f t="shared" si="0"/>
        <v>46776.479999999996</v>
      </c>
    </row>
    <row r="24" spans="1:32" ht="12" customHeight="1" x14ac:dyDescent="0.2">
      <c r="A24" s="29" t="str">
        <f>+Budget!A30</f>
        <v>Terrassement - VRD - Esp. Verts - Clôtures</v>
      </c>
      <c r="B24" s="437">
        <f>+Budget!F30</f>
        <v>0</v>
      </c>
      <c r="C24" s="194"/>
      <c r="D24" s="194"/>
      <c r="E24" s="194"/>
      <c r="F24" s="309"/>
      <c r="G24" s="209">
        <f>+$B24*15%</f>
        <v>0</v>
      </c>
      <c r="H24" s="209">
        <f>+$B24*15%</f>
        <v>0</v>
      </c>
      <c r="I24" s="209"/>
      <c r="J24" s="209"/>
      <c r="K24" s="209"/>
      <c r="L24" s="209"/>
      <c r="M24" s="209">
        <f>+$B24*15%</f>
        <v>0</v>
      </c>
      <c r="N24" s="209"/>
      <c r="O24" s="209">
        <f>+$B24*15%</f>
        <v>0</v>
      </c>
      <c r="P24" s="209">
        <f t="shared" ref="P24:Q24" si="4">+$B24*15%</f>
        <v>0</v>
      </c>
      <c r="Q24" s="209">
        <f t="shared" si="4"/>
        <v>0</v>
      </c>
      <c r="R24" s="209">
        <f>+$B24*5%</f>
        <v>0</v>
      </c>
      <c r="S24" s="596"/>
      <c r="T24" s="596"/>
      <c r="U24" s="596"/>
      <c r="V24" s="596"/>
      <c r="W24" s="596"/>
      <c r="X24" s="596"/>
      <c r="Y24" s="194"/>
      <c r="Z24" s="194"/>
      <c r="AA24" s="194"/>
      <c r="AB24" s="202">
        <f>+$B24*5%</f>
        <v>0</v>
      </c>
      <c r="AC24" s="27"/>
      <c r="AD24" s="22">
        <f t="shared" si="3"/>
        <v>0</v>
      </c>
      <c r="AF24" s="36">
        <f t="shared" si="0"/>
        <v>0</v>
      </c>
    </row>
    <row r="25" spans="1:32" ht="12" customHeight="1" x14ac:dyDescent="0.2">
      <c r="A25" s="29" t="str">
        <f>+Budget!A31</f>
        <v xml:space="preserve">RACCORDEMENT - EU </v>
      </c>
      <c r="B25" s="437">
        <f>+Budget!F31</f>
        <v>0</v>
      </c>
      <c r="C25" s="194"/>
      <c r="D25" s="194"/>
      <c r="E25" s="194"/>
      <c r="F25" s="309"/>
      <c r="G25" s="209"/>
      <c r="H25" s="209"/>
      <c r="I25" s="209"/>
      <c r="J25" s="209"/>
      <c r="K25" s="209"/>
      <c r="L25" s="209"/>
      <c r="M25" s="209"/>
      <c r="N25" s="209"/>
      <c r="O25" s="209">
        <f>+$B25*25%</f>
        <v>0</v>
      </c>
      <c r="P25" s="209">
        <f t="shared" ref="P25:Q25" si="5">+$B25*25%</f>
        <v>0</v>
      </c>
      <c r="Q25" s="209">
        <f t="shared" si="5"/>
        <v>0</v>
      </c>
      <c r="R25" s="209">
        <f>+$B25*20%</f>
        <v>0</v>
      </c>
      <c r="S25" s="596"/>
      <c r="T25" s="596"/>
      <c r="U25" s="596"/>
      <c r="V25" s="596"/>
      <c r="W25" s="596"/>
      <c r="X25" s="596"/>
      <c r="Y25" s="194"/>
      <c r="Z25" s="194"/>
      <c r="AA25" s="194"/>
      <c r="AB25" s="195">
        <f>+B25*5%</f>
        <v>0</v>
      </c>
      <c r="AC25" s="27"/>
      <c r="AD25" s="22">
        <f t="shared" si="3"/>
        <v>0</v>
      </c>
      <c r="AF25" s="36">
        <f t="shared" si="0"/>
        <v>0</v>
      </c>
    </row>
    <row r="26" spans="1:32" ht="12" customHeight="1" x14ac:dyDescent="0.2">
      <c r="A26" s="29" t="str">
        <f>+Budget!A32</f>
        <v>BASSE TENSION - Dépose et repose de transfo</v>
      </c>
      <c r="B26" s="437">
        <f>+Budget!F32</f>
        <v>54250</v>
      </c>
      <c r="C26" s="194"/>
      <c r="D26" s="194"/>
      <c r="E26" s="194"/>
      <c r="F26" s="309"/>
      <c r="G26" s="209"/>
      <c r="H26" s="209"/>
      <c r="I26" s="209"/>
      <c r="J26" s="209"/>
      <c r="K26" s="210"/>
      <c r="L26" s="209"/>
      <c r="M26" s="209"/>
      <c r="N26" s="209">
        <f>+$B26/3</f>
        <v>18083.333333333332</v>
      </c>
      <c r="O26" s="209">
        <f t="shared" ref="O26:P26" si="6">+$B26/3</f>
        <v>18083.333333333332</v>
      </c>
      <c r="P26" s="209">
        <f t="shared" si="6"/>
        <v>18083.333333333332</v>
      </c>
      <c r="Q26" s="209"/>
      <c r="R26" s="209"/>
      <c r="S26" s="596"/>
      <c r="T26" s="596"/>
      <c r="U26" s="596"/>
      <c r="V26" s="596"/>
      <c r="W26" s="596"/>
      <c r="X26" s="596"/>
      <c r="Y26" s="194"/>
      <c r="Z26" s="194"/>
      <c r="AA26" s="194"/>
      <c r="AB26" s="195"/>
      <c r="AC26" s="27"/>
      <c r="AD26" s="22">
        <f t="shared" si="3"/>
        <v>54250</v>
      </c>
      <c r="AF26" s="36">
        <f t="shared" si="0"/>
        <v>54250</v>
      </c>
    </row>
    <row r="27" spans="1:32" ht="12" customHeight="1" x14ac:dyDescent="0.2">
      <c r="A27" s="29" t="str">
        <f>+Budget!A33</f>
        <v xml:space="preserve">RACCORDEMENT - FT- AEP </v>
      </c>
      <c r="B27" s="437">
        <f>+Budget!F33</f>
        <v>0</v>
      </c>
      <c r="C27" s="194"/>
      <c r="D27" s="194"/>
      <c r="E27" s="194"/>
      <c r="F27" s="309"/>
      <c r="G27" s="209"/>
      <c r="H27" s="209"/>
      <c r="I27" s="209"/>
      <c r="J27" s="209"/>
      <c r="K27" s="209"/>
      <c r="L27" s="209"/>
      <c r="M27" s="209"/>
      <c r="N27" s="209">
        <f>+$B27/3</f>
        <v>0</v>
      </c>
      <c r="O27" s="209">
        <f t="shared" ref="O27:P27" si="7">+$B27/3</f>
        <v>0</v>
      </c>
      <c r="P27" s="209">
        <f t="shared" si="7"/>
        <v>0</v>
      </c>
      <c r="Q27" s="209"/>
      <c r="R27" s="209"/>
      <c r="S27" s="596"/>
      <c r="T27" s="596"/>
      <c r="U27" s="596"/>
      <c r="V27" s="596"/>
      <c r="W27" s="596"/>
      <c r="X27" s="596"/>
      <c r="Y27" s="194"/>
      <c r="Z27" s="194"/>
      <c r="AA27" s="194"/>
      <c r="AB27" s="195"/>
      <c r="AC27" s="27"/>
      <c r="AD27" s="22">
        <f t="shared" si="3"/>
        <v>0</v>
      </c>
      <c r="AF27" s="36">
        <f t="shared" si="0"/>
        <v>0</v>
      </c>
    </row>
    <row r="28" spans="1:32" ht="12" customHeight="1" x14ac:dyDescent="0.2">
      <c r="A28" s="29" t="str">
        <f>+Budget!A34</f>
        <v xml:space="preserve">CONSTRUCTION </v>
      </c>
      <c r="B28" s="437">
        <f>+Budget!F34</f>
        <v>0</v>
      </c>
      <c r="C28" s="194"/>
      <c r="D28" s="194"/>
      <c r="E28" s="194"/>
      <c r="F28" s="309"/>
      <c r="G28" s="209">
        <f>+$B28*10%</f>
        <v>0</v>
      </c>
      <c r="H28" s="209">
        <f>+$B28*10%</f>
        <v>0</v>
      </c>
      <c r="I28" s="209">
        <f t="shared" ref="I28:Q28" si="8">+$B28*7.5%</f>
        <v>0</v>
      </c>
      <c r="J28" s="209">
        <f t="shared" si="8"/>
        <v>0</v>
      </c>
      <c r="K28" s="209">
        <f t="shared" si="8"/>
        <v>0</v>
      </c>
      <c r="L28" s="209">
        <f t="shared" si="8"/>
        <v>0</v>
      </c>
      <c r="M28" s="209">
        <f t="shared" si="8"/>
        <v>0</v>
      </c>
      <c r="N28" s="209">
        <f t="shared" si="8"/>
        <v>0</v>
      </c>
      <c r="O28" s="209">
        <f t="shared" si="8"/>
        <v>0</v>
      </c>
      <c r="P28" s="209">
        <f t="shared" si="8"/>
        <v>0</v>
      </c>
      <c r="Q28" s="209">
        <f t="shared" si="8"/>
        <v>0</v>
      </c>
      <c r="R28" s="209">
        <f>+$B28*7.5%</f>
        <v>0</v>
      </c>
      <c r="S28" s="596"/>
      <c r="T28" s="596"/>
      <c r="U28" s="596"/>
      <c r="V28" s="596"/>
      <c r="W28" s="596"/>
      <c r="X28" s="596"/>
      <c r="Y28" s="194"/>
      <c r="Z28" s="194"/>
      <c r="AA28" s="194"/>
      <c r="AB28" s="195">
        <f>+$B28*5%</f>
        <v>0</v>
      </c>
      <c r="AC28" s="27"/>
      <c r="AD28" s="22"/>
      <c r="AF28" s="36">
        <f t="shared" si="0"/>
        <v>0</v>
      </c>
    </row>
    <row r="29" spans="1:32" ht="12" customHeight="1" x14ac:dyDescent="0.2">
      <c r="A29" s="29" t="str">
        <f>+Budget!A35</f>
        <v>TOTAL CONSTRUCTION</v>
      </c>
      <c r="B29" s="437">
        <f>+Budget!F35</f>
        <v>6083809.7062520329</v>
      </c>
      <c r="C29" s="194"/>
      <c r="D29" s="194"/>
      <c r="E29" s="194"/>
      <c r="F29" s="309"/>
      <c r="G29" s="209">
        <f t="shared" ref="G29:X29" si="9">+$B$29/19</f>
        <v>320200.51085537014</v>
      </c>
      <c r="H29" s="209">
        <f t="shared" si="9"/>
        <v>320200.51085537014</v>
      </c>
      <c r="I29" s="209">
        <f t="shared" si="9"/>
        <v>320200.51085537014</v>
      </c>
      <c r="J29" s="209">
        <f t="shared" si="9"/>
        <v>320200.51085537014</v>
      </c>
      <c r="K29" s="209">
        <f t="shared" si="9"/>
        <v>320200.51085537014</v>
      </c>
      <c r="L29" s="209">
        <f t="shared" si="9"/>
        <v>320200.51085537014</v>
      </c>
      <c r="M29" s="209">
        <f t="shared" si="9"/>
        <v>320200.51085537014</v>
      </c>
      <c r="N29" s="209">
        <f t="shared" si="9"/>
        <v>320200.51085537014</v>
      </c>
      <c r="O29" s="209">
        <f t="shared" si="9"/>
        <v>320200.51085537014</v>
      </c>
      <c r="P29" s="209">
        <f t="shared" si="9"/>
        <v>320200.51085537014</v>
      </c>
      <c r="Q29" s="209">
        <f t="shared" si="9"/>
        <v>320200.51085537014</v>
      </c>
      <c r="R29" s="209">
        <f t="shared" si="9"/>
        <v>320200.51085537014</v>
      </c>
      <c r="S29" s="209">
        <f t="shared" si="9"/>
        <v>320200.51085537014</v>
      </c>
      <c r="T29" s="209">
        <f t="shared" si="9"/>
        <v>320200.51085537014</v>
      </c>
      <c r="U29" s="209">
        <f t="shared" si="9"/>
        <v>320200.51085537014</v>
      </c>
      <c r="V29" s="209">
        <f t="shared" si="9"/>
        <v>320200.51085537014</v>
      </c>
      <c r="W29" s="209">
        <f t="shared" si="9"/>
        <v>320200.51085537014</v>
      </c>
      <c r="X29" s="209">
        <f t="shared" si="9"/>
        <v>320200.51085537014</v>
      </c>
      <c r="Y29" s="202">
        <f>+$B$29/19/2</f>
        <v>160100.25542768507</v>
      </c>
      <c r="Z29" s="194"/>
      <c r="AA29" s="194"/>
      <c r="AB29" s="202">
        <f>+$B$29/19/2</f>
        <v>160100.25542768507</v>
      </c>
      <c r="AC29" s="27"/>
      <c r="AD29" s="22"/>
      <c r="AF29" s="36">
        <f t="shared" si="0"/>
        <v>6083809.706252032</v>
      </c>
    </row>
    <row r="30" spans="1:32" ht="12" customHeight="1" x14ac:dyDescent="0.2">
      <c r="A30" s="29">
        <f>+Budget!A36</f>
        <v>0</v>
      </c>
      <c r="B30" s="437">
        <f>+Budget!F36</f>
        <v>0</v>
      </c>
      <c r="C30" s="194"/>
      <c r="D30" s="194"/>
      <c r="E30" s="194"/>
      <c r="F30" s="309"/>
      <c r="G30" s="209"/>
      <c r="H30" s="209"/>
      <c r="I30" s="209"/>
      <c r="J30" s="209"/>
      <c r="K30" s="209"/>
      <c r="L30" s="209"/>
      <c r="M30" s="209"/>
      <c r="N30" s="209"/>
      <c r="O30" s="209">
        <f>+$B30*25%</f>
        <v>0</v>
      </c>
      <c r="P30" s="209">
        <f t="shared" ref="P30:Q30" si="10">+$B30*25%</f>
        <v>0</v>
      </c>
      <c r="Q30" s="209">
        <f t="shared" si="10"/>
        <v>0</v>
      </c>
      <c r="R30" s="209">
        <f>+$B30*20%</f>
        <v>0</v>
      </c>
      <c r="S30" s="596"/>
      <c r="T30" s="596"/>
      <c r="U30" s="596"/>
      <c r="V30" s="596"/>
      <c r="W30" s="596"/>
      <c r="X30" s="596"/>
      <c r="Y30" s="194"/>
      <c r="Z30" s="194"/>
      <c r="AA30" s="194"/>
      <c r="AB30" s="195">
        <f>+$B30*5%</f>
        <v>0</v>
      </c>
      <c r="AC30" s="27"/>
      <c r="AD30" s="22"/>
      <c r="AF30" s="36">
        <f t="shared" si="0"/>
        <v>0</v>
      </c>
    </row>
    <row r="31" spans="1:32" ht="12" customHeight="1" x14ac:dyDescent="0.2">
      <c r="A31" s="29" t="str">
        <f>+Budget!A40</f>
        <v>CONCEPTION PERMIS DE CONST-PIECES ECRITES</v>
      </c>
      <c r="B31" s="437">
        <f>+Budget!F40</f>
        <v>149845.38257887773</v>
      </c>
      <c r="C31" s="194"/>
      <c r="D31" s="194"/>
      <c r="E31" s="194"/>
      <c r="F31" s="309">
        <f>+B31/2</f>
        <v>74922.691289438866</v>
      </c>
      <c r="G31" s="209">
        <f>+$F$31/3</f>
        <v>24974.230429812957</v>
      </c>
      <c r="H31" s="209">
        <f t="shared" ref="H31:I31" si="11">+$F$31/3</f>
        <v>24974.230429812957</v>
      </c>
      <c r="I31" s="209">
        <f t="shared" si="11"/>
        <v>24974.230429812957</v>
      </c>
      <c r="J31" s="211"/>
      <c r="K31" s="211"/>
      <c r="L31" s="211"/>
      <c r="M31" s="211"/>
      <c r="N31" s="211"/>
      <c r="O31" s="211"/>
      <c r="P31" s="211"/>
      <c r="Q31" s="211"/>
      <c r="R31" s="211"/>
      <c r="S31" s="211"/>
      <c r="T31" s="211"/>
      <c r="U31" s="211"/>
      <c r="V31" s="211"/>
      <c r="W31" s="211"/>
      <c r="X31" s="211"/>
      <c r="Y31" s="194"/>
      <c r="Z31" s="194"/>
      <c r="AA31" s="194"/>
      <c r="AB31" s="195"/>
      <c r="AC31" s="27"/>
      <c r="AD31" s="22">
        <f>SUM(C31:AB31)</f>
        <v>149845.38257887773</v>
      </c>
      <c r="AE31" s="22">
        <f>SUM(C31:AA31)</f>
        <v>149845.38257887773</v>
      </c>
      <c r="AF31" s="36">
        <f t="shared" si="0"/>
        <v>149845.38257887773</v>
      </c>
    </row>
    <row r="32" spans="1:32" ht="12" customHeight="1" x14ac:dyDescent="0.2">
      <c r="A32" s="29" t="str">
        <f>+Budget!A41</f>
        <v>MOD OPC</v>
      </c>
      <c r="B32" s="437">
        <f>+Budget!F41</f>
        <v>149845.38257887773</v>
      </c>
      <c r="C32" s="194"/>
      <c r="D32" s="194"/>
      <c r="E32" s="194"/>
      <c r="F32" s="309">
        <f>+B32*15%</f>
        <v>22476.807386831661</v>
      </c>
      <c r="G32" s="209">
        <f>+B32*15%</f>
        <v>22476.807386831661</v>
      </c>
      <c r="H32" s="211"/>
      <c r="I32" s="209">
        <f>+$B$32*70%/17</f>
        <v>6170.1039885420241</v>
      </c>
      <c r="J32" s="209">
        <f t="shared" ref="J32:X32" si="12">+$B$32*70%/17</f>
        <v>6170.1039885420241</v>
      </c>
      <c r="K32" s="209">
        <f t="shared" si="12"/>
        <v>6170.1039885420241</v>
      </c>
      <c r="L32" s="209">
        <f t="shared" si="12"/>
        <v>6170.1039885420241</v>
      </c>
      <c r="M32" s="209">
        <f t="shared" si="12"/>
        <v>6170.1039885420241</v>
      </c>
      <c r="N32" s="209">
        <f t="shared" si="12"/>
        <v>6170.1039885420241</v>
      </c>
      <c r="O32" s="209">
        <f t="shared" si="12"/>
        <v>6170.1039885420241</v>
      </c>
      <c r="P32" s="209">
        <f t="shared" si="12"/>
        <v>6170.1039885420241</v>
      </c>
      <c r="Q32" s="209">
        <f t="shared" si="12"/>
        <v>6170.1039885420241</v>
      </c>
      <c r="R32" s="209">
        <f t="shared" si="12"/>
        <v>6170.1039885420241</v>
      </c>
      <c r="S32" s="209">
        <f t="shared" si="12"/>
        <v>6170.1039885420241</v>
      </c>
      <c r="T32" s="209">
        <f t="shared" si="12"/>
        <v>6170.1039885420241</v>
      </c>
      <c r="U32" s="209">
        <f t="shared" si="12"/>
        <v>6170.1039885420241</v>
      </c>
      <c r="V32" s="209">
        <f t="shared" si="12"/>
        <v>6170.1039885420241</v>
      </c>
      <c r="W32" s="209">
        <f t="shared" si="12"/>
        <v>6170.1039885420241</v>
      </c>
      <c r="X32" s="209">
        <f t="shared" si="12"/>
        <v>6170.1039885420241</v>
      </c>
      <c r="Y32" s="202">
        <f>+$B$32*70%/17/2</f>
        <v>3085.0519942710121</v>
      </c>
      <c r="Z32" s="194"/>
      <c r="AA32" s="194"/>
      <c r="AB32" s="202">
        <f>+$B$32*70%/17/2</f>
        <v>3085.0519942710121</v>
      </c>
      <c r="AC32" s="27"/>
      <c r="AD32" s="22">
        <f>SUM(C32:AB32)</f>
        <v>149845.38257887767</v>
      </c>
      <c r="AF32" s="36">
        <f t="shared" si="0"/>
        <v>149845.38257887767</v>
      </c>
    </row>
    <row r="33" spans="1:32" ht="12" customHeight="1" x14ac:dyDescent="0.2">
      <c r="A33" s="29" t="str">
        <f>+Budget!A42</f>
        <v>CONTRÔLE - TECHNIQUE</v>
      </c>
      <c r="B33" s="437">
        <f>+Budget!F42</f>
        <v>61380.597062520326</v>
      </c>
      <c r="C33" s="194"/>
      <c r="D33" s="194"/>
      <c r="E33" s="194"/>
      <c r="F33" s="309"/>
      <c r="G33" s="209"/>
      <c r="H33" s="209">
        <f>+$B33/16</f>
        <v>3836.2873164075204</v>
      </c>
      <c r="I33" s="209">
        <f t="shared" ref="I33:R34" si="13">+$B33/16</f>
        <v>3836.2873164075204</v>
      </c>
      <c r="J33" s="209">
        <f t="shared" si="13"/>
        <v>3836.2873164075204</v>
      </c>
      <c r="K33" s="209">
        <f t="shared" si="13"/>
        <v>3836.2873164075204</v>
      </c>
      <c r="L33" s="209">
        <f t="shared" si="13"/>
        <v>3836.2873164075204</v>
      </c>
      <c r="M33" s="209">
        <f t="shared" si="13"/>
        <v>3836.2873164075204</v>
      </c>
      <c r="N33" s="209">
        <f t="shared" si="13"/>
        <v>3836.2873164075204</v>
      </c>
      <c r="O33" s="209">
        <f t="shared" si="13"/>
        <v>3836.2873164075204</v>
      </c>
      <c r="P33" s="209">
        <f t="shared" si="13"/>
        <v>3836.2873164075204</v>
      </c>
      <c r="Q33" s="209">
        <f t="shared" si="13"/>
        <v>3836.2873164075204</v>
      </c>
      <c r="R33" s="209">
        <f t="shared" si="13"/>
        <v>3836.2873164075204</v>
      </c>
      <c r="S33" s="209">
        <f t="shared" ref="S33:W34" si="14">+$B33/16</f>
        <v>3836.2873164075204</v>
      </c>
      <c r="T33" s="209">
        <f t="shared" si="14"/>
        <v>3836.2873164075204</v>
      </c>
      <c r="U33" s="209">
        <f t="shared" si="14"/>
        <v>3836.2873164075204</v>
      </c>
      <c r="V33" s="209">
        <f t="shared" si="14"/>
        <v>3836.2873164075204</v>
      </c>
      <c r="W33" s="209">
        <f t="shared" si="14"/>
        <v>3836.2873164075204</v>
      </c>
      <c r="X33" s="596"/>
      <c r="Y33" s="194"/>
      <c r="Z33" s="194"/>
      <c r="AA33" s="194"/>
      <c r="AB33" s="195"/>
      <c r="AC33" s="27"/>
      <c r="AD33" s="22">
        <f>SUM(C33:AB33)</f>
        <v>61380.597062520326</v>
      </c>
      <c r="AF33" s="36">
        <f t="shared" si="0"/>
        <v>61380.597062520326</v>
      </c>
    </row>
    <row r="34" spans="1:32" ht="12" customHeight="1" x14ac:dyDescent="0.2">
      <c r="A34" s="29" t="str">
        <f>+Budget!A43</f>
        <v xml:space="preserve">MISSION SPS </v>
      </c>
      <c r="B34" s="437">
        <f>+Budget!F43</f>
        <v>18414.179118756099</v>
      </c>
      <c r="C34" s="194"/>
      <c r="D34" s="194"/>
      <c r="E34" s="194"/>
      <c r="F34" s="309"/>
      <c r="G34" s="209"/>
      <c r="H34" s="209">
        <f>+$B34/16</f>
        <v>1150.8861949222562</v>
      </c>
      <c r="I34" s="209">
        <f t="shared" si="13"/>
        <v>1150.8861949222562</v>
      </c>
      <c r="J34" s="209">
        <f t="shared" si="13"/>
        <v>1150.8861949222562</v>
      </c>
      <c r="K34" s="209">
        <f t="shared" si="13"/>
        <v>1150.8861949222562</v>
      </c>
      <c r="L34" s="209">
        <f t="shared" si="13"/>
        <v>1150.8861949222562</v>
      </c>
      <c r="M34" s="209">
        <f t="shared" si="13"/>
        <v>1150.8861949222562</v>
      </c>
      <c r="N34" s="209">
        <f t="shared" si="13"/>
        <v>1150.8861949222562</v>
      </c>
      <c r="O34" s="209">
        <f t="shared" si="13"/>
        <v>1150.8861949222562</v>
      </c>
      <c r="P34" s="209">
        <f t="shared" si="13"/>
        <v>1150.8861949222562</v>
      </c>
      <c r="Q34" s="209">
        <f t="shared" si="13"/>
        <v>1150.8861949222562</v>
      </c>
      <c r="R34" s="209">
        <f t="shared" si="13"/>
        <v>1150.8861949222562</v>
      </c>
      <c r="S34" s="209">
        <f t="shared" si="14"/>
        <v>1150.8861949222562</v>
      </c>
      <c r="T34" s="209">
        <f t="shared" si="14"/>
        <v>1150.8861949222562</v>
      </c>
      <c r="U34" s="209">
        <f t="shared" si="14"/>
        <v>1150.8861949222562</v>
      </c>
      <c r="V34" s="209">
        <f t="shared" si="14"/>
        <v>1150.8861949222562</v>
      </c>
      <c r="W34" s="209">
        <f t="shared" si="14"/>
        <v>1150.8861949222562</v>
      </c>
      <c r="X34" s="596"/>
      <c r="Y34" s="194"/>
      <c r="Z34" s="194"/>
      <c r="AA34" s="194"/>
      <c r="AB34" s="195"/>
      <c r="AC34" s="27"/>
      <c r="AD34" s="22">
        <f>SUM(C34:AB34)</f>
        <v>18414.179118756096</v>
      </c>
      <c r="AF34" s="36">
        <f t="shared" si="0"/>
        <v>18414.179118756096</v>
      </c>
    </row>
    <row r="35" spans="1:32" ht="12" customHeight="1" x14ac:dyDescent="0.2">
      <c r="A35" s="29" t="str">
        <f>+Budget!A47</f>
        <v>HONORAIRE  MODEX 5%</v>
      </c>
      <c r="B35" s="437">
        <f>+Budget!F47</f>
        <v>511306.25</v>
      </c>
      <c r="C35" s="194"/>
      <c r="D35" s="194"/>
      <c r="E35" s="194"/>
      <c r="F35" s="309">
        <f>+$B35*10%</f>
        <v>51130.625</v>
      </c>
      <c r="G35" s="209"/>
      <c r="H35" s="209">
        <f>+($B$35-$F$35)/18</f>
        <v>25565.3125</v>
      </c>
      <c r="I35" s="209">
        <f t="shared" ref="I35:X35" si="15">+($B$35-$F$35)/18</f>
        <v>25565.3125</v>
      </c>
      <c r="J35" s="209">
        <f t="shared" si="15"/>
        <v>25565.3125</v>
      </c>
      <c r="K35" s="209">
        <f t="shared" si="15"/>
        <v>25565.3125</v>
      </c>
      <c r="L35" s="209">
        <f t="shared" si="15"/>
        <v>25565.3125</v>
      </c>
      <c r="M35" s="209">
        <f t="shared" si="15"/>
        <v>25565.3125</v>
      </c>
      <c r="N35" s="209">
        <f t="shared" si="15"/>
        <v>25565.3125</v>
      </c>
      <c r="O35" s="209">
        <f t="shared" si="15"/>
        <v>25565.3125</v>
      </c>
      <c r="P35" s="209">
        <f t="shared" si="15"/>
        <v>25565.3125</v>
      </c>
      <c r="Q35" s="209">
        <f t="shared" si="15"/>
        <v>25565.3125</v>
      </c>
      <c r="R35" s="209">
        <f t="shared" si="15"/>
        <v>25565.3125</v>
      </c>
      <c r="S35" s="209">
        <f t="shared" si="15"/>
        <v>25565.3125</v>
      </c>
      <c r="T35" s="209">
        <f t="shared" si="15"/>
        <v>25565.3125</v>
      </c>
      <c r="U35" s="209">
        <f t="shared" si="15"/>
        <v>25565.3125</v>
      </c>
      <c r="V35" s="209">
        <f t="shared" si="15"/>
        <v>25565.3125</v>
      </c>
      <c r="W35" s="209">
        <f t="shared" si="15"/>
        <v>25565.3125</v>
      </c>
      <c r="X35" s="209">
        <f t="shared" si="15"/>
        <v>25565.3125</v>
      </c>
      <c r="Y35" s="194"/>
      <c r="Z35" s="194"/>
      <c r="AA35" s="194"/>
      <c r="AB35" s="202">
        <f>+($B$35-$F$35)/18</f>
        <v>25565.3125</v>
      </c>
      <c r="AC35" s="27"/>
      <c r="AD35" s="22">
        <f>SUM(C35:AB35)</f>
        <v>511306.25</v>
      </c>
      <c r="AF35" s="36">
        <f t="shared" si="0"/>
        <v>511306.25</v>
      </c>
    </row>
    <row r="36" spans="1:32" x14ac:dyDescent="0.2">
      <c r="A36" s="29" t="str">
        <f>+Budget!A48</f>
        <v>COM SUR VENTE 5%</v>
      </c>
      <c r="B36" s="437">
        <f>+Budget!F48</f>
        <v>511306.25</v>
      </c>
      <c r="C36" s="194"/>
      <c r="D36" s="194"/>
      <c r="E36" s="194"/>
      <c r="F36" s="309">
        <f>+$B36*10%</f>
        <v>51130.625</v>
      </c>
      <c r="G36" s="209"/>
      <c r="H36" s="211"/>
      <c r="I36" s="211"/>
      <c r="J36" s="211"/>
      <c r="K36" s="211"/>
      <c r="L36" s="211"/>
      <c r="M36" s="211"/>
      <c r="N36" s="211"/>
      <c r="O36" s="211"/>
      <c r="P36" s="211">
        <f t="shared" ref="P36:Y36" si="16">+$B36*10%</f>
        <v>51130.625</v>
      </c>
      <c r="Q36" s="211">
        <f t="shared" si="16"/>
        <v>51130.625</v>
      </c>
      <c r="R36" s="211">
        <f t="shared" si="16"/>
        <v>51130.625</v>
      </c>
      <c r="S36" s="211">
        <f t="shared" si="16"/>
        <v>51130.625</v>
      </c>
      <c r="T36" s="211">
        <f t="shared" si="16"/>
        <v>51130.625</v>
      </c>
      <c r="U36" s="211">
        <f t="shared" si="16"/>
        <v>51130.625</v>
      </c>
      <c r="V36" s="211">
        <f t="shared" si="16"/>
        <v>51130.625</v>
      </c>
      <c r="W36" s="211">
        <f t="shared" si="16"/>
        <v>51130.625</v>
      </c>
      <c r="X36" s="211">
        <f t="shared" si="16"/>
        <v>51130.625</v>
      </c>
      <c r="Y36" s="194"/>
      <c r="Z36" s="194"/>
      <c r="AA36" s="194"/>
      <c r="AB36" s="195"/>
      <c r="AF36" s="36">
        <f t="shared" si="0"/>
        <v>511306.25</v>
      </c>
    </row>
    <row r="37" spans="1:32" ht="12" customHeight="1" x14ac:dyDescent="0.2">
      <c r="A37" s="29" t="str">
        <f>+Budget!A49</f>
        <v xml:space="preserve">INTERETS BANCAIRES </v>
      </c>
      <c r="B37" s="437">
        <f>+Budget!F49</f>
        <v>160000</v>
      </c>
      <c r="C37" s="194"/>
      <c r="D37" s="194"/>
      <c r="E37" s="194"/>
      <c r="F37" s="309"/>
      <c r="G37" s="209"/>
      <c r="H37" s="209">
        <f>+$B37*G$64%</f>
        <v>4800</v>
      </c>
      <c r="I37" s="209"/>
      <c r="J37" s="209"/>
      <c r="K37" s="209">
        <f>+$B37*J$64%</f>
        <v>24000</v>
      </c>
      <c r="L37" s="209"/>
      <c r="M37" s="209"/>
      <c r="N37" s="209">
        <f>+$B37*M$64%</f>
        <v>40000</v>
      </c>
      <c r="O37" s="209"/>
      <c r="P37" s="209"/>
      <c r="Q37" s="209">
        <f>+$B37*P$64%</f>
        <v>44800.000000000007</v>
      </c>
      <c r="R37" s="209"/>
      <c r="S37" s="209"/>
      <c r="T37" s="209"/>
      <c r="U37" s="209"/>
      <c r="V37" s="209"/>
      <c r="W37" s="209"/>
      <c r="X37" s="209"/>
      <c r="Y37" s="202">
        <f>+$B37*Y$64%</f>
        <v>46400</v>
      </c>
      <c r="Z37" s="197"/>
      <c r="AA37" s="194"/>
      <c r="AB37" s="195"/>
      <c r="AC37" s="27"/>
      <c r="AD37" s="22">
        <f>SUM(C37:AB37)</f>
        <v>160000</v>
      </c>
      <c r="AF37" s="36">
        <f t="shared" si="0"/>
        <v>160000</v>
      </c>
    </row>
    <row r="38" spans="1:32" ht="12" customHeight="1" x14ac:dyDescent="0.2">
      <c r="A38" s="29" t="str">
        <f>+Budget!A50</f>
        <v>CHARGES BANCAIRES (frais de dossier &amp; com engmt)</v>
      </c>
      <c r="B38" s="437">
        <f>+Budget!F50</f>
        <v>130200</v>
      </c>
      <c r="C38" s="194"/>
      <c r="D38" s="194"/>
      <c r="E38" s="194"/>
      <c r="F38" s="309">
        <f>+B38</f>
        <v>130200</v>
      </c>
      <c r="G38" s="209"/>
      <c r="H38" s="209"/>
      <c r="I38" s="209"/>
      <c r="J38" s="209"/>
      <c r="K38" s="209"/>
      <c r="L38" s="209"/>
      <c r="M38" s="209"/>
      <c r="N38" s="209"/>
      <c r="O38" s="209"/>
      <c r="P38" s="209"/>
      <c r="Q38" s="209"/>
      <c r="R38" s="209"/>
      <c r="S38" s="596"/>
      <c r="T38" s="596"/>
      <c r="U38" s="596"/>
      <c r="V38" s="596"/>
      <c r="W38" s="596"/>
      <c r="X38" s="596"/>
      <c r="Y38" s="194"/>
      <c r="Z38" s="194"/>
      <c r="AA38" s="194"/>
      <c r="AB38" s="195"/>
      <c r="AC38" s="27"/>
      <c r="AD38" s="22">
        <f>SUM(C38:AB38)</f>
        <v>130200</v>
      </c>
      <c r="AE38" s="19">
        <f>+B38</f>
        <v>130200</v>
      </c>
      <c r="AF38" s="36">
        <f t="shared" si="0"/>
        <v>130200</v>
      </c>
    </row>
    <row r="39" spans="1:32" ht="12" customHeight="1" x14ac:dyDescent="0.2">
      <c r="A39" s="29" t="str">
        <f>+Budget!A51</f>
        <v>ASSURANCE DO / CNR</v>
      </c>
      <c r="B39" s="437">
        <f>+Budget!F51</f>
        <v>0</v>
      </c>
      <c r="C39" s="194"/>
      <c r="D39" s="194"/>
      <c r="E39" s="194"/>
      <c r="F39" s="309">
        <f>+B39</f>
        <v>0</v>
      </c>
      <c r="G39" s="212"/>
      <c r="H39" s="212"/>
      <c r="I39" s="212"/>
      <c r="J39" s="212"/>
      <c r="K39" s="212"/>
      <c r="L39" s="212"/>
      <c r="M39" s="212"/>
      <c r="N39" s="212"/>
      <c r="O39" s="212"/>
      <c r="P39" s="212"/>
      <c r="Q39" s="212"/>
      <c r="R39" s="212"/>
      <c r="S39" s="597"/>
      <c r="T39" s="597"/>
      <c r="U39" s="597"/>
      <c r="V39" s="597"/>
      <c r="W39" s="597"/>
      <c r="X39" s="597"/>
      <c r="Y39" s="194"/>
      <c r="Z39" s="194"/>
      <c r="AA39" s="194"/>
      <c r="AB39" s="195"/>
      <c r="AC39" s="27"/>
      <c r="AD39" s="22"/>
      <c r="AE39" s="19"/>
      <c r="AF39" s="36">
        <f t="shared" si="0"/>
        <v>0</v>
      </c>
    </row>
    <row r="40" spans="1:32" ht="12" customHeight="1" x14ac:dyDescent="0.2">
      <c r="A40" s="29" t="str">
        <f>+Budget!A52</f>
        <v>ASSURANCE TRC</v>
      </c>
      <c r="B40" s="437">
        <f>+Budget!F52</f>
        <v>28285.989429732868</v>
      </c>
      <c r="C40" s="194"/>
      <c r="D40" s="194"/>
      <c r="E40" s="194"/>
      <c r="F40" s="309">
        <f>+B40</f>
        <v>28285.989429732868</v>
      </c>
      <c r="G40" s="212"/>
      <c r="H40" s="212"/>
      <c r="I40" s="212"/>
      <c r="J40" s="212"/>
      <c r="K40" s="212"/>
      <c r="L40" s="212"/>
      <c r="M40" s="212"/>
      <c r="N40" s="212"/>
      <c r="O40" s="212"/>
      <c r="P40" s="212"/>
      <c r="Q40" s="212"/>
      <c r="R40" s="212"/>
      <c r="S40" s="597"/>
      <c r="T40" s="597"/>
      <c r="U40" s="597"/>
      <c r="V40" s="597"/>
      <c r="W40" s="597"/>
      <c r="X40" s="597"/>
      <c r="Y40" s="194"/>
      <c r="Z40" s="194"/>
      <c r="AA40" s="194"/>
      <c r="AB40" s="195"/>
      <c r="AC40" s="27"/>
      <c r="AD40" s="22">
        <f>SUM(C40:AB40)</f>
        <v>28285.989429732868</v>
      </c>
      <c r="AF40" s="36">
        <f t="shared" si="0"/>
        <v>28285.989429732868</v>
      </c>
    </row>
    <row r="41" spans="1:32" ht="12" customHeight="1" x14ac:dyDescent="0.2">
      <c r="A41" s="29" t="str">
        <f>+Budget!A53</f>
        <v>ASSURANCE - GFA</v>
      </c>
      <c r="B41" s="437">
        <f>+Budget!F53</f>
        <v>117812.5</v>
      </c>
      <c r="C41" s="194"/>
      <c r="D41" s="194"/>
      <c r="E41" s="194"/>
      <c r="F41" s="309">
        <f>+B41</f>
        <v>117812.5</v>
      </c>
      <c r="G41" s="209"/>
      <c r="H41" s="209"/>
      <c r="I41" s="209"/>
      <c r="J41" s="209"/>
      <c r="K41" s="209"/>
      <c r="L41" s="209"/>
      <c r="M41" s="209"/>
      <c r="N41" s="209"/>
      <c r="O41" s="209"/>
      <c r="P41" s="209"/>
      <c r="Q41" s="209"/>
      <c r="R41" s="209"/>
      <c r="S41" s="596"/>
      <c r="T41" s="596"/>
      <c r="U41" s="596"/>
      <c r="V41" s="596"/>
      <c r="W41" s="596"/>
      <c r="X41" s="596"/>
      <c r="Y41" s="194"/>
      <c r="Z41" s="194"/>
      <c r="AA41" s="194"/>
      <c r="AB41" s="195"/>
      <c r="AC41" s="27"/>
      <c r="AD41" s="22">
        <f>SUM(C41:AB41)</f>
        <v>117812.5</v>
      </c>
      <c r="AF41" s="36">
        <f t="shared" si="0"/>
        <v>117812.5</v>
      </c>
    </row>
    <row r="42" spans="1:32" ht="12" customHeight="1" x14ac:dyDescent="0.2">
      <c r="A42" s="29" t="str">
        <f>+Budget!A54</f>
        <v>PUBLICITE COMMERCIAL</v>
      </c>
      <c r="B42" s="437">
        <f>+Budget!F54</f>
        <v>0</v>
      </c>
      <c r="C42" s="198"/>
      <c r="D42" s="198"/>
      <c r="E42" s="198"/>
      <c r="F42" s="310"/>
      <c r="G42" s="212"/>
      <c r="H42" s="212"/>
      <c r="I42" s="212"/>
      <c r="J42" s="212"/>
      <c r="K42" s="212"/>
      <c r="L42" s="212"/>
      <c r="M42" s="212"/>
      <c r="N42" s="212"/>
      <c r="O42" s="212"/>
      <c r="P42" s="212"/>
      <c r="Q42" s="212"/>
      <c r="R42" s="212"/>
      <c r="S42" s="597"/>
      <c r="T42" s="597"/>
      <c r="U42" s="597"/>
      <c r="V42" s="597"/>
      <c r="W42" s="597"/>
      <c r="X42" s="597"/>
      <c r="Y42" s="198"/>
      <c r="Z42" s="198"/>
      <c r="AA42" s="198"/>
      <c r="AB42" s="203"/>
      <c r="AC42" s="27"/>
      <c r="AD42" s="22"/>
      <c r="AF42" s="36">
        <f t="shared" si="0"/>
        <v>0</v>
      </c>
    </row>
    <row r="43" spans="1:32" ht="12" customHeight="1" x14ac:dyDescent="0.2">
      <c r="A43" s="29" t="str">
        <f>+Budget!A55</f>
        <v>Création SCCV</v>
      </c>
      <c r="B43" s="436">
        <f>+Budget!F55</f>
        <v>0</v>
      </c>
      <c r="C43" s="198"/>
      <c r="D43" s="198"/>
      <c r="E43" s="198"/>
      <c r="F43" s="310"/>
      <c r="G43" s="212"/>
      <c r="H43" s="212"/>
      <c r="I43" s="212"/>
      <c r="J43" s="212"/>
      <c r="K43" s="212"/>
      <c r="L43" s="212"/>
      <c r="M43" s="212"/>
      <c r="N43" s="212"/>
      <c r="O43" s="212"/>
      <c r="P43" s="212"/>
      <c r="Q43" s="212"/>
      <c r="R43" s="212"/>
      <c r="S43" s="597"/>
      <c r="T43" s="597"/>
      <c r="U43" s="597"/>
      <c r="V43" s="597"/>
      <c r="W43" s="597"/>
      <c r="X43" s="597"/>
      <c r="Y43" s="198"/>
      <c r="Z43" s="198"/>
      <c r="AA43" s="198"/>
      <c r="AB43" s="203"/>
      <c r="AC43" s="27"/>
      <c r="AD43" s="22"/>
      <c r="AF43" s="36">
        <f t="shared" si="0"/>
        <v>0</v>
      </c>
    </row>
    <row r="44" spans="1:32" ht="12" hidden="1" customHeight="1" x14ac:dyDescent="0.2">
      <c r="A44" s="29" t="str">
        <f>+Budget!A56</f>
        <v>ALEAS</v>
      </c>
      <c r="B44" s="436">
        <f>+Budget!F56</f>
        <v>0</v>
      </c>
      <c r="C44" s="198"/>
      <c r="D44" s="198"/>
      <c r="E44" s="198">
        <f>+B44</f>
        <v>0</v>
      </c>
      <c r="F44" s="310"/>
      <c r="G44" s="212"/>
      <c r="H44" s="212"/>
      <c r="I44" s="212"/>
      <c r="J44" s="212"/>
      <c r="K44" s="212"/>
      <c r="L44" s="212"/>
      <c r="M44" s="212"/>
      <c r="N44" s="212"/>
      <c r="O44" s="212"/>
      <c r="P44" s="212"/>
      <c r="Q44" s="212"/>
      <c r="R44" s="212"/>
      <c r="S44" s="597"/>
      <c r="T44" s="597"/>
      <c r="U44" s="597"/>
      <c r="V44" s="597"/>
      <c r="W44" s="597"/>
      <c r="X44" s="597"/>
      <c r="Y44" s="198"/>
      <c r="Z44" s="198"/>
      <c r="AA44" s="198"/>
      <c r="AB44" s="203"/>
      <c r="AC44" s="27"/>
      <c r="AD44" s="22"/>
      <c r="AF44" s="36">
        <f t="shared" si="0"/>
        <v>0</v>
      </c>
    </row>
    <row r="45" spans="1:32" ht="12" hidden="1" customHeight="1" x14ac:dyDescent="0.2">
      <c r="A45" s="29" t="str">
        <f>+Budget!A61</f>
        <v>COMMERCIALISATION (via réseaux CGP)</v>
      </c>
      <c r="B45" s="436">
        <f>+Budget!F61</f>
        <v>0</v>
      </c>
      <c r="C45" s="198"/>
      <c r="D45" s="198"/>
      <c r="E45" s="198"/>
      <c r="F45" s="310"/>
      <c r="G45" s="212"/>
      <c r="H45" s="212"/>
      <c r="I45" s="212">
        <f>+$B45*5%</f>
        <v>0</v>
      </c>
      <c r="J45" s="212">
        <f t="shared" ref="J45:R46" si="17">+$B45*5%</f>
        <v>0</v>
      </c>
      <c r="K45" s="212">
        <f t="shared" si="17"/>
        <v>0</v>
      </c>
      <c r="L45" s="212">
        <f t="shared" si="17"/>
        <v>0</v>
      </c>
      <c r="M45" s="212">
        <f t="shared" si="17"/>
        <v>0</v>
      </c>
      <c r="N45" s="212">
        <f t="shared" si="17"/>
        <v>0</v>
      </c>
      <c r="O45" s="212">
        <f t="shared" si="17"/>
        <v>0</v>
      </c>
      <c r="P45" s="212">
        <f t="shared" si="17"/>
        <v>0</v>
      </c>
      <c r="Q45" s="212">
        <f t="shared" si="17"/>
        <v>0</v>
      </c>
      <c r="R45" s="212">
        <f t="shared" si="17"/>
        <v>0</v>
      </c>
      <c r="S45" s="212"/>
      <c r="T45" s="212"/>
      <c r="U45" s="212"/>
      <c r="V45" s="212"/>
      <c r="W45" s="212"/>
      <c r="X45" s="212"/>
      <c r="Y45" s="204">
        <f>+$B45*12.5%</f>
        <v>0</v>
      </c>
      <c r="Z45" s="204">
        <f t="shared" ref="Z45:AB46" si="18">+$B45*12.5%</f>
        <v>0</v>
      </c>
      <c r="AA45" s="204">
        <f t="shared" si="18"/>
        <v>0</v>
      </c>
      <c r="AB45" s="204">
        <f t="shared" si="18"/>
        <v>0</v>
      </c>
      <c r="AC45" s="27"/>
      <c r="AD45" s="22"/>
      <c r="AF45" s="36">
        <f t="shared" si="0"/>
        <v>0</v>
      </c>
    </row>
    <row r="46" spans="1:32" ht="12" hidden="1" customHeight="1" x14ac:dyDescent="0.2">
      <c r="A46" s="29" t="str">
        <f>+Budget!A62</f>
        <v>PLATEFORME RESEAUX</v>
      </c>
      <c r="B46" s="436">
        <f>+Budget!F62</f>
        <v>0</v>
      </c>
      <c r="C46" s="198"/>
      <c r="D46" s="198"/>
      <c r="E46" s="198"/>
      <c r="F46" s="310"/>
      <c r="G46" s="212"/>
      <c r="H46" s="212"/>
      <c r="I46" s="212">
        <f>+$B46*5%</f>
        <v>0</v>
      </c>
      <c r="J46" s="212">
        <f t="shared" si="17"/>
        <v>0</v>
      </c>
      <c r="K46" s="212">
        <f t="shared" si="17"/>
        <v>0</v>
      </c>
      <c r="L46" s="212">
        <f t="shared" si="17"/>
        <v>0</v>
      </c>
      <c r="M46" s="212">
        <f t="shared" si="17"/>
        <v>0</v>
      </c>
      <c r="N46" s="212">
        <f t="shared" si="17"/>
        <v>0</v>
      </c>
      <c r="O46" s="212">
        <f t="shared" si="17"/>
        <v>0</v>
      </c>
      <c r="P46" s="212">
        <f t="shared" si="17"/>
        <v>0</v>
      </c>
      <c r="Q46" s="212">
        <f t="shared" si="17"/>
        <v>0</v>
      </c>
      <c r="R46" s="212">
        <f t="shared" si="17"/>
        <v>0</v>
      </c>
      <c r="S46" s="212"/>
      <c r="T46" s="212"/>
      <c r="U46" s="212"/>
      <c r="V46" s="212"/>
      <c r="W46" s="212"/>
      <c r="X46" s="212"/>
      <c r="Y46" s="204">
        <f>+$B46*12.5%</f>
        <v>0</v>
      </c>
      <c r="Z46" s="204">
        <f t="shared" si="18"/>
        <v>0</v>
      </c>
      <c r="AA46" s="204">
        <f t="shared" si="18"/>
        <v>0</v>
      </c>
      <c r="AB46" s="204">
        <f t="shared" si="18"/>
        <v>0</v>
      </c>
      <c r="AC46" s="27"/>
      <c r="AD46" s="22"/>
      <c r="AF46" s="36">
        <f t="shared" si="0"/>
        <v>0</v>
      </c>
    </row>
    <row r="47" spans="1:32" ht="12" hidden="1" customHeight="1" x14ac:dyDescent="0.2">
      <c r="A47" s="29" t="str">
        <f>+Budget!A63</f>
        <v>GARANTIE DU PREMIER LOCATAIRE (3 MOIS)</v>
      </c>
      <c r="B47" s="436">
        <f>+Budget!F63</f>
        <v>0</v>
      </c>
      <c r="C47" s="198"/>
      <c r="D47" s="198"/>
      <c r="E47" s="198"/>
      <c r="F47" s="310"/>
      <c r="G47" s="212"/>
      <c r="H47" s="212"/>
      <c r="I47" s="212"/>
      <c r="J47" s="212"/>
      <c r="K47" s="212"/>
      <c r="L47" s="212"/>
      <c r="M47" s="212"/>
      <c r="N47" s="212"/>
      <c r="O47" s="212"/>
      <c r="P47" s="212"/>
      <c r="Q47" s="212"/>
      <c r="R47" s="212"/>
      <c r="S47" s="597"/>
      <c r="T47" s="597"/>
      <c r="U47" s="597"/>
      <c r="V47" s="597"/>
      <c r="W47" s="597"/>
      <c r="X47" s="597"/>
      <c r="Y47" s="198">
        <f>+$B$47*25%</f>
        <v>0</v>
      </c>
      <c r="Z47" s="198">
        <f t="shared" ref="Z47:AB47" si="19">+$B$47*25%</f>
        <v>0</v>
      </c>
      <c r="AA47" s="198">
        <f t="shared" si="19"/>
        <v>0</v>
      </c>
      <c r="AB47" s="195">
        <f t="shared" si="19"/>
        <v>0</v>
      </c>
      <c r="AC47" s="27"/>
      <c r="AD47" s="22"/>
      <c r="AF47" s="36">
        <f t="shared" si="0"/>
        <v>0</v>
      </c>
    </row>
    <row r="48" spans="1:32" ht="12" customHeight="1" x14ac:dyDescent="0.2">
      <c r="A48" s="33" t="s">
        <v>278</v>
      </c>
      <c r="C48" s="198"/>
      <c r="D48" s="198"/>
      <c r="E48" s="198"/>
      <c r="F48" s="310"/>
      <c r="G48" s="212"/>
      <c r="H48" s="212"/>
      <c r="I48" s="212"/>
      <c r="J48" s="212"/>
      <c r="K48" s="212"/>
      <c r="L48" s="212"/>
      <c r="M48" s="212"/>
      <c r="N48" s="212"/>
      <c r="O48" s="212"/>
      <c r="P48" s="212"/>
      <c r="Q48" s="212"/>
      <c r="R48" s="212"/>
      <c r="S48" s="597"/>
      <c r="T48" s="597"/>
      <c r="U48" s="597"/>
      <c r="V48" s="597"/>
      <c r="W48" s="597"/>
      <c r="X48" s="597"/>
      <c r="Y48" s="198"/>
      <c r="Z48" s="198"/>
      <c r="AA48" s="198"/>
      <c r="AB48" s="203"/>
      <c r="AC48" s="27"/>
      <c r="AD48" s="22"/>
      <c r="AF48" s="36">
        <f t="shared" si="0"/>
        <v>0</v>
      </c>
    </row>
    <row r="49" spans="1:34" ht="12" customHeight="1" thickBot="1" x14ac:dyDescent="0.25">
      <c r="A49" s="30"/>
      <c r="B49" s="438"/>
      <c r="C49" s="199"/>
      <c r="D49" s="199"/>
      <c r="E49" s="199"/>
      <c r="F49" s="311"/>
      <c r="G49" s="213"/>
      <c r="H49" s="213"/>
      <c r="I49" s="213"/>
      <c r="J49" s="213"/>
      <c r="K49" s="213"/>
      <c r="L49" s="213"/>
      <c r="M49" s="213"/>
      <c r="N49" s="213"/>
      <c r="O49" s="213"/>
      <c r="P49" s="213"/>
      <c r="Q49" s="213"/>
      <c r="R49" s="213"/>
      <c r="S49" s="213"/>
      <c r="T49" s="213"/>
      <c r="U49" s="213"/>
      <c r="V49" s="213"/>
      <c r="W49" s="213"/>
      <c r="X49" s="213"/>
      <c r="Y49" s="205"/>
      <c r="Z49" s="205"/>
      <c r="AA49" s="205"/>
      <c r="AB49" s="205"/>
      <c r="AC49" s="27"/>
      <c r="AD49" s="22">
        <f>SUM(C49:AB49)</f>
        <v>0</v>
      </c>
      <c r="AF49" s="36">
        <f t="shared" si="0"/>
        <v>0</v>
      </c>
    </row>
    <row r="50" spans="1:34" s="406" customFormat="1" ht="18" customHeight="1" thickBot="1" x14ac:dyDescent="0.35">
      <c r="A50" s="419" t="s">
        <v>5</v>
      </c>
      <c r="B50" s="439">
        <f t="shared" ref="B50:AB50" si="20">SUM(B13:B49)</f>
        <v>9427224.5230207983</v>
      </c>
      <c r="C50" s="420">
        <f t="shared" si="20"/>
        <v>0</v>
      </c>
      <c r="D50" s="420">
        <f t="shared" si="20"/>
        <v>0</v>
      </c>
      <c r="E50" s="420">
        <f t="shared" si="20"/>
        <v>0</v>
      </c>
      <c r="F50" s="421">
        <f t="shared" si="20"/>
        <v>1669395.7081060032</v>
      </c>
      <c r="G50" s="422">
        <f t="shared" si="20"/>
        <v>367651.54867201479</v>
      </c>
      <c r="H50" s="422">
        <f t="shared" si="20"/>
        <v>380527.22729651292</v>
      </c>
      <c r="I50" s="422">
        <f t="shared" si="20"/>
        <v>381897.33128505497</v>
      </c>
      <c r="J50" s="422">
        <f t="shared" si="20"/>
        <v>356923.100855242</v>
      </c>
      <c r="K50" s="422">
        <f t="shared" si="20"/>
        <v>380923.100855242</v>
      </c>
      <c r="L50" s="422">
        <f t="shared" si="20"/>
        <v>356923.100855242</v>
      </c>
      <c r="M50" s="422">
        <f t="shared" si="20"/>
        <v>356923.100855242</v>
      </c>
      <c r="N50" s="422">
        <f t="shared" si="20"/>
        <v>543672.34218857531</v>
      </c>
      <c r="O50" s="422">
        <f t="shared" si="20"/>
        <v>375006.43418857531</v>
      </c>
      <c r="P50" s="422">
        <f t="shared" si="20"/>
        <v>426137.05918857531</v>
      </c>
      <c r="Q50" s="422">
        <f t="shared" si="20"/>
        <v>452853.725855242</v>
      </c>
      <c r="R50" s="422">
        <f t="shared" si="20"/>
        <v>408053.725855242</v>
      </c>
      <c r="S50" s="422">
        <f t="shared" si="20"/>
        <v>408053.725855242</v>
      </c>
      <c r="T50" s="422">
        <f t="shared" si="20"/>
        <v>408053.725855242</v>
      </c>
      <c r="U50" s="422">
        <f t="shared" si="20"/>
        <v>408053.725855242</v>
      </c>
      <c r="V50" s="422">
        <f t="shared" si="20"/>
        <v>408053.725855242</v>
      </c>
      <c r="W50" s="422">
        <f t="shared" si="20"/>
        <v>408053.725855242</v>
      </c>
      <c r="X50" s="422">
        <f t="shared" si="20"/>
        <v>403066.55234391219</v>
      </c>
      <c r="Y50" s="420">
        <f t="shared" si="20"/>
        <v>209585.30742195609</v>
      </c>
      <c r="Z50" s="420">
        <f t="shared" si="20"/>
        <v>128665.908</v>
      </c>
      <c r="AA50" s="420">
        <f t="shared" si="20"/>
        <v>0</v>
      </c>
      <c r="AB50" s="423">
        <f t="shared" si="20"/>
        <v>188750.61992195609</v>
      </c>
      <c r="AC50" s="424"/>
      <c r="AD50" s="425">
        <f>SUM(C50:AB50)</f>
        <v>9427224.5230208021</v>
      </c>
      <c r="AE50" s="425"/>
      <c r="AF50" s="426">
        <f t="shared" si="0"/>
        <v>9427224.5230208021</v>
      </c>
      <c r="AG50" s="427">
        <f>SUM(AF13:AF49)</f>
        <v>9427224.5230207983</v>
      </c>
    </row>
    <row r="51" spans="1:34" s="19" customFormat="1" ht="12" customHeight="1" x14ac:dyDescent="0.2">
      <c r="A51" s="31"/>
      <c r="B51" s="440"/>
      <c r="C51" s="200"/>
      <c r="D51" s="200"/>
      <c r="E51" s="200"/>
      <c r="F51" s="312"/>
      <c r="G51" s="214"/>
      <c r="H51" s="214"/>
      <c r="I51" s="214"/>
      <c r="J51" s="214"/>
      <c r="K51" s="214"/>
      <c r="L51" s="214"/>
      <c r="M51" s="214"/>
      <c r="N51" s="214"/>
      <c r="O51" s="214"/>
      <c r="P51" s="214"/>
      <c r="Q51" s="214"/>
      <c r="R51" s="214"/>
      <c r="S51" s="598"/>
      <c r="T51" s="598"/>
      <c r="U51" s="598"/>
      <c r="V51" s="598"/>
      <c r="W51" s="598"/>
      <c r="X51" s="598"/>
      <c r="Y51" s="200"/>
      <c r="Z51" s="200"/>
      <c r="AA51" s="200"/>
      <c r="AB51" s="206"/>
      <c r="AC51" s="32"/>
      <c r="AD51" s="22">
        <f>SUM(C51:AB51)</f>
        <v>0</v>
      </c>
      <c r="AF51" s="36"/>
      <c r="AG51" s="417"/>
    </row>
    <row r="52" spans="1:34" s="19" customFormat="1" ht="12" customHeight="1" x14ac:dyDescent="0.2">
      <c r="A52" s="33" t="s">
        <v>86</v>
      </c>
      <c r="B52" s="441">
        <f>+Budget!F84</f>
        <v>7155348.4625689508</v>
      </c>
      <c r="C52" s="194"/>
      <c r="D52" s="194"/>
      <c r="E52" s="194"/>
      <c r="F52" s="309">
        <v>0</v>
      </c>
      <c r="G52" s="209"/>
      <c r="H52" s="209"/>
      <c r="I52" s="599">
        <v>0</v>
      </c>
      <c r="J52" s="599">
        <v>0</v>
      </c>
      <c r="K52" s="599">
        <v>0</v>
      </c>
      <c r="L52" s="599">
        <v>0</v>
      </c>
      <c r="M52" s="599">
        <v>0</v>
      </c>
      <c r="N52" s="599">
        <v>0</v>
      </c>
      <c r="O52" s="599">
        <v>0</v>
      </c>
      <c r="P52" s="599">
        <v>0</v>
      </c>
      <c r="Q52" s="599">
        <v>0</v>
      </c>
      <c r="R52" s="599">
        <v>0</v>
      </c>
      <c r="S52" s="599">
        <v>0</v>
      </c>
      <c r="T52" s="599">
        <v>0</v>
      </c>
      <c r="U52" s="599">
        <v>0</v>
      </c>
      <c r="V52" s="599">
        <v>0</v>
      </c>
      <c r="W52" s="599">
        <v>0</v>
      </c>
      <c r="X52" s="599">
        <v>0</v>
      </c>
      <c r="Y52" s="202">
        <f>+W52/2</f>
        <v>0</v>
      </c>
      <c r="Z52" s="202"/>
      <c r="AA52" s="202"/>
      <c r="AB52" s="202">
        <f>+Y52</f>
        <v>0</v>
      </c>
      <c r="AC52" s="32"/>
      <c r="AD52" s="22"/>
      <c r="AF52" s="36">
        <f>SUM(C52:AB52)</f>
        <v>0</v>
      </c>
      <c r="AG52" s="417"/>
    </row>
    <row r="53" spans="1:34" s="19" customFormat="1" ht="12" customHeight="1" x14ac:dyDescent="0.2">
      <c r="A53" s="33"/>
      <c r="B53" s="441"/>
      <c r="C53" s="194"/>
      <c r="D53" s="194"/>
      <c r="E53" s="194"/>
      <c r="F53" s="309"/>
      <c r="G53" s="209"/>
      <c r="H53" s="209"/>
      <c r="I53" s="599"/>
      <c r="J53" s="599"/>
      <c r="K53" s="599"/>
      <c r="L53" s="599"/>
      <c r="M53" s="599"/>
      <c r="N53" s="599"/>
      <c r="O53" s="599"/>
      <c r="P53" s="599"/>
      <c r="Q53" s="599"/>
      <c r="R53" s="599"/>
      <c r="S53" s="600"/>
      <c r="T53" s="600"/>
      <c r="U53" s="600"/>
      <c r="V53" s="600"/>
      <c r="W53" s="600"/>
      <c r="X53" s="600"/>
      <c r="Y53" s="194"/>
      <c r="Z53" s="194"/>
      <c r="AA53" s="194"/>
      <c r="AB53" s="195"/>
      <c r="AC53" s="32"/>
      <c r="AD53" s="22">
        <f>SUM(C53:O53)</f>
        <v>0</v>
      </c>
      <c r="AF53" s="36">
        <f>SUM(AF52:AF52)</f>
        <v>0</v>
      </c>
      <c r="AG53" s="417"/>
    </row>
    <row r="54" spans="1:34" s="19" customFormat="1" ht="12" customHeight="1" x14ac:dyDescent="0.2">
      <c r="A54" s="33" t="s">
        <v>13</v>
      </c>
      <c r="B54" s="441">
        <f>SUM(B52:B53)</f>
        <v>7155348.4625689508</v>
      </c>
      <c r="C54" s="194"/>
      <c r="D54" s="194"/>
      <c r="E54" s="194"/>
      <c r="F54" s="309"/>
      <c r="G54" s="209">
        <f>+F52+G52</f>
        <v>0</v>
      </c>
      <c r="H54" s="599">
        <f>SUM(H52:H53)+G54</f>
        <v>0</v>
      </c>
      <c r="I54" s="599">
        <f>SUM(I52:I53)+H54</f>
        <v>0</v>
      </c>
      <c r="J54" s="599">
        <f t="shared" ref="J54:R54" si="21">SUM(J52:J53)+I54</f>
        <v>0</v>
      </c>
      <c r="K54" s="599">
        <f t="shared" si="21"/>
        <v>0</v>
      </c>
      <c r="L54" s="599">
        <f t="shared" si="21"/>
        <v>0</v>
      </c>
      <c r="M54" s="599">
        <f t="shared" si="21"/>
        <v>0</v>
      </c>
      <c r="N54" s="599">
        <f t="shared" si="21"/>
        <v>0</v>
      </c>
      <c r="O54" s="599">
        <f t="shared" si="21"/>
        <v>0</v>
      </c>
      <c r="P54" s="599">
        <f t="shared" si="21"/>
        <v>0</v>
      </c>
      <c r="Q54" s="599">
        <f t="shared" si="21"/>
        <v>0</v>
      </c>
      <c r="R54" s="599">
        <f t="shared" si="21"/>
        <v>0</v>
      </c>
      <c r="S54" s="599">
        <f t="shared" ref="S54" si="22">SUM(S52:S53)+R54</f>
        <v>0</v>
      </c>
      <c r="T54" s="599">
        <f t="shared" ref="T54" si="23">SUM(T52:T53)+S54</f>
        <v>0</v>
      </c>
      <c r="U54" s="599">
        <f t="shared" ref="U54" si="24">SUM(U52:U53)+T54</f>
        <v>0</v>
      </c>
      <c r="V54" s="599">
        <f t="shared" ref="V54" si="25">SUM(V52:V53)+U54</f>
        <v>0</v>
      </c>
      <c r="W54" s="599">
        <f t="shared" ref="W54" si="26">SUM(W52:W53)+V54</f>
        <v>0</v>
      </c>
      <c r="X54" s="599">
        <f t="shared" ref="X54" si="27">SUM(X52:X53)+W54</f>
        <v>0</v>
      </c>
      <c r="Y54" s="599">
        <f t="shared" ref="Y54" si="28">SUM(Y52:Y53)+X54</f>
        <v>0</v>
      </c>
      <c r="Z54" s="599">
        <f t="shared" ref="Z54" si="29">SUM(Z52:Z53)+Y54</f>
        <v>0</v>
      </c>
      <c r="AA54" s="599">
        <f t="shared" ref="AA54" si="30">SUM(AA52:AA53)+Z54</f>
        <v>0</v>
      </c>
      <c r="AB54" s="599">
        <f t="shared" ref="AB54" si="31">SUM(AB52:AB53)+AA54</f>
        <v>0</v>
      </c>
      <c r="AC54" s="18"/>
      <c r="AD54" s="22"/>
      <c r="AF54" s="36"/>
      <c r="AG54" s="417"/>
    </row>
    <row r="55" spans="1:34" s="19" customFormat="1" ht="12" customHeight="1" x14ac:dyDescent="0.2">
      <c r="A55" s="33"/>
      <c r="B55" s="441"/>
      <c r="C55" s="194"/>
      <c r="D55" s="194"/>
      <c r="E55" s="194"/>
      <c r="F55" s="309"/>
      <c r="G55" s="209"/>
      <c r="H55" s="209"/>
      <c r="I55" s="209"/>
      <c r="J55" s="209"/>
      <c r="K55" s="209"/>
      <c r="L55" s="209"/>
      <c r="M55" s="209"/>
      <c r="N55" s="209"/>
      <c r="O55" s="209"/>
      <c r="P55" s="209"/>
      <c r="Q55" s="209"/>
      <c r="R55" s="209"/>
      <c r="S55" s="596"/>
      <c r="T55" s="596"/>
      <c r="U55" s="596"/>
      <c r="V55" s="596"/>
      <c r="W55" s="596"/>
      <c r="X55" s="596"/>
      <c r="Y55" s="194"/>
      <c r="Z55" s="194"/>
      <c r="AA55" s="194"/>
      <c r="AB55" s="195"/>
      <c r="AC55" s="18"/>
      <c r="AD55" s="22"/>
      <c r="AF55" s="36"/>
      <c r="AG55" s="417"/>
    </row>
    <row r="56" spans="1:34" s="19" customFormat="1" ht="12" customHeight="1" x14ac:dyDescent="0.2">
      <c r="A56" s="33" t="s">
        <v>88</v>
      </c>
      <c r="B56" s="441">
        <f>+Budget!F82</f>
        <v>1669395.7081060032</v>
      </c>
      <c r="C56" s="194">
        <v>50000</v>
      </c>
      <c r="D56" s="194">
        <v>50000</v>
      </c>
      <c r="E56" s="194">
        <v>25000</v>
      </c>
      <c r="F56" s="309">
        <f>+B56</f>
        <v>1669395.7081060032</v>
      </c>
      <c r="G56" s="209"/>
      <c r="H56" s="209"/>
      <c r="I56" s="209"/>
      <c r="J56" s="209"/>
      <c r="K56" s="209"/>
      <c r="L56" s="209"/>
      <c r="M56" s="209"/>
      <c r="N56" s="209"/>
      <c r="O56" s="209"/>
      <c r="P56" s="209"/>
      <c r="Q56" s="209"/>
      <c r="R56" s="209"/>
      <c r="S56" s="596"/>
      <c r="T56" s="596"/>
      <c r="U56" s="596"/>
      <c r="V56" s="596"/>
      <c r="W56" s="596"/>
      <c r="X56" s="596"/>
      <c r="Y56" s="194"/>
      <c r="Z56" s="194"/>
      <c r="AA56" s="196"/>
      <c r="AB56" s="195">
        <f>-B56</f>
        <v>-1669395.7081060032</v>
      </c>
      <c r="AC56" s="18"/>
      <c r="AD56" s="22">
        <f>SUM(C56:O56)</f>
        <v>1794395.7081060032</v>
      </c>
      <c r="AF56" s="36"/>
      <c r="AG56" s="417"/>
    </row>
    <row r="57" spans="1:34" s="19" customFormat="1" ht="12" customHeight="1" x14ac:dyDescent="0.2">
      <c r="A57" s="33" t="s">
        <v>305</v>
      </c>
      <c r="B57" s="436">
        <f>Budget!F83</f>
        <v>602480.35234584368</v>
      </c>
      <c r="C57" s="194"/>
      <c r="D57" s="194"/>
      <c r="E57" s="194"/>
      <c r="F57" s="309"/>
      <c r="G57" s="209"/>
      <c r="H57" s="209"/>
      <c r="I57" s="209"/>
      <c r="J57" s="209"/>
      <c r="K57" s="209"/>
      <c r="L57" s="209"/>
      <c r="M57" s="209"/>
      <c r="N57" s="209"/>
      <c r="O57" s="209"/>
      <c r="P57" s="209"/>
      <c r="Q57" s="209"/>
      <c r="R57" s="209"/>
      <c r="S57" s="596"/>
      <c r="T57" s="596"/>
      <c r="U57" s="596"/>
      <c r="V57" s="596"/>
      <c r="W57" s="596"/>
      <c r="X57" s="596"/>
      <c r="Y57" s="194"/>
      <c r="Z57" s="194"/>
      <c r="AA57" s="194"/>
      <c r="AB57" s="571">
        <f>+B57</f>
        <v>602480.35234584368</v>
      </c>
      <c r="AC57" s="18"/>
      <c r="AD57" s="22">
        <f>SUM(C57:O57)</f>
        <v>0</v>
      </c>
      <c r="AF57" s="36"/>
      <c r="AG57" s="417"/>
    </row>
    <row r="58" spans="1:34" s="19" customFormat="1" ht="12" customHeight="1" thickBot="1" x14ac:dyDescent="0.25">
      <c r="A58" s="26"/>
      <c r="B58" s="435"/>
      <c r="C58" s="199"/>
      <c r="D58" s="199"/>
      <c r="E58" s="199"/>
      <c r="F58" s="311"/>
      <c r="G58" s="212"/>
      <c r="H58" s="212"/>
      <c r="I58" s="212"/>
      <c r="J58" s="212"/>
      <c r="K58" s="212"/>
      <c r="L58" s="212"/>
      <c r="M58" s="212"/>
      <c r="N58" s="212"/>
      <c r="O58" s="212"/>
      <c r="P58" s="212"/>
      <c r="Q58" s="212"/>
      <c r="R58" s="212"/>
      <c r="S58" s="597"/>
      <c r="T58" s="597"/>
      <c r="U58" s="597"/>
      <c r="V58" s="597"/>
      <c r="W58" s="597"/>
      <c r="X58" s="597"/>
      <c r="Y58" s="199"/>
      <c r="Z58" s="199"/>
      <c r="AA58" s="199"/>
      <c r="AB58" s="207"/>
      <c r="AC58" s="18"/>
      <c r="AD58" s="22">
        <f>SUM(C58:O58)</f>
        <v>0</v>
      </c>
      <c r="AF58" s="36"/>
      <c r="AG58" s="417"/>
    </row>
    <row r="59" spans="1:34" s="432" customFormat="1" ht="15" customHeight="1" thickBot="1" x14ac:dyDescent="0.35">
      <c r="A59" s="428" t="s">
        <v>6</v>
      </c>
      <c r="B59" s="429"/>
      <c r="C59" s="421">
        <f>-C50+C56</f>
        <v>50000</v>
      </c>
      <c r="D59" s="421">
        <f>+C59-D50+D56</f>
        <v>100000</v>
      </c>
      <c r="E59" s="421">
        <f>+D59-E50+E56</f>
        <v>125000</v>
      </c>
      <c r="F59" s="421">
        <f>+F56+F52-F50</f>
        <v>0</v>
      </c>
      <c r="G59" s="430">
        <f>+F59-G50</f>
        <v>-367651.54867201479</v>
      </c>
      <c r="H59" s="430">
        <f>+G59-H50</f>
        <v>-748178.77596852765</v>
      </c>
      <c r="I59" s="430">
        <f>+H59-I50+I52</f>
        <v>-1130076.1072535827</v>
      </c>
      <c r="J59" s="430">
        <f>+I59-J50+J52</f>
        <v>-1486999.2081088247</v>
      </c>
      <c r="K59" s="430">
        <f>+J59-K50+K52</f>
        <v>-1867922.3089640667</v>
      </c>
      <c r="L59" s="430">
        <f>+K59-L50+L52</f>
        <v>-2224845.4098193087</v>
      </c>
      <c r="M59" s="430">
        <f>+L59-M50+M52</f>
        <v>-2581768.5106745507</v>
      </c>
      <c r="N59" s="430">
        <f>+M59-N50+N52</f>
        <v>-3125440.852863126</v>
      </c>
      <c r="O59" s="430">
        <f>+N59-O50+O52</f>
        <v>-3500447.2870517015</v>
      </c>
      <c r="P59" s="430">
        <f>+O59-P50+P52</f>
        <v>-3926584.3462402769</v>
      </c>
      <c r="Q59" s="430">
        <f>+P59-Q50+Q52</f>
        <v>-4379438.0720955189</v>
      </c>
      <c r="R59" s="430">
        <f>+Q59-R50+R52</f>
        <v>-4787491.7979507614</v>
      </c>
      <c r="S59" s="430">
        <f>+R59-S50+S52</f>
        <v>-5195545.5238060039</v>
      </c>
      <c r="T59" s="430">
        <f>+S59-T50+T52</f>
        <v>-5603599.2496612463</v>
      </c>
      <c r="U59" s="430">
        <f>+T59-U50+U52</f>
        <v>-6011652.9755164888</v>
      </c>
      <c r="V59" s="430">
        <f>+U59-V50+V52</f>
        <v>-6419706.7013717312</v>
      </c>
      <c r="W59" s="430">
        <f>+V59-W50+W52</f>
        <v>-6827760.4272269737</v>
      </c>
      <c r="X59" s="430">
        <f>+W59-X50+X52</f>
        <v>-7230826.9795708861</v>
      </c>
      <c r="Y59" s="430">
        <f>+X59-Y50+Y52</f>
        <v>-7440412.2869928423</v>
      </c>
      <c r="Z59" s="430">
        <f>+Y59-Z50+Z52</f>
        <v>-7569078.1949928422</v>
      </c>
      <c r="AA59" s="430">
        <f>+Z59-AA50+AA52</f>
        <v>-7569078.1949928422</v>
      </c>
      <c r="AB59" s="430">
        <f>+AA59-AB50+AB52+AB56</f>
        <v>-9427224.5230208021</v>
      </c>
      <c r="AC59" s="431"/>
      <c r="AF59" s="432">
        <f>+AF53-AF50</f>
        <v>-9427224.5230208021</v>
      </c>
      <c r="AG59" s="433"/>
    </row>
    <row r="60" spans="1:34" ht="12" customHeight="1" thickBot="1" x14ac:dyDescent="0.25">
      <c r="B60" s="313"/>
      <c r="C60" s="23"/>
      <c r="D60" s="23"/>
      <c r="E60" s="23"/>
      <c r="F60" s="313"/>
      <c r="G60" s="23"/>
      <c r="H60" s="23"/>
      <c r="I60" s="23"/>
      <c r="J60" s="23"/>
      <c r="K60" s="23"/>
      <c r="L60" s="23"/>
      <c r="M60" s="23"/>
      <c r="N60" s="23"/>
      <c r="O60" s="23"/>
      <c r="P60" s="23"/>
      <c r="Q60" s="23"/>
      <c r="R60" s="23"/>
      <c r="S60" s="23"/>
      <c r="T60" s="23"/>
      <c r="U60" s="23"/>
      <c r="V60" s="23"/>
      <c r="W60" s="23"/>
      <c r="X60" s="23"/>
      <c r="Y60" s="23"/>
      <c r="Z60" s="23"/>
      <c r="AA60" s="23"/>
      <c r="AB60" s="23"/>
    </row>
    <row r="61" spans="1:34" s="413" customFormat="1" ht="14.4" customHeight="1" thickBot="1" x14ac:dyDescent="0.35">
      <c r="A61" s="215" t="s">
        <v>14</v>
      </c>
      <c r="B61" s="412"/>
      <c r="C61" s="411"/>
      <c r="D61" s="411"/>
      <c r="E61" s="411"/>
      <c r="F61" s="412">
        <f t="shared" ref="F61:AA61" si="32">+E$59*$B$62/365*30</f>
        <v>339.04109589041099</v>
      </c>
      <c r="G61" s="411">
        <f t="shared" si="32"/>
        <v>0</v>
      </c>
      <c r="H61" s="411">
        <f t="shared" si="32"/>
        <v>-997.19187174053343</v>
      </c>
      <c r="I61" s="411">
        <f t="shared" si="32"/>
        <v>-2029.3068170105271</v>
      </c>
      <c r="J61" s="411">
        <f t="shared" si="32"/>
        <v>-3065.1379347425941</v>
      </c>
      <c r="K61" s="411">
        <f t="shared" si="32"/>
        <v>-4033.2307288431134</v>
      </c>
      <c r="L61" s="411">
        <f t="shared" si="32"/>
        <v>-5066.4194133545925</v>
      </c>
      <c r="M61" s="411">
        <f t="shared" si="32"/>
        <v>-6034.5122074551109</v>
      </c>
      <c r="N61" s="411">
        <f t="shared" si="32"/>
        <v>-7002.6050015556302</v>
      </c>
      <c r="O61" s="411">
        <f t="shared" si="32"/>
        <v>-8477.2231351629998</v>
      </c>
      <c r="P61" s="411">
        <f t="shared" si="32"/>
        <v>-9494.3638744689997</v>
      </c>
      <c r="Q61" s="411">
        <f t="shared" si="32"/>
        <v>-10650.187678843491</v>
      </c>
      <c r="R61" s="411">
        <f t="shared" si="32"/>
        <v>-11878.475866779627</v>
      </c>
      <c r="S61" s="411">
        <f t="shared" ref="S61" si="33">+R$59*$B$62/365*30</f>
        <v>-12985.251725948641</v>
      </c>
      <c r="T61" s="411">
        <f t="shared" ref="T61" si="34">+S$59*$B$62/365*30</f>
        <v>-14092.027585117654</v>
      </c>
      <c r="U61" s="411">
        <f t="shared" ref="U61" si="35">+T$59*$B$62/365*30</f>
        <v>-15198.803444286668</v>
      </c>
      <c r="V61" s="411">
        <f t="shared" ref="V61" si="36">+U$59*$B$62/365*30</f>
        <v>-16305.579303455685</v>
      </c>
      <c r="W61" s="411">
        <f t="shared" ref="W61" si="37">+V$59*$B$62/365*30</f>
        <v>-17412.355162624695</v>
      </c>
      <c r="X61" s="411">
        <f t="shared" ref="X61" si="38">+W$59*$B$62/365*30</f>
        <v>-18519.13102179371</v>
      </c>
      <c r="Y61" s="411"/>
      <c r="Z61" s="411"/>
      <c r="AA61" s="411"/>
      <c r="AB61" s="411"/>
      <c r="AC61" s="411"/>
      <c r="AD61" s="411"/>
      <c r="AE61" s="411"/>
      <c r="AF61" s="410">
        <f>-SUM(G61:AB61)</f>
        <v>163241.80277318426</v>
      </c>
      <c r="AG61" s="409">
        <v>160000</v>
      </c>
      <c r="AH61" s="409" t="s">
        <v>294</v>
      </c>
    </row>
    <row r="62" spans="1:34" s="35" customFormat="1" ht="12" customHeight="1" x14ac:dyDescent="0.2">
      <c r="A62" s="23" t="s">
        <v>89</v>
      </c>
      <c r="B62" s="660">
        <v>3.3000000000000002E-2</v>
      </c>
      <c r="C62" s="34"/>
      <c r="D62" s="34"/>
      <c r="E62" s="34"/>
      <c r="F62" s="313"/>
      <c r="G62" s="34">
        <f>-G61/AF61%</f>
        <v>0</v>
      </c>
      <c r="H62" s="34"/>
      <c r="I62" s="34"/>
      <c r="J62" s="34">
        <f>-SUM(H61:J61)/$AF$61%</f>
        <v>3.73166463492054</v>
      </c>
      <c r="K62" s="34"/>
      <c r="L62" s="34"/>
      <c r="M62" s="34">
        <f>-SUM(K61:M61)/$AF$61%</f>
        <v>9.2710090752188794</v>
      </c>
      <c r="N62" s="34"/>
      <c r="O62" s="34"/>
      <c r="P62" s="34">
        <f>-SUM(N61:P61)/$AF$61%</f>
        <v>15.298895005397565</v>
      </c>
      <c r="Q62" s="34"/>
      <c r="R62" s="34"/>
      <c r="S62" s="34"/>
      <c r="T62" s="34"/>
      <c r="U62" s="34"/>
      <c r="V62" s="34"/>
      <c r="W62" s="34"/>
      <c r="X62" s="34"/>
      <c r="Y62" s="34">
        <f>-SUM(Q61:Y61)/$AF$61%</f>
        <v>71.698431284463027</v>
      </c>
      <c r="Z62" s="34"/>
      <c r="AA62" s="37"/>
      <c r="AB62" s="34">
        <f>-SUM(Z61:AB61)/$AF$61%</f>
        <v>0</v>
      </c>
      <c r="AC62" s="34"/>
      <c r="AD62" s="34"/>
      <c r="AE62" s="34"/>
      <c r="AF62" s="36">
        <f>-SUM(C62:AB62)</f>
        <v>-100.00000000000001</v>
      </c>
      <c r="AG62" s="411"/>
    </row>
    <row r="63" spans="1:34" ht="10.8" thickBot="1" x14ac:dyDescent="0.25">
      <c r="B63" s="313"/>
      <c r="C63" s="23"/>
      <c r="D63" s="23"/>
      <c r="E63" s="23"/>
      <c r="F63" s="31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G63" s="215"/>
    </row>
    <row r="64" spans="1:34" ht="16.95" customHeight="1" thickBot="1" x14ac:dyDescent="0.35">
      <c r="A64" s="407" t="s">
        <v>276</v>
      </c>
      <c r="B64" s="313"/>
      <c r="C64" s="22"/>
      <c r="D64" s="23"/>
      <c r="E64" s="23"/>
      <c r="F64" s="313"/>
      <c r="G64" s="23">
        <v>3</v>
      </c>
      <c r="H64" s="23"/>
      <c r="I64" s="23"/>
      <c r="J64" s="23">
        <v>15</v>
      </c>
      <c r="K64" s="23"/>
      <c r="L64" s="23"/>
      <c r="M64" s="23">
        <v>25</v>
      </c>
      <c r="N64" s="23"/>
      <c r="O64" s="23"/>
      <c r="P64" s="23">
        <v>28</v>
      </c>
      <c r="Q64" s="23"/>
      <c r="R64" s="23"/>
      <c r="S64" s="23"/>
      <c r="T64" s="23"/>
      <c r="U64" s="23"/>
      <c r="V64" s="23"/>
      <c r="W64" s="23"/>
      <c r="X64" s="23"/>
      <c r="Y64" s="23">
        <v>29</v>
      </c>
      <c r="Z64" s="23"/>
      <c r="AA64" s="23"/>
      <c r="AB64" s="408"/>
      <c r="AC64" s="23"/>
      <c r="AD64" s="22"/>
      <c r="AE64" s="23"/>
      <c r="AF64" s="36">
        <f>SUM(D64:AE64)</f>
        <v>100</v>
      </c>
      <c r="AG64" s="418">
        <v>1425000</v>
      </c>
      <c r="AH64" s="418" t="s">
        <v>295</v>
      </c>
    </row>
    <row r="65" spans="1:1" ht="15.6" x14ac:dyDescent="0.3">
      <c r="A65" s="407" t="s">
        <v>279</v>
      </c>
    </row>
  </sheetData>
  <mergeCells count="6">
    <mergeCell ref="Y11:AB11"/>
    <mergeCell ref="A4:G5"/>
    <mergeCell ref="A11:B11"/>
    <mergeCell ref="A8:G9"/>
    <mergeCell ref="G11:R11"/>
    <mergeCell ref="B6:C6"/>
  </mergeCells>
  <phoneticPr fontId="0" type="noConversion"/>
  <pageMargins left="0.19685039370078741" right="0.19685039370078741" top="0.39370078740157483" bottom="0.39370078740157483" header="0.51181102362204722" footer="0.51181102362204722"/>
  <pageSetup paperSize="9" scale="7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9"/>
  <sheetViews>
    <sheetView showGridLines="0" workbookViewId="0">
      <selection activeCell="F8" sqref="F8"/>
    </sheetView>
  </sheetViews>
  <sheetFormatPr baseColWidth="10" defaultColWidth="11.44140625" defaultRowHeight="13.2" x14ac:dyDescent="0.25"/>
  <cols>
    <col min="1" max="1" width="4.6640625" style="257" customWidth="1"/>
    <col min="2" max="2" width="5.6640625" style="263" customWidth="1"/>
    <col min="3" max="3" width="12.6640625" style="258" customWidth="1"/>
    <col min="4" max="9" width="12.6640625" style="263" customWidth="1"/>
    <col min="10" max="10" width="11.44140625" style="257"/>
    <col min="11" max="11" width="11.109375" style="257" hidden="1" customWidth="1"/>
    <col min="12" max="16384" width="11.44140625" style="257"/>
  </cols>
  <sheetData>
    <row r="1" spans="1:11" x14ac:dyDescent="0.25">
      <c r="A1" s="647" t="s">
        <v>153</v>
      </c>
      <c r="B1" s="647"/>
      <c r="C1" s="647"/>
      <c r="D1" s="647"/>
      <c r="E1" s="647"/>
      <c r="F1" s="647"/>
      <c r="G1" s="647"/>
      <c r="H1" s="647"/>
      <c r="I1" s="647"/>
    </row>
    <row r="2" spans="1:11" x14ac:dyDescent="0.25">
      <c r="A2" s="302"/>
      <c r="B2" s="302"/>
      <c r="C2" s="302"/>
      <c r="D2" s="302"/>
      <c r="E2" s="302"/>
      <c r="F2" s="302"/>
      <c r="G2" s="302"/>
      <c r="H2" s="302"/>
      <c r="I2" s="302"/>
    </row>
    <row r="3" spans="1:11" x14ac:dyDescent="0.25">
      <c r="A3" s="648" t="s">
        <v>154</v>
      </c>
      <c r="B3" s="648"/>
      <c r="C3" s="648"/>
      <c r="D3" s="648"/>
      <c r="E3" s="302"/>
      <c r="F3" s="302"/>
      <c r="G3" s="302"/>
      <c r="H3" s="302"/>
      <c r="I3" s="302"/>
    </row>
    <row r="4" spans="1:11" ht="12.75" customHeight="1" x14ac:dyDescent="0.25">
      <c r="B4" s="256"/>
      <c r="D4" s="259"/>
      <c r="E4" s="260"/>
      <c r="F4" s="261" t="s">
        <v>155</v>
      </c>
      <c r="G4" s="262" t="s">
        <v>156</v>
      </c>
      <c r="H4" s="265"/>
      <c r="I4" s="265"/>
    </row>
    <row r="5" spans="1:11" ht="12.75" customHeight="1" x14ac:dyDescent="0.25">
      <c r="B5" s="256"/>
      <c r="D5" s="259"/>
      <c r="E5" s="260" t="s">
        <v>157</v>
      </c>
      <c r="F5" s="264" t="s">
        <v>181</v>
      </c>
      <c r="G5" s="264">
        <v>2015</v>
      </c>
      <c r="K5" s="265">
        <f>COUNTIF(mois,"Janvier")*1+COUNTIF(mois,"Février")*2+COUNTIF(mois,"Mars")*3+COUNTIF(mois,"Avril")*4+COUNTIF(mois,"Mai")*5+COUNTIF(mois,"Juin")*6+COUNTIF(mois,"Juillet")*7+COUNTIF(mois,"Août")*8+COUNTIF(mois,"Septembre")*9+COUNTIF(mois,"Octobre")*10+COUNTIF(mois,"Novembre")*11+COUNTIF(mois,"Décembre")*12</f>
        <v>1</v>
      </c>
    </row>
    <row r="6" spans="1:11" ht="6" customHeight="1" x14ac:dyDescent="0.25">
      <c r="B6" s="256"/>
      <c r="D6" s="259"/>
      <c r="E6" s="260"/>
      <c r="F6" s="266"/>
      <c r="G6" s="267"/>
      <c r="H6" s="265"/>
      <c r="I6" s="265"/>
      <c r="K6" s="268"/>
    </row>
    <row r="7" spans="1:11" ht="12.75" customHeight="1" x14ac:dyDescent="0.25">
      <c r="B7" s="256"/>
      <c r="D7" s="259"/>
      <c r="E7" s="260" t="s">
        <v>158</v>
      </c>
      <c r="F7" s="269">
        <f>+Budget!F84</f>
        <v>7155348.4625689508</v>
      </c>
      <c r="G7" s="267" t="s">
        <v>159</v>
      </c>
      <c r="H7" s="265"/>
      <c r="I7" s="265"/>
      <c r="K7" s="301" t="str">
        <f>IF(AND(pret&lt;&gt;"",pret&gt;0,mois&lt;&gt;"",mois&gt;0,annee&lt;&gt;"",annee&gt;0,dureepret&lt;&gt;"",dureepret&gt;0,tauxinteret&lt;&gt;"",tauxinteret&gt;0),"OK","NOK")</f>
        <v>OK</v>
      </c>
    </row>
    <row r="8" spans="1:11" ht="6" customHeight="1" x14ac:dyDescent="0.25">
      <c r="B8" s="256"/>
      <c r="D8" s="259"/>
      <c r="E8" s="260"/>
      <c r="F8" s="266"/>
      <c r="G8" s="267"/>
      <c r="H8" s="265"/>
      <c r="I8" s="265"/>
      <c r="J8" s="256"/>
      <c r="K8" s="263"/>
    </row>
    <row r="9" spans="1:11" x14ac:dyDescent="0.25">
      <c r="B9" s="256"/>
      <c r="D9" s="270"/>
      <c r="E9" s="260" t="s">
        <v>160</v>
      </c>
      <c r="F9" s="269">
        <v>240</v>
      </c>
      <c r="G9" s="271" t="s">
        <v>161</v>
      </c>
      <c r="H9" s="268"/>
      <c r="I9" s="265"/>
    </row>
    <row r="10" spans="1:11" ht="6" customHeight="1" x14ac:dyDescent="0.25">
      <c r="B10" s="256"/>
      <c r="D10" s="270"/>
      <c r="E10" s="260"/>
      <c r="F10" s="266"/>
      <c r="G10" s="271"/>
      <c r="H10" s="265"/>
      <c r="I10" s="265"/>
      <c r="J10" s="256"/>
      <c r="K10" s="263"/>
    </row>
    <row r="11" spans="1:11" x14ac:dyDescent="0.25">
      <c r="B11" s="256"/>
      <c r="D11" s="270"/>
      <c r="E11" s="260" t="s">
        <v>162</v>
      </c>
      <c r="F11" s="272">
        <v>3.5</v>
      </c>
      <c r="G11" s="273" t="s">
        <v>163</v>
      </c>
      <c r="H11" s="265"/>
      <c r="I11" s="265"/>
      <c r="J11" s="256"/>
      <c r="K11" s="263"/>
    </row>
    <row r="12" spans="1:11" ht="6" customHeight="1" x14ac:dyDescent="0.25">
      <c r="B12" s="256"/>
      <c r="D12" s="270"/>
      <c r="E12" s="260"/>
      <c r="F12" s="274"/>
      <c r="G12" s="273"/>
      <c r="H12" s="265"/>
      <c r="I12" s="265"/>
      <c r="J12" s="256"/>
      <c r="K12" s="263"/>
    </row>
    <row r="13" spans="1:11" x14ac:dyDescent="0.25">
      <c r="B13" s="256"/>
      <c r="D13" s="270"/>
      <c r="E13" s="260" t="s">
        <v>164</v>
      </c>
      <c r="F13" s="272">
        <v>0.3</v>
      </c>
      <c r="G13" s="275" t="s">
        <v>165</v>
      </c>
      <c r="I13" s="265"/>
      <c r="K13" s="263"/>
    </row>
    <row r="14" spans="1:11" x14ac:dyDescent="0.25">
      <c r="B14" s="256"/>
      <c r="D14" s="276"/>
      <c r="E14" s="276"/>
      <c r="F14" s="255"/>
      <c r="G14" s="270"/>
      <c r="H14" s="265"/>
      <c r="I14" s="265"/>
    </row>
    <row r="15" spans="1:11" ht="6" customHeight="1" x14ac:dyDescent="0.25">
      <c r="B15" s="256"/>
      <c r="D15" s="277"/>
      <c r="E15" s="278"/>
      <c r="F15" s="279"/>
      <c r="G15" s="280"/>
      <c r="H15" s="265"/>
      <c r="I15" s="265"/>
    </row>
    <row r="16" spans="1:11" x14ac:dyDescent="0.25">
      <c r="B16" s="256"/>
      <c r="D16" s="281"/>
      <c r="E16" s="260" t="s">
        <v>166</v>
      </c>
      <c r="F16" s="254">
        <f>IF(test="OK",(pret*tauxinteret/100)/(12*(1-POWER(1+((tauxinteret/100)/12),-dureepret))),"")</f>
        <v>41498.138764222538</v>
      </c>
      <c r="G16" s="282" t="s">
        <v>167</v>
      </c>
      <c r="H16" s="265"/>
      <c r="I16" s="265"/>
    </row>
    <row r="17" spans="2:10" ht="6" customHeight="1" x14ac:dyDescent="0.25">
      <c r="B17" s="256"/>
      <c r="D17" s="281"/>
      <c r="E17" s="276"/>
      <c r="F17" s="255"/>
      <c r="G17" s="283"/>
      <c r="H17" s="265"/>
      <c r="I17" s="265"/>
    </row>
    <row r="18" spans="2:10" x14ac:dyDescent="0.25">
      <c r="B18" s="256"/>
      <c r="D18" s="281"/>
      <c r="E18" s="260" t="s">
        <v>168</v>
      </c>
      <c r="F18" s="254">
        <f>IF(test="OK",pret*tauxassurance/100/12,"")</f>
        <v>1788.8371156422374</v>
      </c>
      <c r="G18" s="282" t="s">
        <v>167</v>
      </c>
      <c r="H18" s="265"/>
      <c r="I18" s="265"/>
    </row>
    <row r="19" spans="2:10" ht="6" customHeight="1" x14ac:dyDescent="0.25">
      <c r="B19" s="256"/>
      <c r="D19" s="281"/>
      <c r="E19" s="260"/>
      <c r="F19" s="254"/>
      <c r="G19" s="282"/>
    </row>
    <row r="20" spans="2:10" x14ac:dyDescent="0.25">
      <c r="B20" s="256"/>
      <c r="D20" s="281"/>
      <c r="E20" s="298" t="s">
        <v>169</v>
      </c>
      <c r="F20" s="299">
        <f>IF(test="OK",mensualitehorsassurance+mensualiteassurance,"")</f>
        <v>43286.975879864774</v>
      </c>
      <c r="G20" s="300" t="s">
        <v>167</v>
      </c>
    </row>
    <row r="21" spans="2:10" x14ac:dyDescent="0.25">
      <c r="B21" s="256"/>
      <c r="D21" s="281"/>
      <c r="E21" s="276"/>
      <c r="F21" s="255"/>
      <c r="G21" s="283"/>
    </row>
    <row r="22" spans="2:10" x14ac:dyDescent="0.25">
      <c r="B22" s="256"/>
      <c r="D22" s="281"/>
      <c r="E22" s="260" t="s">
        <v>170</v>
      </c>
      <c r="F22" s="254">
        <f>IF(test="OK",pret*(((tauxinteret*0.01*dureepret)/(12*(1-POWER(1+(tauxinteret/100)/12,-dureepret))))-1),"")</f>
        <v>2804204.8408444598</v>
      </c>
      <c r="G22" s="282" t="s">
        <v>171</v>
      </c>
    </row>
    <row r="23" spans="2:10" ht="6" customHeight="1" x14ac:dyDescent="0.25">
      <c r="B23" s="256"/>
      <c r="D23" s="281"/>
      <c r="E23" s="276"/>
      <c r="F23" s="255"/>
      <c r="G23" s="283"/>
    </row>
    <row r="24" spans="2:10" x14ac:dyDescent="0.25">
      <c r="B24" s="256"/>
      <c r="D24" s="281"/>
      <c r="E24" s="260" t="s">
        <v>172</v>
      </c>
      <c r="F24" s="254">
        <f>IF(test="OK",pret*tauxassurance*0.01*dureepret/12,"")</f>
        <v>429320.90775413701</v>
      </c>
      <c r="G24" s="282" t="s">
        <v>171</v>
      </c>
    </row>
    <row r="25" spans="2:10" ht="6" customHeight="1" x14ac:dyDescent="0.25">
      <c r="B25" s="256"/>
      <c r="D25" s="281"/>
      <c r="E25" s="260"/>
      <c r="F25" s="254"/>
      <c r="G25" s="282"/>
    </row>
    <row r="26" spans="2:10" x14ac:dyDescent="0.25">
      <c r="B26" s="256"/>
      <c r="D26" s="281"/>
      <c r="E26" s="298" t="s">
        <v>173</v>
      </c>
      <c r="F26" s="299">
        <f>IF(test="OK",coutinterets+coutassurance,"")</f>
        <v>3233525.748598597</v>
      </c>
      <c r="G26" s="300" t="s">
        <v>171</v>
      </c>
    </row>
    <row r="27" spans="2:10" ht="6" customHeight="1" x14ac:dyDescent="0.25">
      <c r="B27" s="256"/>
      <c r="D27" s="284"/>
      <c r="E27" s="285"/>
      <c r="F27" s="286"/>
      <c r="G27" s="287"/>
    </row>
    <row r="28" spans="2:10" ht="12.75" customHeight="1" x14ac:dyDescent="0.25">
      <c r="C28" s="288"/>
      <c r="D28" s="256"/>
      <c r="E28" s="256"/>
    </row>
    <row r="29" spans="2:10" s="292" customFormat="1" ht="27" customHeight="1" x14ac:dyDescent="0.25">
      <c r="B29" s="289" t="s">
        <v>109</v>
      </c>
      <c r="C29" s="289" t="s">
        <v>174</v>
      </c>
      <c r="D29" s="290" t="s">
        <v>175</v>
      </c>
      <c r="E29" s="290" t="s">
        <v>176</v>
      </c>
      <c r="F29" s="291" t="s">
        <v>177</v>
      </c>
      <c r="G29" s="290" t="s">
        <v>178</v>
      </c>
      <c r="H29" s="290" t="s">
        <v>179</v>
      </c>
      <c r="I29" s="290" t="s">
        <v>180</v>
      </c>
    </row>
    <row r="30" spans="2:10" s="297" customFormat="1" ht="10.5" customHeight="1" x14ac:dyDescent="0.2">
      <c r="B30" s="293">
        <f>IF(test="OK",1,"")</f>
        <v>1</v>
      </c>
      <c r="C30" s="294">
        <f>IF(B30&lt;&gt;"",DATE(G5,K5,1),"")</f>
        <v>42005</v>
      </c>
      <c r="D30" s="295">
        <f t="shared" ref="D30:D93" si="0">IF(B30&lt;&gt;"",mensualitehorsassurance,"")</f>
        <v>41498.138764222538</v>
      </c>
      <c r="E30" s="295">
        <f t="shared" ref="E30:E93" si="1">IF(B30&lt;&gt;"",mensualiteassurance,"")</f>
        <v>1788.8371156422374</v>
      </c>
      <c r="F30" s="295">
        <f>IF(B30&lt;&gt;"",pret*tauxinteret/100/12,"")</f>
        <v>20869.766349159439</v>
      </c>
      <c r="G30" s="295">
        <f>IF(D30&lt;&gt;"",F30,"")</f>
        <v>20869.766349159439</v>
      </c>
      <c r="H30" s="295">
        <f>IF(E30&lt;&gt;"",D30-F30,"")</f>
        <v>20628.372415063099</v>
      </c>
      <c r="I30" s="295">
        <f t="shared" ref="I30:I93" si="2">IF(F30&lt;&gt;"",pret-H30,"")</f>
        <v>7134720.0901538879</v>
      </c>
      <c r="J30" s="296"/>
    </row>
    <row r="31" spans="2:10" s="297" customFormat="1" ht="10.5" customHeight="1" x14ac:dyDescent="0.2">
      <c r="B31" s="293">
        <f t="shared" ref="B31:B94" si="3">IF(test="OK",IF(B30&lt;dureepret,B30+1,""),"")</f>
        <v>2</v>
      </c>
      <c r="C31" s="294">
        <f t="shared" ref="C31:C94" si="4">IF(B31&lt;&gt;"",DATE(YEAR(C30),MONTH(C30)+1,DAY(C30)),"")</f>
        <v>42036</v>
      </c>
      <c r="D31" s="295">
        <f t="shared" si="0"/>
        <v>41498.138764222538</v>
      </c>
      <c r="E31" s="295">
        <f t="shared" si="1"/>
        <v>1788.8371156422374</v>
      </c>
      <c r="F31" s="295">
        <f t="shared" ref="F31:F94" si="5">IF(B31&lt;&gt;"",I30*tauxinteret/100/12,"")</f>
        <v>20809.600262948839</v>
      </c>
      <c r="G31" s="295">
        <f t="shared" ref="G31:G94" si="6">IF(D31&lt;&gt;"",G30+F31,"")</f>
        <v>41679.366612108279</v>
      </c>
      <c r="H31" s="295">
        <f t="shared" ref="H31:H94" si="7">IF(E31&lt;&gt;"",D31-F31+H30,"")</f>
        <v>41316.910916336798</v>
      </c>
      <c r="I31" s="295">
        <f t="shared" si="2"/>
        <v>7114031.551652614</v>
      </c>
      <c r="J31" s="296"/>
    </row>
    <row r="32" spans="2:10" s="297" customFormat="1" ht="10.5" customHeight="1" x14ac:dyDescent="0.2">
      <c r="B32" s="293">
        <f t="shared" si="3"/>
        <v>3</v>
      </c>
      <c r="C32" s="294">
        <f t="shared" si="4"/>
        <v>42064</v>
      </c>
      <c r="D32" s="295">
        <f t="shared" si="0"/>
        <v>41498.138764222538</v>
      </c>
      <c r="E32" s="295">
        <f t="shared" si="1"/>
        <v>1788.8371156422374</v>
      </c>
      <c r="F32" s="295">
        <f t="shared" si="5"/>
        <v>20749.258692320127</v>
      </c>
      <c r="G32" s="295">
        <f t="shared" si="6"/>
        <v>62428.625304428409</v>
      </c>
      <c r="H32" s="295">
        <f t="shared" si="7"/>
        <v>62065.790988239212</v>
      </c>
      <c r="I32" s="295">
        <f t="shared" si="2"/>
        <v>7093282.6715807114</v>
      </c>
    </row>
    <row r="33" spans="2:9" s="297" customFormat="1" ht="10.5" customHeight="1" x14ac:dyDescent="0.2">
      <c r="B33" s="293">
        <f t="shared" si="3"/>
        <v>4</v>
      </c>
      <c r="C33" s="294">
        <f t="shared" si="4"/>
        <v>42095</v>
      </c>
      <c r="D33" s="295">
        <f t="shared" si="0"/>
        <v>41498.138764222538</v>
      </c>
      <c r="E33" s="295">
        <f t="shared" si="1"/>
        <v>1788.8371156422374</v>
      </c>
      <c r="F33" s="295">
        <f t="shared" si="5"/>
        <v>20688.741125443743</v>
      </c>
      <c r="G33" s="295">
        <f t="shared" si="6"/>
        <v>83117.366429872156</v>
      </c>
      <c r="H33" s="295">
        <f t="shared" si="7"/>
        <v>82875.188627018011</v>
      </c>
      <c r="I33" s="295">
        <f t="shared" si="2"/>
        <v>7072473.2739419332</v>
      </c>
    </row>
    <row r="34" spans="2:9" s="297" customFormat="1" ht="10.5" customHeight="1" x14ac:dyDescent="0.2">
      <c r="B34" s="293">
        <f t="shared" si="3"/>
        <v>5</v>
      </c>
      <c r="C34" s="294">
        <f t="shared" si="4"/>
        <v>42125</v>
      </c>
      <c r="D34" s="295">
        <f t="shared" si="0"/>
        <v>41498.138764222538</v>
      </c>
      <c r="E34" s="295">
        <f t="shared" si="1"/>
        <v>1788.8371156422374</v>
      </c>
      <c r="F34" s="295">
        <f t="shared" si="5"/>
        <v>20628.047048997305</v>
      </c>
      <c r="G34" s="295">
        <f t="shared" si="6"/>
        <v>103745.41347886946</v>
      </c>
      <c r="H34" s="295">
        <f t="shared" si="7"/>
        <v>103745.28034224325</v>
      </c>
      <c r="I34" s="295">
        <f t="shared" si="2"/>
        <v>7051603.1822267072</v>
      </c>
    </row>
    <row r="35" spans="2:9" s="297" customFormat="1" ht="10.5" customHeight="1" x14ac:dyDescent="0.2">
      <c r="B35" s="293">
        <f t="shared" si="3"/>
        <v>6</v>
      </c>
      <c r="C35" s="294">
        <f t="shared" si="4"/>
        <v>42156</v>
      </c>
      <c r="D35" s="295">
        <f t="shared" si="0"/>
        <v>41498.138764222538</v>
      </c>
      <c r="E35" s="295">
        <f t="shared" si="1"/>
        <v>1788.8371156422374</v>
      </c>
      <c r="F35" s="295">
        <f t="shared" si="5"/>
        <v>20567.175948161228</v>
      </c>
      <c r="G35" s="295">
        <f t="shared" si="6"/>
        <v>124312.58942703069</v>
      </c>
      <c r="H35" s="295">
        <f t="shared" si="7"/>
        <v>124676.24315830455</v>
      </c>
      <c r="I35" s="295">
        <f t="shared" si="2"/>
        <v>7030672.2194106467</v>
      </c>
    </row>
    <row r="36" spans="2:9" s="297" customFormat="1" ht="10.5" customHeight="1" x14ac:dyDescent="0.2">
      <c r="B36" s="293">
        <f t="shared" si="3"/>
        <v>7</v>
      </c>
      <c r="C36" s="294">
        <f t="shared" si="4"/>
        <v>42186</v>
      </c>
      <c r="D36" s="295">
        <f t="shared" si="0"/>
        <v>41498.138764222538</v>
      </c>
      <c r="E36" s="295">
        <f t="shared" si="1"/>
        <v>1788.8371156422374</v>
      </c>
      <c r="F36" s="295">
        <f t="shared" si="5"/>
        <v>20506.127306614388</v>
      </c>
      <c r="G36" s="295">
        <f t="shared" si="6"/>
        <v>144818.71673364507</v>
      </c>
      <c r="H36" s="295">
        <f t="shared" si="7"/>
        <v>145668.25461591271</v>
      </c>
      <c r="I36" s="295">
        <f t="shared" si="2"/>
        <v>7009680.2079530377</v>
      </c>
    </row>
    <row r="37" spans="2:9" s="297" customFormat="1" ht="10.5" customHeight="1" x14ac:dyDescent="0.2">
      <c r="B37" s="293">
        <f t="shared" si="3"/>
        <v>8</v>
      </c>
      <c r="C37" s="294">
        <f t="shared" si="4"/>
        <v>42217</v>
      </c>
      <c r="D37" s="295">
        <f t="shared" si="0"/>
        <v>41498.138764222538</v>
      </c>
      <c r="E37" s="295">
        <f t="shared" si="1"/>
        <v>1788.8371156422374</v>
      </c>
      <c r="F37" s="295">
        <f t="shared" si="5"/>
        <v>20444.900606529696</v>
      </c>
      <c r="G37" s="295">
        <f t="shared" si="6"/>
        <v>165263.61734017477</v>
      </c>
      <c r="H37" s="295">
        <f t="shared" si="7"/>
        <v>166721.49277360554</v>
      </c>
      <c r="I37" s="295">
        <f t="shared" si="2"/>
        <v>6988626.9697953453</v>
      </c>
    </row>
    <row r="38" spans="2:9" s="297" customFormat="1" ht="10.5" customHeight="1" x14ac:dyDescent="0.2">
      <c r="B38" s="293">
        <f t="shared" si="3"/>
        <v>9</v>
      </c>
      <c r="C38" s="294">
        <f t="shared" si="4"/>
        <v>42248</v>
      </c>
      <c r="D38" s="295">
        <f t="shared" si="0"/>
        <v>41498.138764222538</v>
      </c>
      <c r="E38" s="295">
        <f t="shared" si="1"/>
        <v>1788.8371156422374</v>
      </c>
      <c r="F38" s="295">
        <f t="shared" si="5"/>
        <v>20383.495328569756</v>
      </c>
      <c r="G38" s="295">
        <f t="shared" si="6"/>
        <v>185647.11266874452</v>
      </c>
      <c r="H38" s="295">
        <f t="shared" si="7"/>
        <v>187836.13620925831</v>
      </c>
      <c r="I38" s="295">
        <f t="shared" si="2"/>
        <v>6967512.326359693</v>
      </c>
    </row>
    <row r="39" spans="2:9" s="297" customFormat="1" ht="10.5" customHeight="1" x14ac:dyDescent="0.2">
      <c r="B39" s="293">
        <f t="shared" si="3"/>
        <v>10</v>
      </c>
      <c r="C39" s="294">
        <f t="shared" si="4"/>
        <v>42278</v>
      </c>
      <c r="D39" s="295">
        <f t="shared" si="0"/>
        <v>41498.138764222538</v>
      </c>
      <c r="E39" s="295">
        <f t="shared" si="1"/>
        <v>1788.8371156422374</v>
      </c>
      <c r="F39" s="295">
        <f t="shared" si="5"/>
        <v>20321.910951882437</v>
      </c>
      <c r="G39" s="295">
        <f t="shared" si="6"/>
        <v>205969.02362062695</v>
      </c>
      <c r="H39" s="295">
        <f t="shared" si="7"/>
        <v>209012.36402159842</v>
      </c>
      <c r="I39" s="295">
        <f t="shared" si="2"/>
        <v>6946336.0985473525</v>
      </c>
    </row>
    <row r="40" spans="2:9" s="297" customFormat="1" ht="10.5" customHeight="1" x14ac:dyDescent="0.2">
      <c r="B40" s="293">
        <f t="shared" si="3"/>
        <v>11</v>
      </c>
      <c r="C40" s="294">
        <f t="shared" si="4"/>
        <v>42309</v>
      </c>
      <c r="D40" s="295">
        <f t="shared" si="0"/>
        <v>41498.138764222538</v>
      </c>
      <c r="E40" s="295">
        <f t="shared" si="1"/>
        <v>1788.8371156422374</v>
      </c>
      <c r="F40" s="295">
        <f t="shared" si="5"/>
        <v>20260.146954096443</v>
      </c>
      <c r="G40" s="295">
        <f t="shared" si="6"/>
        <v>226229.17057472339</v>
      </c>
      <c r="H40" s="295">
        <f t="shared" si="7"/>
        <v>230250.3558317245</v>
      </c>
      <c r="I40" s="295">
        <f t="shared" si="2"/>
        <v>6925098.1067372262</v>
      </c>
    </row>
    <row r="41" spans="2:9" s="297" customFormat="1" ht="10.5" customHeight="1" x14ac:dyDescent="0.2">
      <c r="B41" s="293">
        <f t="shared" si="3"/>
        <v>12</v>
      </c>
      <c r="C41" s="294">
        <f t="shared" si="4"/>
        <v>42339</v>
      </c>
      <c r="D41" s="295">
        <f t="shared" si="0"/>
        <v>41498.138764222538</v>
      </c>
      <c r="E41" s="295">
        <f t="shared" si="1"/>
        <v>1788.8371156422374</v>
      </c>
      <c r="F41" s="295">
        <f t="shared" si="5"/>
        <v>20198.202811316911</v>
      </c>
      <c r="G41" s="295">
        <f t="shared" si="6"/>
        <v>246427.3733860403</v>
      </c>
      <c r="H41" s="295">
        <f t="shared" si="7"/>
        <v>251550.29178463013</v>
      </c>
      <c r="I41" s="295">
        <f t="shared" si="2"/>
        <v>6903798.1707843207</v>
      </c>
    </row>
    <row r="42" spans="2:9" s="297" customFormat="1" ht="10.5" customHeight="1" x14ac:dyDescent="0.2">
      <c r="B42" s="293">
        <f t="shared" si="3"/>
        <v>13</v>
      </c>
      <c r="C42" s="294">
        <f t="shared" si="4"/>
        <v>42370</v>
      </c>
      <c r="D42" s="295">
        <f t="shared" si="0"/>
        <v>41498.138764222538</v>
      </c>
      <c r="E42" s="295">
        <f t="shared" si="1"/>
        <v>1788.8371156422374</v>
      </c>
      <c r="F42" s="295">
        <f t="shared" si="5"/>
        <v>20136.077998120934</v>
      </c>
      <c r="G42" s="295">
        <f t="shared" si="6"/>
        <v>266563.45138416125</v>
      </c>
      <c r="H42" s="295">
        <f t="shared" si="7"/>
        <v>272912.35255073174</v>
      </c>
      <c r="I42" s="295">
        <f t="shared" si="2"/>
        <v>6882436.1100182189</v>
      </c>
    </row>
    <row r="43" spans="2:9" s="297" customFormat="1" ht="10.5" customHeight="1" x14ac:dyDescent="0.2">
      <c r="B43" s="293">
        <f t="shared" si="3"/>
        <v>14</v>
      </c>
      <c r="C43" s="294">
        <f t="shared" si="4"/>
        <v>42401</v>
      </c>
      <c r="D43" s="295">
        <f t="shared" si="0"/>
        <v>41498.138764222538</v>
      </c>
      <c r="E43" s="295">
        <f t="shared" si="1"/>
        <v>1788.8371156422374</v>
      </c>
      <c r="F43" s="295">
        <f t="shared" si="5"/>
        <v>20073.77198755314</v>
      </c>
      <c r="G43" s="295">
        <f t="shared" si="6"/>
        <v>286637.22337171441</v>
      </c>
      <c r="H43" s="295">
        <f t="shared" si="7"/>
        <v>294336.71932740114</v>
      </c>
      <c r="I43" s="295">
        <f t="shared" si="2"/>
        <v>6861011.7432415495</v>
      </c>
    </row>
    <row r="44" spans="2:9" s="297" customFormat="1" ht="10.5" customHeight="1" x14ac:dyDescent="0.2">
      <c r="B44" s="293">
        <f t="shared" si="3"/>
        <v>15</v>
      </c>
      <c r="C44" s="294">
        <f t="shared" si="4"/>
        <v>42430</v>
      </c>
      <c r="D44" s="295">
        <f t="shared" si="0"/>
        <v>41498.138764222538</v>
      </c>
      <c r="E44" s="295">
        <f t="shared" si="1"/>
        <v>1788.8371156422374</v>
      </c>
      <c r="F44" s="295">
        <f t="shared" si="5"/>
        <v>20011.284251121186</v>
      </c>
      <c r="G44" s="295">
        <f t="shared" si="6"/>
        <v>306648.50762283558</v>
      </c>
      <c r="H44" s="295">
        <f t="shared" si="7"/>
        <v>315823.57384050247</v>
      </c>
      <c r="I44" s="295">
        <f t="shared" si="2"/>
        <v>6839524.8887284482</v>
      </c>
    </row>
    <row r="45" spans="2:9" s="297" customFormat="1" ht="10.5" customHeight="1" x14ac:dyDescent="0.2">
      <c r="B45" s="293">
        <f t="shared" si="3"/>
        <v>16</v>
      </c>
      <c r="C45" s="294">
        <f t="shared" si="4"/>
        <v>42461</v>
      </c>
      <c r="D45" s="295">
        <f t="shared" si="0"/>
        <v>41498.138764222538</v>
      </c>
      <c r="E45" s="295">
        <f t="shared" si="1"/>
        <v>1788.8371156422374</v>
      </c>
      <c r="F45" s="295">
        <f t="shared" si="5"/>
        <v>19948.614258791309</v>
      </c>
      <c r="G45" s="295">
        <f t="shared" si="6"/>
        <v>326597.1218816269</v>
      </c>
      <c r="H45" s="295">
        <f t="shared" si="7"/>
        <v>337373.09834593371</v>
      </c>
      <c r="I45" s="295">
        <f t="shared" si="2"/>
        <v>6817975.3642230174</v>
      </c>
    </row>
    <row r="46" spans="2:9" s="297" customFormat="1" ht="10.5" customHeight="1" x14ac:dyDescent="0.2">
      <c r="B46" s="293">
        <f t="shared" si="3"/>
        <v>17</v>
      </c>
      <c r="C46" s="294">
        <f t="shared" si="4"/>
        <v>42491</v>
      </c>
      <c r="D46" s="295">
        <f t="shared" si="0"/>
        <v>41498.138764222538</v>
      </c>
      <c r="E46" s="295">
        <f t="shared" si="1"/>
        <v>1788.8371156422374</v>
      </c>
      <c r="F46" s="295">
        <f t="shared" si="5"/>
        <v>19885.761478983801</v>
      </c>
      <c r="G46" s="295">
        <f t="shared" si="6"/>
        <v>346482.88336061069</v>
      </c>
      <c r="H46" s="295">
        <f t="shared" si="7"/>
        <v>358985.47563117248</v>
      </c>
      <c r="I46" s="295">
        <f t="shared" si="2"/>
        <v>6796362.9869377781</v>
      </c>
    </row>
    <row r="47" spans="2:9" s="297" customFormat="1" ht="10.5" customHeight="1" x14ac:dyDescent="0.2">
      <c r="B47" s="293">
        <f t="shared" si="3"/>
        <v>18</v>
      </c>
      <c r="C47" s="294">
        <f t="shared" si="4"/>
        <v>42522</v>
      </c>
      <c r="D47" s="295">
        <f t="shared" si="0"/>
        <v>41498.138764222538</v>
      </c>
      <c r="E47" s="295">
        <f t="shared" si="1"/>
        <v>1788.8371156422374</v>
      </c>
      <c r="F47" s="295">
        <f t="shared" si="5"/>
        <v>19822.725378568521</v>
      </c>
      <c r="G47" s="295">
        <f t="shared" si="6"/>
        <v>366305.60873917921</v>
      </c>
      <c r="H47" s="295">
        <f t="shared" si="7"/>
        <v>380660.88901682652</v>
      </c>
      <c r="I47" s="295">
        <f t="shared" si="2"/>
        <v>6774687.5735521242</v>
      </c>
    </row>
    <row r="48" spans="2:9" s="297" customFormat="1" ht="10.5" customHeight="1" x14ac:dyDescent="0.2">
      <c r="B48" s="293">
        <f t="shared" si="3"/>
        <v>19</v>
      </c>
      <c r="C48" s="294">
        <f t="shared" si="4"/>
        <v>42552</v>
      </c>
      <c r="D48" s="295">
        <f t="shared" si="0"/>
        <v>41498.138764222538</v>
      </c>
      <c r="E48" s="295">
        <f t="shared" si="1"/>
        <v>1788.8371156422374</v>
      </c>
      <c r="F48" s="295">
        <f t="shared" si="5"/>
        <v>19759.505422860362</v>
      </c>
      <c r="G48" s="295">
        <f t="shared" si="6"/>
        <v>386065.11416203959</v>
      </c>
      <c r="H48" s="295">
        <f t="shared" si="7"/>
        <v>402399.5223581887</v>
      </c>
      <c r="I48" s="295">
        <f t="shared" si="2"/>
        <v>6752948.9402107624</v>
      </c>
    </row>
    <row r="49" spans="2:9" s="297" customFormat="1" ht="10.5" customHeight="1" x14ac:dyDescent="0.2">
      <c r="B49" s="293">
        <f t="shared" si="3"/>
        <v>20</v>
      </c>
      <c r="C49" s="294">
        <f t="shared" si="4"/>
        <v>42583</v>
      </c>
      <c r="D49" s="295">
        <f t="shared" si="0"/>
        <v>41498.138764222538</v>
      </c>
      <c r="E49" s="295">
        <f t="shared" si="1"/>
        <v>1788.8371156422374</v>
      </c>
      <c r="F49" s="295">
        <f t="shared" si="5"/>
        <v>19696.101075614726</v>
      </c>
      <c r="G49" s="295">
        <f t="shared" si="6"/>
        <v>405761.21523765434</v>
      </c>
      <c r="H49" s="295">
        <f t="shared" si="7"/>
        <v>424201.56004679651</v>
      </c>
      <c r="I49" s="295">
        <f t="shared" si="2"/>
        <v>6731146.9025221542</v>
      </c>
    </row>
    <row r="50" spans="2:9" s="297" customFormat="1" ht="10.5" customHeight="1" x14ac:dyDescent="0.2">
      <c r="B50" s="293">
        <f t="shared" si="3"/>
        <v>21</v>
      </c>
      <c r="C50" s="294">
        <f t="shared" si="4"/>
        <v>42614</v>
      </c>
      <c r="D50" s="295">
        <f t="shared" si="0"/>
        <v>41498.138764222538</v>
      </c>
      <c r="E50" s="295">
        <f t="shared" si="1"/>
        <v>1788.8371156422374</v>
      </c>
      <c r="F50" s="295">
        <f t="shared" si="5"/>
        <v>19632.511799022952</v>
      </c>
      <c r="G50" s="295">
        <f t="shared" si="6"/>
        <v>425393.7270366773</v>
      </c>
      <c r="H50" s="295">
        <f t="shared" si="7"/>
        <v>446067.18701199611</v>
      </c>
      <c r="I50" s="295">
        <f t="shared" si="2"/>
        <v>6709281.2755569546</v>
      </c>
    </row>
    <row r="51" spans="2:9" s="297" customFormat="1" ht="10.5" customHeight="1" x14ac:dyDescent="0.2">
      <c r="B51" s="293">
        <f t="shared" si="3"/>
        <v>22</v>
      </c>
      <c r="C51" s="294">
        <f t="shared" si="4"/>
        <v>42644</v>
      </c>
      <c r="D51" s="295">
        <f t="shared" si="0"/>
        <v>41498.138764222538</v>
      </c>
      <c r="E51" s="295">
        <f t="shared" si="1"/>
        <v>1788.8371156422374</v>
      </c>
      <c r="F51" s="295">
        <f t="shared" si="5"/>
        <v>19568.737053707784</v>
      </c>
      <c r="G51" s="295">
        <f t="shared" si="6"/>
        <v>444962.46409038507</v>
      </c>
      <c r="H51" s="295">
        <f t="shared" si="7"/>
        <v>467996.58872251085</v>
      </c>
      <c r="I51" s="295">
        <f t="shared" si="2"/>
        <v>6687351.8738464396</v>
      </c>
    </row>
    <row r="52" spans="2:9" s="297" customFormat="1" ht="10.5" customHeight="1" x14ac:dyDescent="0.2">
      <c r="B52" s="293">
        <f t="shared" si="3"/>
        <v>23</v>
      </c>
      <c r="C52" s="294">
        <f t="shared" si="4"/>
        <v>42675</v>
      </c>
      <c r="D52" s="295">
        <f t="shared" si="0"/>
        <v>41498.138764222538</v>
      </c>
      <c r="E52" s="295">
        <f t="shared" si="1"/>
        <v>1788.8371156422374</v>
      </c>
      <c r="F52" s="295">
        <f t="shared" si="5"/>
        <v>19504.776298718782</v>
      </c>
      <c r="G52" s="295">
        <f t="shared" si="6"/>
        <v>464467.24038910383</v>
      </c>
      <c r="H52" s="295">
        <f t="shared" si="7"/>
        <v>489989.95118801459</v>
      </c>
      <c r="I52" s="295">
        <f t="shared" si="2"/>
        <v>6665358.511380936</v>
      </c>
    </row>
    <row r="53" spans="2:9" s="297" customFormat="1" ht="10.5" customHeight="1" x14ac:dyDescent="0.2">
      <c r="B53" s="293">
        <f t="shared" si="3"/>
        <v>24</v>
      </c>
      <c r="C53" s="294">
        <f t="shared" si="4"/>
        <v>42705</v>
      </c>
      <c r="D53" s="295">
        <f t="shared" si="0"/>
        <v>41498.138764222538</v>
      </c>
      <c r="E53" s="295">
        <f t="shared" si="1"/>
        <v>1788.8371156422374</v>
      </c>
      <c r="F53" s="295">
        <f t="shared" si="5"/>
        <v>19440.62899152773</v>
      </c>
      <c r="G53" s="295">
        <f t="shared" si="6"/>
        <v>483907.86938063154</v>
      </c>
      <c r="H53" s="295">
        <f t="shared" si="7"/>
        <v>512047.46096070937</v>
      </c>
      <c r="I53" s="295">
        <f t="shared" si="2"/>
        <v>6643301.0016082413</v>
      </c>
    </row>
    <row r="54" spans="2:9" s="297" customFormat="1" ht="10.5" customHeight="1" x14ac:dyDescent="0.2">
      <c r="B54" s="293">
        <f t="shared" si="3"/>
        <v>25</v>
      </c>
      <c r="C54" s="294">
        <f t="shared" si="4"/>
        <v>42736</v>
      </c>
      <c r="D54" s="295">
        <f t="shared" si="0"/>
        <v>41498.138764222538</v>
      </c>
      <c r="E54" s="295">
        <f t="shared" si="1"/>
        <v>1788.8371156422374</v>
      </c>
      <c r="F54" s="295">
        <f t="shared" si="5"/>
        <v>19376.29458802404</v>
      </c>
      <c r="G54" s="295">
        <f t="shared" si="6"/>
        <v>503284.16396865557</v>
      </c>
      <c r="H54" s="295">
        <f t="shared" si="7"/>
        <v>534169.30513690785</v>
      </c>
      <c r="I54" s="295">
        <f t="shared" si="2"/>
        <v>6621179.157432043</v>
      </c>
    </row>
    <row r="55" spans="2:9" s="297" customFormat="1" ht="10.5" customHeight="1" x14ac:dyDescent="0.2">
      <c r="B55" s="293">
        <f t="shared" si="3"/>
        <v>26</v>
      </c>
      <c r="C55" s="294">
        <f t="shared" si="4"/>
        <v>42767</v>
      </c>
      <c r="D55" s="295">
        <f t="shared" si="0"/>
        <v>41498.138764222538</v>
      </c>
      <c r="E55" s="295">
        <f t="shared" si="1"/>
        <v>1788.8371156422374</v>
      </c>
      <c r="F55" s="295">
        <f t="shared" si="5"/>
        <v>19311.772542510127</v>
      </c>
      <c r="G55" s="295">
        <f t="shared" si="6"/>
        <v>522595.9365111657</v>
      </c>
      <c r="H55" s="295">
        <f t="shared" si="7"/>
        <v>556355.67135862028</v>
      </c>
      <c r="I55" s="295">
        <f t="shared" si="2"/>
        <v>6598992.791210331</v>
      </c>
    </row>
    <row r="56" spans="2:9" s="297" customFormat="1" ht="10.5" customHeight="1" x14ac:dyDescent="0.2">
      <c r="B56" s="293">
        <f t="shared" si="3"/>
        <v>27</v>
      </c>
      <c r="C56" s="294">
        <f t="shared" si="4"/>
        <v>42795</v>
      </c>
      <c r="D56" s="295">
        <f t="shared" si="0"/>
        <v>41498.138764222538</v>
      </c>
      <c r="E56" s="295">
        <f t="shared" si="1"/>
        <v>1788.8371156422374</v>
      </c>
      <c r="F56" s="295">
        <f t="shared" si="5"/>
        <v>19247.0623076968</v>
      </c>
      <c r="G56" s="295">
        <f t="shared" si="6"/>
        <v>541842.99881886248</v>
      </c>
      <c r="H56" s="295">
        <f t="shared" si="7"/>
        <v>578606.74781514599</v>
      </c>
      <c r="I56" s="295">
        <f t="shared" si="2"/>
        <v>6576741.7147538047</v>
      </c>
    </row>
    <row r="57" spans="2:9" s="297" customFormat="1" ht="10.5" customHeight="1" x14ac:dyDescent="0.2">
      <c r="B57" s="293">
        <f t="shared" si="3"/>
        <v>28</v>
      </c>
      <c r="C57" s="294">
        <f t="shared" si="4"/>
        <v>42826</v>
      </c>
      <c r="D57" s="295">
        <f t="shared" si="0"/>
        <v>41498.138764222538</v>
      </c>
      <c r="E57" s="295">
        <f t="shared" si="1"/>
        <v>1788.8371156422374</v>
      </c>
      <c r="F57" s="295">
        <f t="shared" si="5"/>
        <v>19182.163334698595</v>
      </c>
      <c r="G57" s="295">
        <f t="shared" si="6"/>
        <v>561025.16215356113</v>
      </c>
      <c r="H57" s="295">
        <f t="shared" si="7"/>
        <v>600922.72324466996</v>
      </c>
      <c r="I57" s="295">
        <f t="shared" si="2"/>
        <v>6554425.739324281</v>
      </c>
    </row>
    <row r="58" spans="2:9" s="297" customFormat="1" ht="10.5" customHeight="1" x14ac:dyDescent="0.2">
      <c r="B58" s="293">
        <f t="shared" si="3"/>
        <v>29</v>
      </c>
      <c r="C58" s="294">
        <f t="shared" si="4"/>
        <v>42856</v>
      </c>
      <c r="D58" s="295">
        <f t="shared" si="0"/>
        <v>41498.138764222538</v>
      </c>
      <c r="E58" s="295">
        <f t="shared" si="1"/>
        <v>1788.8371156422374</v>
      </c>
      <c r="F58" s="295">
        <f t="shared" si="5"/>
        <v>19117.075073029155</v>
      </c>
      <c r="G58" s="295">
        <f t="shared" si="6"/>
        <v>580142.23722659028</v>
      </c>
      <c r="H58" s="295">
        <f t="shared" si="7"/>
        <v>623303.78693586332</v>
      </c>
      <c r="I58" s="295">
        <f t="shared" si="2"/>
        <v>6532044.6756330878</v>
      </c>
    </row>
    <row r="59" spans="2:9" s="297" customFormat="1" ht="10.5" customHeight="1" x14ac:dyDescent="0.2">
      <c r="B59" s="293">
        <f t="shared" si="3"/>
        <v>30</v>
      </c>
      <c r="C59" s="294">
        <f t="shared" si="4"/>
        <v>42887</v>
      </c>
      <c r="D59" s="295">
        <f t="shared" si="0"/>
        <v>41498.138764222538</v>
      </c>
      <c r="E59" s="295">
        <f t="shared" si="1"/>
        <v>1788.8371156422374</v>
      </c>
      <c r="F59" s="295">
        <f t="shared" si="5"/>
        <v>19051.796970596504</v>
      </c>
      <c r="G59" s="295">
        <f t="shared" si="6"/>
        <v>599194.03419718682</v>
      </c>
      <c r="H59" s="295">
        <f t="shared" si="7"/>
        <v>645750.1287294894</v>
      </c>
      <c r="I59" s="295">
        <f t="shared" si="2"/>
        <v>6509598.3338394612</v>
      </c>
    </row>
    <row r="60" spans="2:9" s="297" customFormat="1" ht="10.5" customHeight="1" x14ac:dyDescent="0.2">
      <c r="B60" s="293">
        <f t="shared" si="3"/>
        <v>31</v>
      </c>
      <c r="C60" s="294">
        <f t="shared" si="4"/>
        <v>42917</v>
      </c>
      <c r="D60" s="295">
        <f t="shared" si="0"/>
        <v>41498.138764222538</v>
      </c>
      <c r="E60" s="295">
        <f t="shared" si="1"/>
        <v>1788.8371156422374</v>
      </c>
      <c r="F60" s="295">
        <f t="shared" si="5"/>
        <v>18986.328473698428</v>
      </c>
      <c r="G60" s="295">
        <f t="shared" si="6"/>
        <v>618180.36267088528</v>
      </c>
      <c r="H60" s="295">
        <f t="shared" si="7"/>
        <v>668261.93902001355</v>
      </c>
      <c r="I60" s="295">
        <f t="shared" si="2"/>
        <v>6487086.5235489374</v>
      </c>
    </row>
    <row r="61" spans="2:9" s="297" customFormat="1" ht="10.5" customHeight="1" x14ac:dyDescent="0.2">
      <c r="B61" s="293">
        <f t="shared" si="3"/>
        <v>32</v>
      </c>
      <c r="C61" s="294">
        <f t="shared" si="4"/>
        <v>42948</v>
      </c>
      <c r="D61" s="295">
        <f t="shared" si="0"/>
        <v>41498.138764222538</v>
      </c>
      <c r="E61" s="295">
        <f t="shared" si="1"/>
        <v>1788.8371156422374</v>
      </c>
      <c r="F61" s="295">
        <f t="shared" si="5"/>
        <v>18920.669027017731</v>
      </c>
      <c r="G61" s="295">
        <f t="shared" si="6"/>
        <v>637101.03169790306</v>
      </c>
      <c r="H61" s="295">
        <f t="shared" si="7"/>
        <v>690839.40875721839</v>
      </c>
      <c r="I61" s="295">
        <f t="shared" si="2"/>
        <v>6464509.0538117327</v>
      </c>
    </row>
    <row r="62" spans="2:9" s="297" customFormat="1" ht="10.5" customHeight="1" x14ac:dyDescent="0.2">
      <c r="B62" s="293">
        <f t="shared" si="3"/>
        <v>33</v>
      </c>
      <c r="C62" s="294">
        <f t="shared" si="4"/>
        <v>42979</v>
      </c>
      <c r="D62" s="295">
        <f t="shared" si="0"/>
        <v>41498.138764222538</v>
      </c>
      <c r="E62" s="295">
        <f t="shared" si="1"/>
        <v>1788.8371156422374</v>
      </c>
      <c r="F62" s="295">
        <f t="shared" si="5"/>
        <v>18854.818073617556</v>
      </c>
      <c r="G62" s="295">
        <f t="shared" si="6"/>
        <v>655955.84977152059</v>
      </c>
      <c r="H62" s="295">
        <f t="shared" si="7"/>
        <v>713482.72944782337</v>
      </c>
      <c r="I62" s="295">
        <f t="shared" si="2"/>
        <v>6441865.7331211278</v>
      </c>
    </row>
    <row r="63" spans="2:9" s="297" customFormat="1" ht="10.5" customHeight="1" x14ac:dyDescent="0.2">
      <c r="B63" s="293">
        <f t="shared" si="3"/>
        <v>34</v>
      </c>
      <c r="C63" s="294">
        <f t="shared" si="4"/>
        <v>43009</v>
      </c>
      <c r="D63" s="295">
        <f t="shared" si="0"/>
        <v>41498.138764222538</v>
      </c>
      <c r="E63" s="295">
        <f t="shared" si="1"/>
        <v>1788.8371156422374</v>
      </c>
      <c r="F63" s="295">
        <f t="shared" si="5"/>
        <v>18788.775054936621</v>
      </c>
      <c r="G63" s="295">
        <f t="shared" si="6"/>
        <v>674744.62482645724</v>
      </c>
      <c r="H63" s="295">
        <f t="shared" si="7"/>
        <v>736192.09315710934</v>
      </c>
      <c r="I63" s="295">
        <f t="shared" si="2"/>
        <v>6419156.369411841</v>
      </c>
    </row>
    <row r="64" spans="2:9" s="297" customFormat="1" ht="10.5" customHeight="1" x14ac:dyDescent="0.2">
      <c r="B64" s="293">
        <f t="shared" si="3"/>
        <v>35</v>
      </c>
      <c r="C64" s="294">
        <f t="shared" si="4"/>
        <v>43040</v>
      </c>
      <c r="D64" s="295">
        <f t="shared" si="0"/>
        <v>41498.138764222538</v>
      </c>
      <c r="E64" s="295">
        <f t="shared" si="1"/>
        <v>1788.8371156422374</v>
      </c>
      <c r="F64" s="295">
        <f t="shared" si="5"/>
        <v>18722.539410784539</v>
      </c>
      <c r="G64" s="295">
        <f t="shared" si="6"/>
        <v>693467.16423724173</v>
      </c>
      <c r="H64" s="295">
        <f t="shared" si="7"/>
        <v>758967.69251054735</v>
      </c>
      <c r="I64" s="295">
        <f t="shared" si="2"/>
        <v>6396380.7700584037</v>
      </c>
    </row>
    <row r="65" spans="2:9" s="297" customFormat="1" ht="10.5" customHeight="1" x14ac:dyDescent="0.2">
      <c r="B65" s="293">
        <f t="shared" si="3"/>
        <v>36</v>
      </c>
      <c r="C65" s="294">
        <f t="shared" si="4"/>
        <v>43070</v>
      </c>
      <c r="D65" s="295">
        <f t="shared" si="0"/>
        <v>41498.138764222538</v>
      </c>
      <c r="E65" s="295">
        <f t="shared" si="1"/>
        <v>1788.8371156422374</v>
      </c>
      <c r="F65" s="295">
        <f t="shared" si="5"/>
        <v>18656.110579337012</v>
      </c>
      <c r="G65" s="295">
        <f t="shared" si="6"/>
        <v>712123.27481657872</v>
      </c>
      <c r="H65" s="295">
        <f t="shared" si="7"/>
        <v>781809.72069543286</v>
      </c>
      <c r="I65" s="295">
        <f t="shared" si="2"/>
        <v>6373538.7418735176</v>
      </c>
    </row>
    <row r="66" spans="2:9" s="297" customFormat="1" ht="10.5" customHeight="1" x14ac:dyDescent="0.2">
      <c r="B66" s="293">
        <f t="shared" si="3"/>
        <v>37</v>
      </c>
      <c r="C66" s="294">
        <f t="shared" si="4"/>
        <v>43101</v>
      </c>
      <c r="D66" s="295">
        <f t="shared" si="0"/>
        <v>41498.138764222538</v>
      </c>
      <c r="E66" s="295">
        <f t="shared" si="1"/>
        <v>1788.8371156422374</v>
      </c>
      <c r="F66" s="295">
        <f t="shared" si="5"/>
        <v>18589.487997131091</v>
      </c>
      <c r="G66" s="295">
        <f t="shared" si="6"/>
        <v>730712.76281370979</v>
      </c>
      <c r="H66" s="295">
        <f t="shared" si="7"/>
        <v>804718.37146252429</v>
      </c>
      <c r="I66" s="295">
        <f t="shared" si="2"/>
        <v>6350630.0911064269</v>
      </c>
    </row>
    <row r="67" spans="2:9" s="297" customFormat="1" ht="10.5" customHeight="1" x14ac:dyDescent="0.2">
      <c r="B67" s="293">
        <f t="shared" si="3"/>
        <v>38</v>
      </c>
      <c r="C67" s="294">
        <f t="shared" si="4"/>
        <v>43132</v>
      </c>
      <c r="D67" s="295">
        <f t="shared" si="0"/>
        <v>41498.138764222538</v>
      </c>
      <c r="E67" s="295">
        <f t="shared" si="1"/>
        <v>1788.8371156422374</v>
      </c>
      <c r="F67" s="295">
        <f t="shared" si="5"/>
        <v>18522.671099060412</v>
      </c>
      <c r="G67" s="295">
        <f t="shared" si="6"/>
        <v>749235.43391277024</v>
      </c>
      <c r="H67" s="295">
        <f t="shared" si="7"/>
        <v>827693.83912768646</v>
      </c>
      <c r="I67" s="295">
        <f t="shared" si="2"/>
        <v>6327654.623441264</v>
      </c>
    </row>
    <row r="68" spans="2:9" s="297" customFormat="1" ht="10.5" customHeight="1" x14ac:dyDescent="0.2">
      <c r="B68" s="293">
        <f t="shared" si="3"/>
        <v>39</v>
      </c>
      <c r="C68" s="294">
        <f t="shared" si="4"/>
        <v>43160</v>
      </c>
      <c r="D68" s="295">
        <f t="shared" si="0"/>
        <v>41498.138764222538</v>
      </c>
      <c r="E68" s="295">
        <f t="shared" si="1"/>
        <v>1788.8371156422374</v>
      </c>
      <c r="F68" s="295">
        <f t="shared" si="5"/>
        <v>18455.659318370355</v>
      </c>
      <c r="G68" s="295">
        <f t="shared" si="6"/>
        <v>767691.09323114064</v>
      </c>
      <c r="H68" s="295">
        <f t="shared" si="7"/>
        <v>850736.31857353868</v>
      </c>
      <c r="I68" s="295">
        <f t="shared" si="2"/>
        <v>6304612.1439954117</v>
      </c>
    </row>
    <row r="69" spans="2:9" s="297" customFormat="1" ht="10.5" customHeight="1" x14ac:dyDescent="0.2">
      <c r="B69" s="293">
        <f t="shared" si="3"/>
        <v>40</v>
      </c>
      <c r="C69" s="294">
        <f t="shared" si="4"/>
        <v>43191</v>
      </c>
      <c r="D69" s="295">
        <f t="shared" si="0"/>
        <v>41498.138764222538</v>
      </c>
      <c r="E69" s="295">
        <f t="shared" si="1"/>
        <v>1788.8371156422374</v>
      </c>
      <c r="F69" s="295">
        <f t="shared" si="5"/>
        <v>18388.452086653284</v>
      </c>
      <c r="G69" s="295">
        <f t="shared" si="6"/>
        <v>786079.54531779396</v>
      </c>
      <c r="H69" s="295">
        <f t="shared" si="7"/>
        <v>873846.00525110797</v>
      </c>
      <c r="I69" s="295">
        <f t="shared" si="2"/>
        <v>6281502.4573178431</v>
      </c>
    </row>
    <row r="70" spans="2:9" s="297" customFormat="1" ht="10.5" customHeight="1" x14ac:dyDescent="0.2">
      <c r="B70" s="293">
        <f t="shared" si="3"/>
        <v>41</v>
      </c>
      <c r="C70" s="294">
        <f t="shared" si="4"/>
        <v>43221</v>
      </c>
      <c r="D70" s="295">
        <f t="shared" si="0"/>
        <v>41498.138764222538</v>
      </c>
      <c r="E70" s="295">
        <f t="shared" si="1"/>
        <v>1788.8371156422374</v>
      </c>
      <c r="F70" s="295">
        <f t="shared" si="5"/>
        <v>18321.04883384371</v>
      </c>
      <c r="G70" s="295">
        <f t="shared" si="6"/>
        <v>804400.59415163763</v>
      </c>
      <c r="H70" s="295">
        <f t="shared" si="7"/>
        <v>897023.0951814868</v>
      </c>
      <c r="I70" s="295">
        <f t="shared" si="2"/>
        <v>6258325.3673874643</v>
      </c>
    </row>
    <row r="71" spans="2:9" s="297" customFormat="1" ht="10.5" customHeight="1" x14ac:dyDescent="0.2">
      <c r="B71" s="293">
        <f t="shared" si="3"/>
        <v>42</v>
      </c>
      <c r="C71" s="294">
        <f t="shared" si="4"/>
        <v>43252</v>
      </c>
      <c r="D71" s="295">
        <f t="shared" si="0"/>
        <v>41498.138764222538</v>
      </c>
      <c r="E71" s="295">
        <f t="shared" si="1"/>
        <v>1788.8371156422374</v>
      </c>
      <c r="F71" s="295">
        <f t="shared" si="5"/>
        <v>18253.448988213437</v>
      </c>
      <c r="G71" s="295">
        <f t="shared" si="6"/>
        <v>822654.04313985107</v>
      </c>
      <c r="H71" s="295">
        <f t="shared" si="7"/>
        <v>920267.78495749587</v>
      </c>
      <c r="I71" s="295">
        <f t="shared" si="2"/>
        <v>6235080.6776114553</v>
      </c>
    </row>
    <row r="72" spans="2:9" s="297" customFormat="1" ht="10.5" customHeight="1" x14ac:dyDescent="0.2">
      <c r="B72" s="293">
        <f t="shared" si="3"/>
        <v>43</v>
      </c>
      <c r="C72" s="294">
        <f t="shared" si="4"/>
        <v>43282</v>
      </c>
      <c r="D72" s="295">
        <f t="shared" si="0"/>
        <v>41498.138764222538</v>
      </c>
      <c r="E72" s="295">
        <f t="shared" si="1"/>
        <v>1788.8371156422374</v>
      </c>
      <c r="F72" s="295">
        <f t="shared" si="5"/>
        <v>18185.651976366746</v>
      </c>
      <c r="G72" s="295">
        <f t="shared" si="6"/>
        <v>840839.69511621783</v>
      </c>
      <c r="H72" s="295">
        <f t="shared" si="7"/>
        <v>943580.27174535161</v>
      </c>
      <c r="I72" s="295">
        <f t="shared" si="2"/>
        <v>6211768.1908235997</v>
      </c>
    </row>
    <row r="73" spans="2:9" s="297" customFormat="1" ht="10.5" customHeight="1" x14ac:dyDescent="0.2">
      <c r="B73" s="293">
        <f t="shared" si="3"/>
        <v>44</v>
      </c>
      <c r="C73" s="294">
        <f t="shared" si="4"/>
        <v>43313</v>
      </c>
      <c r="D73" s="295">
        <f t="shared" si="0"/>
        <v>41498.138764222538</v>
      </c>
      <c r="E73" s="295">
        <f t="shared" si="1"/>
        <v>1788.8371156422374</v>
      </c>
      <c r="F73" s="295">
        <f t="shared" si="5"/>
        <v>18117.657223235499</v>
      </c>
      <c r="G73" s="295">
        <f t="shared" si="6"/>
        <v>858957.3523394533</v>
      </c>
      <c r="H73" s="295">
        <f t="shared" si="7"/>
        <v>966960.75328633864</v>
      </c>
      <c r="I73" s="295">
        <f t="shared" si="2"/>
        <v>6188387.7092826124</v>
      </c>
    </row>
    <row r="74" spans="2:9" s="297" customFormat="1" ht="10.5" customHeight="1" x14ac:dyDescent="0.2">
      <c r="B74" s="293">
        <f t="shared" si="3"/>
        <v>45</v>
      </c>
      <c r="C74" s="294">
        <f t="shared" si="4"/>
        <v>43344</v>
      </c>
      <c r="D74" s="295">
        <f t="shared" si="0"/>
        <v>41498.138764222538</v>
      </c>
      <c r="E74" s="295">
        <f t="shared" si="1"/>
        <v>1788.8371156422374</v>
      </c>
      <c r="F74" s="295">
        <f t="shared" si="5"/>
        <v>18049.464152074284</v>
      </c>
      <c r="G74" s="295">
        <f t="shared" si="6"/>
        <v>877006.8164915276</v>
      </c>
      <c r="H74" s="295">
        <f t="shared" si="7"/>
        <v>990409.42789848684</v>
      </c>
      <c r="I74" s="295">
        <f t="shared" si="2"/>
        <v>6164939.0346704638</v>
      </c>
    </row>
    <row r="75" spans="2:9" s="297" customFormat="1" ht="10.5" customHeight="1" x14ac:dyDescent="0.2">
      <c r="B75" s="293">
        <f t="shared" si="3"/>
        <v>46</v>
      </c>
      <c r="C75" s="294">
        <f t="shared" si="4"/>
        <v>43374</v>
      </c>
      <c r="D75" s="295">
        <f t="shared" si="0"/>
        <v>41498.138764222538</v>
      </c>
      <c r="E75" s="295">
        <f t="shared" si="1"/>
        <v>1788.8371156422374</v>
      </c>
      <c r="F75" s="295">
        <f t="shared" si="5"/>
        <v>17981.072184455519</v>
      </c>
      <c r="G75" s="295">
        <f t="shared" si="6"/>
        <v>894987.88867598306</v>
      </c>
      <c r="H75" s="295">
        <f t="shared" si="7"/>
        <v>1013926.4944782539</v>
      </c>
      <c r="I75" s="295">
        <f t="shared" si="2"/>
        <v>6141421.9680906972</v>
      </c>
    </row>
    <row r="76" spans="2:9" s="297" customFormat="1" ht="10.5" customHeight="1" x14ac:dyDescent="0.2">
      <c r="B76" s="293">
        <f t="shared" si="3"/>
        <v>47</v>
      </c>
      <c r="C76" s="294">
        <f t="shared" si="4"/>
        <v>43405</v>
      </c>
      <c r="D76" s="295">
        <f t="shared" si="0"/>
        <v>41498.138764222538</v>
      </c>
      <c r="E76" s="295">
        <f t="shared" si="1"/>
        <v>1788.8371156422374</v>
      </c>
      <c r="F76" s="295">
        <f t="shared" si="5"/>
        <v>17912.480740264535</v>
      </c>
      <c r="G76" s="295">
        <f t="shared" si="6"/>
        <v>912900.36941624759</v>
      </c>
      <c r="H76" s="295">
        <f t="shared" si="7"/>
        <v>1037512.1525022119</v>
      </c>
      <c r="I76" s="295">
        <f t="shared" si="2"/>
        <v>6117836.3100667391</v>
      </c>
    </row>
    <row r="77" spans="2:9" s="297" customFormat="1" ht="10.5" customHeight="1" x14ac:dyDescent="0.2">
      <c r="B77" s="293">
        <f t="shared" si="3"/>
        <v>48</v>
      </c>
      <c r="C77" s="294">
        <f t="shared" si="4"/>
        <v>43435</v>
      </c>
      <c r="D77" s="295">
        <f t="shared" si="0"/>
        <v>41498.138764222538</v>
      </c>
      <c r="E77" s="295">
        <f t="shared" si="1"/>
        <v>1788.8371156422374</v>
      </c>
      <c r="F77" s="295">
        <f t="shared" si="5"/>
        <v>17843.689237694656</v>
      </c>
      <c r="G77" s="295">
        <f t="shared" si="6"/>
        <v>930744.05865394219</v>
      </c>
      <c r="H77" s="295">
        <f t="shared" si="7"/>
        <v>1061166.6020287396</v>
      </c>
      <c r="I77" s="295">
        <f t="shared" si="2"/>
        <v>6094181.8605402112</v>
      </c>
    </row>
    <row r="78" spans="2:9" s="297" customFormat="1" ht="10.5" customHeight="1" x14ac:dyDescent="0.2">
      <c r="B78" s="293">
        <f t="shared" si="3"/>
        <v>49</v>
      </c>
      <c r="C78" s="294">
        <f t="shared" si="4"/>
        <v>43466</v>
      </c>
      <c r="D78" s="295">
        <f t="shared" si="0"/>
        <v>41498.138764222538</v>
      </c>
      <c r="E78" s="295">
        <f t="shared" si="1"/>
        <v>1788.8371156422374</v>
      </c>
      <c r="F78" s="295">
        <f t="shared" si="5"/>
        <v>17774.697093242281</v>
      </c>
      <c r="G78" s="295">
        <f t="shared" si="6"/>
        <v>948518.75574718451</v>
      </c>
      <c r="H78" s="295">
        <f t="shared" si="7"/>
        <v>1084890.0436997199</v>
      </c>
      <c r="I78" s="295">
        <f t="shared" si="2"/>
        <v>6070458.4188692309</v>
      </c>
    </row>
    <row r="79" spans="2:9" s="297" customFormat="1" ht="10.5" customHeight="1" x14ac:dyDescent="0.2">
      <c r="B79" s="293">
        <f t="shared" si="3"/>
        <v>50</v>
      </c>
      <c r="C79" s="294">
        <f t="shared" si="4"/>
        <v>43497</v>
      </c>
      <c r="D79" s="295">
        <f t="shared" si="0"/>
        <v>41498.138764222538</v>
      </c>
      <c r="E79" s="295">
        <f t="shared" si="1"/>
        <v>1788.8371156422374</v>
      </c>
      <c r="F79" s="295">
        <f t="shared" si="5"/>
        <v>17705.503721701923</v>
      </c>
      <c r="G79" s="295">
        <f t="shared" si="6"/>
        <v>966224.25946888642</v>
      </c>
      <c r="H79" s="295">
        <f t="shared" si="7"/>
        <v>1108682.6787422406</v>
      </c>
      <c r="I79" s="295">
        <f t="shared" si="2"/>
        <v>6046665.7838267107</v>
      </c>
    </row>
    <row r="80" spans="2:9" s="297" customFormat="1" ht="10.5" customHeight="1" x14ac:dyDescent="0.2">
      <c r="B80" s="293">
        <f t="shared" si="3"/>
        <v>51</v>
      </c>
      <c r="C80" s="294">
        <f t="shared" si="4"/>
        <v>43525</v>
      </c>
      <c r="D80" s="295">
        <f t="shared" si="0"/>
        <v>41498.138764222538</v>
      </c>
      <c r="E80" s="295">
        <f t="shared" si="1"/>
        <v>1788.8371156422374</v>
      </c>
      <c r="F80" s="295">
        <f t="shared" si="5"/>
        <v>17636.108536161239</v>
      </c>
      <c r="G80" s="295">
        <f t="shared" si="6"/>
        <v>983860.36800504767</v>
      </c>
      <c r="H80" s="295">
        <f t="shared" si="7"/>
        <v>1132544.708970302</v>
      </c>
      <c r="I80" s="295">
        <f t="shared" si="2"/>
        <v>6022803.7535986491</v>
      </c>
    </row>
    <row r="81" spans="2:9" s="297" customFormat="1" ht="10.5" customHeight="1" x14ac:dyDescent="0.2">
      <c r="B81" s="293">
        <f t="shared" si="3"/>
        <v>52</v>
      </c>
      <c r="C81" s="294">
        <f t="shared" si="4"/>
        <v>43556</v>
      </c>
      <c r="D81" s="295">
        <f t="shared" si="0"/>
        <v>41498.138764222538</v>
      </c>
      <c r="E81" s="295">
        <f t="shared" si="1"/>
        <v>1788.8371156422374</v>
      </c>
      <c r="F81" s="295">
        <f t="shared" si="5"/>
        <v>17566.510947996063</v>
      </c>
      <c r="G81" s="295">
        <f t="shared" si="6"/>
        <v>1001426.8789530437</v>
      </c>
      <c r="H81" s="295">
        <f t="shared" si="7"/>
        <v>1156476.3367865286</v>
      </c>
      <c r="I81" s="295">
        <f t="shared" si="2"/>
        <v>5998872.1257824227</v>
      </c>
    </row>
    <row r="82" spans="2:9" s="297" customFormat="1" ht="10.5" customHeight="1" x14ac:dyDescent="0.2">
      <c r="B82" s="293">
        <f t="shared" si="3"/>
        <v>53</v>
      </c>
      <c r="C82" s="294">
        <f t="shared" si="4"/>
        <v>43586</v>
      </c>
      <c r="D82" s="295">
        <f t="shared" si="0"/>
        <v>41498.138764222538</v>
      </c>
      <c r="E82" s="295">
        <f t="shared" si="1"/>
        <v>1788.8371156422374</v>
      </c>
      <c r="F82" s="295">
        <f t="shared" si="5"/>
        <v>17496.710366865398</v>
      </c>
      <c r="G82" s="295">
        <f t="shared" si="6"/>
        <v>1018923.5893199091</v>
      </c>
      <c r="H82" s="295">
        <f t="shared" si="7"/>
        <v>1180477.7651838858</v>
      </c>
      <c r="I82" s="295">
        <f t="shared" si="2"/>
        <v>5974870.6973850653</v>
      </c>
    </row>
    <row r="83" spans="2:9" s="297" customFormat="1" ht="10.5" customHeight="1" x14ac:dyDescent="0.2">
      <c r="B83" s="293">
        <f t="shared" si="3"/>
        <v>54</v>
      </c>
      <c r="C83" s="294">
        <f t="shared" si="4"/>
        <v>43617</v>
      </c>
      <c r="D83" s="295">
        <f t="shared" si="0"/>
        <v>41498.138764222538</v>
      </c>
      <c r="E83" s="295">
        <f t="shared" si="1"/>
        <v>1788.8371156422374</v>
      </c>
      <c r="F83" s="295">
        <f t="shared" si="5"/>
        <v>17426.706200706441</v>
      </c>
      <c r="G83" s="295">
        <f t="shared" si="6"/>
        <v>1036350.2955206155</v>
      </c>
      <c r="H83" s="295">
        <f t="shared" si="7"/>
        <v>1204549.1977474019</v>
      </c>
      <c r="I83" s="295">
        <f t="shared" si="2"/>
        <v>5950799.2648215489</v>
      </c>
    </row>
    <row r="84" spans="2:9" s="297" customFormat="1" ht="10.5" customHeight="1" x14ac:dyDescent="0.2">
      <c r="B84" s="293">
        <f t="shared" si="3"/>
        <v>55</v>
      </c>
      <c r="C84" s="294">
        <f t="shared" si="4"/>
        <v>43647</v>
      </c>
      <c r="D84" s="295">
        <f t="shared" si="0"/>
        <v>41498.138764222538</v>
      </c>
      <c r="E84" s="295">
        <f t="shared" si="1"/>
        <v>1788.8371156422374</v>
      </c>
      <c r="F84" s="295">
        <f t="shared" si="5"/>
        <v>17356.497855729514</v>
      </c>
      <c r="G84" s="295">
        <f t="shared" si="6"/>
        <v>1053706.793376345</v>
      </c>
      <c r="H84" s="295">
        <f t="shared" si="7"/>
        <v>1228690.8386558949</v>
      </c>
      <c r="I84" s="295">
        <f t="shared" si="2"/>
        <v>5926657.6239130562</v>
      </c>
    </row>
    <row r="85" spans="2:9" s="297" customFormat="1" ht="10.5" customHeight="1" x14ac:dyDescent="0.2">
      <c r="B85" s="293">
        <f t="shared" si="3"/>
        <v>56</v>
      </c>
      <c r="C85" s="294">
        <f t="shared" si="4"/>
        <v>43678</v>
      </c>
      <c r="D85" s="295">
        <f t="shared" si="0"/>
        <v>41498.138764222538</v>
      </c>
      <c r="E85" s="295">
        <f t="shared" si="1"/>
        <v>1788.8371156422374</v>
      </c>
      <c r="F85" s="295">
        <f t="shared" si="5"/>
        <v>17286.084736413079</v>
      </c>
      <c r="G85" s="295">
        <f t="shared" si="6"/>
        <v>1070992.878112758</v>
      </c>
      <c r="H85" s="295">
        <f t="shared" si="7"/>
        <v>1252902.8926837044</v>
      </c>
      <c r="I85" s="295">
        <f t="shared" si="2"/>
        <v>5902445.5698852465</v>
      </c>
    </row>
    <row r="86" spans="2:9" s="297" customFormat="1" ht="10.5" customHeight="1" x14ac:dyDescent="0.2">
      <c r="B86" s="293">
        <f t="shared" si="3"/>
        <v>57</v>
      </c>
      <c r="C86" s="294">
        <f t="shared" si="4"/>
        <v>43709</v>
      </c>
      <c r="D86" s="295">
        <f t="shared" si="0"/>
        <v>41498.138764222538</v>
      </c>
      <c r="E86" s="295">
        <f t="shared" si="1"/>
        <v>1788.8371156422374</v>
      </c>
      <c r="F86" s="295">
        <f t="shared" si="5"/>
        <v>17215.466245498636</v>
      </c>
      <c r="G86" s="295">
        <f t="shared" si="6"/>
        <v>1088208.3443582568</v>
      </c>
      <c r="H86" s="295">
        <f t="shared" si="7"/>
        <v>1277185.5652024283</v>
      </c>
      <c r="I86" s="295">
        <f t="shared" si="2"/>
        <v>5878162.8973665228</v>
      </c>
    </row>
    <row r="87" spans="2:9" s="297" customFormat="1" ht="10.5" customHeight="1" x14ac:dyDescent="0.2">
      <c r="B87" s="293">
        <f t="shared" si="3"/>
        <v>58</v>
      </c>
      <c r="C87" s="294">
        <f t="shared" si="4"/>
        <v>43739</v>
      </c>
      <c r="D87" s="295">
        <f t="shared" si="0"/>
        <v>41498.138764222538</v>
      </c>
      <c r="E87" s="295">
        <f t="shared" si="1"/>
        <v>1788.8371156422374</v>
      </c>
      <c r="F87" s="295">
        <f t="shared" si="5"/>
        <v>17144.641783985691</v>
      </c>
      <c r="G87" s="295">
        <f t="shared" si="6"/>
        <v>1105352.9861422426</v>
      </c>
      <c r="H87" s="295">
        <f t="shared" si="7"/>
        <v>1301539.0621826651</v>
      </c>
      <c r="I87" s="295">
        <f t="shared" si="2"/>
        <v>5853809.400386286</v>
      </c>
    </row>
    <row r="88" spans="2:9" s="297" customFormat="1" ht="10.5" customHeight="1" x14ac:dyDescent="0.2">
      <c r="B88" s="293">
        <f t="shared" si="3"/>
        <v>59</v>
      </c>
      <c r="C88" s="294">
        <f t="shared" si="4"/>
        <v>43770</v>
      </c>
      <c r="D88" s="295">
        <f t="shared" si="0"/>
        <v>41498.138764222538</v>
      </c>
      <c r="E88" s="295">
        <f t="shared" si="1"/>
        <v>1788.8371156422374</v>
      </c>
      <c r="F88" s="295">
        <f t="shared" si="5"/>
        <v>17073.610751126667</v>
      </c>
      <c r="G88" s="295">
        <f t="shared" si="6"/>
        <v>1122426.5968933692</v>
      </c>
      <c r="H88" s="295">
        <f t="shared" si="7"/>
        <v>1325963.5901957611</v>
      </c>
      <c r="I88" s="295">
        <f t="shared" si="2"/>
        <v>5829384.8723731898</v>
      </c>
    </row>
    <row r="89" spans="2:9" s="297" customFormat="1" ht="10.5" customHeight="1" x14ac:dyDescent="0.2">
      <c r="B89" s="293">
        <f t="shared" si="3"/>
        <v>60</v>
      </c>
      <c r="C89" s="294">
        <f t="shared" si="4"/>
        <v>43800</v>
      </c>
      <c r="D89" s="295">
        <f t="shared" si="0"/>
        <v>41498.138764222538</v>
      </c>
      <c r="E89" s="295">
        <f t="shared" si="1"/>
        <v>1788.8371156422374</v>
      </c>
      <c r="F89" s="295">
        <f t="shared" si="5"/>
        <v>17002.372544421803</v>
      </c>
      <c r="G89" s="295">
        <f t="shared" si="6"/>
        <v>1139428.969437791</v>
      </c>
      <c r="H89" s="295">
        <f t="shared" si="7"/>
        <v>1350459.3564155619</v>
      </c>
      <c r="I89" s="295">
        <f t="shared" si="2"/>
        <v>5804889.1061533894</v>
      </c>
    </row>
    <row r="90" spans="2:9" s="297" customFormat="1" ht="10.5" customHeight="1" x14ac:dyDescent="0.2">
      <c r="B90" s="293">
        <f t="shared" si="3"/>
        <v>61</v>
      </c>
      <c r="C90" s="294">
        <f t="shared" si="4"/>
        <v>43831</v>
      </c>
      <c r="D90" s="295">
        <f t="shared" si="0"/>
        <v>41498.138764222538</v>
      </c>
      <c r="E90" s="295">
        <f t="shared" si="1"/>
        <v>1788.8371156422374</v>
      </c>
      <c r="F90" s="295">
        <f t="shared" si="5"/>
        <v>16930.92655961405</v>
      </c>
      <c r="G90" s="295">
        <f t="shared" si="6"/>
        <v>1156359.8959974051</v>
      </c>
      <c r="H90" s="295">
        <f t="shared" si="7"/>
        <v>1375026.5686201705</v>
      </c>
      <c r="I90" s="295">
        <f t="shared" si="2"/>
        <v>5780321.8939487804</v>
      </c>
    </row>
    <row r="91" spans="2:9" s="297" customFormat="1" ht="10.5" customHeight="1" x14ac:dyDescent="0.2">
      <c r="B91" s="293">
        <f t="shared" si="3"/>
        <v>62</v>
      </c>
      <c r="C91" s="294">
        <f t="shared" si="4"/>
        <v>43862</v>
      </c>
      <c r="D91" s="295">
        <f t="shared" si="0"/>
        <v>41498.138764222538</v>
      </c>
      <c r="E91" s="295">
        <f t="shared" si="1"/>
        <v>1788.8371156422374</v>
      </c>
      <c r="F91" s="295">
        <f t="shared" si="5"/>
        <v>16859.272190683943</v>
      </c>
      <c r="G91" s="295">
        <f t="shared" si="6"/>
        <v>1173219.168188089</v>
      </c>
      <c r="H91" s="295">
        <f t="shared" si="7"/>
        <v>1399665.4351937091</v>
      </c>
      <c r="I91" s="295">
        <f t="shared" si="2"/>
        <v>5755683.0273752417</v>
      </c>
    </row>
    <row r="92" spans="2:9" s="297" customFormat="1" ht="10.5" customHeight="1" x14ac:dyDescent="0.2">
      <c r="B92" s="293">
        <f t="shared" si="3"/>
        <v>63</v>
      </c>
      <c r="C92" s="294">
        <f t="shared" si="4"/>
        <v>43891</v>
      </c>
      <c r="D92" s="295">
        <f t="shared" si="0"/>
        <v>41498.138764222538</v>
      </c>
      <c r="E92" s="295">
        <f t="shared" si="1"/>
        <v>1788.8371156422374</v>
      </c>
      <c r="F92" s="295">
        <f t="shared" si="5"/>
        <v>16787.408829844455</v>
      </c>
      <c r="G92" s="295">
        <f t="shared" si="6"/>
        <v>1190006.5770179336</v>
      </c>
      <c r="H92" s="295">
        <f t="shared" si="7"/>
        <v>1424376.1651280872</v>
      </c>
      <c r="I92" s="295">
        <f t="shared" si="2"/>
        <v>5730972.2974408641</v>
      </c>
    </row>
    <row r="93" spans="2:9" s="297" customFormat="1" ht="10.5" customHeight="1" x14ac:dyDescent="0.2">
      <c r="B93" s="293">
        <f t="shared" si="3"/>
        <v>64</v>
      </c>
      <c r="C93" s="294">
        <f t="shared" si="4"/>
        <v>43922</v>
      </c>
      <c r="D93" s="295">
        <f t="shared" si="0"/>
        <v>41498.138764222538</v>
      </c>
      <c r="E93" s="295">
        <f t="shared" si="1"/>
        <v>1788.8371156422374</v>
      </c>
      <c r="F93" s="295">
        <f t="shared" si="5"/>
        <v>16715.335867535854</v>
      </c>
      <c r="G93" s="295">
        <f t="shared" si="6"/>
        <v>1206721.9128854694</v>
      </c>
      <c r="H93" s="295">
        <f t="shared" si="7"/>
        <v>1449158.9680247738</v>
      </c>
      <c r="I93" s="295">
        <f t="shared" si="2"/>
        <v>5706189.4945441773</v>
      </c>
    </row>
    <row r="94" spans="2:9" s="297" customFormat="1" ht="10.5" customHeight="1" x14ac:dyDescent="0.2">
      <c r="B94" s="293">
        <f t="shared" si="3"/>
        <v>65</v>
      </c>
      <c r="C94" s="294">
        <f t="shared" si="4"/>
        <v>43952</v>
      </c>
      <c r="D94" s="295">
        <f t="shared" ref="D94:D157" si="8">IF(B94&lt;&gt;"",mensualitehorsassurance,"")</f>
        <v>41498.138764222538</v>
      </c>
      <c r="E94" s="295">
        <f t="shared" ref="E94:E157" si="9">IF(B94&lt;&gt;"",mensualiteassurance,"")</f>
        <v>1788.8371156422374</v>
      </c>
      <c r="F94" s="295">
        <f t="shared" si="5"/>
        <v>16643.052692420515</v>
      </c>
      <c r="G94" s="295">
        <f t="shared" si="6"/>
        <v>1223364.9655778899</v>
      </c>
      <c r="H94" s="295">
        <f t="shared" si="7"/>
        <v>1474014.0540965758</v>
      </c>
      <c r="I94" s="295">
        <f t="shared" ref="I94:I157" si="10">IF(F94&lt;&gt;"",pret-H94,"")</f>
        <v>5681334.408472375</v>
      </c>
    </row>
    <row r="95" spans="2:9" s="297" customFormat="1" ht="10.5" customHeight="1" x14ac:dyDescent="0.2">
      <c r="B95" s="293">
        <f t="shared" ref="B95:B158" si="11">IF(test="OK",IF(B94&lt;dureepret,B94+1,""),"")</f>
        <v>66</v>
      </c>
      <c r="C95" s="294">
        <f t="shared" ref="C95:C158" si="12">IF(B95&lt;&gt;"",DATE(YEAR(C94),MONTH(C94)+1,DAY(C94)),"")</f>
        <v>43983</v>
      </c>
      <c r="D95" s="295">
        <f t="shared" si="8"/>
        <v>41498.138764222538</v>
      </c>
      <c r="E95" s="295">
        <f t="shared" si="9"/>
        <v>1788.8371156422374</v>
      </c>
      <c r="F95" s="295">
        <f t="shared" ref="F95:F158" si="13">IF(B95&lt;&gt;"",I94*tauxinteret/100/12,"")</f>
        <v>16570.558691377762</v>
      </c>
      <c r="G95" s="295">
        <f t="shared" ref="G95:G158" si="14">IF(D95&lt;&gt;"",G94+F95,"")</f>
        <v>1239935.5242692677</v>
      </c>
      <c r="H95" s="295">
        <f t="shared" ref="H95:H158" si="15">IF(E95&lt;&gt;"",D95-F95+H94,"")</f>
        <v>1498941.6341694207</v>
      </c>
      <c r="I95" s="295">
        <f t="shared" si="10"/>
        <v>5656406.8283995297</v>
      </c>
    </row>
    <row r="96" spans="2:9" s="297" customFormat="1" ht="10.5" customHeight="1" x14ac:dyDescent="0.2">
      <c r="B96" s="293">
        <f t="shared" si="11"/>
        <v>67</v>
      </c>
      <c r="C96" s="294">
        <f t="shared" si="12"/>
        <v>44013</v>
      </c>
      <c r="D96" s="295">
        <f t="shared" si="8"/>
        <v>41498.138764222538</v>
      </c>
      <c r="E96" s="295">
        <f t="shared" si="9"/>
        <v>1788.8371156422374</v>
      </c>
      <c r="F96" s="295">
        <f t="shared" si="13"/>
        <v>16497.853249498628</v>
      </c>
      <c r="G96" s="295">
        <f t="shared" si="14"/>
        <v>1256433.3775187663</v>
      </c>
      <c r="H96" s="295">
        <f t="shared" si="15"/>
        <v>1523941.9196841447</v>
      </c>
      <c r="I96" s="295">
        <f t="shared" si="10"/>
        <v>5631406.5428848062</v>
      </c>
    </row>
    <row r="97" spans="2:9" s="297" customFormat="1" ht="10.5" customHeight="1" x14ac:dyDescent="0.2">
      <c r="B97" s="293">
        <f t="shared" si="11"/>
        <v>68</v>
      </c>
      <c r="C97" s="294">
        <f t="shared" si="12"/>
        <v>44044</v>
      </c>
      <c r="D97" s="295">
        <f t="shared" si="8"/>
        <v>41498.138764222538</v>
      </c>
      <c r="E97" s="295">
        <f t="shared" si="9"/>
        <v>1788.8371156422374</v>
      </c>
      <c r="F97" s="295">
        <f t="shared" si="13"/>
        <v>16424.935750080684</v>
      </c>
      <c r="G97" s="295">
        <f t="shared" si="14"/>
        <v>1272858.3132688471</v>
      </c>
      <c r="H97" s="295">
        <f t="shared" si="15"/>
        <v>1549015.1226982865</v>
      </c>
      <c r="I97" s="295">
        <f t="shared" si="10"/>
        <v>5606333.3398706643</v>
      </c>
    </row>
    <row r="98" spans="2:9" s="297" customFormat="1" ht="10.5" customHeight="1" x14ac:dyDescent="0.2">
      <c r="B98" s="293">
        <f t="shared" si="11"/>
        <v>69</v>
      </c>
      <c r="C98" s="294">
        <f t="shared" si="12"/>
        <v>44075</v>
      </c>
      <c r="D98" s="295">
        <f t="shared" si="8"/>
        <v>41498.138764222538</v>
      </c>
      <c r="E98" s="295">
        <f t="shared" si="9"/>
        <v>1788.8371156422374</v>
      </c>
      <c r="F98" s="295">
        <f t="shared" si="13"/>
        <v>16351.805574622771</v>
      </c>
      <c r="G98" s="295">
        <f t="shared" si="14"/>
        <v>1289210.1188434698</v>
      </c>
      <c r="H98" s="295">
        <f t="shared" si="15"/>
        <v>1574161.4558878862</v>
      </c>
      <c r="I98" s="295">
        <f t="shared" si="10"/>
        <v>5581187.0066810641</v>
      </c>
    </row>
    <row r="99" spans="2:9" s="297" customFormat="1" ht="10.5" customHeight="1" x14ac:dyDescent="0.2">
      <c r="B99" s="293">
        <f t="shared" si="11"/>
        <v>70</v>
      </c>
      <c r="C99" s="294">
        <f t="shared" si="12"/>
        <v>44105</v>
      </c>
      <c r="D99" s="295">
        <f t="shared" si="8"/>
        <v>41498.138764222538</v>
      </c>
      <c r="E99" s="295">
        <f t="shared" si="9"/>
        <v>1788.8371156422374</v>
      </c>
      <c r="F99" s="295">
        <f t="shared" si="13"/>
        <v>16278.462102819771</v>
      </c>
      <c r="G99" s="295">
        <f t="shared" si="14"/>
        <v>1305488.5809462895</v>
      </c>
      <c r="H99" s="295">
        <f t="shared" si="15"/>
        <v>1599381.1325492889</v>
      </c>
      <c r="I99" s="295">
        <f t="shared" si="10"/>
        <v>5555967.3300196622</v>
      </c>
    </row>
    <row r="100" spans="2:9" s="297" customFormat="1" ht="10.5" customHeight="1" x14ac:dyDescent="0.2">
      <c r="B100" s="293">
        <f t="shared" si="11"/>
        <v>71</v>
      </c>
      <c r="C100" s="294">
        <f t="shared" si="12"/>
        <v>44136</v>
      </c>
      <c r="D100" s="295">
        <f t="shared" si="8"/>
        <v>41498.138764222538</v>
      </c>
      <c r="E100" s="295">
        <f t="shared" si="9"/>
        <v>1788.8371156422374</v>
      </c>
      <c r="F100" s="295">
        <f t="shared" si="13"/>
        <v>16204.904712557349</v>
      </c>
      <c r="G100" s="295">
        <f t="shared" si="14"/>
        <v>1321693.4856588468</v>
      </c>
      <c r="H100" s="295">
        <f t="shared" si="15"/>
        <v>1624674.3666009542</v>
      </c>
      <c r="I100" s="295">
        <f t="shared" si="10"/>
        <v>5530674.0959679969</v>
      </c>
    </row>
    <row r="101" spans="2:9" s="297" customFormat="1" ht="10.5" customHeight="1" x14ac:dyDescent="0.2">
      <c r="B101" s="293">
        <f t="shared" si="11"/>
        <v>72</v>
      </c>
      <c r="C101" s="294">
        <f t="shared" si="12"/>
        <v>44166</v>
      </c>
      <c r="D101" s="295">
        <f t="shared" si="8"/>
        <v>41498.138764222538</v>
      </c>
      <c r="E101" s="295">
        <f t="shared" si="9"/>
        <v>1788.8371156422374</v>
      </c>
      <c r="F101" s="295">
        <f t="shared" si="13"/>
        <v>16131.132779906658</v>
      </c>
      <c r="G101" s="295">
        <f t="shared" si="14"/>
        <v>1337824.6184387535</v>
      </c>
      <c r="H101" s="295">
        <f t="shared" si="15"/>
        <v>1650041.3725852701</v>
      </c>
      <c r="I101" s="295">
        <f t="shared" si="10"/>
        <v>5505307.0899836812</v>
      </c>
    </row>
    <row r="102" spans="2:9" s="297" customFormat="1" ht="10.5" customHeight="1" x14ac:dyDescent="0.2">
      <c r="B102" s="293">
        <f t="shared" si="11"/>
        <v>73</v>
      </c>
      <c r="C102" s="294">
        <f t="shared" si="12"/>
        <v>44197</v>
      </c>
      <c r="D102" s="295">
        <f t="shared" si="8"/>
        <v>41498.138764222538</v>
      </c>
      <c r="E102" s="295">
        <f t="shared" si="9"/>
        <v>1788.8371156422374</v>
      </c>
      <c r="F102" s="295">
        <f t="shared" si="13"/>
        <v>16057.145679119072</v>
      </c>
      <c r="G102" s="295">
        <f t="shared" si="14"/>
        <v>1353881.7641178726</v>
      </c>
      <c r="H102" s="295">
        <f t="shared" si="15"/>
        <v>1675482.3656703737</v>
      </c>
      <c r="I102" s="295">
        <f t="shared" si="10"/>
        <v>5479866.0968985772</v>
      </c>
    </row>
    <row r="103" spans="2:9" s="297" customFormat="1" ht="10.5" customHeight="1" x14ac:dyDescent="0.2">
      <c r="B103" s="293">
        <f t="shared" si="11"/>
        <v>74</v>
      </c>
      <c r="C103" s="294">
        <f t="shared" si="12"/>
        <v>44228</v>
      </c>
      <c r="D103" s="295">
        <f t="shared" si="8"/>
        <v>41498.138764222538</v>
      </c>
      <c r="E103" s="295">
        <f t="shared" si="9"/>
        <v>1788.8371156422374</v>
      </c>
      <c r="F103" s="295">
        <f t="shared" si="13"/>
        <v>15982.94278262085</v>
      </c>
      <c r="G103" s="295">
        <f t="shared" si="14"/>
        <v>1369864.7069004935</v>
      </c>
      <c r="H103" s="295">
        <f t="shared" si="15"/>
        <v>1700997.5616519754</v>
      </c>
      <c r="I103" s="295">
        <f t="shared" si="10"/>
        <v>5454350.900916975</v>
      </c>
    </row>
    <row r="104" spans="2:9" s="297" customFormat="1" ht="10.5" customHeight="1" x14ac:dyDescent="0.2">
      <c r="B104" s="293">
        <f t="shared" si="11"/>
        <v>75</v>
      </c>
      <c r="C104" s="294">
        <f t="shared" si="12"/>
        <v>44256</v>
      </c>
      <c r="D104" s="295">
        <f t="shared" si="8"/>
        <v>41498.138764222538</v>
      </c>
      <c r="E104" s="295">
        <f t="shared" si="9"/>
        <v>1788.8371156422374</v>
      </c>
      <c r="F104" s="295">
        <f t="shared" si="13"/>
        <v>15908.523461007842</v>
      </c>
      <c r="G104" s="295">
        <f t="shared" si="14"/>
        <v>1385773.2303615012</v>
      </c>
      <c r="H104" s="295">
        <f t="shared" si="15"/>
        <v>1726587.17695519</v>
      </c>
      <c r="I104" s="295">
        <f t="shared" si="10"/>
        <v>5428761.2856137604</v>
      </c>
    </row>
    <row r="105" spans="2:9" s="297" customFormat="1" ht="10.5" customHeight="1" x14ac:dyDescent="0.2">
      <c r="B105" s="293">
        <f t="shared" si="11"/>
        <v>76</v>
      </c>
      <c r="C105" s="294">
        <f t="shared" si="12"/>
        <v>44287</v>
      </c>
      <c r="D105" s="295">
        <f t="shared" si="8"/>
        <v>41498.138764222538</v>
      </c>
      <c r="E105" s="295">
        <f t="shared" si="9"/>
        <v>1788.8371156422374</v>
      </c>
      <c r="F105" s="295">
        <f t="shared" si="13"/>
        <v>15833.887083040134</v>
      </c>
      <c r="G105" s="295">
        <f t="shared" si="14"/>
        <v>1401607.1174445413</v>
      </c>
      <c r="H105" s="295">
        <f t="shared" si="15"/>
        <v>1752251.4286363723</v>
      </c>
      <c r="I105" s="295">
        <f t="shared" si="10"/>
        <v>5403097.0339325787</v>
      </c>
    </row>
    <row r="106" spans="2:9" s="297" customFormat="1" ht="10.5" customHeight="1" x14ac:dyDescent="0.2">
      <c r="B106" s="293">
        <f t="shared" si="11"/>
        <v>77</v>
      </c>
      <c r="C106" s="294">
        <f t="shared" si="12"/>
        <v>44317</v>
      </c>
      <c r="D106" s="295">
        <f t="shared" si="8"/>
        <v>41498.138764222538</v>
      </c>
      <c r="E106" s="295">
        <f t="shared" si="9"/>
        <v>1788.8371156422374</v>
      </c>
      <c r="F106" s="295">
        <f t="shared" si="13"/>
        <v>15759.033015636685</v>
      </c>
      <c r="G106" s="295">
        <f t="shared" si="14"/>
        <v>1417366.150460178</v>
      </c>
      <c r="H106" s="295">
        <f t="shared" si="15"/>
        <v>1777990.5343849582</v>
      </c>
      <c r="I106" s="295">
        <f t="shared" si="10"/>
        <v>5377357.9281839924</v>
      </c>
    </row>
    <row r="107" spans="2:9" s="297" customFormat="1" ht="10.5" customHeight="1" x14ac:dyDescent="0.2">
      <c r="B107" s="293">
        <f t="shared" si="11"/>
        <v>78</v>
      </c>
      <c r="C107" s="294">
        <f t="shared" si="12"/>
        <v>44348</v>
      </c>
      <c r="D107" s="295">
        <f t="shared" si="8"/>
        <v>41498.138764222538</v>
      </c>
      <c r="E107" s="295">
        <f t="shared" si="9"/>
        <v>1788.8371156422374</v>
      </c>
      <c r="F107" s="295">
        <f t="shared" si="13"/>
        <v>15683.960623869976</v>
      </c>
      <c r="G107" s="295">
        <f t="shared" si="14"/>
        <v>1433050.1110840479</v>
      </c>
      <c r="H107" s="295">
        <f t="shared" si="15"/>
        <v>1803804.7125253107</v>
      </c>
      <c r="I107" s="295">
        <f t="shared" si="10"/>
        <v>5351543.7500436399</v>
      </c>
    </row>
    <row r="108" spans="2:9" s="297" customFormat="1" ht="10.5" customHeight="1" x14ac:dyDescent="0.2">
      <c r="B108" s="293">
        <f t="shared" si="11"/>
        <v>79</v>
      </c>
      <c r="C108" s="294">
        <f t="shared" si="12"/>
        <v>44378</v>
      </c>
      <c r="D108" s="295">
        <f t="shared" si="8"/>
        <v>41498.138764222538</v>
      </c>
      <c r="E108" s="295">
        <f t="shared" si="9"/>
        <v>1788.8371156422374</v>
      </c>
      <c r="F108" s="295">
        <f t="shared" si="13"/>
        <v>15608.669270960616</v>
      </c>
      <c r="G108" s="295">
        <f t="shared" si="14"/>
        <v>1448658.7803550086</v>
      </c>
      <c r="H108" s="295">
        <f t="shared" si="15"/>
        <v>1829694.1820185727</v>
      </c>
      <c r="I108" s="295">
        <f t="shared" si="10"/>
        <v>5325654.2805503784</v>
      </c>
    </row>
    <row r="109" spans="2:9" s="297" customFormat="1" ht="10.5" customHeight="1" x14ac:dyDescent="0.2">
      <c r="B109" s="293">
        <f t="shared" si="11"/>
        <v>80</v>
      </c>
      <c r="C109" s="294">
        <f t="shared" si="12"/>
        <v>44409</v>
      </c>
      <c r="D109" s="295">
        <f t="shared" si="8"/>
        <v>41498.138764222538</v>
      </c>
      <c r="E109" s="295">
        <f t="shared" si="9"/>
        <v>1788.8371156422374</v>
      </c>
      <c r="F109" s="295">
        <f t="shared" si="13"/>
        <v>15533.158318271939</v>
      </c>
      <c r="G109" s="295">
        <f t="shared" si="14"/>
        <v>1464191.9386732804</v>
      </c>
      <c r="H109" s="295">
        <f t="shared" si="15"/>
        <v>1855659.1624645232</v>
      </c>
      <c r="I109" s="295">
        <f t="shared" si="10"/>
        <v>5299689.3001044281</v>
      </c>
    </row>
    <row r="110" spans="2:9" s="297" customFormat="1" ht="10.5" customHeight="1" x14ac:dyDescent="0.2">
      <c r="B110" s="293">
        <f t="shared" si="11"/>
        <v>81</v>
      </c>
      <c r="C110" s="294">
        <f t="shared" si="12"/>
        <v>44440</v>
      </c>
      <c r="D110" s="295">
        <f t="shared" si="8"/>
        <v>41498.138764222538</v>
      </c>
      <c r="E110" s="295">
        <f t="shared" si="9"/>
        <v>1788.8371156422374</v>
      </c>
      <c r="F110" s="295">
        <f t="shared" si="13"/>
        <v>15457.427125304583</v>
      </c>
      <c r="G110" s="295">
        <f t="shared" si="14"/>
        <v>1479649.3657985849</v>
      </c>
      <c r="H110" s="295">
        <f t="shared" si="15"/>
        <v>1881699.8741034411</v>
      </c>
      <c r="I110" s="295">
        <f t="shared" si="10"/>
        <v>5273648.5884655099</v>
      </c>
    </row>
    <row r="111" spans="2:9" s="297" customFormat="1" ht="10.5" customHeight="1" x14ac:dyDescent="0.2">
      <c r="B111" s="293">
        <f t="shared" si="11"/>
        <v>82</v>
      </c>
      <c r="C111" s="294">
        <f t="shared" si="12"/>
        <v>44470</v>
      </c>
      <c r="D111" s="295">
        <f t="shared" si="8"/>
        <v>41498.138764222538</v>
      </c>
      <c r="E111" s="295">
        <f t="shared" si="9"/>
        <v>1788.8371156422374</v>
      </c>
      <c r="F111" s="295">
        <f t="shared" si="13"/>
        <v>15381.475049691071</v>
      </c>
      <c r="G111" s="295">
        <f t="shared" si="14"/>
        <v>1495030.8408482759</v>
      </c>
      <c r="H111" s="295">
        <f t="shared" si="15"/>
        <v>1907816.5378179727</v>
      </c>
      <c r="I111" s="295">
        <f t="shared" si="10"/>
        <v>5247531.9247509781</v>
      </c>
    </row>
    <row r="112" spans="2:9" s="297" customFormat="1" ht="10.5" customHeight="1" x14ac:dyDescent="0.2">
      <c r="B112" s="293">
        <f t="shared" si="11"/>
        <v>83</v>
      </c>
      <c r="C112" s="294">
        <f t="shared" si="12"/>
        <v>44501</v>
      </c>
      <c r="D112" s="295">
        <f t="shared" si="8"/>
        <v>41498.138764222538</v>
      </c>
      <c r="E112" s="295">
        <f t="shared" si="9"/>
        <v>1788.8371156422374</v>
      </c>
      <c r="F112" s="295">
        <f t="shared" si="13"/>
        <v>15305.301447190353</v>
      </c>
      <c r="G112" s="295">
        <f t="shared" si="14"/>
        <v>1510336.1422954663</v>
      </c>
      <c r="H112" s="295">
        <f t="shared" si="15"/>
        <v>1934009.375135005</v>
      </c>
      <c r="I112" s="295">
        <f t="shared" si="10"/>
        <v>5221339.0874339454</v>
      </c>
    </row>
    <row r="113" spans="2:9" s="297" customFormat="1" ht="10.5" customHeight="1" x14ac:dyDescent="0.2">
      <c r="B113" s="293">
        <f t="shared" si="11"/>
        <v>84</v>
      </c>
      <c r="C113" s="294">
        <f t="shared" si="12"/>
        <v>44531</v>
      </c>
      <c r="D113" s="295">
        <f t="shared" si="8"/>
        <v>41498.138764222538</v>
      </c>
      <c r="E113" s="295">
        <f t="shared" si="9"/>
        <v>1788.8371156422374</v>
      </c>
      <c r="F113" s="295">
        <f t="shared" si="13"/>
        <v>15228.90567168234</v>
      </c>
      <c r="G113" s="295">
        <f t="shared" si="14"/>
        <v>1525565.0479671487</v>
      </c>
      <c r="H113" s="295">
        <f t="shared" si="15"/>
        <v>1960278.6082275452</v>
      </c>
      <c r="I113" s="295">
        <f t="shared" si="10"/>
        <v>5195069.8543414054</v>
      </c>
    </row>
    <row r="114" spans="2:9" s="297" customFormat="1" ht="10.5" customHeight="1" x14ac:dyDescent="0.2">
      <c r="B114" s="293">
        <f t="shared" si="11"/>
        <v>85</v>
      </c>
      <c r="C114" s="294">
        <f t="shared" si="12"/>
        <v>44562</v>
      </c>
      <c r="D114" s="295">
        <f t="shared" si="8"/>
        <v>41498.138764222538</v>
      </c>
      <c r="E114" s="295">
        <f t="shared" si="9"/>
        <v>1788.8371156422374</v>
      </c>
      <c r="F114" s="295">
        <f t="shared" si="13"/>
        <v>15152.287075162434</v>
      </c>
      <c r="G114" s="295">
        <f t="shared" si="14"/>
        <v>1540717.3350423111</v>
      </c>
      <c r="H114" s="295">
        <f t="shared" si="15"/>
        <v>1986624.4599166051</v>
      </c>
      <c r="I114" s="295">
        <f t="shared" si="10"/>
        <v>5168724.0026523452</v>
      </c>
    </row>
    <row r="115" spans="2:9" s="297" customFormat="1" ht="10.5" customHeight="1" x14ac:dyDescent="0.2">
      <c r="B115" s="293">
        <f t="shared" si="11"/>
        <v>86</v>
      </c>
      <c r="C115" s="294">
        <f t="shared" si="12"/>
        <v>44593</v>
      </c>
      <c r="D115" s="295">
        <f t="shared" si="8"/>
        <v>41498.138764222538</v>
      </c>
      <c r="E115" s="295">
        <f t="shared" si="9"/>
        <v>1788.8371156422374</v>
      </c>
      <c r="F115" s="295">
        <f t="shared" si="13"/>
        <v>15075.445007736007</v>
      </c>
      <c r="G115" s="295">
        <f t="shared" si="14"/>
        <v>1555792.7800500472</v>
      </c>
      <c r="H115" s="295">
        <f t="shared" si="15"/>
        <v>2013047.1536730917</v>
      </c>
      <c r="I115" s="295">
        <f t="shared" si="10"/>
        <v>5142301.3088958589</v>
      </c>
    </row>
    <row r="116" spans="2:9" s="297" customFormat="1" ht="10.5" customHeight="1" x14ac:dyDescent="0.2">
      <c r="B116" s="293">
        <f t="shared" si="11"/>
        <v>87</v>
      </c>
      <c r="C116" s="294">
        <f t="shared" si="12"/>
        <v>44621</v>
      </c>
      <c r="D116" s="295">
        <f t="shared" si="8"/>
        <v>41498.138764222538</v>
      </c>
      <c r="E116" s="295">
        <f t="shared" si="9"/>
        <v>1788.8371156422374</v>
      </c>
      <c r="F116" s="295">
        <f t="shared" si="13"/>
        <v>14998.378817612924</v>
      </c>
      <c r="G116" s="295">
        <f t="shared" si="14"/>
        <v>1570791.1588676602</v>
      </c>
      <c r="H116" s="295">
        <f t="shared" si="15"/>
        <v>2039546.9136197013</v>
      </c>
      <c r="I116" s="295">
        <f t="shared" si="10"/>
        <v>5115801.5489492491</v>
      </c>
    </row>
    <row r="117" spans="2:9" s="297" customFormat="1" ht="10.5" customHeight="1" x14ac:dyDescent="0.2">
      <c r="B117" s="293">
        <f t="shared" si="11"/>
        <v>88</v>
      </c>
      <c r="C117" s="294">
        <f t="shared" si="12"/>
        <v>44652</v>
      </c>
      <c r="D117" s="295">
        <f t="shared" si="8"/>
        <v>41498.138764222538</v>
      </c>
      <c r="E117" s="295">
        <f t="shared" si="9"/>
        <v>1788.8371156422374</v>
      </c>
      <c r="F117" s="295">
        <f t="shared" si="13"/>
        <v>14921.087851101976</v>
      </c>
      <c r="G117" s="295">
        <f t="shared" si="14"/>
        <v>1585712.2467187622</v>
      </c>
      <c r="H117" s="295">
        <f t="shared" si="15"/>
        <v>2066123.9645328219</v>
      </c>
      <c r="I117" s="295">
        <f t="shared" si="10"/>
        <v>5089224.4980361294</v>
      </c>
    </row>
    <row r="118" spans="2:9" s="297" customFormat="1" ht="10.5" customHeight="1" x14ac:dyDescent="0.2">
      <c r="B118" s="293">
        <f t="shared" si="11"/>
        <v>89</v>
      </c>
      <c r="C118" s="294">
        <f t="shared" si="12"/>
        <v>44682</v>
      </c>
      <c r="D118" s="295">
        <f t="shared" si="8"/>
        <v>41498.138764222538</v>
      </c>
      <c r="E118" s="295">
        <f t="shared" si="9"/>
        <v>1788.8371156422374</v>
      </c>
      <c r="F118" s="295">
        <f t="shared" si="13"/>
        <v>14843.571452605376</v>
      </c>
      <c r="G118" s="295">
        <f t="shared" si="14"/>
        <v>1600555.8181713675</v>
      </c>
      <c r="H118" s="295">
        <f t="shared" si="15"/>
        <v>2092778.531844439</v>
      </c>
      <c r="I118" s="295">
        <f t="shared" si="10"/>
        <v>5062569.9307245119</v>
      </c>
    </row>
    <row r="119" spans="2:9" s="297" customFormat="1" ht="10.5" customHeight="1" x14ac:dyDescent="0.2">
      <c r="B119" s="293">
        <f t="shared" si="11"/>
        <v>90</v>
      </c>
      <c r="C119" s="294">
        <f t="shared" si="12"/>
        <v>44713</v>
      </c>
      <c r="D119" s="295">
        <f t="shared" si="8"/>
        <v>41498.138764222538</v>
      </c>
      <c r="E119" s="295">
        <f t="shared" si="9"/>
        <v>1788.8371156422374</v>
      </c>
      <c r="F119" s="295">
        <f t="shared" si="13"/>
        <v>14765.82896461316</v>
      </c>
      <c r="G119" s="295">
        <f t="shared" si="14"/>
        <v>1615321.6471359807</v>
      </c>
      <c r="H119" s="295">
        <f t="shared" si="15"/>
        <v>2119510.8416440482</v>
      </c>
      <c r="I119" s="295">
        <f t="shared" si="10"/>
        <v>5035837.6209249031</v>
      </c>
    </row>
    <row r="120" spans="2:9" ht="10.5" customHeight="1" x14ac:dyDescent="0.25">
      <c r="B120" s="293">
        <f t="shared" si="11"/>
        <v>91</v>
      </c>
      <c r="C120" s="294">
        <f t="shared" si="12"/>
        <v>44743</v>
      </c>
      <c r="D120" s="295">
        <f t="shared" si="8"/>
        <v>41498.138764222538</v>
      </c>
      <c r="E120" s="295">
        <f t="shared" si="9"/>
        <v>1788.8371156422374</v>
      </c>
      <c r="F120" s="295">
        <f t="shared" si="13"/>
        <v>14687.859727697634</v>
      </c>
      <c r="G120" s="295">
        <f t="shared" si="14"/>
        <v>1630009.5068636783</v>
      </c>
      <c r="H120" s="295">
        <f t="shared" si="15"/>
        <v>2146321.1206805729</v>
      </c>
      <c r="I120" s="295">
        <f t="shared" si="10"/>
        <v>5009027.3418883774</v>
      </c>
    </row>
    <row r="121" spans="2:9" ht="10.5" customHeight="1" x14ac:dyDescent="0.25">
      <c r="B121" s="293">
        <f t="shared" si="11"/>
        <v>92</v>
      </c>
      <c r="C121" s="294">
        <f t="shared" si="12"/>
        <v>44774</v>
      </c>
      <c r="D121" s="295">
        <f t="shared" si="8"/>
        <v>41498.138764222538</v>
      </c>
      <c r="E121" s="295">
        <f t="shared" si="9"/>
        <v>1788.8371156422374</v>
      </c>
      <c r="F121" s="295">
        <f t="shared" si="13"/>
        <v>14609.663080507768</v>
      </c>
      <c r="G121" s="295">
        <f t="shared" si="14"/>
        <v>1644619.169944186</v>
      </c>
      <c r="H121" s="295">
        <f t="shared" si="15"/>
        <v>2173209.5963642877</v>
      </c>
      <c r="I121" s="295">
        <f t="shared" si="10"/>
        <v>4982138.8662046632</v>
      </c>
    </row>
    <row r="122" spans="2:9" ht="10.5" customHeight="1" x14ac:dyDescent="0.25">
      <c r="B122" s="293">
        <f t="shared" si="11"/>
        <v>93</v>
      </c>
      <c r="C122" s="294">
        <f t="shared" si="12"/>
        <v>44805</v>
      </c>
      <c r="D122" s="295">
        <f t="shared" si="8"/>
        <v>41498.138764222538</v>
      </c>
      <c r="E122" s="295">
        <f t="shared" si="9"/>
        <v>1788.8371156422374</v>
      </c>
      <c r="F122" s="295">
        <f t="shared" si="13"/>
        <v>14531.2383597636</v>
      </c>
      <c r="G122" s="295">
        <f t="shared" si="14"/>
        <v>1659150.4083039495</v>
      </c>
      <c r="H122" s="295">
        <f t="shared" si="15"/>
        <v>2200176.4967687465</v>
      </c>
      <c r="I122" s="295">
        <f t="shared" si="10"/>
        <v>4955171.9658002043</v>
      </c>
    </row>
    <row r="123" spans="2:9" ht="10.5" customHeight="1" x14ac:dyDescent="0.25">
      <c r="B123" s="293">
        <f t="shared" si="11"/>
        <v>94</v>
      </c>
      <c r="C123" s="294">
        <f t="shared" si="12"/>
        <v>44835</v>
      </c>
      <c r="D123" s="295">
        <f t="shared" si="8"/>
        <v>41498.138764222538</v>
      </c>
      <c r="E123" s="295">
        <f t="shared" si="9"/>
        <v>1788.8371156422374</v>
      </c>
      <c r="F123" s="295">
        <f t="shared" si="13"/>
        <v>14452.584900250595</v>
      </c>
      <c r="G123" s="295">
        <f t="shared" si="14"/>
        <v>1673602.9932042002</v>
      </c>
      <c r="H123" s="295">
        <f t="shared" si="15"/>
        <v>2227222.0506327185</v>
      </c>
      <c r="I123" s="295">
        <f t="shared" si="10"/>
        <v>4928126.4119362328</v>
      </c>
    </row>
    <row r="124" spans="2:9" ht="10.5" customHeight="1" x14ac:dyDescent="0.25">
      <c r="B124" s="293">
        <f t="shared" si="11"/>
        <v>95</v>
      </c>
      <c r="C124" s="294">
        <f t="shared" si="12"/>
        <v>44866</v>
      </c>
      <c r="D124" s="295">
        <f t="shared" si="8"/>
        <v>41498.138764222538</v>
      </c>
      <c r="E124" s="295">
        <f t="shared" si="9"/>
        <v>1788.8371156422374</v>
      </c>
      <c r="F124" s="295">
        <f t="shared" si="13"/>
        <v>14373.702034814014</v>
      </c>
      <c r="G124" s="295">
        <f t="shared" si="14"/>
        <v>1687976.6952390142</v>
      </c>
      <c r="H124" s="295">
        <f t="shared" si="15"/>
        <v>2254346.4873621268</v>
      </c>
      <c r="I124" s="295">
        <f t="shared" si="10"/>
        <v>4901001.975206824</v>
      </c>
    </row>
    <row r="125" spans="2:9" ht="10.5" customHeight="1" x14ac:dyDescent="0.25">
      <c r="B125" s="293">
        <f t="shared" si="11"/>
        <v>96</v>
      </c>
      <c r="C125" s="294">
        <f t="shared" si="12"/>
        <v>44896</v>
      </c>
      <c r="D125" s="295">
        <f t="shared" si="8"/>
        <v>41498.138764222538</v>
      </c>
      <c r="E125" s="295">
        <f t="shared" si="9"/>
        <v>1788.8371156422374</v>
      </c>
      <c r="F125" s="295">
        <f t="shared" si="13"/>
        <v>14294.589094353238</v>
      </c>
      <c r="G125" s="295">
        <f t="shared" si="14"/>
        <v>1702271.2843333674</v>
      </c>
      <c r="H125" s="295">
        <f t="shared" si="15"/>
        <v>2281550.0370319961</v>
      </c>
      <c r="I125" s="295">
        <f t="shared" si="10"/>
        <v>4873798.4255369548</v>
      </c>
    </row>
    <row r="126" spans="2:9" ht="10.5" customHeight="1" x14ac:dyDescent="0.25">
      <c r="B126" s="293">
        <f t="shared" si="11"/>
        <v>97</v>
      </c>
      <c r="C126" s="294">
        <f t="shared" si="12"/>
        <v>44927</v>
      </c>
      <c r="D126" s="295">
        <f t="shared" si="8"/>
        <v>41498.138764222538</v>
      </c>
      <c r="E126" s="295">
        <f t="shared" si="9"/>
        <v>1788.8371156422374</v>
      </c>
      <c r="F126" s="295">
        <f t="shared" si="13"/>
        <v>14215.245407816119</v>
      </c>
      <c r="G126" s="295">
        <f t="shared" si="14"/>
        <v>1716486.5297411834</v>
      </c>
      <c r="H126" s="295">
        <f t="shared" si="15"/>
        <v>2308832.9303884027</v>
      </c>
      <c r="I126" s="295">
        <f t="shared" si="10"/>
        <v>4846515.5321805477</v>
      </c>
    </row>
    <row r="127" spans="2:9" ht="10.5" customHeight="1" x14ac:dyDescent="0.25">
      <c r="B127" s="293">
        <f t="shared" si="11"/>
        <v>98</v>
      </c>
      <c r="C127" s="294">
        <f t="shared" si="12"/>
        <v>44958</v>
      </c>
      <c r="D127" s="295">
        <f t="shared" si="8"/>
        <v>41498.138764222538</v>
      </c>
      <c r="E127" s="295">
        <f t="shared" si="9"/>
        <v>1788.8371156422374</v>
      </c>
      <c r="F127" s="295">
        <f t="shared" si="13"/>
        <v>14135.670302193264</v>
      </c>
      <c r="G127" s="295">
        <f t="shared" si="14"/>
        <v>1730622.2000433768</v>
      </c>
      <c r="H127" s="295">
        <f t="shared" si="15"/>
        <v>2336195.3988504321</v>
      </c>
      <c r="I127" s="295">
        <f t="shared" si="10"/>
        <v>4819153.0637185182</v>
      </c>
    </row>
    <row r="128" spans="2:9" ht="10.5" customHeight="1" x14ac:dyDescent="0.25">
      <c r="B128" s="293">
        <f t="shared" si="11"/>
        <v>99</v>
      </c>
      <c r="C128" s="294">
        <f t="shared" si="12"/>
        <v>44986</v>
      </c>
      <c r="D128" s="295">
        <f t="shared" si="8"/>
        <v>41498.138764222538</v>
      </c>
      <c r="E128" s="295">
        <f t="shared" si="9"/>
        <v>1788.8371156422374</v>
      </c>
      <c r="F128" s="295">
        <f t="shared" si="13"/>
        <v>14055.863102512345</v>
      </c>
      <c r="G128" s="295">
        <f t="shared" si="14"/>
        <v>1744678.0631458892</v>
      </c>
      <c r="H128" s="295">
        <f t="shared" si="15"/>
        <v>2363637.6745121423</v>
      </c>
      <c r="I128" s="295">
        <f t="shared" si="10"/>
        <v>4791710.7880568085</v>
      </c>
    </row>
    <row r="129" spans="2:9" ht="10.5" customHeight="1" x14ac:dyDescent="0.25">
      <c r="B129" s="293">
        <f t="shared" si="11"/>
        <v>100</v>
      </c>
      <c r="C129" s="294">
        <f t="shared" si="12"/>
        <v>45017</v>
      </c>
      <c r="D129" s="295">
        <f t="shared" si="8"/>
        <v>41498.138764222538</v>
      </c>
      <c r="E129" s="295">
        <f t="shared" si="9"/>
        <v>1788.8371156422374</v>
      </c>
      <c r="F129" s="295">
        <f t="shared" si="13"/>
        <v>13975.823131832358</v>
      </c>
      <c r="G129" s="295">
        <f t="shared" si="14"/>
        <v>1758653.8862777215</v>
      </c>
      <c r="H129" s="295">
        <f t="shared" si="15"/>
        <v>2391159.9901445326</v>
      </c>
      <c r="I129" s="295">
        <f t="shared" si="10"/>
        <v>4764188.4724244177</v>
      </c>
    </row>
    <row r="130" spans="2:9" ht="10.5" customHeight="1" x14ac:dyDescent="0.25">
      <c r="B130" s="293">
        <f t="shared" si="11"/>
        <v>101</v>
      </c>
      <c r="C130" s="294">
        <f t="shared" si="12"/>
        <v>45047</v>
      </c>
      <c r="D130" s="295">
        <f t="shared" si="8"/>
        <v>41498.138764222538</v>
      </c>
      <c r="E130" s="295">
        <f t="shared" si="9"/>
        <v>1788.8371156422374</v>
      </c>
      <c r="F130" s="295">
        <f t="shared" si="13"/>
        <v>13895.549711237885</v>
      </c>
      <c r="G130" s="295">
        <f t="shared" si="14"/>
        <v>1772549.4359889594</v>
      </c>
      <c r="H130" s="295">
        <f t="shared" si="15"/>
        <v>2418762.5791975171</v>
      </c>
      <c r="I130" s="295">
        <f t="shared" si="10"/>
        <v>4736585.8833714332</v>
      </c>
    </row>
    <row r="131" spans="2:9" ht="10.5" customHeight="1" x14ac:dyDescent="0.25">
      <c r="B131" s="293">
        <f t="shared" si="11"/>
        <v>102</v>
      </c>
      <c r="C131" s="294">
        <f t="shared" si="12"/>
        <v>45078</v>
      </c>
      <c r="D131" s="295">
        <f t="shared" si="8"/>
        <v>41498.138764222538</v>
      </c>
      <c r="E131" s="295">
        <f t="shared" si="9"/>
        <v>1788.8371156422374</v>
      </c>
      <c r="F131" s="295">
        <f t="shared" si="13"/>
        <v>13815.042159833347</v>
      </c>
      <c r="G131" s="295">
        <f t="shared" si="14"/>
        <v>1786364.4781487926</v>
      </c>
      <c r="H131" s="295">
        <f t="shared" si="15"/>
        <v>2446445.6758019063</v>
      </c>
      <c r="I131" s="295">
        <f t="shared" si="10"/>
        <v>4708902.786767045</v>
      </c>
    </row>
    <row r="132" spans="2:9" ht="10.5" customHeight="1" x14ac:dyDescent="0.25">
      <c r="B132" s="293">
        <f t="shared" si="11"/>
        <v>103</v>
      </c>
      <c r="C132" s="294">
        <f t="shared" si="12"/>
        <v>45108</v>
      </c>
      <c r="D132" s="295">
        <f t="shared" si="8"/>
        <v>41498.138764222538</v>
      </c>
      <c r="E132" s="295">
        <f t="shared" si="9"/>
        <v>1788.8371156422374</v>
      </c>
      <c r="F132" s="295">
        <f t="shared" si="13"/>
        <v>13734.299794737215</v>
      </c>
      <c r="G132" s="295">
        <f t="shared" si="14"/>
        <v>1800098.7779435299</v>
      </c>
      <c r="H132" s="295">
        <f t="shared" si="15"/>
        <v>2474209.5147713916</v>
      </c>
      <c r="I132" s="295">
        <f t="shared" si="10"/>
        <v>4681138.9477975592</v>
      </c>
    </row>
    <row r="133" spans="2:9" ht="10.5" customHeight="1" x14ac:dyDescent="0.25">
      <c r="B133" s="293">
        <f t="shared" si="11"/>
        <v>104</v>
      </c>
      <c r="C133" s="294">
        <f t="shared" si="12"/>
        <v>45139</v>
      </c>
      <c r="D133" s="295">
        <f t="shared" si="8"/>
        <v>41498.138764222538</v>
      </c>
      <c r="E133" s="295">
        <f t="shared" si="9"/>
        <v>1788.8371156422374</v>
      </c>
      <c r="F133" s="295">
        <f t="shared" si="13"/>
        <v>13653.321931076214</v>
      </c>
      <c r="G133" s="295">
        <f t="shared" si="14"/>
        <v>1813752.0998746061</v>
      </c>
      <c r="H133" s="295">
        <f t="shared" si="15"/>
        <v>2502054.331604538</v>
      </c>
      <c r="I133" s="295">
        <f t="shared" si="10"/>
        <v>4653294.1309644133</v>
      </c>
    </row>
    <row r="134" spans="2:9" ht="10.5" customHeight="1" x14ac:dyDescent="0.25">
      <c r="B134" s="293">
        <f t="shared" si="11"/>
        <v>105</v>
      </c>
      <c r="C134" s="294">
        <f t="shared" si="12"/>
        <v>45170</v>
      </c>
      <c r="D134" s="295">
        <f t="shared" si="8"/>
        <v>41498.138764222538</v>
      </c>
      <c r="E134" s="295">
        <f t="shared" si="9"/>
        <v>1788.8371156422374</v>
      </c>
      <c r="F134" s="295">
        <f t="shared" si="13"/>
        <v>13572.107881979538</v>
      </c>
      <c r="G134" s="295">
        <f t="shared" si="14"/>
        <v>1827324.2077565857</v>
      </c>
      <c r="H134" s="295">
        <f t="shared" si="15"/>
        <v>2529980.3624867811</v>
      </c>
      <c r="I134" s="295">
        <f t="shared" si="10"/>
        <v>4625368.1000821702</v>
      </c>
    </row>
    <row r="135" spans="2:9" ht="10.5" customHeight="1" x14ac:dyDescent="0.25">
      <c r="B135" s="293">
        <f t="shared" si="11"/>
        <v>106</v>
      </c>
      <c r="C135" s="294">
        <f t="shared" si="12"/>
        <v>45200</v>
      </c>
      <c r="D135" s="295">
        <f t="shared" si="8"/>
        <v>41498.138764222538</v>
      </c>
      <c r="E135" s="295">
        <f t="shared" si="9"/>
        <v>1788.8371156422374</v>
      </c>
      <c r="F135" s="295">
        <f t="shared" si="13"/>
        <v>13490.656958572996</v>
      </c>
      <c r="G135" s="295">
        <f t="shared" si="14"/>
        <v>1840814.8647151587</v>
      </c>
      <c r="H135" s="295">
        <f t="shared" si="15"/>
        <v>2557987.8442924307</v>
      </c>
      <c r="I135" s="295">
        <f t="shared" si="10"/>
        <v>4597360.6182765197</v>
      </c>
    </row>
    <row r="136" spans="2:9" ht="10.5" customHeight="1" x14ac:dyDescent="0.25">
      <c r="B136" s="293">
        <f t="shared" si="11"/>
        <v>107</v>
      </c>
      <c r="C136" s="294">
        <f t="shared" si="12"/>
        <v>45231</v>
      </c>
      <c r="D136" s="295">
        <f t="shared" si="8"/>
        <v>41498.138764222538</v>
      </c>
      <c r="E136" s="295">
        <f t="shared" si="9"/>
        <v>1788.8371156422374</v>
      </c>
      <c r="F136" s="295">
        <f t="shared" si="13"/>
        <v>13408.968469973181</v>
      </c>
      <c r="G136" s="295">
        <f t="shared" si="14"/>
        <v>1854223.8331851319</v>
      </c>
      <c r="H136" s="295">
        <f t="shared" si="15"/>
        <v>2586077.0145866801</v>
      </c>
      <c r="I136" s="295">
        <f t="shared" si="10"/>
        <v>4569271.4479822703</v>
      </c>
    </row>
    <row r="137" spans="2:9" ht="10.5" customHeight="1" x14ac:dyDescent="0.25">
      <c r="B137" s="293">
        <f t="shared" si="11"/>
        <v>108</v>
      </c>
      <c r="C137" s="294">
        <f t="shared" si="12"/>
        <v>45261</v>
      </c>
      <c r="D137" s="295">
        <f t="shared" si="8"/>
        <v>41498.138764222538</v>
      </c>
      <c r="E137" s="295">
        <f t="shared" si="9"/>
        <v>1788.8371156422374</v>
      </c>
      <c r="F137" s="295">
        <f t="shared" si="13"/>
        <v>13327.04172328162</v>
      </c>
      <c r="G137" s="295">
        <f t="shared" si="14"/>
        <v>1867550.8749084135</v>
      </c>
      <c r="H137" s="295">
        <f t="shared" si="15"/>
        <v>2614248.1116276211</v>
      </c>
      <c r="I137" s="295">
        <f t="shared" si="10"/>
        <v>4541100.3509413302</v>
      </c>
    </row>
    <row r="138" spans="2:9" ht="10.5" customHeight="1" x14ac:dyDescent="0.25">
      <c r="B138" s="293">
        <f t="shared" si="11"/>
        <v>109</v>
      </c>
      <c r="C138" s="294">
        <f t="shared" si="12"/>
        <v>45292</v>
      </c>
      <c r="D138" s="295">
        <f t="shared" si="8"/>
        <v>41498.138764222538</v>
      </c>
      <c r="E138" s="295">
        <f t="shared" si="9"/>
        <v>1788.8371156422374</v>
      </c>
      <c r="F138" s="295">
        <f t="shared" si="13"/>
        <v>13244.87602357888</v>
      </c>
      <c r="G138" s="295">
        <f t="shared" si="14"/>
        <v>1880795.7509319924</v>
      </c>
      <c r="H138" s="295">
        <f t="shared" si="15"/>
        <v>2642501.3743682648</v>
      </c>
      <c r="I138" s="295">
        <f t="shared" si="10"/>
        <v>4512847.0882006865</v>
      </c>
    </row>
    <row r="139" spans="2:9" ht="10.5" customHeight="1" x14ac:dyDescent="0.25">
      <c r="B139" s="293">
        <f t="shared" si="11"/>
        <v>110</v>
      </c>
      <c r="C139" s="294">
        <f t="shared" si="12"/>
        <v>45323</v>
      </c>
      <c r="D139" s="295">
        <f t="shared" si="8"/>
        <v>41498.138764222538</v>
      </c>
      <c r="E139" s="295">
        <f t="shared" si="9"/>
        <v>1788.8371156422374</v>
      </c>
      <c r="F139" s="295">
        <f t="shared" si="13"/>
        <v>13162.470673918668</v>
      </c>
      <c r="G139" s="295">
        <f t="shared" si="14"/>
        <v>1893958.2216059112</v>
      </c>
      <c r="H139" s="295">
        <f t="shared" si="15"/>
        <v>2670837.0424585687</v>
      </c>
      <c r="I139" s="295">
        <f t="shared" si="10"/>
        <v>4484511.4201103821</v>
      </c>
    </row>
    <row r="140" spans="2:9" ht="10.5" customHeight="1" x14ac:dyDescent="0.25">
      <c r="B140" s="293">
        <f t="shared" si="11"/>
        <v>111</v>
      </c>
      <c r="C140" s="294">
        <f t="shared" si="12"/>
        <v>45352</v>
      </c>
      <c r="D140" s="295">
        <f t="shared" si="8"/>
        <v>41498.138764222538</v>
      </c>
      <c r="E140" s="295">
        <f t="shared" si="9"/>
        <v>1788.8371156422374</v>
      </c>
      <c r="F140" s="295">
        <f t="shared" si="13"/>
        <v>13079.824975321948</v>
      </c>
      <c r="G140" s="295">
        <f t="shared" si="14"/>
        <v>1907038.0465812332</v>
      </c>
      <c r="H140" s="295">
        <f t="shared" si="15"/>
        <v>2699255.3562474693</v>
      </c>
      <c r="I140" s="295">
        <f t="shared" si="10"/>
        <v>4456093.106321482</v>
      </c>
    </row>
    <row r="141" spans="2:9" ht="10.5" customHeight="1" x14ac:dyDescent="0.25">
      <c r="B141" s="293">
        <f t="shared" si="11"/>
        <v>112</v>
      </c>
      <c r="C141" s="294">
        <f t="shared" si="12"/>
        <v>45383</v>
      </c>
      <c r="D141" s="295">
        <f t="shared" si="8"/>
        <v>41498.138764222538</v>
      </c>
      <c r="E141" s="295">
        <f t="shared" si="9"/>
        <v>1788.8371156422374</v>
      </c>
      <c r="F141" s="295">
        <f t="shared" si="13"/>
        <v>12996.938226770988</v>
      </c>
      <c r="G141" s="295">
        <f t="shared" si="14"/>
        <v>1920034.9848080042</v>
      </c>
      <c r="H141" s="295">
        <f t="shared" si="15"/>
        <v>2727756.5567849209</v>
      </c>
      <c r="I141" s="295">
        <f t="shared" si="10"/>
        <v>4427591.9057840295</v>
      </c>
    </row>
    <row r="142" spans="2:9" ht="10.5" customHeight="1" x14ac:dyDescent="0.25">
      <c r="B142" s="293">
        <f t="shared" si="11"/>
        <v>113</v>
      </c>
      <c r="C142" s="294">
        <f t="shared" si="12"/>
        <v>45413</v>
      </c>
      <c r="D142" s="295">
        <f t="shared" si="8"/>
        <v>41498.138764222538</v>
      </c>
      <c r="E142" s="295">
        <f t="shared" si="9"/>
        <v>1788.8371156422374</v>
      </c>
      <c r="F142" s="295">
        <f t="shared" si="13"/>
        <v>12913.80972520342</v>
      </c>
      <c r="G142" s="295">
        <f t="shared" si="14"/>
        <v>1932948.7945332075</v>
      </c>
      <c r="H142" s="295">
        <f t="shared" si="15"/>
        <v>2756340.8858239399</v>
      </c>
      <c r="I142" s="295">
        <f t="shared" si="10"/>
        <v>4399007.5767450109</v>
      </c>
    </row>
    <row r="143" spans="2:9" ht="10.5" customHeight="1" x14ac:dyDescent="0.25">
      <c r="B143" s="293">
        <f t="shared" si="11"/>
        <v>114</v>
      </c>
      <c r="C143" s="294">
        <f t="shared" si="12"/>
        <v>45444</v>
      </c>
      <c r="D143" s="295">
        <f t="shared" si="8"/>
        <v>41498.138764222538</v>
      </c>
      <c r="E143" s="295">
        <f t="shared" si="9"/>
        <v>1788.8371156422374</v>
      </c>
      <c r="F143" s="295">
        <f t="shared" si="13"/>
        <v>12830.438765506282</v>
      </c>
      <c r="G143" s="295">
        <f t="shared" si="14"/>
        <v>1945779.2332987138</v>
      </c>
      <c r="H143" s="295">
        <f t="shared" si="15"/>
        <v>2785008.5858226563</v>
      </c>
      <c r="I143" s="295">
        <f t="shared" si="10"/>
        <v>4370339.876746295</v>
      </c>
    </row>
    <row r="144" spans="2:9" ht="10.5" customHeight="1" x14ac:dyDescent="0.25">
      <c r="B144" s="293">
        <f t="shared" si="11"/>
        <v>115</v>
      </c>
      <c r="C144" s="294">
        <f t="shared" si="12"/>
        <v>45474</v>
      </c>
      <c r="D144" s="295">
        <f t="shared" si="8"/>
        <v>41498.138764222538</v>
      </c>
      <c r="E144" s="295">
        <f t="shared" si="9"/>
        <v>1788.8371156422374</v>
      </c>
      <c r="F144" s="295">
        <f t="shared" si="13"/>
        <v>12746.824640510027</v>
      </c>
      <c r="G144" s="295">
        <f t="shared" si="14"/>
        <v>1958526.0579392239</v>
      </c>
      <c r="H144" s="295">
        <f t="shared" si="15"/>
        <v>2813759.8999463688</v>
      </c>
      <c r="I144" s="295">
        <f t="shared" si="10"/>
        <v>4341588.5626225825</v>
      </c>
    </row>
    <row r="145" spans="2:9" ht="10.5" customHeight="1" x14ac:dyDescent="0.25">
      <c r="B145" s="293">
        <f t="shared" si="11"/>
        <v>116</v>
      </c>
      <c r="C145" s="294">
        <f t="shared" si="12"/>
        <v>45505</v>
      </c>
      <c r="D145" s="295">
        <f t="shared" si="8"/>
        <v>41498.138764222538</v>
      </c>
      <c r="E145" s="295">
        <f t="shared" si="9"/>
        <v>1788.8371156422374</v>
      </c>
      <c r="F145" s="295">
        <f t="shared" si="13"/>
        <v>12662.966640982531</v>
      </c>
      <c r="G145" s="295">
        <f t="shared" si="14"/>
        <v>1971189.0245802065</v>
      </c>
      <c r="H145" s="295">
        <f t="shared" si="15"/>
        <v>2842595.0720696086</v>
      </c>
      <c r="I145" s="295">
        <f t="shared" si="10"/>
        <v>4312753.3904993422</v>
      </c>
    </row>
    <row r="146" spans="2:9" ht="10.5" customHeight="1" x14ac:dyDescent="0.25">
      <c r="B146" s="293">
        <f t="shared" si="11"/>
        <v>117</v>
      </c>
      <c r="C146" s="294">
        <f t="shared" si="12"/>
        <v>45536</v>
      </c>
      <c r="D146" s="295">
        <f t="shared" si="8"/>
        <v>41498.138764222538</v>
      </c>
      <c r="E146" s="295">
        <f t="shared" si="9"/>
        <v>1788.8371156422374</v>
      </c>
      <c r="F146" s="295">
        <f t="shared" si="13"/>
        <v>12578.864055623082</v>
      </c>
      <c r="G146" s="295">
        <f t="shared" si="14"/>
        <v>1983767.8886358296</v>
      </c>
      <c r="H146" s="295">
        <f t="shared" si="15"/>
        <v>2871514.3467782079</v>
      </c>
      <c r="I146" s="295">
        <f t="shared" si="10"/>
        <v>4283834.1157907434</v>
      </c>
    </row>
    <row r="147" spans="2:9" ht="10.5" customHeight="1" x14ac:dyDescent="0.25">
      <c r="B147" s="293">
        <f t="shared" si="11"/>
        <v>118</v>
      </c>
      <c r="C147" s="294">
        <f t="shared" si="12"/>
        <v>45566</v>
      </c>
      <c r="D147" s="295">
        <f t="shared" si="8"/>
        <v>41498.138764222538</v>
      </c>
      <c r="E147" s="295">
        <f t="shared" si="9"/>
        <v>1788.8371156422374</v>
      </c>
      <c r="F147" s="295">
        <f t="shared" si="13"/>
        <v>12494.516171056335</v>
      </c>
      <c r="G147" s="295">
        <f t="shared" si="14"/>
        <v>1996262.4048068859</v>
      </c>
      <c r="H147" s="295">
        <f t="shared" si="15"/>
        <v>2900517.9693713742</v>
      </c>
      <c r="I147" s="295">
        <f t="shared" si="10"/>
        <v>4254830.4931975771</v>
      </c>
    </row>
    <row r="148" spans="2:9" ht="10.5" customHeight="1" x14ac:dyDescent="0.25">
      <c r="B148" s="293">
        <f t="shared" si="11"/>
        <v>119</v>
      </c>
      <c r="C148" s="294">
        <f t="shared" si="12"/>
        <v>45597</v>
      </c>
      <c r="D148" s="295">
        <f t="shared" si="8"/>
        <v>41498.138764222538</v>
      </c>
      <c r="E148" s="295">
        <f t="shared" si="9"/>
        <v>1788.8371156422374</v>
      </c>
      <c r="F148" s="295">
        <f t="shared" si="13"/>
        <v>12409.922271826268</v>
      </c>
      <c r="G148" s="295">
        <f t="shared" si="14"/>
        <v>2008672.3270787122</v>
      </c>
      <c r="H148" s="295">
        <f t="shared" si="15"/>
        <v>2929606.1858637705</v>
      </c>
      <c r="I148" s="295">
        <f t="shared" si="10"/>
        <v>4225742.2767051803</v>
      </c>
    </row>
    <row r="149" spans="2:9" ht="10.5" customHeight="1" x14ac:dyDescent="0.25">
      <c r="B149" s="293">
        <f t="shared" si="11"/>
        <v>120</v>
      </c>
      <c r="C149" s="294">
        <f t="shared" si="12"/>
        <v>45627</v>
      </c>
      <c r="D149" s="295">
        <f t="shared" si="8"/>
        <v>41498.138764222538</v>
      </c>
      <c r="E149" s="295">
        <f t="shared" si="9"/>
        <v>1788.8371156422374</v>
      </c>
      <c r="F149" s="295">
        <f t="shared" si="13"/>
        <v>12325.08164039011</v>
      </c>
      <c r="G149" s="295">
        <f t="shared" si="14"/>
        <v>2020997.4087191024</v>
      </c>
      <c r="H149" s="295">
        <f t="shared" si="15"/>
        <v>2958779.2429876029</v>
      </c>
      <c r="I149" s="295">
        <f t="shared" si="10"/>
        <v>4196569.2195813479</v>
      </c>
    </row>
    <row r="150" spans="2:9" ht="10.5" customHeight="1" x14ac:dyDescent="0.25">
      <c r="B150" s="293">
        <f t="shared" si="11"/>
        <v>121</v>
      </c>
      <c r="C150" s="294">
        <f t="shared" si="12"/>
        <v>45658</v>
      </c>
      <c r="D150" s="295">
        <f t="shared" si="8"/>
        <v>41498.138764222538</v>
      </c>
      <c r="E150" s="295">
        <f t="shared" si="9"/>
        <v>1788.8371156422374</v>
      </c>
      <c r="F150" s="295">
        <f t="shared" si="13"/>
        <v>12239.993557112264</v>
      </c>
      <c r="G150" s="295">
        <f t="shared" si="14"/>
        <v>2033237.4022762147</v>
      </c>
      <c r="H150" s="295">
        <f t="shared" si="15"/>
        <v>2988037.3881947133</v>
      </c>
      <c r="I150" s="295">
        <f t="shared" si="10"/>
        <v>4167311.0743742376</v>
      </c>
    </row>
    <row r="151" spans="2:9" ht="10.5" customHeight="1" x14ac:dyDescent="0.25">
      <c r="B151" s="293">
        <f t="shared" si="11"/>
        <v>122</v>
      </c>
      <c r="C151" s="294">
        <f t="shared" si="12"/>
        <v>45689</v>
      </c>
      <c r="D151" s="295">
        <f t="shared" si="8"/>
        <v>41498.138764222538</v>
      </c>
      <c r="E151" s="295">
        <f t="shared" si="9"/>
        <v>1788.8371156422374</v>
      </c>
      <c r="F151" s="295">
        <f t="shared" si="13"/>
        <v>12154.657300258194</v>
      </c>
      <c r="G151" s="295">
        <f t="shared" si="14"/>
        <v>2045392.059576473</v>
      </c>
      <c r="H151" s="295">
        <f t="shared" si="15"/>
        <v>3017380.8696586778</v>
      </c>
      <c r="I151" s="295">
        <f t="shared" si="10"/>
        <v>4137967.592910273</v>
      </c>
    </row>
    <row r="152" spans="2:9" ht="10.5" customHeight="1" x14ac:dyDescent="0.25">
      <c r="B152" s="293">
        <f t="shared" si="11"/>
        <v>123</v>
      </c>
      <c r="C152" s="294">
        <f t="shared" si="12"/>
        <v>45717</v>
      </c>
      <c r="D152" s="295">
        <f t="shared" si="8"/>
        <v>41498.138764222538</v>
      </c>
      <c r="E152" s="295">
        <f t="shared" si="9"/>
        <v>1788.8371156422374</v>
      </c>
      <c r="F152" s="295">
        <f t="shared" si="13"/>
        <v>12069.072145988297</v>
      </c>
      <c r="G152" s="295">
        <f t="shared" si="14"/>
        <v>2057461.1317224612</v>
      </c>
      <c r="H152" s="295">
        <f t="shared" si="15"/>
        <v>3046809.9362769122</v>
      </c>
      <c r="I152" s="295">
        <f t="shared" si="10"/>
        <v>4108538.5262920386</v>
      </c>
    </row>
    <row r="153" spans="2:9" ht="10.5" customHeight="1" x14ac:dyDescent="0.25">
      <c r="B153" s="293">
        <f t="shared" si="11"/>
        <v>124</v>
      </c>
      <c r="C153" s="294">
        <f t="shared" si="12"/>
        <v>45748</v>
      </c>
      <c r="D153" s="295">
        <f t="shared" si="8"/>
        <v>41498.138764222538</v>
      </c>
      <c r="E153" s="295">
        <f t="shared" si="9"/>
        <v>1788.8371156422374</v>
      </c>
      <c r="F153" s="295">
        <f t="shared" si="13"/>
        <v>11983.23736835178</v>
      </c>
      <c r="G153" s="295">
        <f t="shared" si="14"/>
        <v>2069444.369090813</v>
      </c>
      <c r="H153" s="295">
        <f t="shared" si="15"/>
        <v>3076324.8376727831</v>
      </c>
      <c r="I153" s="295">
        <f t="shared" si="10"/>
        <v>4079023.6248961678</v>
      </c>
    </row>
    <row r="154" spans="2:9" ht="10.5" customHeight="1" x14ac:dyDescent="0.25">
      <c r="B154" s="293">
        <f t="shared" si="11"/>
        <v>125</v>
      </c>
      <c r="C154" s="294">
        <f t="shared" si="12"/>
        <v>45778</v>
      </c>
      <c r="D154" s="295">
        <f t="shared" si="8"/>
        <v>41498.138764222538</v>
      </c>
      <c r="E154" s="295">
        <f t="shared" si="9"/>
        <v>1788.8371156422374</v>
      </c>
      <c r="F154" s="295">
        <f t="shared" si="13"/>
        <v>11897.152239280489</v>
      </c>
      <c r="G154" s="295">
        <f t="shared" si="14"/>
        <v>2081341.5213300935</v>
      </c>
      <c r="H154" s="295">
        <f t="shared" si="15"/>
        <v>3105925.8241977249</v>
      </c>
      <c r="I154" s="295">
        <f t="shared" si="10"/>
        <v>4049422.6383712259</v>
      </c>
    </row>
    <row r="155" spans="2:9" ht="10.5" customHeight="1" x14ac:dyDescent="0.25">
      <c r="B155" s="293">
        <f t="shared" si="11"/>
        <v>126</v>
      </c>
      <c r="C155" s="294">
        <f t="shared" si="12"/>
        <v>45809</v>
      </c>
      <c r="D155" s="295">
        <f t="shared" si="8"/>
        <v>41498.138764222538</v>
      </c>
      <c r="E155" s="295">
        <f t="shared" si="9"/>
        <v>1788.8371156422374</v>
      </c>
      <c r="F155" s="295">
        <f t="shared" si="13"/>
        <v>11810.816028582742</v>
      </c>
      <c r="G155" s="295">
        <f t="shared" si="14"/>
        <v>2093152.3373586761</v>
      </c>
      <c r="H155" s="295">
        <f t="shared" si="15"/>
        <v>3135613.1469333647</v>
      </c>
      <c r="I155" s="295">
        <f t="shared" si="10"/>
        <v>4019735.3156355862</v>
      </c>
    </row>
    <row r="156" spans="2:9" ht="10.5" customHeight="1" x14ac:dyDescent="0.25">
      <c r="B156" s="293">
        <f t="shared" si="11"/>
        <v>127</v>
      </c>
      <c r="C156" s="294">
        <f t="shared" si="12"/>
        <v>45839</v>
      </c>
      <c r="D156" s="295">
        <f t="shared" si="8"/>
        <v>41498.138764222538</v>
      </c>
      <c r="E156" s="295">
        <f t="shared" si="9"/>
        <v>1788.8371156422374</v>
      </c>
      <c r="F156" s="295">
        <f t="shared" si="13"/>
        <v>11724.228003937127</v>
      </c>
      <c r="G156" s="295">
        <f t="shared" si="14"/>
        <v>2104876.5653626132</v>
      </c>
      <c r="H156" s="295">
        <f t="shared" si="15"/>
        <v>3165387.05769365</v>
      </c>
      <c r="I156" s="295">
        <f t="shared" si="10"/>
        <v>3989961.4048753008</v>
      </c>
    </row>
    <row r="157" spans="2:9" ht="10.5" customHeight="1" x14ac:dyDescent="0.25">
      <c r="B157" s="293">
        <f t="shared" si="11"/>
        <v>128</v>
      </c>
      <c r="C157" s="294">
        <f t="shared" si="12"/>
        <v>45870</v>
      </c>
      <c r="D157" s="295">
        <f t="shared" si="8"/>
        <v>41498.138764222538</v>
      </c>
      <c r="E157" s="295">
        <f t="shared" si="9"/>
        <v>1788.8371156422374</v>
      </c>
      <c r="F157" s="295">
        <f t="shared" si="13"/>
        <v>11637.387430886294</v>
      </c>
      <c r="G157" s="295">
        <f t="shared" si="14"/>
        <v>2116513.9527934995</v>
      </c>
      <c r="H157" s="295">
        <f t="shared" si="15"/>
        <v>3195247.8090269864</v>
      </c>
      <c r="I157" s="295">
        <f t="shared" si="10"/>
        <v>3960100.6535419645</v>
      </c>
    </row>
    <row r="158" spans="2:9" ht="10.5" customHeight="1" x14ac:dyDescent="0.25">
      <c r="B158" s="293">
        <f t="shared" si="11"/>
        <v>129</v>
      </c>
      <c r="C158" s="294">
        <f t="shared" si="12"/>
        <v>45901</v>
      </c>
      <c r="D158" s="295">
        <f t="shared" ref="D158:D221" si="16">IF(B158&lt;&gt;"",mensualitehorsassurance,"")</f>
        <v>41498.138764222538</v>
      </c>
      <c r="E158" s="295">
        <f t="shared" ref="E158:E221" si="17">IF(B158&lt;&gt;"",mensualiteassurance,"")</f>
        <v>1788.8371156422374</v>
      </c>
      <c r="F158" s="295">
        <f t="shared" si="13"/>
        <v>11550.293572830729</v>
      </c>
      <c r="G158" s="295">
        <f t="shared" si="14"/>
        <v>2128064.24636633</v>
      </c>
      <c r="H158" s="295">
        <f t="shared" si="15"/>
        <v>3225195.654218378</v>
      </c>
      <c r="I158" s="295">
        <f t="shared" ref="I158:I221" si="18">IF(F158&lt;&gt;"",pret-H158,"")</f>
        <v>3930152.8083505728</v>
      </c>
    </row>
    <row r="159" spans="2:9" ht="10.5" customHeight="1" x14ac:dyDescent="0.25">
      <c r="B159" s="293">
        <f t="shared" ref="B159:B222" si="19">IF(test="OK",IF(B158&lt;dureepret,B158+1,""),"")</f>
        <v>130</v>
      </c>
      <c r="C159" s="294">
        <f t="shared" ref="C159:C222" si="20">IF(B159&lt;&gt;"",DATE(YEAR(C158),MONTH(C158)+1,DAY(C158)),"")</f>
        <v>45931</v>
      </c>
      <c r="D159" s="295">
        <f t="shared" si="16"/>
        <v>41498.138764222538</v>
      </c>
      <c r="E159" s="295">
        <f t="shared" si="17"/>
        <v>1788.8371156422374</v>
      </c>
      <c r="F159" s="295">
        <f t="shared" ref="F159:F222" si="21">IF(B159&lt;&gt;"",I158*tauxinteret/100/12,"")</f>
        <v>11462.945691022504</v>
      </c>
      <c r="G159" s="295">
        <f t="shared" ref="G159:G222" si="22">IF(D159&lt;&gt;"",G158+F159,"")</f>
        <v>2139527.1920573525</v>
      </c>
      <c r="H159" s="295">
        <f t="shared" ref="H159:H222" si="23">IF(E159&lt;&gt;"",D159-F159+H158,"")</f>
        <v>3255230.8472915781</v>
      </c>
      <c r="I159" s="295">
        <f t="shared" si="18"/>
        <v>3900117.6152773728</v>
      </c>
    </row>
    <row r="160" spans="2:9" ht="10.5" customHeight="1" x14ac:dyDescent="0.25">
      <c r="B160" s="293">
        <f t="shared" si="19"/>
        <v>131</v>
      </c>
      <c r="C160" s="294">
        <f t="shared" si="20"/>
        <v>45962</v>
      </c>
      <c r="D160" s="295">
        <f t="shared" si="16"/>
        <v>41498.138764222538</v>
      </c>
      <c r="E160" s="295">
        <f t="shared" si="17"/>
        <v>1788.8371156422374</v>
      </c>
      <c r="F160" s="295">
        <f t="shared" si="21"/>
        <v>11375.343044559004</v>
      </c>
      <c r="G160" s="295">
        <f t="shared" si="22"/>
        <v>2150902.5351019115</v>
      </c>
      <c r="H160" s="295">
        <f t="shared" si="23"/>
        <v>3285353.6430112417</v>
      </c>
      <c r="I160" s="295">
        <f t="shared" si="18"/>
        <v>3869994.8195577092</v>
      </c>
    </row>
    <row r="161" spans="2:9" ht="10.5" customHeight="1" x14ac:dyDescent="0.25">
      <c r="B161" s="293">
        <f t="shared" si="19"/>
        <v>132</v>
      </c>
      <c r="C161" s="294">
        <f t="shared" si="20"/>
        <v>45992</v>
      </c>
      <c r="D161" s="295">
        <f t="shared" si="16"/>
        <v>41498.138764222538</v>
      </c>
      <c r="E161" s="295">
        <f t="shared" si="17"/>
        <v>1788.8371156422374</v>
      </c>
      <c r="F161" s="295">
        <f t="shared" si="21"/>
        <v>11287.484890376652</v>
      </c>
      <c r="G161" s="295">
        <f t="shared" si="22"/>
        <v>2162190.0199922882</v>
      </c>
      <c r="H161" s="295">
        <f t="shared" si="23"/>
        <v>3315564.2968850876</v>
      </c>
      <c r="I161" s="295">
        <f t="shared" si="18"/>
        <v>3839784.1656838632</v>
      </c>
    </row>
    <row r="162" spans="2:9" ht="10.5" customHeight="1" x14ac:dyDescent="0.25">
      <c r="B162" s="293">
        <f t="shared" si="19"/>
        <v>133</v>
      </c>
      <c r="C162" s="294">
        <f t="shared" si="20"/>
        <v>46023</v>
      </c>
      <c r="D162" s="295">
        <f t="shared" si="16"/>
        <v>41498.138764222538</v>
      </c>
      <c r="E162" s="295">
        <f t="shared" si="17"/>
        <v>1788.8371156422374</v>
      </c>
      <c r="F162" s="295">
        <f t="shared" si="21"/>
        <v>11199.370483244602</v>
      </c>
      <c r="G162" s="295">
        <f t="shared" si="22"/>
        <v>2173389.390475533</v>
      </c>
      <c r="H162" s="295">
        <f t="shared" si="23"/>
        <v>3345863.0651660655</v>
      </c>
      <c r="I162" s="295">
        <f t="shared" si="18"/>
        <v>3809485.3974028854</v>
      </c>
    </row>
    <row r="163" spans="2:9" ht="10.5" customHeight="1" x14ac:dyDescent="0.25">
      <c r="B163" s="293">
        <f t="shared" si="19"/>
        <v>134</v>
      </c>
      <c r="C163" s="294">
        <f t="shared" si="20"/>
        <v>46054</v>
      </c>
      <c r="D163" s="295">
        <f t="shared" si="16"/>
        <v>41498.138764222538</v>
      </c>
      <c r="E163" s="295">
        <f t="shared" si="17"/>
        <v>1788.8371156422374</v>
      </c>
      <c r="F163" s="295">
        <f t="shared" si="21"/>
        <v>11110.999075758416</v>
      </c>
      <c r="G163" s="295">
        <f t="shared" si="22"/>
        <v>2184500.3895512912</v>
      </c>
      <c r="H163" s="295">
        <f t="shared" si="23"/>
        <v>3376250.2048545298</v>
      </c>
      <c r="I163" s="295">
        <f t="shared" si="18"/>
        <v>3779098.257714421</v>
      </c>
    </row>
    <row r="164" spans="2:9" ht="10.5" customHeight="1" x14ac:dyDescent="0.25">
      <c r="B164" s="293">
        <f t="shared" si="19"/>
        <v>135</v>
      </c>
      <c r="C164" s="294">
        <f t="shared" si="20"/>
        <v>46082</v>
      </c>
      <c r="D164" s="295">
        <f t="shared" si="16"/>
        <v>41498.138764222538</v>
      </c>
      <c r="E164" s="295">
        <f t="shared" si="17"/>
        <v>1788.8371156422374</v>
      </c>
      <c r="F164" s="295">
        <f t="shared" si="21"/>
        <v>11022.369918333728</v>
      </c>
      <c r="G164" s="295">
        <f t="shared" si="22"/>
        <v>2195522.7594696251</v>
      </c>
      <c r="H164" s="295">
        <f t="shared" si="23"/>
        <v>3406725.9737004186</v>
      </c>
      <c r="I164" s="295">
        <f t="shared" si="18"/>
        <v>3748622.4888685322</v>
      </c>
    </row>
    <row r="165" spans="2:9" ht="10.5" customHeight="1" x14ac:dyDescent="0.25">
      <c r="B165" s="293">
        <f t="shared" si="19"/>
        <v>136</v>
      </c>
      <c r="C165" s="294">
        <f t="shared" si="20"/>
        <v>46113</v>
      </c>
      <c r="D165" s="295">
        <f t="shared" si="16"/>
        <v>41498.138764222538</v>
      </c>
      <c r="E165" s="295">
        <f t="shared" si="17"/>
        <v>1788.8371156422374</v>
      </c>
      <c r="F165" s="295">
        <f t="shared" si="21"/>
        <v>10933.482259199887</v>
      </c>
      <c r="G165" s="295">
        <f t="shared" si="22"/>
        <v>2206456.241728825</v>
      </c>
      <c r="H165" s="295">
        <f t="shared" si="23"/>
        <v>3437290.6302054413</v>
      </c>
      <c r="I165" s="295">
        <f t="shared" si="18"/>
        <v>3718057.8323635096</v>
      </c>
    </row>
    <row r="166" spans="2:9" ht="10.5" customHeight="1" x14ac:dyDescent="0.25">
      <c r="B166" s="293">
        <f t="shared" si="19"/>
        <v>137</v>
      </c>
      <c r="C166" s="294">
        <f t="shared" si="20"/>
        <v>46143</v>
      </c>
      <c r="D166" s="295">
        <f t="shared" si="16"/>
        <v>41498.138764222538</v>
      </c>
      <c r="E166" s="295">
        <f t="shared" si="17"/>
        <v>1788.8371156422374</v>
      </c>
      <c r="F166" s="295">
        <f t="shared" si="21"/>
        <v>10844.33534439357</v>
      </c>
      <c r="G166" s="295">
        <f t="shared" si="22"/>
        <v>2217300.5770732188</v>
      </c>
      <c r="H166" s="295">
        <f t="shared" si="23"/>
        <v>3467944.4336252701</v>
      </c>
      <c r="I166" s="295">
        <f t="shared" si="18"/>
        <v>3687404.0289436807</v>
      </c>
    </row>
    <row r="167" spans="2:9" ht="10.5" customHeight="1" x14ac:dyDescent="0.25">
      <c r="B167" s="293">
        <f t="shared" si="19"/>
        <v>138</v>
      </c>
      <c r="C167" s="294">
        <f t="shared" si="20"/>
        <v>46174</v>
      </c>
      <c r="D167" s="295">
        <f t="shared" si="16"/>
        <v>41498.138764222538</v>
      </c>
      <c r="E167" s="295">
        <f t="shared" si="17"/>
        <v>1788.8371156422374</v>
      </c>
      <c r="F167" s="295">
        <f t="shared" si="21"/>
        <v>10754.928417752402</v>
      </c>
      <c r="G167" s="295">
        <f t="shared" si="22"/>
        <v>2228055.5054909713</v>
      </c>
      <c r="H167" s="295">
        <f t="shared" si="23"/>
        <v>3498687.6439717403</v>
      </c>
      <c r="I167" s="295">
        <f t="shared" si="18"/>
        <v>3656660.8185972106</v>
      </c>
    </row>
    <row r="168" spans="2:9" ht="10.5" customHeight="1" x14ac:dyDescent="0.25">
      <c r="B168" s="293">
        <f t="shared" si="19"/>
        <v>139</v>
      </c>
      <c r="C168" s="294">
        <f t="shared" si="20"/>
        <v>46204</v>
      </c>
      <c r="D168" s="295">
        <f t="shared" si="16"/>
        <v>41498.138764222538</v>
      </c>
      <c r="E168" s="295">
        <f t="shared" si="17"/>
        <v>1788.8371156422374</v>
      </c>
      <c r="F168" s="295">
        <f t="shared" si="21"/>
        <v>10665.260720908531</v>
      </c>
      <c r="G168" s="295">
        <f t="shared" si="22"/>
        <v>2238720.7662118799</v>
      </c>
      <c r="H168" s="295">
        <f t="shared" si="23"/>
        <v>3529520.5220150542</v>
      </c>
      <c r="I168" s="295">
        <f t="shared" si="18"/>
        <v>3625827.9405538966</v>
      </c>
    </row>
    <row r="169" spans="2:9" ht="10.5" customHeight="1" x14ac:dyDescent="0.25">
      <c r="B169" s="293">
        <f t="shared" si="19"/>
        <v>140</v>
      </c>
      <c r="C169" s="294">
        <f t="shared" si="20"/>
        <v>46235</v>
      </c>
      <c r="D169" s="295">
        <f t="shared" si="16"/>
        <v>41498.138764222538</v>
      </c>
      <c r="E169" s="295">
        <f t="shared" si="17"/>
        <v>1788.8371156422374</v>
      </c>
      <c r="F169" s="295">
        <f t="shared" si="21"/>
        <v>10575.331493282198</v>
      </c>
      <c r="G169" s="295">
        <f t="shared" si="22"/>
        <v>2249296.0977051621</v>
      </c>
      <c r="H169" s="295">
        <f t="shared" si="23"/>
        <v>3560443.3292859946</v>
      </c>
      <c r="I169" s="295">
        <f t="shared" si="18"/>
        <v>3594905.1332829562</v>
      </c>
    </row>
    <row r="170" spans="2:9" ht="10.5" customHeight="1" x14ac:dyDescent="0.25">
      <c r="B170" s="293">
        <f t="shared" si="19"/>
        <v>141</v>
      </c>
      <c r="C170" s="294">
        <f t="shared" si="20"/>
        <v>46266</v>
      </c>
      <c r="D170" s="295">
        <f t="shared" si="16"/>
        <v>41498.138764222538</v>
      </c>
      <c r="E170" s="295">
        <f t="shared" si="17"/>
        <v>1788.8371156422374</v>
      </c>
      <c r="F170" s="295">
        <f t="shared" si="21"/>
        <v>10485.139972075289</v>
      </c>
      <c r="G170" s="295">
        <f t="shared" si="22"/>
        <v>2259781.2376772375</v>
      </c>
      <c r="H170" s="295">
        <f t="shared" si="23"/>
        <v>3591456.3280781419</v>
      </c>
      <c r="I170" s="295">
        <f t="shared" si="18"/>
        <v>3563892.1344908089</v>
      </c>
    </row>
    <row r="171" spans="2:9" ht="10.5" customHeight="1" x14ac:dyDescent="0.25">
      <c r="B171" s="293">
        <f t="shared" si="19"/>
        <v>142</v>
      </c>
      <c r="C171" s="294">
        <f t="shared" si="20"/>
        <v>46296</v>
      </c>
      <c r="D171" s="295">
        <f t="shared" si="16"/>
        <v>41498.138764222538</v>
      </c>
      <c r="E171" s="295">
        <f t="shared" si="17"/>
        <v>1788.8371156422374</v>
      </c>
      <c r="F171" s="295">
        <f t="shared" si="21"/>
        <v>10394.685392264859</v>
      </c>
      <c r="G171" s="295">
        <f t="shared" si="22"/>
        <v>2270175.9230695022</v>
      </c>
      <c r="H171" s="295">
        <f t="shared" si="23"/>
        <v>3622559.7814500998</v>
      </c>
      <c r="I171" s="295">
        <f t="shared" si="18"/>
        <v>3532788.6811188511</v>
      </c>
    </row>
    <row r="172" spans="2:9" ht="10.5" customHeight="1" x14ac:dyDescent="0.25">
      <c r="B172" s="293">
        <f t="shared" si="19"/>
        <v>143</v>
      </c>
      <c r="C172" s="294">
        <f t="shared" si="20"/>
        <v>46327</v>
      </c>
      <c r="D172" s="295">
        <f t="shared" si="16"/>
        <v>41498.138764222538</v>
      </c>
      <c r="E172" s="295">
        <f t="shared" si="17"/>
        <v>1788.8371156422374</v>
      </c>
      <c r="F172" s="295">
        <f t="shared" si="21"/>
        <v>10303.96698659665</v>
      </c>
      <c r="G172" s="295">
        <f t="shared" si="22"/>
        <v>2280479.8900560988</v>
      </c>
      <c r="H172" s="295">
        <f t="shared" si="23"/>
        <v>3653753.9532277258</v>
      </c>
      <c r="I172" s="295">
        <f t="shared" si="18"/>
        <v>3501594.509341225</v>
      </c>
    </row>
    <row r="173" spans="2:9" ht="10.5" customHeight="1" x14ac:dyDescent="0.25">
      <c r="B173" s="293">
        <f t="shared" si="19"/>
        <v>144</v>
      </c>
      <c r="C173" s="294">
        <f t="shared" si="20"/>
        <v>46357</v>
      </c>
      <c r="D173" s="295">
        <f t="shared" si="16"/>
        <v>41498.138764222538</v>
      </c>
      <c r="E173" s="295">
        <f t="shared" si="17"/>
        <v>1788.8371156422374</v>
      </c>
      <c r="F173" s="295">
        <f t="shared" si="21"/>
        <v>10212.983985578574</v>
      </c>
      <c r="G173" s="295">
        <f t="shared" si="22"/>
        <v>2290692.8740416775</v>
      </c>
      <c r="H173" s="295">
        <f t="shared" si="23"/>
        <v>3685039.1080063698</v>
      </c>
      <c r="I173" s="295">
        <f t="shared" si="18"/>
        <v>3470309.3545625811</v>
      </c>
    </row>
    <row r="174" spans="2:9" ht="10.5" customHeight="1" x14ac:dyDescent="0.25">
      <c r="B174" s="293">
        <f t="shared" si="19"/>
        <v>145</v>
      </c>
      <c r="C174" s="294">
        <f t="shared" si="20"/>
        <v>46388</v>
      </c>
      <c r="D174" s="295">
        <f t="shared" si="16"/>
        <v>41498.138764222538</v>
      </c>
      <c r="E174" s="295">
        <f t="shared" si="17"/>
        <v>1788.8371156422374</v>
      </c>
      <c r="F174" s="295">
        <f t="shared" si="21"/>
        <v>10121.735617474194</v>
      </c>
      <c r="G174" s="295">
        <f t="shared" si="22"/>
        <v>2300814.6096591516</v>
      </c>
      <c r="H174" s="295">
        <f t="shared" si="23"/>
        <v>3716415.5111531182</v>
      </c>
      <c r="I174" s="295">
        <f t="shared" si="18"/>
        <v>3438932.9514158326</v>
      </c>
    </row>
    <row r="175" spans="2:9" ht="10.5" customHeight="1" x14ac:dyDescent="0.25">
      <c r="B175" s="293">
        <f t="shared" si="19"/>
        <v>146</v>
      </c>
      <c r="C175" s="294">
        <f t="shared" si="20"/>
        <v>46419</v>
      </c>
      <c r="D175" s="295">
        <f t="shared" si="16"/>
        <v>41498.138764222538</v>
      </c>
      <c r="E175" s="295">
        <f t="shared" si="17"/>
        <v>1788.8371156422374</v>
      </c>
      <c r="F175" s="295">
        <f t="shared" si="21"/>
        <v>10030.221108296178</v>
      </c>
      <c r="G175" s="295">
        <f t="shared" si="22"/>
        <v>2310844.8307674476</v>
      </c>
      <c r="H175" s="295">
        <f t="shared" si="23"/>
        <v>3747883.4288090444</v>
      </c>
      <c r="I175" s="295">
        <f t="shared" si="18"/>
        <v>3407465.0337599064</v>
      </c>
    </row>
    <row r="176" spans="2:9" ht="10.5" customHeight="1" x14ac:dyDescent="0.25">
      <c r="B176" s="293">
        <f t="shared" si="19"/>
        <v>147</v>
      </c>
      <c r="C176" s="294">
        <f t="shared" si="20"/>
        <v>46447</v>
      </c>
      <c r="D176" s="295">
        <f t="shared" si="16"/>
        <v>41498.138764222538</v>
      </c>
      <c r="E176" s="295">
        <f t="shared" si="17"/>
        <v>1788.8371156422374</v>
      </c>
      <c r="F176" s="295">
        <f t="shared" si="21"/>
        <v>9938.4396817997276</v>
      </c>
      <c r="G176" s="295">
        <f t="shared" si="22"/>
        <v>2320783.2704492472</v>
      </c>
      <c r="H176" s="295">
        <f t="shared" si="23"/>
        <v>3779443.1278914674</v>
      </c>
      <c r="I176" s="295">
        <f t="shared" si="18"/>
        <v>3375905.3346774834</v>
      </c>
    </row>
    <row r="177" spans="2:9" ht="10.5" customHeight="1" x14ac:dyDescent="0.25">
      <c r="B177" s="293">
        <f t="shared" si="19"/>
        <v>148</v>
      </c>
      <c r="C177" s="294">
        <f t="shared" si="20"/>
        <v>46478</v>
      </c>
      <c r="D177" s="295">
        <f t="shared" si="16"/>
        <v>41498.138764222538</v>
      </c>
      <c r="E177" s="295">
        <f t="shared" si="17"/>
        <v>1788.8371156422374</v>
      </c>
      <c r="F177" s="295">
        <f t="shared" si="21"/>
        <v>9846.3905594759926</v>
      </c>
      <c r="G177" s="295">
        <f t="shared" si="22"/>
        <v>2330629.6610087231</v>
      </c>
      <c r="H177" s="295">
        <f t="shared" si="23"/>
        <v>3811094.8760962142</v>
      </c>
      <c r="I177" s="295">
        <f t="shared" si="18"/>
        <v>3344253.5864727367</v>
      </c>
    </row>
    <row r="178" spans="2:9" ht="10.5" customHeight="1" x14ac:dyDescent="0.25">
      <c r="B178" s="293">
        <f t="shared" si="19"/>
        <v>149</v>
      </c>
      <c r="C178" s="294">
        <f t="shared" si="20"/>
        <v>46508</v>
      </c>
      <c r="D178" s="295">
        <f t="shared" si="16"/>
        <v>41498.138764222538</v>
      </c>
      <c r="E178" s="295">
        <f t="shared" si="17"/>
        <v>1788.8371156422374</v>
      </c>
      <c r="F178" s="295">
        <f t="shared" si="21"/>
        <v>9754.0729605454817</v>
      </c>
      <c r="G178" s="295">
        <f t="shared" si="22"/>
        <v>2340383.7339692684</v>
      </c>
      <c r="H178" s="295">
        <f t="shared" si="23"/>
        <v>3842838.941899891</v>
      </c>
      <c r="I178" s="295">
        <f t="shared" si="18"/>
        <v>3312509.5206690598</v>
      </c>
    </row>
    <row r="179" spans="2:9" ht="10.5" customHeight="1" x14ac:dyDescent="0.25">
      <c r="B179" s="293">
        <f t="shared" si="19"/>
        <v>150</v>
      </c>
      <c r="C179" s="294">
        <f t="shared" si="20"/>
        <v>46539</v>
      </c>
      <c r="D179" s="295">
        <f t="shared" si="16"/>
        <v>41498.138764222538</v>
      </c>
      <c r="E179" s="295">
        <f t="shared" si="17"/>
        <v>1788.8371156422374</v>
      </c>
      <c r="F179" s="295">
        <f t="shared" si="21"/>
        <v>9661.4861019514265</v>
      </c>
      <c r="G179" s="295">
        <f t="shared" si="22"/>
        <v>2350045.2200712198</v>
      </c>
      <c r="H179" s="295">
        <f t="shared" si="23"/>
        <v>3874675.5945621622</v>
      </c>
      <c r="I179" s="295">
        <f t="shared" si="18"/>
        <v>3280672.8680067887</v>
      </c>
    </row>
    <row r="180" spans="2:9" ht="10.5" customHeight="1" x14ac:dyDescent="0.25">
      <c r="B180" s="293">
        <f t="shared" si="19"/>
        <v>151</v>
      </c>
      <c r="C180" s="294">
        <f t="shared" si="20"/>
        <v>46569</v>
      </c>
      <c r="D180" s="295">
        <f t="shared" si="16"/>
        <v>41498.138764222538</v>
      </c>
      <c r="E180" s="295">
        <f t="shared" si="17"/>
        <v>1788.8371156422374</v>
      </c>
      <c r="F180" s="295">
        <f t="shared" si="21"/>
        <v>9568.6291983531337</v>
      </c>
      <c r="G180" s="295">
        <f t="shared" si="22"/>
        <v>2359613.8492695731</v>
      </c>
      <c r="H180" s="295">
        <f t="shared" si="23"/>
        <v>3906605.1041280315</v>
      </c>
      <c r="I180" s="295">
        <f t="shared" si="18"/>
        <v>3248743.3584409193</v>
      </c>
    </row>
    <row r="181" spans="2:9" ht="10.5" customHeight="1" x14ac:dyDescent="0.25">
      <c r="B181" s="293">
        <f t="shared" si="19"/>
        <v>152</v>
      </c>
      <c r="C181" s="294">
        <f t="shared" si="20"/>
        <v>46600</v>
      </c>
      <c r="D181" s="295">
        <f t="shared" si="16"/>
        <v>41498.138764222538</v>
      </c>
      <c r="E181" s="295">
        <f t="shared" si="17"/>
        <v>1788.8371156422374</v>
      </c>
      <c r="F181" s="295">
        <f t="shared" si="21"/>
        <v>9475.5014621193477</v>
      </c>
      <c r="G181" s="295">
        <f t="shared" si="22"/>
        <v>2369089.3507316923</v>
      </c>
      <c r="H181" s="295">
        <f t="shared" si="23"/>
        <v>3938627.7414301345</v>
      </c>
      <c r="I181" s="295">
        <f t="shared" si="18"/>
        <v>3216720.7211388163</v>
      </c>
    </row>
    <row r="182" spans="2:9" ht="10.5" customHeight="1" x14ac:dyDescent="0.25">
      <c r="B182" s="293">
        <f t="shared" si="19"/>
        <v>153</v>
      </c>
      <c r="C182" s="294">
        <f t="shared" si="20"/>
        <v>46631</v>
      </c>
      <c r="D182" s="295">
        <f t="shared" si="16"/>
        <v>41498.138764222538</v>
      </c>
      <c r="E182" s="295">
        <f t="shared" si="17"/>
        <v>1788.8371156422374</v>
      </c>
      <c r="F182" s="295">
        <f t="shared" si="21"/>
        <v>9382.1021033215475</v>
      </c>
      <c r="G182" s="295">
        <f t="shared" si="22"/>
        <v>2378471.4528350136</v>
      </c>
      <c r="H182" s="295">
        <f t="shared" si="23"/>
        <v>3970743.7780910353</v>
      </c>
      <c r="I182" s="295">
        <f t="shared" si="18"/>
        <v>3184604.6844779155</v>
      </c>
    </row>
    <row r="183" spans="2:9" ht="10.5" customHeight="1" x14ac:dyDescent="0.25">
      <c r="B183" s="293">
        <f t="shared" si="19"/>
        <v>154</v>
      </c>
      <c r="C183" s="294">
        <f t="shared" si="20"/>
        <v>46661</v>
      </c>
      <c r="D183" s="295">
        <f t="shared" si="16"/>
        <v>41498.138764222538</v>
      </c>
      <c r="E183" s="295">
        <f t="shared" si="17"/>
        <v>1788.8371156422374</v>
      </c>
      <c r="F183" s="295">
        <f t="shared" si="21"/>
        <v>9288.4303297272545</v>
      </c>
      <c r="G183" s="295">
        <f t="shared" si="22"/>
        <v>2387759.8831647411</v>
      </c>
      <c r="H183" s="295">
        <f t="shared" si="23"/>
        <v>4002953.4865255305</v>
      </c>
      <c r="I183" s="295">
        <f t="shared" si="18"/>
        <v>3152394.9760434204</v>
      </c>
    </row>
    <row r="184" spans="2:9" ht="10.5" customHeight="1" x14ac:dyDescent="0.25">
      <c r="B184" s="293">
        <f t="shared" si="19"/>
        <v>155</v>
      </c>
      <c r="C184" s="294">
        <f t="shared" si="20"/>
        <v>46692</v>
      </c>
      <c r="D184" s="295">
        <f t="shared" si="16"/>
        <v>41498.138764222538</v>
      </c>
      <c r="E184" s="295">
        <f t="shared" si="17"/>
        <v>1788.8371156422374</v>
      </c>
      <c r="F184" s="295">
        <f t="shared" si="21"/>
        <v>9194.4853467933081</v>
      </c>
      <c r="G184" s="295">
        <f t="shared" si="22"/>
        <v>2396954.3685115343</v>
      </c>
      <c r="H184" s="295">
        <f t="shared" si="23"/>
        <v>4035257.1399429599</v>
      </c>
      <c r="I184" s="295">
        <f t="shared" si="18"/>
        <v>3120091.322625991</v>
      </c>
    </row>
    <row r="185" spans="2:9" ht="10.5" customHeight="1" x14ac:dyDescent="0.25">
      <c r="B185" s="293">
        <f t="shared" si="19"/>
        <v>156</v>
      </c>
      <c r="C185" s="294">
        <f t="shared" si="20"/>
        <v>46722</v>
      </c>
      <c r="D185" s="295">
        <f t="shared" si="16"/>
        <v>41498.138764222538</v>
      </c>
      <c r="E185" s="295">
        <f t="shared" si="17"/>
        <v>1788.8371156422374</v>
      </c>
      <c r="F185" s="295">
        <f t="shared" si="21"/>
        <v>9100.2663576591403</v>
      </c>
      <c r="G185" s="295">
        <f t="shared" si="22"/>
        <v>2406054.6348691937</v>
      </c>
      <c r="H185" s="295">
        <f t="shared" si="23"/>
        <v>4067655.0123495231</v>
      </c>
      <c r="I185" s="295">
        <f t="shared" si="18"/>
        <v>3087693.4502194277</v>
      </c>
    </row>
    <row r="186" spans="2:9" ht="10.5" customHeight="1" x14ac:dyDescent="0.25">
      <c r="B186" s="293">
        <f t="shared" si="19"/>
        <v>157</v>
      </c>
      <c r="C186" s="294">
        <f t="shared" si="20"/>
        <v>46753</v>
      </c>
      <c r="D186" s="295">
        <f t="shared" si="16"/>
        <v>41498.138764222538</v>
      </c>
      <c r="E186" s="295">
        <f t="shared" si="17"/>
        <v>1788.8371156422374</v>
      </c>
      <c r="F186" s="295">
        <f t="shared" si="21"/>
        <v>9005.7725631399971</v>
      </c>
      <c r="G186" s="295">
        <f t="shared" si="22"/>
        <v>2415060.4074323336</v>
      </c>
      <c r="H186" s="295">
        <f t="shared" si="23"/>
        <v>4100147.3785506058</v>
      </c>
      <c r="I186" s="295">
        <f t="shared" si="18"/>
        <v>3055201.084018345</v>
      </c>
    </row>
    <row r="187" spans="2:9" ht="10.5" customHeight="1" x14ac:dyDescent="0.25">
      <c r="B187" s="293">
        <f t="shared" si="19"/>
        <v>158</v>
      </c>
      <c r="C187" s="294">
        <f t="shared" si="20"/>
        <v>46784</v>
      </c>
      <c r="D187" s="295">
        <f t="shared" si="16"/>
        <v>41498.138764222538</v>
      </c>
      <c r="E187" s="295">
        <f t="shared" si="17"/>
        <v>1788.8371156422374</v>
      </c>
      <c r="F187" s="295">
        <f t="shared" si="21"/>
        <v>8911.003161720173</v>
      </c>
      <c r="G187" s="295">
        <f t="shared" si="22"/>
        <v>2423971.4105940536</v>
      </c>
      <c r="H187" s="295">
        <f t="shared" si="23"/>
        <v>4132734.514153108</v>
      </c>
      <c r="I187" s="295">
        <f t="shared" si="18"/>
        <v>3022613.9484158428</v>
      </c>
    </row>
    <row r="188" spans="2:9" ht="10.5" customHeight="1" x14ac:dyDescent="0.25">
      <c r="B188" s="293">
        <f t="shared" si="19"/>
        <v>159</v>
      </c>
      <c r="C188" s="294">
        <f t="shared" si="20"/>
        <v>46813</v>
      </c>
      <c r="D188" s="295">
        <f t="shared" si="16"/>
        <v>41498.138764222538</v>
      </c>
      <c r="E188" s="295">
        <f t="shared" si="17"/>
        <v>1788.8371156422374</v>
      </c>
      <c r="F188" s="295">
        <f t="shared" si="21"/>
        <v>8815.9573495462082</v>
      </c>
      <c r="G188" s="295">
        <f t="shared" si="22"/>
        <v>2432787.3679435998</v>
      </c>
      <c r="H188" s="295">
        <f t="shared" si="23"/>
        <v>4165416.6955677844</v>
      </c>
      <c r="I188" s="295">
        <f t="shared" si="18"/>
        <v>2989931.7670011665</v>
      </c>
    </row>
    <row r="189" spans="2:9" ht="10.5" customHeight="1" x14ac:dyDescent="0.25">
      <c r="B189" s="293">
        <f t="shared" si="19"/>
        <v>160</v>
      </c>
      <c r="C189" s="294">
        <f t="shared" si="20"/>
        <v>46844</v>
      </c>
      <c r="D189" s="295">
        <f t="shared" si="16"/>
        <v>41498.138764222538</v>
      </c>
      <c r="E189" s="295">
        <f t="shared" si="17"/>
        <v>1788.8371156422374</v>
      </c>
      <c r="F189" s="295">
        <f t="shared" si="21"/>
        <v>8720.6343204200693</v>
      </c>
      <c r="G189" s="295">
        <f t="shared" si="22"/>
        <v>2441508.00226402</v>
      </c>
      <c r="H189" s="295">
        <f t="shared" si="23"/>
        <v>4198194.2000115868</v>
      </c>
      <c r="I189" s="295">
        <f t="shared" si="18"/>
        <v>2957154.2625573641</v>
      </c>
    </row>
    <row r="190" spans="2:9" ht="10.5" customHeight="1" x14ac:dyDescent="0.25">
      <c r="B190" s="293">
        <f t="shared" si="19"/>
        <v>161</v>
      </c>
      <c r="C190" s="294">
        <f t="shared" si="20"/>
        <v>46874</v>
      </c>
      <c r="D190" s="295">
        <f t="shared" si="16"/>
        <v>41498.138764222538</v>
      </c>
      <c r="E190" s="295">
        <f t="shared" si="17"/>
        <v>1788.8371156422374</v>
      </c>
      <c r="F190" s="295">
        <f t="shared" si="21"/>
        <v>8625.0332657923118</v>
      </c>
      <c r="G190" s="295">
        <f t="shared" si="22"/>
        <v>2450133.0355298123</v>
      </c>
      <c r="H190" s="295">
        <f t="shared" si="23"/>
        <v>4231067.3055100171</v>
      </c>
      <c r="I190" s="295">
        <f t="shared" si="18"/>
        <v>2924281.1570589337</v>
      </c>
    </row>
    <row r="191" spans="2:9" ht="10.5" customHeight="1" x14ac:dyDescent="0.25">
      <c r="B191" s="293">
        <f t="shared" si="19"/>
        <v>162</v>
      </c>
      <c r="C191" s="294">
        <f t="shared" si="20"/>
        <v>46905</v>
      </c>
      <c r="D191" s="295">
        <f t="shared" si="16"/>
        <v>41498.138764222538</v>
      </c>
      <c r="E191" s="295">
        <f t="shared" si="17"/>
        <v>1788.8371156422374</v>
      </c>
      <c r="F191" s="295">
        <f t="shared" si="21"/>
        <v>8529.1533747552239</v>
      </c>
      <c r="G191" s="295">
        <f t="shared" si="22"/>
        <v>2458662.1889045676</v>
      </c>
      <c r="H191" s="295">
        <f t="shared" si="23"/>
        <v>4264036.2908994844</v>
      </c>
      <c r="I191" s="295">
        <f t="shared" si="18"/>
        <v>2891312.1716694664</v>
      </c>
    </row>
    <row r="192" spans="2:9" ht="10.5" customHeight="1" x14ac:dyDescent="0.25">
      <c r="B192" s="293">
        <f t="shared" si="19"/>
        <v>163</v>
      </c>
      <c r="C192" s="294">
        <f t="shared" si="20"/>
        <v>46935</v>
      </c>
      <c r="D192" s="295">
        <f t="shared" si="16"/>
        <v>41498.138764222538</v>
      </c>
      <c r="E192" s="295">
        <f t="shared" si="17"/>
        <v>1788.8371156422374</v>
      </c>
      <c r="F192" s="295">
        <f t="shared" si="21"/>
        <v>8432.9938340359422</v>
      </c>
      <c r="G192" s="295">
        <f t="shared" si="22"/>
        <v>2467095.1827386036</v>
      </c>
      <c r="H192" s="295">
        <f t="shared" si="23"/>
        <v>4297101.4358296711</v>
      </c>
      <c r="I192" s="295">
        <f t="shared" si="18"/>
        <v>2858247.0267392797</v>
      </c>
    </row>
    <row r="193" spans="2:9" ht="10.5" customHeight="1" x14ac:dyDescent="0.25">
      <c r="B193" s="293">
        <f t="shared" si="19"/>
        <v>164</v>
      </c>
      <c r="C193" s="294">
        <f t="shared" si="20"/>
        <v>46966</v>
      </c>
      <c r="D193" s="295">
        <f t="shared" si="16"/>
        <v>41498.138764222538</v>
      </c>
      <c r="E193" s="295">
        <f t="shared" si="17"/>
        <v>1788.8371156422374</v>
      </c>
      <c r="F193" s="295">
        <f t="shared" si="21"/>
        <v>8336.5538279895645</v>
      </c>
      <c r="G193" s="295">
        <f t="shared" si="22"/>
        <v>2475431.7365665929</v>
      </c>
      <c r="H193" s="295">
        <f t="shared" si="23"/>
        <v>4330263.0207659043</v>
      </c>
      <c r="I193" s="295">
        <f t="shared" si="18"/>
        <v>2825085.4418030465</v>
      </c>
    </row>
    <row r="194" spans="2:9" ht="10.5" customHeight="1" x14ac:dyDescent="0.25">
      <c r="B194" s="293">
        <f t="shared" si="19"/>
        <v>165</v>
      </c>
      <c r="C194" s="294">
        <f t="shared" si="20"/>
        <v>46997</v>
      </c>
      <c r="D194" s="295">
        <f t="shared" si="16"/>
        <v>41498.138764222538</v>
      </c>
      <c r="E194" s="295">
        <f t="shared" si="17"/>
        <v>1788.8371156422374</v>
      </c>
      <c r="F194" s="295">
        <f t="shared" si="21"/>
        <v>8239.8325385922199</v>
      </c>
      <c r="G194" s="295">
        <f t="shared" si="22"/>
        <v>2483671.5691051851</v>
      </c>
      <c r="H194" s="295">
        <f t="shared" si="23"/>
        <v>4363521.3269915348</v>
      </c>
      <c r="I194" s="295">
        <f t="shared" si="18"/>
        <v>2791827.135577416</v>
      </c>
    </row>
    <row r="195" spans="2:9" ht="10.5" customHeight="1" x14ac:dyDescent="0.25">
      <c r="B195" s="293">
        <f t="shared" si="19"/>
        <v>166</v>
      </c>
      <c r="C195" s="294">
        <f t="shared" si="20"/>
        <v>47027</v>
      </c>
      <c r="D195" s="295">
        <f t="shared" si="16"/>
        <v>41498.138764222538</v>
      </c>
      <c r="E195" s="295">
        <f t="shared" si="17"/>
        <v>1788.8371156422374</v>
      </c>
      <c r="F195" s="295">
        <f t="shared" si="21"/>
        <v>8142.8291454341297</v>
      </c>
      <c r="G195" s="295">
        <f t="shared" si="22"/>
        <v>2491814.3982506194</v>
      </c>
      <c r="H195" s="295">
        <f t="shared" si="23"/>
        <v>4396876.6366103236</v>
      </c>
      <c r="I195" s="295">
        <f t="shared" si="18"/>
        <v>2758471.8259586273</v>
      </c>
    </row>
    <row r="196" spans="2:9" ht="10.5" customHeight="1" x14ac:dyDescent="0.25">
      <c r="B196" s="293">
        <f t="shared" si="19"/>
        <v>167</v>
      </c>
      <c r="C196" s="294">
        <f t="shared" si="20"/>
        <v>47058</v>
      </c>
      <c r="D196" s="295">
        <f t="shared" si="16"/>
        <v>41498.138764222538</v>
      </c>
      <c r="E196" s="295">
        <f t="shared" si="17"/>
        <v>1788.8371156422374</v>
      </c>
      <c r="F196" s="295">
        <f t="shared" si="21"/>
        <v>8045.5428257126623</v>
      </c>
      <c r="G196" s="295">
        <f t="shared" si="22"/>
        <v>2499859.9410763322</v>
      </c>
      <c r="H196" s="295">
        <f t="shared" si="23"/>
        <v>4430329.2325488338</v>
      </c>
      <c r="I196" s="295">
        <f t="shared" si="18"/>
        <v>2725019.230020117</v>
      </c>
    </row>
    <row r="197" spans="2:9" ht="10.5" customHeight="1" x14ac:dyDescent="0.25">
      <c r="B197" s="293">
        <f t="shared" si="19"/>
        <v>168</v>
      </c>
      <c r="C197" s="294">
        <f t="shared" si="20"/>
        <v>47088</v>
      </c>
      <c r="D197" s="295">
        <f t="shared" si="16"/>
        <v>41498.138764222538</v>
      </c>
      <c r="E197" s="295">
        <f t="shared" si="17"/>
        <v>1788.8371156422374</v>
      </c>
      <c r="F197" s="295">
        <f t="shared" si="21"/>
        <v>7947.9727542253413</v>
      </c>
      <c r="G197" s="295">
        <f t="shared" si="22"/>
        <v>2507807.9138305574</v>
      </c>
      <c r="H197" s="295">
        <f t="shared" si="23"/>
        <v>4463879.3985588308</v>
      </c>
      <c r="I197" s="295">
        <f t="shared" si="18"/>
        <v>2691469.06401012</v>
      </c>
    </row>
    <row r="198" spans="2:9" ht="10.5" customHeight="1" x14ac:dyDescent="0.25">
      <c r="B198" s="293">
        <f t="shared" si="19"/>
        <v>169</v>
      </c>
      <c r="C198" s="294">
        <f t="shared" si="20"/>
        <v>47119</v>
      </c>
      <c r="D198" s="295">
        <f t="shared" si="16"/>
        <v>41498.138764222538</v>
      </c>
      <c r="E198" s="295">
        <f t="shared" si="17"/>
        <v>1788.8371156422374</v>
      </c>
      <c r="F198" s="295">
        <f t="shared" si="21"/>
        <v>7850.1181033628491</v>
      </c>
      <c r="G198" s="295">
        <f t="shared" si="22"/>
        <v>2515658.03193392</v>
      </c>
      <c r="H198" s="295">
        <f t="shared" si="23"/>
        <v>4497527.4192196904</v>
      </c>
      <c r="I198" s="295">
        <f t="shared" si="18"/>
        <v>2657821.0433492605</v>
      </c>
    </row>
    <row r="199" spans="2:9" ht="10.5" customHeight="1" x14ac:dyDescent="0.25">
      <c r="B199" s="293">
        <f t="shared" si="19"/>
        <v>170</v>
      </c>
      <c r="C199" s="294">
        <f t="shared" si="20"/>
        <v>47150</v>
      </c>
      <c r="D199" s="295">
        <f t="shared" si="16"/>
        <v>41498.138764222538</v>
      </c>
      <c r="E199" s="295">
        <f t="shared" si="17"/>
        <v>1788.8371156422374</v>
      </c>
      <c r="F199" s="295">
        <f t="shared" si="21"/>
        <v>7751.9780431020108</v>
      </c>
      <c r="G199" s="295">
        <f t="shared" si="22"/>
        <v>2523410.0099770222</v>
      </c>
      <c r="H199" s="295">
        <f t="shared" si="23"/>
        <v>4531273.5799408108</v>
      </c>
      <c r="I199" s="295">
        <f t="shared" si="18"/>
        <v>2624074.88262814</v>
      </c>
    </row>
    <row r="200" spans="2:9" ht="10.5" customHeight="1" x14ac:dyDescent="0.25">
      <c r="B200" s="293">
        <f t="shared" si="19"/>
        <v>171</v>
      </c>
      <c r="C200" s="294">
        <f t="shared" si="20"/>
        <v>47178</v>
      </c>
      <c r="D200" s="295">
        <f t="shared" si="16"/>
        <v>41498.138764222538</v>
      </c>
      <c r="E200" s="295">
        <f t="shared" si="17"/>
        <v>1788.8371156422374</v>
      </c>
      <c r="F200" s="295">
        <f t="shared" si="21"/>
        <v>7653.5517409987415</v>
      </c>
      <c r="G200" s="295">
        <f t="shared" si="22"/>
        <v>2531063.5617180211</v>
      </c>
      <c r="H200" s="295">
        <f t="shared" si="23"/>
        <v>4565118.1669640345</v>
      </c>
      <c r="I200" s="295">
        <f t="shared" si="18"/>
        <v>2590230.2956049163</v>
      </c>
    </row>
    <row r="201" spans="2:9" ht="10.5" customHeight="1" x14ac:dyDescent="0.25">
      <c r="B201" s="293">
        <f t="shared" si="19"/>
        <v>172</v>
      </c>
      <c r="C201" s="294">
        <f t="shared" si="20"/>
        <v>47209</v>
      </c>
      <c r="D201" s="295">
        <f t="shared" si="16"/>
        <v>41498.138764222538</v>
      </c>
      <c r="E201" s="295">
        <f t="shared" si="17"/>
        <v>1788.8371156422374</v>
      </c>
      <c r="F201" s="295">
        <f t="shared" si="21"/>
        <v>7554.8383621810062</v>
      </c>
      <c r="G201" s="295">
        <f t="shared" si="22"/>
        <v>2538618.4000802021</v>
      </c>
      <c r="H201" s="295">
        <f t="shared" si="23"/>
        <v>4599061.4673660761</v>
      </c>
      <c r="I201" s="295">
        <f t="shared" si="18"/>
        <v>2556286.9952028748</v>
      </c>
    </row>
    <row r="202" spans="2:9" ht="10.5" customHeight="1" x14ac:dyDescent="0.25">
      <c r="B202" s="293">
        <f t="shared" si="19"/>
        <v>173</v>
      </c>
      <c r="C202" s="294">
        <f t="shared" si="20"/>
        <v>47239</v>
      </c>
      <c r="D202" s="295">
        <f t="shared" si="16"/>
        <v>41498.138764222538</v>
      </c>
      <c r="E202" s="295">
        <f t="shared" si="17"/>
        <v>1788.8371156422374</v>
      </c>
      <c r="F202" s="295">
        <f t="shared" si="21"/>
        <v>7455.8370693417173</v>
      </c>
      <c r="G202" s="295">
        <f t="shared" si="22"/>
        <v>2546074.2371495441</v>
      </c>
      <c r="H202" s="295">
        <f t="shared" si="23"/>
        <v>4633103.7690609572</v>
      </c>
      <c r="I202" s="295">
        <f t="shared" si="18"/>
        <v>2522244.6935079936</v>
      </c>
    </row>
    <row r="203" spans="2:9" ht="10.5" customHeight="1" x14ac:dyDescent="0.25">
      <c r="B203" s="293">
        <f t="shared" si="19"/>
        <v>174</v>
      </c>
      <c r="C203" s="294">
        <f t="shared" si="20"/>
        <v>47270</v>
      </c>
      <c r="D203" s="295">
        <f t="shared" si="16"/>
        <v>41498.138764222538</v>
      </c>
      <c r="E203" s="295">
        <f t="shared" si="17"/>
        <v>1788.8371156422374</v>
      </c>
      <c r="F203" s="295">
        <f t="shared" si="21"/>
        <v>7356.5470227316482</v>
      </c>
      <c r="G203" s="295">
        <f t="shared" si="22"/>
        <v>2553430.7841722756</v>
      </c>
      <c r="H203" s="295">
        <f t="shared" si="23"/>
        <v>4667245.3608024484</v>
      </c>
      <c r="I203" s="295">
        <f t="shared" si="18"/>
        <v>2488103.1017665025</v>
      </c>
    </row>
    <row r="204" spans="2:9" ht="10.5" customHeight="1" x14ac:dyDescent="0.25">
      <c r="B204" s="293">
        <f t="shared" si="19"/>
        <v>175</v>
      </c>
      <c r="C204" s="294">
        <f t="shared" si="20"/>
        <v>47300</v>
      </c>
      <c r="D204" s="295">
        <f t="shared" si="16"/>
        <v>41498.138764222538</v>
      </c>
      <c r="E204" s="295">
        <f t="shared" si="17"/>
        <v>1788.8371156422374</v>
      </c>
      <c r="F204" s="295">
        <f t="shared" si="21"/>
        <v>7256.9673801522986</v>
      </c>
      <c r="G204" s="295">
        <f t="shared" si="22"/>
        <v>2560687.7515524277</v>
      </c>
      <c r="H204" s="295">
        <f t="shared" si="23"/>
        <v>4701486.5321865184</v>
      </c>
      <c r="I204" s="295">
        <f t="shared" si="18"/>
        <v>2453861.9303824324</v>
      </c>
    </row>
    <row r="205" spans="2:9" ht="10.5" customHeight="1" x14ac:dyDescent="0.25">
      <c r="B205" s="293">
        <f t="shared" si="19"/>
        <v>176</v>
      </c>
      <c r="C205" s="294">
        <f t="shared" si="20"/>
        <v>47331</v>
      </c>
      <c r="D205" s="295">
        <f t="shared" si="16"/>
        <v>41498.138764222538</v>
      </c>
      <c r="E205" s="295">
        <f t="shared" si="17"/>
        <v>1788.8371156422374</v>
      </c>
      <c r="F205" s="295">
        <f t="shared" si="21"/>
        <v>7157.0972969487621</v>
      </c>
      <c r="G205" s="295">
        <f t="shared" si="22"/>
        <v>2567844.8488493762</v>
      </c>
      <c r="H205" s="295">
        <f t="shared" si="23"/>
        <v>4735827.573653792</v>
      </c>
      <c r="I205" s="295">
        <f t="shared" si="18"/>
        <v>2419520.8889151588</v>
      </c>
    </row>
    <row r="206" spans="2:9" ht="10.5" customHeight="1" x14ac:dyDescent="0.25">
      <c r="B206" s="293">
        <f t="shared" si="19"/>
        <v>177</v>
      </c>
      <c r="C206" s="294">
        <f t="shared" si="20"/>
        <v>47362</v>
      </c>
      <c r="D206" s="295">
        <f t="shared" si="16"/>
        <v>41498.138764222538</v>
      </c>
      <c r="E206" s="295">
        <f t="shared" si="17"/>
        <v>1788.8371156422374</v>
      </c>
      <c r="F206" s="295">
        <f t="shared" si="21"/>
        <v>7056.9359260025458</v>
      </c>
      <c r="G206" s="295">
        <f t="shared" si="22"/>
        <v>2574901.7847753786</v>
      </c>
      <c r="H206" s="295">
        <f t="shared" si="23"/>
        <v>4770268.7764920117</v>
      </c>
      <c r="I206" s="295">
        <f t="shared" si="18"/>
        <v>2385079.6860769391</v>
      </c>
    </row>
    <row r="207" spans="2:9" ht="10.5" customHeight="1" x14ac:dyDescent="0.25">
      <c r="B207" s="293">
        <f t="shared" si="19"/>
        <v>178</v>
      </c>
      <c r="C207" s="294">
        <f t="shared" si="20"/>
        <v>47392</v>
      </c>
      <c r="D207" s="295">
        <f t="shared" si="16"/>
        <v>41498.138764222538</v>
      </c>
      <c r="E207" s="295">
        <f t="shared" si="17"/>
        <v>1788.8371156422374</v>
      </c>
      <c r="F207" s="295">
        <f t="shared" si="21"/>
        <v>6956.4824177244054</v>
      </c>
      <c r="G207" s="295">
        <f t="shared" si="22"/>
        <v>2581858.2671931032</v>
      </c>
      <c r="H207" s="295">
        <f t="shared" si="23"/>
        <v>4804810.4328385098</v>
      </c>
      <c r="I207" s="295">
        <f t="shared" si="18"/>
        <v>2350538.029730441</v>
      </c>
    </row>
    <row r="208" spans="2:9" ht="10.5" customHeight="1" x14ac:dyDescent="0.25">
      <c r="B208" s="293">
        <f t="shared" si="19"/>
        <v>179</v>
      </c>
      <c r="C208" s="294">
        <f t="shared" si="20"/>
        <v>47423</v>
      </c>
      <c r="D208" s="295">
        <f t="shared" si="16"/>
        <v>41498.138764222538</v>
      </c>
      <c r="E208" s="295">
        <f t="shared" si="17"/>
        <v>1788.8371156422374</v>
      </c>
      <c r="F208" s="295">
        <f t="shared" si="21"/>
        <v>6855.7359200471192</v>
      </c>
      <c r="G208" s="295">
        <f t="shared" si="22"/>
        <v>2588714.0031131501</v>
      </c>
      <c r="H208" s="295">
        <f t="shared" si="23"/>
        <v>4839452.8356826855</v>
      </c>
      <c r="I208" s="295">
        <f t="shared" si="18"/>
        <v>2315895.6268862654</v>
      </c>
    </row>
    <row r="209" spans="2:9" ht="10.5" customHeight="1" x14ac:dyDescent="0.25">
      <c r="B209" s="293">
        <f t="shared" si="19"/>
        <v>180</v>
      </c>
      <c r="C209" s="294">
        <f t="shared" si="20"/>
        <v>47453</v>
      </c>
      <c r="D209" s="295">
        <f t="shared" si="16"/>
        <v>41498.138764222538</v>
      </c>
      <c r="E209" s="295">
        <f t="shared" si="17"/>
        <v>1788.8371156422374</v>
      </c>
      <c r="F209" s="295">
        <f t="shared" si="21"/>
        <v>6754.6955784182746</v>
      </c>
      <c r="G209" s="295">
        <f t="shared" si="22"/>
        <v>2595468.6986915683</v>
      </c>
      <c r="H209" s="295">
        <f t="shared" si="23"/>
        <v>4874196.2788684899</v>
      </c>
      <c r="I209" s="295">
        <f t="shared" si="18"/>
        <v>2281152.1837004609</v>
      </c>
    </row>
    <row r="210" spans="2:9" ht="10.5" customHeight="1" x14ac:dyDescent="0.25">
      <c r="B210" s="293">
        <f t="shared" si="19"/>
        <v>181</v>
      </c>
      <c r="C210" s="294">
        <f t="shared" si="20"/>
        <v>47484</v>
      </c>
      <c r="D210" s="295">
        <f t="shared" si="16"/>
        <v>41498.138764222538</v>
      </c>
      <c r="E210" s="295">
        <f t="shared" si="17"/>
        <v>1788.8371156422374</v>
      </c>
      <c r="F210" s="295">
        <f t="shared" si="21"/>
        <v>6653.360535793011</v>
      </c>
      <c r="G210" s="295">
        <f t="shared" si="22"/>
        <v>2602122.0592273613</v>
      </c>
      <c r="H210" s="295">
        <f t="shared" si="23"/>
        <v>4909041.057096919</v>
      </c>
      <c r="I210" s="295">
        <f t="shared" si="18"/>
        <v>2246307.4054720318</v>
      </c>
    </row>
    <row r="211" spans="2:9" ht="10.5" customHeight="1" x14ac:dyDescent="0.25">
      <c r="B211" s="293">
        <f t="shared" si="19"/>
        <v>182</v>
      </c>
      <c r="C211" s="294">
        <f t="shared" si="20"/>
        <v>47515</v>
      </c>
      <c r="D211" s="295">
        <f t="shared" si="16"/>
        <v>41498.138764222538</v>
      </c>
      <c r="E211" s="295">
        <f t="shared" si="17"/>
        <v>1788.8371156422374</v>
      </c>
      <c r="F211" s="295">
        <f t="shared" si="21"/>
        <v>6551.7299326267594</v>
      </c>
      <c r="G211" s="295">
        <f t="shared" si="22"/>
        <v>2608673.7891599881</v>
      </c>
      <c r="H211" s="295">
        <f t="shared" si="23"/>
        <v>4943987.4659285145</v>
      </c>
      <c r="I211" s="295">
        <f t="shared" si="18"/>
        <v>2211360.9966404364</v>
      </c>
    </row>
    <row r="212" spans="2:9" ht="10.5" customHeight="1" x14ac:dyDescent="0.25">
      <c r="B212" s="293">
        <f t="shared" si="19"/>
        <v>183</v>
      </c>
      <c r="C212" s="294">
        <f t="shared" si="20"/>
        <v>47543</v>
      </c>
      <c r="D212" s="295">
        <f t="shared" si="16"/>
        <v>41498.138764222538</v>
      </c>
      <c r="E212" s="295">
        <f t="shared" si="17"/>
        <v>1788.8371156422374</v>
      </c>
      <c r="F212" s="295">
        <f t="shared" si="21"/>
        <v>6449.8029068679389</v>
      </c>
      <c r="G212" s="295">
        <f t="shared" si="22"/>
        <v>2615123.5920668561</v>
      </c>
      <c r="H212" s="295">
        <f t="shared" si="23"/>
        <v>4979035.8017858695</v>
      </c>
      <c r="I212" s="295">
        <f t="shared" si="18"/>
        <v>2176312.6607830813</v>
      </c>
    </row>
    <row r="213" spans="2:9" ht="10.5" customHeight="1" x14ac:dyDescent="0.25">
      <c r="B213" s="293">
        <f t="shared" si="19"/>
        <v>184</v>
      </c>
      <c r="C213" s="294">
        <f t="shared" si="20"/>
        <v>47574</v>
      </c>
      <c r="D213" s="295">
        <f t="shared" si="16"/>
        <v>41498.138764222538</v>
      </c>
      <c r="E213" s="295">
        <f t="shared" si="17"/>
        <v>1788.8371156422374</v>
      </c>
      <c r="F213" s="295">
        <f t="shared" si="21"/>
        <v>6347.5785939506532</v>
      </c>
      <c r="G213" s="295">
        <f t="shared" si="22"/>
        <v>2621471.1706608068</v>
      </c>
      <c r="H213" s="295">
        <f t="shared" si="23"/>
        <v>5014186.361956141</v>
      </c>
      <c r="I213" s="295">
        <f t="shared" si="18"/>
        <v>2141162.1006128099</v>
      </c>
    </row>
    <row r="214" spans="2:9" ht="10.5" customHeight="1" x14ac:dyDescent="0.25">
      <c r="B214" s="293">
        <f t="shared" si="19"/>
        <v>185</v>
      </c>
      <c r="C214" s="294">
        <f t="shared" si="20"/>
        <v>47604</v>
      </c>
      <c r="D214" s="295">
        <f t="shared" si="16"/>
        <v>41498.138764222538</v>
      </c>
      <c r="E214" s="295">
        <f t="shared" si="17"/>
        <v>1788.8371156422374</v>
      </c>
      <c r="F214" s="295">
        <f t="shared" si="21"/>
        <v>6245.0561267873627</v>
      </c>
      <c r="G214" s="295">
        <f t="shared" si="22"/>
        <v>2627716.2267875941</v>
      </c>
      <c r="H214" s="295">
        <f t="shared" si="23"/>
        <v>5049439.4445935758</v>
      </c>
      <c r="I214" s="295">
        <f t="shared" si="18"/>
        <v>2105909.0179753751</v>
      </c>
    </row>
    <row r="215" spans="2:9" ht="10.5" customHeight="1" x14ac:dyDescent="0.25">
      <c r="B215" s="293">
        <f t="shared" si="19"/>
        <v>186</v>
      </c>
      <c r="C215" s="294">
        <f t="shared" si="20"/>
        <v>47635</v>
      </c>
      <c r="D215" s="295">
        <f t="shared" si="16"/>
        <v>41498.138764222538</v>
      </c>
      <c r="E215" s="295">
        <f t="shared" si="17"/>
        <v>1788.8371156422374</v>
      </c>
      <c r="F215" s="295">
        <f t="shared" si="21"/>
        <v>6142.2346357615106</v>
      </c>
      <c r="G215" s="295">
        <f t="shared" si="22"/>
        <v>2633858.4614233556</v>
      </c>
      <c r="H215" s="295">
        <f t="shared" si="23"/>
        <v>5084795.3487220369</v>
      </c>
      <c r="I215" s="295">
        <f t="shared" si="18"/>
        <v>2070553.1138469139</v>
      </c>
    </row>
    <row r="216" spans="2:9" ht="10.5" customHeight="1" x14ac:dyDescent="0.25">
      <c r="B216" s="293">
        <f t="shared" si="19"/>
        <v>187</v>
      </c>
      <c r="C216" s="294">
        <f t="shared" si="20"/>
        <v>47665</v>
      </c>
      <c r="D216" s="295">
        <f t="shared" si="16"/>
        <v>41498.138764222538</v>
      </c>
      <c r="E216" s="295">
        <f t="shared" si="17"/>
        <v>1788.8371156422374</v>
      </c>
      <c r="F216" s="295">
        <f t="shared" si="21"/>
        <v>6039.1132487201658</v>
      </c>
      <c r="G216" s="295">
        <f t="shared" si="22"/>
        <v>2639897.5746720759</v>
      </c>
      <c r="H216" s="295">
        <f t="shared" si="23"/>
        <v>5120254.3742375392</v>
      </c>
      <c r="I216" s="295">
        <f t="shared" si="18"/>
        <v>2035094.0883314116</v>
      </c>
    </row>
    <row r="217" spans="2:9" ht="10.5" customHeight="1" x14ac:dyDescent="0.25">
      <c r="B217" s="293">
        <f t="shared" si="19"/>
        <v>188</v>
      </c>
      <c r="C217" s="294">
        <f t="shared" si="20"/>
        <v>47696</v>
      </c>
      <c r="D217" s="295">
        <f t="shared" si="16"/>
        <v>41498.138764222538</v>
      </c>
      <c r="E217" s="295">
        <f t="shared" si="17"/>
        <v>1788.8371156422374</v>
      </c>
      <c r="F217" s="295">
        <f t="shared" si="21"/>
        <v>5935.6910909666176</v>
      </c>
      <c r="G217" s="295">
        <f t="shared" si="22"/>
        <v>2645833.2657630425</v>
      </c>
      <c r="H217" s="295">
        <f t="shared" si="23"/>
        <v>5155816.8219107948</v>
      </c>
      <c r="I217" s="295">
        <f t="shared" si="18"/>
        <v>1999531.640658156</v>
      </c>
    </row>
    <row r="218" spans="2:9" ht="10.5" customHeight="1" x14ac:dyDescent="0.25">
      <c r="B218" s="293">
        <f t="shared" si="19"/>
        <v>189</v>
      </c>
      <c r="C218" s="294">
        <f t="shared" si="20"/>
        <v>47727</v>
      </c>
      <c r="D218" s="295">
        <f t="shared" si="16"/>
        <v>41498.138764222538</v>
      </c>
      <c r="E218" s="295">
        <f t="shared" si="17"/>
        <v>1788.8371156422374</v>
      </c>
      <c r="F218" s="295">
        <f t="shared" si="21"/>
        <v>5831.9672852529557</v>
      </c>
      <c r="G218" s="295">
        <f t="shared" si="22"/>
        <v>2651665.2330482956</v>
      </c>
      <c r="H218" s="295">
        <f t="shared" si="23"/>
        <v>5191482.9933897648</v>
      </c>
      <c r="I218" s="295">
        <f t="shared" si="18"/>
        <v>1963865.469179186</v>
      </c>
    </row>
    <row r="219" spans="2:9" ht="10.5" customHeight="1" x14ac:dyDescent="0.25">
      <c r="B219" s="293">
        <f t="shared" si="19"/>
        <v>190</v>
      </c>
      <c r="C219" s="294">
        <f t="shared" si="20"/>
        <v>47757</v>
      </c>
      <c r="D219" s="295">
        <f t="shared" si="16"/>
        <v>41498.138764222538</v>
      </c>
      <c r="E219" s="295">
        <f t="shared" si="17"/>
        <v>1788.8371156422374</v>
      </c>
      <c r="F219" s="295">
        <f t="shared" si="21"/>
        <v>5727.9409517726262</v>
      </c>
      <c r="G219" s="295">
        <f t="shared" si="22"/>
        <v>2657393.1740000681</v>
      </c>
      <c r="H219" s="295">
        <f t="shared" si="23"/>
        <v>5227253.1912022149</v>
      </c>
      <c r="I219" s="295">
        <f t="shared" si="18"/>
        <v>1928095.2713667359</v>
      </c>
    </row>
    <row r="220" spans="2:9" ht="10.5" customHeight="1" x14ac:dyDescent="0.25">
      <c r="B220" s="293">
        <f t="shared" si="19"/>
        <v>191</v>
      </c>
      <c r="C220" s="294">
        <f t="shared" si="20"/>
        <v>47788</v>
      </c>
      <c r="D220" s="295">
        <f t="shared" si="16"/>
        <v>41498.138764222538</v>
      </c>
      <c r="E220" s="295">
        <f t="shared" si="17"/>
        <v>1788.8371156422374</v>
      </c>
      <c r="F220" s="295">
        <f t="shared" si="21"/>
        <v>5623.61120815298</v>
      </c>
      <c r="G220" s="295">
        <f t="shared" si="22"/>
        <v>2663016.7852082211</v>
      </c>
      <c r="H220" s="295">
        <f t="shared" si="23"/>
        <v>5263127.7187582841</v>
      </c>
      <c r="I220" s="295">
        <f t="shared" si="18"/>
        <v>1892220.7438106667</v>
      </c>
    </row>
    <row r="221" spans="2:9" ht="10.5" customHeight="1" x14ac:dyDescent="0.25">
      <c r="B221" s="293">
        <f t="shared" si="19"/>
        <v>192</v>
      </c>
      <c r="C221" s="294">
        <f t="shared" si="20"/>
        <v>47818</v>
      </c>
      <c r="D221" s="295">
        <f t="shared" si="16"/>
        <v>41498.138764222538</v>
      </c>
      <c r="E221" s="295">
        <f t="shared" si="17"/>
        <v>1788.8371156422374</v>
      </c>
      <c r="F221" s="295">
        <f t="shared" si="21"/>
        <v>5518.9771694477777</v>
      </c>
      <c r="G221" s="295">
        <f t="shared" si="22"/>
        <v>2668535.7623776686</v>
      </c>
      <c r="H221" s="295">
        <f t="shared" si="23"/>
        <v>5299106.8803530587</v>
      </c>
      <c r="I221" s="295">
        <f t="shared" si="18"/>
        <v>1856241.5822158922</v>
      </c>
    </row>
    <row r="222" spans="2:9" ht="10.5" customHeight="1" x14ac:dyDescent="0.25">
      <c r="B222" s="293">
        <f t="shared" si="19"/>
        <v>193</v>
      </c>
      <c r="C222" s="294">
        <f t="shared" si="20"/>
        <v>47849</v>
      </c>
      <c r="D222" s="295">
        <f t="shared" ref="D222:D285" si="24">IF(B222&lt;&gt;"",mensualitehorsassurance,"")</f>
        <v>41498.138764222538</v>
      </c>
      <c r="E222" s="295">
        <f t="shared" ref="E222:E285" si="25">IF(B222&lt;&gt;"",mensualiteassurance,"")</f>
        <v>1788.8371156422374</v>
      </c>
      <c r="F222" s="295">
        <f t="shared" si="21"/>
        <v>5414.037948129685</v>
      </c>
      <c r="G222" s="295">
        <f t="shared" si="22"/>
        <v>2673949.8003257983</v>
      </c>
      <c r="H222" s="295">
        <f t="shared" si="23"/>
        <v>5335190.9811691511</v>
      </c>
      <c r="I222" s="295">
        <f t="shared" ref="I222:I285" si="26">IF(F222&lt;&gt;"",pret-H222,"")</f>
        <v>1820157.4813997997</v>
      </c>
    </row>
    <row r="223" spans="2:9" ht="10.5" customHeight="1" x14ac:dyDescent="0.25">
      <c r="B223" s="293">
        <f t="shared" ref="B223:B286" si="27">IF(test="OK",IF(B222&lt;dureepret,B222+1,""),"")</f>
        <v>194</v>
      </c>
      <c r="C223" s="294">
        <f t="shared" ref="C223:C286" si="28">IF(B223&lt;&gt;"",DATE(YEAR(C222),MONTH(C222)+1,DAY(C222)),"")</f>
        <v>47880</v>
      </c>
      <c r="D223" s="295">
        <f t="shared" si="24"/>
        <v>41498.138764222538</v>
      </c>
      <c r="E223" s="295">
        <f t="shared" si="25"/>
        <v>1788.8371156422374</v>
      </c>
      <c r="F223" s="295">
        <f t="shared" ref="F223:F286" si="29">IF(B223&lt;&gt;"",I222*tauxinteret/100/12,"")</f>
        <v>5308.7926540827493</v>
      </c>
      <c r="G223" s="295">
        <f t="shared" ref="G223:G286" si="30">IF(D223&lt;&gt;"",G222+F223,"")</f>
        <v>2679258.592979881</v>
      </c>
      <c r="H223" s="295">
        <f t="shared" ref="H223:H286" si="31">IF(E223&lt;&gt;"",D223-F223+H222,"")</f>
        <v>5371380.3272792911</v>
      </c>
      <c r="I223" s="295">
        <f t="shared" si="26"/>
        <v>1783968.1352896597</v>
      </c>
    </row>
    <row r="224" spans="2:9" ht="10.5" customHeight="1" x14ac:dyDescent="0.25">
      <c r="B224" s="293">
        <f t="shared" si="27"/>
        <v>195</v>
      </c>
      <c r="C224" s="294">
        <f t="shared" si="28"/>
        <v>47908</v>
      </c>
      <c r="D224" s="295">
        <f t="shared" si="24"/>
        <v>41498.138764222538</v>
      </c>
      <c r="E224" s="295">
        <f t="shared" si="25"/>
        <v>1788.8371156422374</v>
      </c>
      <c r="F224" s="295">
        <f t="shared" si="29"/>
        <v>5203.2403945948408</v>
      </c>
      <c r="G224" s="295">
        <f t="shared" si="30"/>
        <v>2684461.8333744756</v>
      </c>
      <c r="H224" s="295">
        <f t="shared" si="31"/>
        <v>5407675.2256489191</v>
      </c>
      <c r="I224" s="295">
        <f t="shared" si="26"/>
        <v>1747673.2369200317</v>
      </c>
    </row>
    <row r="225" spans="2:9" ht="10.5" customHeight="1" x14ac:dyDescent="0.25">
      <c r="B225" s="293">
        <f t="shared" si="27"/>
        <v>196</v>
      </c>
      <c r="C225" s="294">
        <f t="shared" si="28"/>
        <v>47939</v>
      </c>
      <c r="D225" s="295">
        <f t="shared" si="24"/>
        <v>41498.138764222538</v>
      </c>
      <c r="E225" s="295">
        <f t="shared" si="25"/>
        <v>1788.8371156422374</v>
      </c>
      <c r="F225" s="295">
        <f t="shared" si="29"/>
        <v>5097.3802743500919</v>
      </c>
      <c r="G225" s="295">
        <f t="shared" si="30"/>
        <v>2689559.2136488259</v>
      </c>
      <c r="H225" s="295">
        <f t="shared" si="31"/>
        <v>5444075.9841387914</v>
      </c>
      <c r="I225" s="295">
        <f t="shared" si="26"/>
        <v>1711272.4784301594</v>
      </c>
    </row>
    <row r="226" spans="2:9" ht="10.5" customHeight="1" x14ac:dyDescent="0.25">
      <c r="B226" s="293">
        <f t="shared" si="27"/>
        <v>197</v>
      </c>
      <c r="C226" s="294">
        <f t="shared" si="28"/>
        <v>47969</v>
      </c>
      <c r="D226" s="295">
        <f t="shared" si="24"/>
        <v>41498.138764222538</v>
      </c>
      <c r="E226" s="295">
        <f t="shared" si="25"/>
        <v>1788.8371156422374</v>
      </c>
      <c r="F226" s="295">
        <f t="shared" si="29"/>
        <v>4991.2113954212982</v>
      </c>
      <c r="G226" s="295">
        <f t="shared" si="30"/>
        <v>2694550.4250442469</v>
      </c>
      <c r="H226" s="295">
        <f t="shared" si="31"/>
        <v>5480582.9115075925</v>
      </c>
      <c r="I226" s="295">
        <f t="shared" si="26"/>
        <v>1674765.5510613583</v>
      </c>
    </row>
    <row r="227" spans="2:9" ht="10.5" customHeight="1" x14ac:dyDescent="0.25">
      <c r="B227" s="293">
        <f t="shared" si="27"/>
        <v>198</v>
      </c>
      <c r="C227" s="294">
        <f t="shared" si="28"/>
        <v>48000</v>
      </c>
      <c r="D227" s="295">
        <f t="shared" si="24"/>
        <v>41498.138764222538</v>
      </c>
      <c r="E227" s="295">
        <f t="shared" si="25"/>
        <v>1788.8371156422374</v>
      </c>
      <c r="F227" s="295">
        <f t="shared" si="29"/>
        <v>4884.7328572622946</v>
      </c>
      <c r="G227" s="295">
        <f t="shared" si="30"/>
        <v>2699435.1579015092</v>
      </c>
      <c r="H227" s="295">
        <f t="shared" si="31"/>
        <v>5517196.3174145529</v>
      </c>
      <c r="I227" s="295">
        <f t="shared" si="26"/>
        <v>1638152.1451543979</v>
      </c>
    </row>
    <row r="228" spans="2:9" ht="10.5" customHeight="1" x14ac:dyDescent="0.25">
      <c r="B228" s="293">
        <f t="shared" si="27"/>
        <v>199</v>
      </c>
      <c r="C228" s="294">
        <f t="shared" si="28"/>
        <v>48030</v>
      </c>
      <c r="D228" s="295">
        <f t="shared" si="24"/>
        <v>41498.138764222538</v>
      </c>
      <c r="E228" s="295">
        <f t="shared" si="25"/>
        <v>1788.8371156422374</v>
      </c>
      <c r="F228" s="295">
        <f t="shared" si="29"/>
        <v>4777.943756700327</v>
      </c>
      <c r="G228" s="295">
        <f t="shared" si="30"/>
        <v>2704213.1016582097</v>
      </c>
      <c r="H228" s="295">
        <f t="shared" si="31"/>
        <v>5553916.5124220755</v>
      </c>
      <c r="I228" s="295">
        <f t="shared" si="26"/>
        <v>1601431.9501468753</v>
      </c>
    </row>
    <row r="229" spans="2:9" ht="10.5" customHeight="1" x14ac:dyDescent="0.25">
      <c r="B229" s="293">
        <f t="shared" si="27"/>
        <v>200</v>
      </c>
      <c r="C229" s="294">
        <f t="shared" si="28"/>
        <v>48061</v>
      </c>
      <c r="D229" s="295">
        <f t="shared" si="24"/>
        <v>41498.138764222538</v>
      </c>
      <c r="E229" s="295">
        <f t="shared" si="25"/>
        <v>1788.8371156422374</v>
      </c>
      <c r="F229" s="295">
        <f t="shared" si="29"/>
        <v>4670.8431879283862</v>
      </c>
      <c r="G229" s="295">
        <f t="shared" si="30"/>
        <v>2708883.9448461379</v>
      </c>
      <c r="H229" s="295">
        <f t="shared" si="31"/>
        <v>5590743.8079983694</v>
      </c>
      <c r="I229" s="295">
        <f t="shared" si="26"/>
        <v>1564604.6545705814</v>
      </c>
    </row>
    <row r="230" spans="2:9" ht="10.5" customHeight="1" x14ac:dyDescent="0.25">
      <c r="B230" s="293">
        <f t="shared" si="27"/>
        <v>201</v>
      </c>
      <c r="C230" s="294">
        <f t="shared" si="28"/>
        <v>48092</v>
      </c>
      <c r="D230" s="295">
        <f t="shared" si="24"/>
        <v>41498.138764222538</v>
      </c>
      <c r="E230" s="295">
        <f t="shared" si="25"/>
        <v>1788.8371156422374</v>
      </c>
      <c r="F230" s="295">
        <f t="shared" si="29"/>
        <v>4563.4302424975294</v>
      </c>
      <c r="G230" s="295">
        <f t="shared" si="30"/>
        <v>2713447.3750886354</v>
      </c>
      <c r="H230" s="295">
        <f t="shared" si="31"/>
        <v>5627678.5165200941</v>
      </c>
      <c r="I230" s="295">
        <f t="shared" si="26"/>
        <v>1527669.9460488567</v>
      </c>
    </row>
    <row r="231" spans="2:9" ht="10.5" customHeight="1" x14ac:dyDescent="0.25">
      <c r="B231" s="293">
        <f t="shared" si="27"/>
        <v>202</v>
      </c>
      <c r="C231" s="294">
        <f t="shared" si="28"/>
        <v>48122</v>
      </c>
      <c r="D231" s="295">
        <f t="shared" si="24"/>
        <v>41498.138764222538</v>
      </c>
      <c r="E231" s="295">
        <f t="shared" si="25"/>
        <v>1788.8371156422374</v>
      </c>
      <c r="F231" s="295">
        <f t="shared" si="29"/>
        <v>4455.7040093091664</v>
      </c>
      <c r="G231" s="295">
        <f t="shared" si="30"/>
        <v>2717903.0790979443</v>
      </c>
      <c r="H231" s="295">
        <f t="shared" si="31"/>
        <v>5664720.9512750078</v>
      </c>
      <c r="I231" s="295">
        <f t="shared" si="26"/>
        <v>1490627.511293943</v>
      </c>
    </row>
    <row r="232" spans="2:9" ht="10.5" customHeight="1" x14ac:dyDescent="0.25">
      <c r="B232" s="293">
        <f t="shared" si="27"/>
        <v>203</v>
      </c>
      <c r="C232" s="294">
        <f t="shared" si="28"/>
        <v>48153</v>
      </c>
      <c r="D232" s="295">
        <f t="shared" si="24"/>
        <v>41498.138764222538</v>
      </c>
      <c r="E232" s="295">
        <f t="shared" si="25"/>
        <v>1788.8371156422374</v>
      </c>
      <c r="F232" s="295">
        <f t="shared" si="29"/>
        <v>4347.6635746073334</v>
      </c>
      <c r="G232" s="295">
        <f t="shared" si="30"/>
        <v>2722250.7426725514</v>
      </c>
      <c r="H232" s="295">
        <f t="shared" si="31"/>
        <v>5701871.4264646228</v>
      </c>
      <c r="I232" s="295">
        <f t="shared" si="26"/>
        <v>1453477.036104328</v>
      </c>
    </row>
    <row r="233" spans="2:9" ht="10.5" customHeight="1" x14ac:dyDescent="0.25">
      <c r="B233" s="293">
        <f t="shared" si="27"/>
        <v>204</v>
      </c>
      <c r="C233" s="294">
        <f t="shared" si="28"/>
        <v>48183</v>
      </c>
      <c r="D233" s="295">
        <f t="shared" si="24"/>
        <v>41498.138764222538</v>
      </c>
      <c r="E233" s="295">
        <f t="shared" si="25"/>
        <v>1788.8371156422374</v>
      </c>
      <c r="F233" s="295">
        <f t="shared" si="29"/>
        <v>4239.3080219709564</v>
      </c>
      <c r="G233" s="295">
        <f t="shared" si="30"/>
        <v>2726490.0506945224</v>
      </c>
      <c r="H233" s="295">
        <f t="shared" si="31"/>
        <v>5739130.257206874</v>
      </c>
      <c r="I233" s="295">
        <f t="shared" si="26"/>
        <v>1416218.2053620769</v>
      </c>
    </row>
    <row r="234" spans="2:9" ht="10.5" customHeight="1" x14ac:dyDescent="0.25">
      <c r="B234" s="293">
        <f t="shared" si="27"/>
        <v>205</v>
      </c>
      <c r="C234" s="294">
        <f t="shared" si="28"/>
        <v>48214</v>
      </c>
      <c r="D234" s="295">
        <f t="shared" si="24"/>
        <v>41498.138764222538</v>
      </c>
      <c r="E234" s="295">
        <f t="shared" si="25"/>
        <v>1788.8371156422374</v>
      </c>
      <c r="F234" s="295">
        <f t="shared" si="29"/>
        <v>4130.636432306057</v>
      </c>
      <c r="G234" s="295">
        <f t="shared" si="30"/>
        <v>2730620.6871268284</v>
      </c>
      <c r="H234" s="295">
        <f t="shared" si="31"/>
        <v>5776497.7595387902</v>
      </c>
      <c r="I234" s="295">
        <f t="shared" si="26"/>
        <v>1378850.7030301606</v>
      </c>
    </row>
    <row r="235" spans="2:9" ht="10.5" customHeight="1" x14ac:dyDescent="0.25">
      <c r="B235" s="293">
        <f t="shared" si="27"/>
        <v>206</v>
      </c>
      <c r="C235" s="294">
        <f t="shared" si="28"/>
        <v>48245</v>
      </c>
      <c r="D235" s="295">
        <f t="shared" si="24"/>
        <v>41498.138764222538</v>
      </c>
      <c r="E235" s="295">
        <f t="shared" si="25"/>
        <v>1788.8371156422374</v>
      </c>
      <c r="F235" s="295">
        <f t="shared" si="29"/>
        <v>4021.647883837968</v>
      </c>
      <c r="G235" s="295">
        <f t="shared" si="30"/>
        <v>2734642.3350106664</v>
      </c>
      <c r="H235" s="295">
        <f t="shared" si="31"/>
        <v>5813974.2504191743</v>
      </c>
      <c r="I235" s="295">
        <f t="shared" si="26"/>
        <v>1341374.2121497765</v>
      </c>
    </row>
    <row r="236" spans="2:9" ht="10.5" customHeight="1" x14ac:dyDescent="0.25">
      <c r="B236" s="293">
        <f t="shared" si="27"/>
        <v>207</v>
      </c>
      <c r="C236" s="294">
        <f t="shared" si="28"/>
        <v>48274</v>
      </c>
      <c r="D236" s="295">
        <f t="shared" si="24"/>
        <v>41498.138764222538</v>
      </c>
      <c r="E236" s="295">
        <f t="shared" si="25"/>
        <v>1788.8371156422374</v>
      </c>
      <c r="F236" s="295">
        <f t="shared" si="29"/>
        <v>3912.3414521035152</v>
      </c>
      <c r="G236" s="295">
        <f t="shared" si="30"/>
        <v>2738554.67646277</v>
      </c>
      <c r="H236" s="295">
        <f t="shared" si="31"/>
        <v>5851560.0477312934</v>
      </c>
      <c r="I236" s="295">
        <f t="shared" si="26"/>
        <v>1303788.4148376575</v>
      </c>
    </row>
    <row r="237" spans="2:9" ht="10.5" customHeight="1" x14ac:dyDescent="0.25">
      <c r="B237" s="293">
        <f t="shared" si="27"/>
        <v>208</v>
      </c>
      <c r="C237" s="294">
        <f t="shared" si="28"/>
        <v>48305</v>
      </c>
      <c r="D237" s="295">
        <f t="shared" si="24"/>
        <v>41498.138764222538</v>
      </c>
      <c r="E237" s="295">
        <f t="shared" si="25"/>
        <v>1788.8371156422374</v>
      </c>
      <c r="F237" s="295">
        <f t="shared" si="29"/>
        <v>3802.7162099431675</v>
      </c>
      <c r="G237" s="295">
        <f t="shared" si="30"/>
        <v>2742357.3926727129</v>
      </c>
      <c r="H237" s="295">
        <f t="shared" si="31"/>
        <v>5889255.470285573</v>
      </c>
      <c r="I237" s="295">
        <f t="shared" si="26"/>
        <v>1266092.9922833778</v>
      </c>
    </row>
    <row r="238" spans="2:9" ht="10.5" customHeight="1" x14ac:dyDescent="0.25">
      <c r="B238" s="293">
        <f t="shared" si="27"/>
        <v>209</v>
      </c>
      <c r="C238" s="294">
        <f t="shared" si="28"/>
        <v>48335</v>
      </c>
      <c r="D238" s="295">
        <f t="shared" si="24"/>
        <v>41498.138764222538</v>
      </c>
      <c r="E238" s="295">
        <f t="shared" si="25"/>
        <v>1788.8371156422374</v>
      </c>
      <c r="F238" s="295">
        <f t="shared" si="29"/>
        <v>3692.7712274931855</v>
      </c>
      <c r="G238" s="295">
        <f t="shared" si="30"/>
        <v>2746050.1639002063</v>
      </c>
      <c r="H238" s="295">
        <f t="shared" si="31"/>
        <v>5927060.8378223022</v>
      </c>
      <c r="I238" s="295">
        <f t="shared" si="26"/>
        <v>1228287.6247466486</v>
      </c>
    </row>
    <row r="239" spans="2:9" ht="10.5" customHeight="1" x14ac:dyDescent="0.25">
      <c r="B239" s="293">
        <f t="shared" si="27"/>
        <v>210</v>
      </c>
      <c r="C239" s="294">
        <f t="shared" si="28"/>
        <v>48366</v>
      </c>
      <c r="D239" s="295">
        <f t="shared" si="24"/>
        <v>41498.138764222538</v>
      </c>
      <c r="E239" s="295">
        <f t="shared" si="25"/>
        <v>1788.8371156422374</v>
      </c>
      <c r="F239" s="295">
        <f t="shared" si="29"/>
        <v>3582.5055721777248</v>
      </c>
      <c r="G239" s="295">
        <f t="shared" si="30"/>
        <v>2749632.6694723843</v>
      </c>
      <c r="H239" s="295">
        <f t="shared" si="31"/>
        <v>5964976.4710143469</v>
      </c>
      <c r="I239" s="295">
        <f t="shared" si="26"/>
        <v>1190371.9915546039</v>
      </c>
    </row>
    <row r="240" spans="2:9" ht="10.5" customHeight="1" x14ac:dyDescent="0.25">
      <c r="B240" s="293">
        <f t="shared" si="27"/>
        <v>211</v>
      </c>
      <c r="C240" s="294">
        <f t="shared" si="28"/>
        <v>48396</v>
      </c>
      <c r="D240" s="295">
        <f t="shared" si="24"/>
        <v>41498.138764222538</v>
      </c>
      <c r="E240" s="295">
        <f t="shared" si="25"/>
        <v>1788.8371156422374</v>
      </c>
      <c r="F240" s="295">
        <f t="shared" si="29"/>
        <v>3471.9183087009278</v>
      </c>
      <c r="G240" s="295">
        <f t="shared" si="30"/>
        <v>2753104.5877810852</v>
      </c>
      <c r="H240" s="295">
        <f t="shared" si="31"/>
        <v>6003002.6914698686</v>
      </c>
      <c r="I240" s="295">
        <f t="shared" si="26"/>
        <v>1152345.7710990822</v>
      </c>
    </row>
    <row r="241" spans="2:9" ht="10.5" customHeight="1" x14ac:dyDescent="0.25">
      <c r="B241" s="293">
        <f t="shared" si="27"/>
        <v>212</v>
      </c>
      <c r="C241" s="294">
        <f t="shared" si="28"/>
        <v>48427</v>
      </c>
      <c r="D241" s="295">
        <f t="shared" si="24"/>
        <v>41498.138764222538</v>
      </c>
      <c r="E241" s="295">
        <f t="shared" si="25"/>
        <v>1788.8371156422374</v>
      </c>
      <c r="F241" s="295">
        <f t="shared" si="29"/>
        <v>3361.0084990389896</v>
      </c>
      <c r="G241" s="295">
        <f t="shared" si="30"/>
        <v>2756465.596280124</v>
      </c>
      <c r="H241" s="295">
        <f t="shared" si="31"/>
        <v>6041139.8217350524</v>
      </c>
      <c r="I241" s="295">
        <f t="shared" si="26"/>
        <v>1114208.6408338984</v>
      </c>
    </row>
    <row r="242" spans="2:9" ht="10.5" customHeight="1" x14ac:dyDescent="0.25">
      <c r="B242" s="293">
        <f t="shared" si="27"/>
        <v>213</v>
      </c>
      <c r="C242" s="294">
        <f t="shared" si="28"/>
        <v>48458</v>
      </c>
      <c r="D242" s="295">
        <f t="shared" si="24"/>
        <v>41498.138764222538</v>
      </c>
      <c r="E242" s="295">
        <f t="shared" si="25"/>
        <v>1788.8371156422374</v>
      </c>
      <c r="F242" s="295">
        <f t="shared" si="29"/>
        <v>3249.7752024322035</v>
      </c>
      <c r="G242" s="295">
        <f t="shared" si="30"/>
        <v>2759715.3714825562</v>
      </c>
      <c r="H242" s="295">
        <f t="shared" si="31"/>
        <v>6079388.1852968428</v>
      </c>
      <c r="I242" s="295">
        <f t="shared" si="26"/>
        <v>1075960.277272108</v>
      </c>
    </row>
    <row r="243" spans="2:9" ht="10.5" customHeight="1" x14ac:dyDescent="0.25">
      <c r="B243" s="293">
        <f t="shared" si="27"/>
        <v>214</v>
      </c>
      <c r="C243" s="294">
        <f t="shared" si="28"/>
        <v>48488</v>
      </c>
      <c r="D243" s="295">
        <f t="shared" si="24"/>
        <v>41498.138764222538</v>
      </c>
      <c r="E243" s="295">
        <f t="shared" si="25"/>
        <v>1788.8371156422374</v>
      </c>
      <c r="F243" s="295">
        <f t="shared" si="29"/>
        <v>3138.2174753769818</v>
      </c>
      <c r="G243" s="295">
        <f t="shared" si="30"/>
        <v>2762853.5889579332</v>
      </c>
      <c r="H243" s="295">
        <f t="shared" si="31"/>
        <v>6117748.106585688</v>
      </c>
      <c r="I243" s="295">
        <f t="shared" si="26"/>
        <v>1037600.3559832629</v>
      </c>
    </row>
    <row r="244" spans="2:9" ht="10.5" customHeight="1" x14ac:dyDescent="0.25">
      <c r="B244" s="293">
        <f t="shared" si="27"/>
        <v>215</v>
      </c>
      <c r="C244" s="294">
        <f t="shared" si="28"/>
        <v>48519</v>
      </c>
      <c r="D244" s="295">
        <f t="shared" si="24"/>
        <v>41498.138764222538</v>
      </c>
      <c r="E244" s="295">
        <f t="shared" si="25"/>
        <v>1788.8371156422374</v>
      </c>
      <c r="F244" s="295">
        <f t="shared" si="29"/>
        <v>3026.3343716178501</v>
      </c>
      <c r="G244" s="295">
        <f t="shared" si="30"/>
        <v>2765879.9233295512</v>
      </c>
      <c r="H244" s="295">
        <f t="shared" si="31"/>
        <v>6156219.910978293</v>
      </c>
      <c r="I244" s="295">
        <f t="shared" si="26"/>
        <v>999128.55159065779</v>
      </c>
    </row>
    <row r="245" spans="2:9" ht="10.5" customHeight="1" x14ac:dyDescent="0.25">
      <c r="B245" s="293">
        <f t="shared" si="27"/>
        <v>216</v>
      </c>
      <c r="C245" s="294">
        <f t="shared" si="28"/>
        <v>48549</v>
      </c>
      <c r="D245" s="295">
        <f t="shared" si="24"/>
        <v>41498.138764222538</v>
      </c>
      <c r="E245" s="295">
        <f t="shared" si="25"/>
        <v>1788.8371156422374</v>
      </c>
      <c r="F245" s="295">
        <f t="shared" si="29"/>
        <v>2914.1249421394186</v>
      </c>
      <c r="G245" s="295">
        <f t="shared" si="30"/>
        <v>2768794.0482716905</v>
      </c>
      <c r="H245" s="295">
        <f t="shared" si="31"/>
        <v>6194803.9248003764</v>
      </c>
      <c r="I245" s="295">
        <f t="shared" si="26"/>
        <v>960544.53776857443</v>
      </c>
    </row>
    <row r="246" spans="2:9" ht="10.5" customHeight="1" x14ac:dyDescent="0.25">
      <c r="B246" s="293">
        <f t="shared" si="27"/>
        <v>217</v>
      </c>
      <c r="C246" s="294">
        <f t="shared" si="28"/>
        <v>48580</v>
      </c>
      <c r="D246" s="295">
        <f t="shared" si="24"/>
        <v>41498.138764222538</v>
      </c>
      <c r="E246" s="295">
        <f t="shared" si="25"/>
        <v>1788.8371156422374</v>
      </c>
      <c r="F246" s="295">
        <f t="shared" si="29"/>
        <v>2801.5882351583423</v>
      </c>
      <c r="G246" s="295">
        <f t="shared" si="30"/>
        <v>2771595.636506849</v>
      </c>
      <c r="H246" s="295">
        <f t="shared" si="31"/>
        <v>6233500.475329441</v>
      </c>
      <c r="I246" s="295">
        <f t="shared" si="26"/>
        <v>921847.98723950982</v>
      </c>
    </row>
    <row r="247" spans="2:9" ht="10.5" customHeight="1" x14ac:dyDescent="0.25">
      <c r="B247" s="293">
        <f t="shared" si="27"/>
        <v>218</v>
      </c>
      <c r="C247" s="294">
        <f t="shared" si="28"/>
        <v>48611</v>
      </c>
      <c r="D247" s="295">
        <f t="shared" si="24"/>
        <v>41498.138764222538</v>
      </c>
      <c r="E247" s="295">
        <f t="shared" si="25"/>
        <v>1788.8371156422374</v>
      </c>
      <c r="F247" s="295">
        <f t="shared" si="29"/>
        <v>2688.7232961152372</v>
      </c>
      <c r="G247" s="295">
        <f t="shared" si="30"/>
        <v>2774284.3598029641</v>
      </c>
      <c r="H247" s="295">
        <f t="shared" si="31"/>
        <v>6272309.890797548</v>
      </c>
      <c r="I247" s="295">
        <f t="shared" si="26"/>
        <v>883038.57177140284</v>
      </c>
    </row>
    <row r="248" spans="2:9" ht="10.5" customHeight="1" x14ac:dyDescent="0.25">
      <c r="B248" s="293">
        <f t="shared" si="27"/>
        <v>219</v>
      </c>
      <c r="C248" s="294">
        <f t="shared" si="28"/>
        <v>48639</v>
      </c>
      <c r="D248" s="295">
        <f t="shared" si="24"/>
        <v>41498.138764222538</v>
      </c>
      <c r="E248" s="295">
        <f t="shared" si="25"/>
        <v>1788.8371156422374</v>
      </c>
      <c r="F248" s="295">
        <f t="shared" si="29"/>
        <v>2575.5291676665915</v>
      </c>
      <c r="G248" s="295">
        <f t="shared" si="30"/>
        <v>2776859.8889706307</v>
      </c>
      <c r="H248" s="295">
        <f t="shared" si="31"/>
        <v>6311232.500394104</v>
      </c>
      <c r="I248" s="295">
        <f t="shared" si="26"/>
        <v>844115.96217484679</v>
      </c>
    </row>
    <row r="249" spans="2:9" ht="10.5" customHeight="1" x14ac:dyDescent="0.25">
      <c r="B249" s="293">
        <f t="shared" si="27"/>
        <v>220</v>
      </c>
      <c r="C249" s="294">
        <f t="shared" si="28"/>
        <v>48670</v>
      </c>
      <c r="D249" s="295">
        <f t="shared" si="24"/>
        <v>41498.138764222538</v>
      </c>
      <c r="E249" s="295">
        <f t="shared" si="25"/>
        <v>1788.8371156422374</v>
      </c>
      <c r="F249" s="295">
        <f t="shared" si="29"/>
        <v>2462.0048896766366</v>
      </c>
      <c r="G249" s="295">
        <f t="shared" si="30"/>
        <v>2779321.8938603075</v>
      </c>
      <c r="H249" s="295">
        <f t="shared" si="31"/>
        <v>6350268.6342686499</v>
      </c>
      <c r="I249" s="295">
        <f t="shared" si="26"/>
        <v>805079.82830030099</v>
      </c>
    </row>
    <row r="250" spans="2:9" ht="10.5" customHeight="1" x14ac:dyDescent="0.25">
      <c r="B250" s="293">
        <f t="shared" si="27"/>
        <v>221</v>
      </c>
      <c r="C250" s="294">
        <f t="shared" si="28"/>
        <v>48700</v>
      </c>
      <c r="D250" s="295">
        <f t="shared" si="24"/>
        <v>41498.138764222538</v>
      </c>
      <c r="E250" s="295">
        <f t="shared" si="25"/>
        <v>1788.8371156422374</v>
      </c>
      <c r="F250" s="295">
        <f t="shared" si="29"/>
        <v>2348.1494992092112</v>
      </c>
      <c r="G250" s="295">
        <f t="shared" si="30"/>
        <v>2781670.0433595167</v>
      </c>
      <c r="H250" s="295">
        <f t="shared" si="31"/>
        <v>6389418.6235336633</v>
      </c>
      <c r="I250" s="295">
        <f t="shared" si="26"/>
        <v>765929.8390352875</v>
      </c>
    </row>
    <row r="251" spans="2:9" ht="10.5" customHeight="1" x14ac:dyDescent="0.25">
      <c r="B251" s="293">
        <f t="shared" si="27"/>
        <v>222</v>
      </c>
      <c r="C251" s="294">
        <f t="shared" si="28"/>
        <v>48731</v>
      </c>
      <c r="D251" s="295">
        <f t="shared" si="24"/>
        <v>41498.138764222538</v>
      </c>
      <c r="E251" s="295">
        <f t="shared" si="25"/>
        <v>1788.8371156422374</v>
      </c>
      <c r="F251" s="295">
        <f t="shared" si="29"/>
        <v>2233.9620305195886</v>
      </c>
      <c r="G251" s="295">
        <f t="shared" si="30"/>
        <v>2783904.0053900364</v>
      </c>
      <c r="H251" s="295">
        <f t="shared" si="31"/>
        <v>6428682.8002673667</v>
      </c>
      <c r="I251" s="295">
        <f t="shared" si="26"/>
        <v>726665.66230158415</v>
      </c>
    </row>
    <row r="252" spans="2:9" ht="10.5" customHeight="1" x14ac:dyDescent="0.25">
      <c r="B252" s="293">
        <f t="shared" si="27"/>
        <v>223</v>
      </c>
      <c r="C252" s="294">
        <f t="shared" si="28"/>
        <v>48761</v>
      </c>
      <c r="D252" s="295">
        <f t="shared" si="24"/>
        <v>41498.138764222538</v>
      </c>
      <c r="E252" s="295">
        <f t="shared" si="25"/>
        <v>1788.8371156422374</v>
      </c>
      <c r="F252" s="295">
        <f t="shared" si="29"/>
        <v>2119.4415150462869</v>
      </c>
      <c r="G252" s="295">
        <f t="shared" si="30"/>
        <v>2786023.4469050826</v>
      </c>
      <c r="H252" s="295">
        <f t="shared" si="31"/>
        <v>6468061.4975165427</v>
      </c>
      <c r="I252" s="295">
        <f t="shared" si="26"/>
        <v>687286.96505240817</v>
      </c>
    </row>
    <row r="253" spans="2:9" ht="10.5" customHeight="1" x14ac:dyDescent="0.25">
      <c r="B253" s="293">
        <f t="shared" si="27"/>
        <v>224</v>
      </c>
      <c r="C253" s="294">
        <f t="shared" si="28"/>
        <v>48792</v>
      </c>
      <c r="D253" s="295">
        <f t="shared" si="24"/>
        <v>41498.138764222538</v>
      </c>
      <c r="E253" s="295">
        <f t="shared" si="25"/>
        <v>1788.8371156422374</v>
      </c>
      <c r="F253" s="295">
        <f t="shared" si="29"/>
        <v>2004.5869814028572</v>
      </c>
      <c r="G253" s="295">
        <f t="shared" si="30"/>
        <v>2788028.0338864853</v>
      </c>
      <c r="H253" s="295">
        <f t="shared" si="31"/>
        <v>6507555.0492993621</v>
      </c>
      <c r="I253" s="295">
        <f t="shared" si="26"/>
        <v>647793.41326958872</v>
      </c>
    </row>
    <row r="254" spans="2:9" ht="10.5" customHeight="1" x14ac:dyDescent="0.25">
      <c r="B254" s="293">
        <f t="shared" si="27"/>
        <v>225</v>
      </c>
      <c r="C254" s="294">
        <f t="shared" si="28"/>
        <v>48823</v>
      </c>
      <c r="D254" s="295">
        <f t="shared" si="24"/>
        <v>41498.138764222538</v>
      </c>
      <c r="E254" s="295">
        <f t="shared" si="25"/>
        <v>1788.8371156422374</v>
      </c>
      <c r="F254" s="295">
        <f t="shared" si="29"/>
        <v>1889.3974553696337</v>
      </c>
      <c r="G254" s="295">
        <f t="shared" si="30"/>
        <v>2789917.4313418549</v>
      </c>
      <c r="H254" s="295">
        <f t="shared" si="31"/>
        <v>6547163.7906082151</v>
      </c>
      <c r="I254" s="295">
        <f t="shared" si="26"/>
        <v>608184.67196073569</v>
      </c>
    </row>
    <row r="255" spans="2:9" ht="10.5" customHeight="1" x14ac:dyDescent="0.25">
      <c r="B255" s="293">
        <f t="shared" si="27"/>
        <v>226</v>
      </c>
      <c r="C255" s="294">
        <f t="shared" si="28"/>
        <v>48853</v>
      </c>
      <c r="D255" s="295">
        <f t="shared" si="24"/>
        <v>41498.138764222538</v>
      </c>
      <c r="E255" s="295">
        <f t="shared" si="25"/>
        <v>1788.8371156422374</v>
      </c>
      <c r="F255" s="295">
        <f t="shared" si="29"/>
        <v>1773.8719598854793</v>
      </c>
      <c r="G255" s="295">
        <f t="shared" si="30"/>
        <v>2791691.3033017404</v>
      </c>
      <c r="H255" s="295">
        <f t="shared" si="31"/>
        <v>6586888.0574125526</v>
      </c>
      <c r="I255" s="295">
        <f t="shared" si="26"/>
        <v>568460.40515639819</v>
      </c>
    </row>
    <row r="256" spans="2:9" ht="10.5" customHeight="1" x14ac:dyDescent="0.25">
      <c r="B256" s="293">
        <f t="shared" si="27"/>
        <v>227</v>
      </c>
      <c r="C256" s="294">
        <f t="shared" si="28"/>
        <v>48884</v>
      </c>
      <c r="D256" s="295">
        <f t="shared" si="24"/>
        <v>41498.138764222538</v>
      </c>
      <c r="E256" s="295">
        <f t="shared" si="25"/>
        <v>1788.8371156422374</v>
      </c>
      <c r="F256" s="295">
        <f t="shared" si="29"/>
        <v>1658.0095150394948</v>
      </c>
      <c r="G256" s="295">
        <f t="shared" si="30"/>
        <v>2793349.3128167801</v>
      </c>
      <c r="H256" s="295">
        <f t="shared" si="31"/>
        <v>6626728.1866617361</v>
      </c>
      <c r="I256" s="295">
        <f t="shared" si="26"/>
        <v>528620.27590721473</v>
      </c>
    </row>
    <row r="257" spans="2:9" ht="10.5" customHeight="1" x14ac:dyDescent="0.25">
      <c r="B257" s="293">
        <f t="shared" si="27"/>
        <v>228</v>
      </c>
      <c r="C257" s="294">
        <f t="shared" si="28"/>
        <v>48914</v>
      </c>
      <c r="D257" s="295">
        <f t="shared" si="24"/>
        <v>41498.138764222538</v>
      </c>
      <c r="E257" s="295">
        <f t="shared" si="25"/>
        <v>1788.8371156422374</v>
      </c>
      <c r="F257" s="295">
        <f t="shared" si="29"/>
        <v>1541.8091380627095</v>
      </c>
      <c r="G257" s="295">
        <f t="shared" si="30"/>
        <v>2794891.1219548429</v>
      </c>
      <c r="H257" s="295">
        <f t="shared" si="31"/>
        <v>6666684.5162878959</v>
      </c>
      <c r="I257" s="295">
        <f t="shared" si="26"/>
        <v>488663.94628105499</v>
      </c>
    </row>
    <row r="258" spans="2:9" ht="10.5" customHeight="1" x14ac:dyDescent="0.25">
      <c r="B258" s="293">
        <f t="shared" si="27"/>
        <v>229</v>
      </c>
      <c r="C258" s="294">
        <f t="shared" si="28"/>
        <v>48945</v>
      </c>
      <c r="D258" s="295">
        <f t="shared" si="24"/>
        <v>41498.138764222538</v>
      </c>
      <c r="E258" s="295">
        <f t="shared" si="25"/>
        <v>1788.8371156422374</v>
      </c>
      <c r="F258" s="295">
        <f t="shared" si="29"/>
        <v>1425.2698433197438</v>
      </c>
      <c r="G258" s="295">
        <f t="shared" si="30"/>
        <v>2796316.3917981628</v>
      </c>
      <c r="H258" s="295">
        <f t="shared" si="31"/>
        <v>6706757.3852087986</v>
      </c>
      <c r="I258" s="295">
        <f t="shared" si="26"/>
        <v>448591.07736015227</v>
      </c>
    </row>
    <row r="259" spans="2:9" ht="10.5" customHeight="1" x14ac:dyDescent="0.25">
      <c r="B259" s="293">
        <f t="shared" si="27"/>
        <v>230</v>
      </c>
      <c r="C259" s="294">
        <f t="shared" si="28"/>
        <v>48976</v>
      </c>
      <c r="D259" s="295">
        <f t="shared" si="24"/>
        <v>41498.138764222538</v>
      </c>
      <c r="E259" s="295">
        <f t="shared" si="25"/>
        <v>1788.8371156422374</v>
      </c>
      <c r="F259" s="295">
        <f t="shared" si="29"/>
        <v>1308.3906423004441</v>
      </c>
      <c r="G259" s="295">
        <f t="shared" si="30"/>
        <v>2797624.7824404631</v>
      </c>
      <c r="H259" s="295">
        <f t="shared" si="31"/>
        <v>6746947.1333307205</v>
      </c>
      <c r="I259" s="295">
        <f t="shared" si="26"/>
        <v>408401.32923823036</v>
      </c>
    </row>
    <row r="260" spans="2:9" ht="10.5" customHeight="1" x14ac:dyDescent="0.25">
      <c r="B260" s="293">
        <f t="shared" si="27"/>
        <v>231</v>
      </c>
      <c r="C260" s="294">
        <f t="shared" si="28"/>
        <v>49004</v>
      </c>
      <c r="D260" s="295">
        <f t="shared" si="24"/>
        <v>41498.138764222538</v>
      </c>
      <c r="E260" s="295">
        <f t="shared" si="25"/>
        <v>1788.8371156422374</v>
      </c>
      <c r="F260" s="295">
        <f t="shared" si="29"/>
        <v>1191.1705436115051</v>
      </c>
      <c r="G260" s="295">
        <f t="shared" si="30"/>
        <v>2798815.9529840746</v>
      </c>
      <c r="H260" s="295">
        <f t="shared" si="31"/>
        <v>6787254.1015513316</v>
      </c>
      <c r="I260" s="295">
        <f t="shared" si="26"/>
        <v>368094.36101761926</v>
      </c>
    </row>
    <row r="261" spans="2:9" ht="10.5" customHeight="1" x14ac:dyDescent="0.25">
      <c r="B261" s="293">
        <f t="shared" si="27"/>
        <v>232</v>
      </c>
      <c r="C261" s="294">
        <f t="shared" si="28"/>
        <v>49035</v>
      </c>
      <c r="D261" s="295">
        <f t="shared" si="24"/>
        <v>41498.138764222538</v>
      </c>
      <c r="E261" s="295">
        <f t="shared" si="25"/>
        <v>1788.8371156422374</v>
      </c>
      <c r="F261" s="295">
        <f t="shared" si="29"/>
        <v>1073.6085529680561</v>
      </c>
      <c r="G261" s="295">
        <f t="shared" si="30"/>
        <v>2799889.5615370427</v>
      </c>
      <c r="H261" s="295">
        <f t="shared" si="31"/>
        <v>6827678.6317625856</v>
      </c>
      <c r="I261" s="295">
        <f t="shared" si="26"/>
        <v>327669.83080636524</v>
      </c>
    </row>
    <row r="262" spans="2:9" ht="10.5" customHeight="1" x14ac:dyDescent="0.25">
      <c r="B262" s="293">
        <f t="shared" si="27"/>
        <v>233</v>
      </c>
      <c r="C262" s="294">
        <f t="shared" si="28"/>
        <v>49065</v>
      </c>
      <c r="D262" s="295">
        <f t="shared" si="24"/>
        <v>41498.138764222538</v>
      </c>
      <c r="E262" s="295">
        <f t="shared" si="25"/>
        <v>1788.8371156422374</v>
      </c>
      <c r="F262" s="295">
        <f t="shared" si="29"/>
        <v>955.70367318523188</v>
      </c>
      <c r="G262" s="295">
        <f t="shared" si="30"/>
        <v>2800845.265210228</v>
      </c>
      <c r="H262" s="295">
        <f t="shared" si="31"/>
        <v>6868221.0668536229</v>
      </c>
      <c r="I262" s="295">
        <f t="shared" si="26"/>
        <v>287127.39571532793</v>
      </c>
    </row>
    <row r="263" spans="2:9" ht="10.5" customHeight="1" x14ac:dyDescent="0.25">
      <c r="B263" s="293">
        <f t="shared" si="27"/>
        <v>234</v>
      </c>
      <c r="C263" s="294">
        <f t="shared" si="28"/>
        <v>49096</v>
      </c>
      <c r="D263" s="295">
        <f t="shared" si="24"/>
        <v>41498.138764222538</v>
      </c>
      <c r="E263" s="295">
        <f t="shared" si="25"/>
        <v>1788.8371156422374</v>
      </c>
      <c r="F263" s="295">
        <f t="shared" si="29"/>
        <v>837.45490416970642</v>
      </c>
      <c r="G263" s="295">
        <f t="shared" si="30"/>
        <v>2801682.7201143978</v>
      </c>
      <c r="H263" s="295">
        <f t="shared" si="31"/>
        <v>6908881.7507136753</v>
      </c>
      <c r="I263" s="295">
        <f t="shared" si="26"/>
        <v>246466.71185527556</v>
      </c>
    </row>
    <row r="264" spans="2:9" ht="10.5" customHeight="1" x14ac:dyDescent="0.25">
      <c r="B264" s="293">
        <f t="shared" si="27"/>
        <v>235</v>
      </c>
      <c r="C264" s="294">
        <f t="shared" si="28"/>
        <v>49126</v>
      </c>
      <c r="D264" s="295">
        <f t="shared" si="24"/>
        <v>41498.138764222538</v>
      </c>
      <c r="E264" s="295">
        <f t="shared" si="25"/>
        <v>1788.8371156422374</v>
      </c>
      <c r="F264" s="295">
        <f t="shared" si="29"/>
        <v>718.86124291122042</v>
      </c>
      <c r="G264" s="295">
        <f t="shared" si="30"/>
        <v>2802401.5813573091</v>
      </c>
      <c r="H264" s="295">
        <f t="shared" si="31"/>
        <v>6949661.0282349866</v>
      </c>
      <c r="I264" s="295">
        <f t="shared" si="26"/>
        <v>205687.43433396425</v>
      </c>
    </row>
    <row r="265" spans="2:9" ht="10.5" customHeight="1" x14ac:dyDescent="0.25">
      <c r="B265" s="293">
        <f t="shared" si="27"/>
        <v>236</v>
      </c>
      <c r="C265" s="294">
        <f t="shared" si="28"/>
        <v>49157</v>
      </c>
      <c r="D265" s="295">
        <f t="shared" si="24"/>
        <v>41498.138764222538</v>
      </c>
      <c r="E265" s="295">
        <f t="shared" si="25"/>
        <v>1788.8371156422374</v>
      </c>
      <c r="F265" s="295">
        <f t="shared" si="29"/>
        <v>599.92168347406243</v>
      </c>
      <c r="G265" s="295">
        <f t="shared" si="30"/>
        <v>2803001.5030407831</v>
      </c>
      <c r="H265" s="295">
        <f t="shared" si="31"/>
        <v>6990559.2453157352</v>
      </c>
      <c r="I265" s="295">
        <f t="shared" si="26"/>
        <v>164789.21725321561</v>
      </c>
    </row>
    <row r="266" spans="2:9" ht="10.5" customHeight="1" x14ac:dyDescent="0.25">
      <c r="B266" s="293">
        <f t="shared" si="27"/>
        <v>237</v>
      </c>
      <c r="C266" s="294">
        <f t="shared" si="28"/>
        <v>49188</v>
      </c>
      <c r="D266" s="295">
        <f t="shared" si="24"/>
        <v>41498.138764222538</v>
      </c>
      <c r="E266" s="295">
        <f t="shared" si="25"/>
        <v>1788.8371156422374</v>
      </c>
      <c r="F266" s="295">
        <f t="shared" si="29"/>
        <v>480.63521698854555</v>
      </c>
      <c r="G266" s="295">
        <f t="shared" si="30"/>
        <v>2803482.1382577717</v>
      </c>
      <c r="H266" s="295">
        <f t="shared" si="31"/>
        <v>7031576.7488629688</v>
      </c>
      <c r="I266" s="295">
        <f t="shared" si="26"/>
        <v>123771.71370598208</v>
      </c>
    </row>
    <row r="267" spans="2:9" ht="10.5" customHeight="1" x14ac:dyDescent="0.25">
      <c r="B267" s="293">
        <f t="shared" si="27"/>
        <v>238</v>
      </c>
      <c r="C267" s="294">
        <f t="shared" si="28"/>
        <v>49218</v>
      </c>
      <c r="D267" s="295">
        <f t="shared" si="24"/>
        <v>41498.138764222538</v>
      </c>
      <c r="E267" s="295">
        <f t="shared" si="25"/>
        <v>1788.8371156422374</v>
      </c>
      <c r="F267" s="295">
        <f t="shared" si="29"/>
        <v>361.00083164244774</v>
      </c>
      <c r="G267" s="295">
        <f t="shared" si="30"/>
        <v>2803843.1390894144</v>
      </c>
      <c r="H267" s="295">
        <f t="shared" si="31"/>
        <v>7072713.8867955487</v>
      </c>
      <c r="I267" s="295">
        <f t="shared" si="26"/>
        <v>82634.575773402117</v>
      </c>
    </row>
    <row r="268" spans="2:9" ht="10.5" customHeight="1" x14ac:dyDescent="0.25">
      <c r="B268" s="293">
        <f t="shared" si="27"/>
        <v>239</v>
      </c>
      <c r="C268" s="294">
        <f t="shared" si="28"/>
        <v>49249</v>
      </c>
      <c r="D268" s="295">
        <f t="shared" si="24"/>
        <v>41498.138764222538</v>
      </c>
      <c r="E268" s="295">
        <f t="shared" si="25"/>
        <v>1788.8371156422374</v>
      </c>
      <c r="F268" s="295">
        <f t="shared" si="29"/>
        <v>241.01751267242284</v>
      </c>
      <c r="G268" s="295">
        <f t="shared" si="30"/>
        <v>2804084.156602087</v>
      </c>
      <c r="H268" s="295">
        <f t="shared" si="31"/>
        <v>7113971.0080470992</v>
      </c>
      <c r="I268" s="295">
        <f t="shared" si="26"/>
        <v>41377.454521851614</v>
      </c>
    </row>
    <row r="269" spans="2:9" ht="10.5" customHeight="1" x14ac:dyDescent="0.25">
      <c r="B269" s="293">
        <f t="shared" si="27"/>
        <v>240</v>
      </c>
      <c r="C269" s="294">
        <f t="shared" si="28"/>
        <v>49279</v>
      </c>
      <c r="D269" s="295">
        <f t="shared" si="24"/>
        <v>41498.138764222538</v>
      </c>
      <c r="E269" s="295">
        <f t="shared" si="25"/>
        <v>1788.8371156422374</v>
      </c>
      <c r="F269" s="295">
        <f t="shared" si="29"/>
        <v>120.68424235540054</v>
      </c>
      <c r="G269" s="295">
        <f t="shared" si="30"/>
        <v>2804204.8408444421</v>
      </c>
      <c r="H269" s="295">
        <f t="shared" si="31"/>
        <v>7155348.4625689667</v>
      </c>
      <c r="I269" s="295">
        <f t="shared" si="26"/>
        <v>-1.5832483768463135E-8</v>
      </c>
    </row>
    <row r="270" spans="2:9" ht="10.5" customHeight="1" x14ac:dyDescent="0.25">
      <c r="B270" s="293" t="str">
        <f t="shared" si="27"/>
        <v/>
      </c>
      <c r="C270" s="294" t="str">
        <f t="shared" si="28"/>
        <v/>
      </c>
      <c r="D270" s="295" t="str">
        <f t="shared" si="24"/>
        <v/>
      </c>
      <c r="E270" s="295" t="str">
        <f t="shared" si="25"/>
        <v/>
      </c>
      <c r="F270" s="295" t="str">
        <f t="shared" si="29"/>
        <v/>
      </c>
      <c r="G270" s="295" t="str">
        <f t="shared" si="30"/>
        <v/>
      </c>
      <c r="H270" s="295" t="str">
        <f t="shared" si="31"/>
        <v/>
      </c>
      <c r="I270" s="295" t="str">
        <f t="shared" si="26"/>
        <v/>
      </c>
    </row>
    <row r="271" spans="2:9" ht="10.5" customHeight="1" x14ac:dyDescent="0.25">
      <c r="B271" s="293" t="str">
        <f t="shared" si="27"/>
        <v/>
      </c>
      <c r="C271" s="294" t="str">
        <f t="shared" si="28"/>
        <v/>
      </c>
      <c r="D271" s="295" t="str">
        <f t="shared" si="24"/>
        <v/>
      </c>
      <c r="E271" s="295" t="str">
        <f t="shared" si="25"/>
        <v/>
      </c>
      <c r="F271" s="295" t="str">
        <f t="shared" si="29"/>
        <v/>
      </c>
      <c r="G271" s="295" t="str">
        <f t="shared" si="30"/>
        <v/>
      </c>
      <c r="H271" s="295" t="str">
        <f t="shared" si="31"/>
        <v/>
      </c>
      <c r="I271" s="295" t="str">
        <f t="shared" si="26"/>
        <v/>
      </c>
    </row>
    <row r="272" spans="2:9" ht="10.5" customHeight="1" x14ac:dyDescent="0.25">
      <c r="B272" s="293" t="str">
        <f t="shared" si="27"/>
        <v/>
      </c>
      <c r="C272" s="294" t="str">
        <f t="shared" si="28"/>
        <v/>
      </c>
      <c r="D272" s="295" t="str">
        <f t="shared" si="24"/>
        <v/>
      </c>
      <c r="E272" s="295" t="str">
        <f t="shared" si="25"/>
        <v/>
      </c>
      <c r="F272" s="295" t="str">
        <f t="shared" si="29"/>
        <v/>
      </c>
      <c r="G272" s="295" t="str">
        <f t="shared" si="30"/>
        <v/>
      </c>
      <c r="H272" s="295" t="str">
        <f t="shared" si="31"/>
        <v/>
      </c>
      <c r="I272" s="295" t="str">
        <f t="shared" si="26"/>
        <v/>
      </c>
    </row>
    <row r="273" spans="2:9" ht="10.5" customHeight="1" x14ac:dyDescent="0.25">
      <c r="B273" s="293" t="str">
        <f t="shared" si="27"/>
        <v/>
      </c>
      <c r="C273" s="294" t="str">
        <f t="shared" si="28"/>
        <v/>
      </c>
      <c r="D273" s="295" t="str">
        <f t="shared" si="24"/>
        <v/>
      </c>
      <c r="E273" s="295" t="str">
        <f t="shared" si="25"/>
        <v/>
      </c>
      <c r="F273" s="295" t="str">
        <f t="shared" si="29"/>
        <v/>
      </c>
      <c r="G273" s="295" t="str">
        <f t="shared" si="30"/>
        <v/>
      </c>
      <c r="H273" s="295" t="str">
        <f t="shared" si="31"/>
        <v/>
      </c>
      <c r="I273" s="295" t="str">
        <f t="shared" si="26"/>
        <v/>
      </c>
    </row>
    <row r="274" spans="2:9" ht="10.5" customHeight="1" x14ac:dyDescent="0.25">
      <c r="B274" s="293" t="str">
        <f t="shared" si="27"/>
        <v/>
      </c>
      <c r="C274" s="294" t="str">
        <f t="shared" si="28"/>
        <v/>
      </c>
      <c r="D274" s="295" t="str">
        <f t="shared" si="24"/>
        <v/>
      </c>
      <c r="E274" s="295" t="str">
        <f t="shared" si="25"/>
        <v/>
      </c>
      <c r="F274" s="295" t="str">
        <f t="shared" si="29"/>
        <v/>
      </c>
      <c r="G274" s="295" t="str">
        <f t="shared" si="30"/>
        <v/>
      </c>
      <c r="H274" s="295" t="str">
        <f t="shared" si="31"/>
        <v/>
      </c>
      <c r="I274" s="295" t="str">
        <f t="shared" si="26"/>
        <v/>
      </c>
    </row>
    <row r="275" spans="2:9" ht="10.5" customHeight="1" x14ac:dyDescent="0.25">
      <c r="B275" s="293" t="str">
        <f t="shared" si="27"/>
        <v/>
      </c>
      <c r="C275" s="294" t="str">
        <f t="shared" si="28"/>
        <v/>
      </c>
      <c r="D275" s="295" t="str">
        <f t="shared" si="24"/>
        <v/>
      </c>
      <c r="E275" s="295" t="str">
        <f t="shared" si="25"/>
        <v/>
      </c>
      <c r="F275" s="295" t="str">
        <f t="shared" si="29"/>
        <v/>
      </c>
      <c r="G275" s="295" t="str">
        <f t="shared" si="30"/>
        <v/>
      </c>
      <c r="H275" s="295" t="str">
        <f t="shared" si="31"/>
        <v/>
      </c>
      <c r="I275" s="295" t="str">
        <f t="shared" si="26"/>
        <v/>
      </c>
    </row>
    <row r="276" spans="2:9" ht="10.5" customHeight="1" x14ac:dyDescent="0.25">
      <c r="B276" s="293" t="str">
        <f t="shared" si="27"/>
        <v/>
      </c>
      <c r="C276" s="294" t="str">
        <f t="shared" si="28"/>
        <v/>
      </c>
      <c r="D276" s="295" t="str">
        <f t="shared" si="24"/>
        <v/>
      </c>
      <c r="E276" s="295" t="str">
        <f t="shared" si="25"/>
        <v/>
      </c>
      <c r="F276" s="295" t="str">
        <f t="shared" si="29"/>
        <v/>
      </c>
      <c r="G276" s="295" t="str">
        <f t="shared" si="30"/>
        <v/>
      </c>
      <c r="H276" s="295" t="str">
        <f t="shared" si="31"/>
        <v/>
      </c>
      <c r="I276" s="295" t="str">
        <f t="shared" si="26"/>
        <v/>
      </c>
    </row>
    <row r="277" spans="2:9" ht="10.5" customHeight="1" x14ac:dyDescent="0.25">
      <c r="B277" s="293" t="str">
        <f t="shared" si="27"/>
        <v/>
      </c>
      <c r="C277" s="294" t="str">
        <f t="shared" si="28"/>
        <v/>
      </c>
      <c r="D277" s="295" t="str">
        <f t="shared" si="24"/>
        <v/>
      </c>
      <c r="E277" s="295" t="str">
        <f t="shared" si="25"/>
        <v/>
      </c>
      <c r="F277" s="295" t="str">
        <f t="shared" si="29"/>
        <v/>
      </c>
      <c r="G277" s="295" t="str">
        <f t="shared" si="30"/>
        <v/>
      </c>
      <c r="H277" s="295" t="str">
        <f t="shared" si="31"/>
        <v/>
      </c>
      <c r="I277" s="295" t="str">
        <f t="shared" si="26"/>
        <v/>
      </c>
    </row>
    <row r="278" spans="2:9" ht="10.5" customHeight="1" x14ac:dyDescent="0.25">
      <c r="B278" s="293" t="str">
        <f t="shared" si="27"/>
        <v/>
      </c>
      <c r="C278" s="294" t="str">
        <f t="shared" si="28"/>
        <v/>
      </c>
      <c r="D278" s="295" t="str">
        <f t="shared" si="24"/>
        <v/>
      </c>
      <c r="E278" s="295" t="str">
        <f t="shared" si="25"/>
        <v/>
      </c>
      <c r="F278" s="295" t="str">
        <f t="shared" si="29"/>
        <v/>
      </c>
      <c r="G278" s="295" t="str">
        <f t="shared" si="30"/>
        <v/>
      </c>
      <c r="H278" s="295" t="str">
        <f t="shared" si="31"/>
        <v/>
      </c>
      <c r="I278" s="295" t="str">
        <f t="shared" si="26"/>
        <v/>
      </c>
    </row>
    <row r="279" spans="2:9" ht="10.5" customHeight="1" x14ac:dyDescent="0.25">
      <c r="B279" s="293" t="str">
        <f t="shared" si="27"/>
        <v/>
      </c>
      <c r="C279" s="294" t="str">
        <f t="shared" si="28"/>
        <v/>
      </c>
      <c r="D279" s="295" t="str">
        <f t="shared" si="24"/>
        <v/>
      </c>
      <c r="E279" s="295" t="str">
        <f t="shared" si="25"/>
        <v/>
      </c>
      <c r="F279" s="295" t="str">
        <f t="shared" si="29"/>
        <v/>
      </c>
      <c r="G279" s="295" t="str">
        <f t="shared" si="30"/>
        <v/>
      </c>
      <c r="H279" s="295" t="str">
        <f t="shared" si="31"/>
        <v/>
      </c>
      <c r="I279" s="295" t="str">
        <f t="shared" si="26"/>
        <v/>
      </c>
    </row>
    <row r="280" spans="2:9" ht="10.5" customHeight="1" x14ac:dyDescent="0.25">
      <c r="B280" s="293" t="str">
        <f t="shared" si="27"/>
        <v/>
      </c>
      <c r="C280" s="294" t="str">
        <f t="shared" si="28"/>
        <v/>
      </c>
      <c r="D280" s="295" t="str">
        <f t="shared" si="24"/>
        <v/>
      </c>
      <c r="E280" s="295" t="str">
        <f t="shared" si="25"/>
        <v/>
      </c>
      <c r="F280" s="295" t="str">
        <f t="shared" si="29"/>
        <v/>
      </c>
      <c r="G280" s="295" t="str">
        <f t="shared" si="30"/>
        <v/>
      </c>
      <c r="H280" s="295" t="str">
        <f t="shared" si="31"/>
        <v/>
      </c>
      <c r="I280" s="295" t="str">
        <f t="shared" si="26"/>
        <v/>
      </c>
    </row>
    <row r="281" spans="2:9" ht="10.5" customHeight="1" x14ac:dyDescent="0.25">
      <c r="B281" s="293" t="str">
        <f t="shared" si="27"/>
        <v/>
      </c>
      <c r="C281" s="294" t="str">
        <f t="shared" si="28"/>
        <v/>
      </c>
      <c r="D281" s="295" t="str">
        <f t="shared" si="24"/>
        <v/>
      </c>
      <c r="E281" s="295" t="str">
        <f t="shared" si="25"/>
        <v/>
      </c>
      <c r="F281" s="295" t="str">
        <f t="shared" si="29"/>
        <v/>
      </c>
      <c r="G281" s="295" t="str">
        <f t="shared" si="30"/>
        <v/>
      </c>
      <c r="H281" s="295" t="str">
        <f t="shared" si="31"/>
        <v/>
      </c>
      <c r="I281" s="295" t="str">
        <f t="shared" si="26"/>
        <v/>
      </c>
    </row>
    <row r="282" spans="2:9" ht="10.5" customHeight="1" x14ac:dyDescent="0.25">
      <c r="B282" s="293" t="str">
        <f t="shared" si="27"/>
        <v/>
      </c>
      <c r="C282" s="294" t="str">
        <f t="shared" si="28"/>
        <v/>
      </c>
      <c r="D282" s="295" t="str">
        <f t="shared" si="24"/>
        <v/>
      </c>
      <c r="E282" s="295" t="str">
        <f t="shared" si="25"/>
        <v/>
      </c>
      <c r="F282" s="295" t="str">
        <f t="shared" si="29"/>
        <v/>
      </c>
      <c r="G282" s="295" t="str">
        <f t="shared" si="30"/>
        <v/>
      </c>
      <c r="H282" s="295" t="str">
        <f t="shared" si="31"/>
        <v/>
      </c>
      <c r="I282" s="295" t="str">
        <f t="shared" si="26"/>
        <v/>
      </c>
    </row>
    <row r="283" spans="2:9" ht="10.5" customHeight="1" x14ac:dyDescent="0.25">
      <c r="B283" s="293" t="str">
        <f t="shared" si="27"/>
        <v/>
      </c>
      <c r="C283" s="294" t="str">
        <f t="shared" si="28"/>
        <v/>
      </c>
      <c r="D283" s="295" t="str">
        <f t="shared" si="24"/>
        <v/>
      </c>
      <c r="E283" s="295" t="str">
        <f t="shared" si="25"/>
        <v/>
      </c>
      <c r="F283" s="295" t="str">
        <f t="shared" si="29"/>
        <v/>
      </c>
      <c r="G283" s="295" t="str">
        <f t="shared" si="30"/>
        <v/>
      </c>
      <c r="H283" s="295" t="str">
        <f t="shared" si="31"/>
        <v/>
      </c>
      <c r="I283" s="295" t="str">
        <f t="shared" si="26"/>
        <v/>
      </c>
    </row>
    <row r="284" spans="2:9" ht="10.5" customHeight="1" x14ac:dyDescent="0.25">
      <c r="B284" s="293" t="str">
        <f t="shared" si="27"/>
        <v/>
      </c>
      <c r="C284" s="294" t="str">
        <f t="shared" si="28"/>
        <v/>
      </c>
      <c r="D284" s="295" t="str">
        <f t="shared" si="24"/>
        <v/>
      </c>
      <c r="E284" s="295" t="str">
        <f t="shared" si="25"/>
        <v/>
      </c>
      <c r="F284" s="295" t="str">
        <f t="shared" si="29"/>
        <v/>
      </c>
      <c r="G284" s="295" t="str">
        <f t="shared" si="30"/>
        <v/>
      </c>
      <c r="H284" s="295" t="str">
        <f t="shared" si="31"/>
        <v/>
      </c>
      <c r="I284" s="295" t="str">
        <f t="shared" si="26"/>
        <v/>
      </c>
    </row>
    <row r="285" spans="2:9" ht="10.5" customHeight="1" x14ac:dyDescent="0.25">
      <c r="B285" s="293" t="str">
        <f t="shared" si="27"/>
        <v/>
      </c>
      <c r="C285" s="294" t="str">
        <f t="shared" si="28"/>
        <v/>
      </c>
      <c r="D285" s="295" t="str">
        <f t="shared" si="24"/>
        <v/>
      </c>
      <c r="E285" s="295" t="str">
        <f t="shared" si="25"/>
        <v/>
      </c>
      <c r="F285" s="295" t="str">
        <f t="shared" si="29"/>
        <v/>
      </c>
      <c r="G285" s="295" t="str">
        <f t="shared" si="30"/>
        <v/>
      </c>
      <c r="H285" s="295" t="str">
        <f t="shared" si="31"/>
        <v/>
      </c>
      <c r="I285" s="295" t="str">
        <f t="shared" si="26"/>
        <v/>
      </c>
    </row>
    <row r="286" spans="2:9" ht="10.5" customHeight="1" x14ac:dyDescent="0.25">
      <c r="B286" s="293" t="str">
        <f t="shared" si="27"/>
        <v/>
      </c>
      <c r="C286" s="294" t="str">
        <f t="shared" si="28"/>
        <v/>
      </c>
      <c r="D286" s="295" t="str">
        <f t="shared" ref="D286:D349" si="32">IF(B286&lt;&gt;"",mensualitehorsassurance,"")</f>
        <v/>
      </c>
      <c r="E286" s="295" t="str">
        <f t="shared" ref="E286:E349" si="33">IF(B286&lt;&gt;"",mensualiteassurance,"")</f>
        <v/>
      </c>
      <c r="F286" s="295" t="str">
        <f t="shared" si="29"/>
        <v/>
      </c>
      <c r="G286" s="295" t="str">
        <f t="shared" si="30"/>
        <v/>
      </c>
      <c r="H286" s="295" t="str">
        <f t="shared" si="31"/>
        <v/>
      </c>
      <c r="I286" s="295" t="str">
        <f t="shared" ref="I286:I349" si="34">IF(F286&lt;&gt;"",pret-H286,"")</f>
        <v/>
      </c>
    </row>
    <row r="287" spans="2:9" ht="10.5" customHeight="1" x14ac:dyDescent="0.25">
      <c r="B287" s="293" t="str">
        <f t="shared" ref="B287:B350" si="35">IF(test="OK",IF(B286&lt;dureepret,B286+1,""),"")</f>
        <v/>
      </c>
      <c r="C287" s="294" t="str">
        <f t="shared" ref="C287:C350" si="36">IF(B287&lt;&gt;"",DATE(YEAR(C286),MONTH(C286)+1,DAY(C286)),"")</f>
        <v/>
      </c>
      <c r="D287" s="295" t="str">
        <f t="shared" si="32"/>
        <v/>
      </c>
      <c r="E287" s="295" t="str">
        <f t="shared" si="33"/>
        <v/>
      </c>
      <c r="F287" s="295" t="str">
        <f t="shared" ref="F287:F350" si="37">IF(B287&lt;&gt;"",I286*tauxinteret/100/12,"")</f>
        <v/>
      </c>
      <c r="G287" s="295" t="str">
        <f t="shared" ref="G287:G350" si="38">IF(D287&lt;&gt;"",G286+F287,"")</f>
        <v/>
      </c>
      <c r="H287" s="295" t="str">
        <f t="shared" ref="H287:H350" si="39">IF(E287&lt;&gt;"",D287-F287+H286,"")</f>
        <v/>
      </c>
      <c r="I287" s="295" t="str">
        <f t="shared" si="34"/>
        <v/>
      </c>
    </row>
    <row r="288" spans="2:9" ht="10.5" customHeight="1" x14ac:dyDescent="0.25">
      <c r="B288" s="293" t="str">
        <f t="shared" si="35"/>
        <v/>
      </c>
      <c r="C288" s="294" t="str">
        <f t="shared" si="36"/>
        <v/>
      </c>
      <c r="D288" s="295" t="str">
        <f t="shared" si="32"/>
        <v/>
      </c>
      <c r="E288" s="295" t="str">
        <f t="shared" si="33"/>
        <v/>
      </c>
      <c r="F288" s="295" t="str">
        <f t="shared" si="37"/>
        <v/>
      </c>
      <c r="G288" s="295" t="str">
        <f t="shared" si="38"/>
        <v/>
      </c>
      <c r="H288" s="295" t="str">
        <f t="shared" si="39"/>
        <v/>
      </c>
      <c r="I288" s="295" t="str">
        <f t="shared" si="34"/>
        <v/>
      </c>
    </row>
    <row r="289" spans="2:9" ht="10.5" customHeight="1" x14ac:dyDescent="0.25">
      <c r="B289" s="293" t="str">
        <f t="shared" si="35"/>
        <v/>
      </c>
      <c r="C289" s="294" t="str">
        <f t="shared" si="36"/>
        <v/>
      </c>
      <c r="D289" s="295" t="str">
        <f t="shared" si="32"/>
        <v/>
      </c>
      <c r="E289" s="295" t="str">
        <f t="shared" si="33"/>
        <v/>
      </c>
      <c r="F289" s="295" t="str">
        <f t="shared" si="37"/>
        <v/>
      </c>
      <c r="G289" s="295" t="str">
        <f t="shared" si="38"/>
        <v/>
      </c>
      <c r="H289" s="295" t="str">
        <f t="shared" si="39"/>
        <v/>
      </c>
      <c r="I289" s="295" t="str">
        <f t="shared" si="34"/>
        <v/>
      </c>
    </row>
    <row r="290" spans="2:9" ht="10.5" customHeight="1" x14ac:dyDescent="0.25">
      <c r="B290" s="293" t="str">
        <f t="shared" si="35"/>
        <v/>
      </c>
      <c r="C290" s="294" t="str">
        <f t="shared" si="36"/>
        <v/>
      </c>
      <c r="D290" s="295" t="str">
        <f t="shared" si="32"/>
        <v/>
      </c>
      <c r="E290" s="295" t="str">
        <f t="shared" si="33"/>
        <v/>
      </c>
      <c r="F290" s="295" t="str">
        <f t="shared" si="37"/>
        <v/>
      </c>
      <c r="G290" s="295" t="str">
        <f t="shared" si="38"/>
        <v/>
      </c>
      <c r="H290" s="295" t="str">
        <f t="shared" si="39"/>
        <v/>
      </c>
      <c r="I290" s="295" t="str">
        <f t="shared" si="34"/>
        <v/>
      </c>
    </row>
    <row r="291" spans="2:9" ht="10.5" customHeight="1" x14ac:dyDescent="0.25">
      <c r="B291" s="293" t="str">
        <f t="shared" si="35"/>
        <v/>
      </c>
      <c r="C291" s="294" t="str">
        <f t="shared" si="36"/>
        <v/>
      </c>
      <c r="D291" s="295" t="str">
        <f t="shared" si="32"/>
        <v/>
      </c>
      <c r="E291" s="295" t="str">
        <f t="shared" si="33"/>
        <v/>
      </c>
      <c r="F291" s="295" t="str">
        <f t="shared" si="37"/>
        <v/>
      </c>
      <c r="G291" s="295" t="str">
        <f t="shared" si="38"/>
        <v/>
      </c>
      <c r="H291" s="295" t="str">
        <f t="shared" si="39"/>
        <v/>
      </c>
      <c r="I291" s="295" t="str">
        <f t="shared" si="34"/>
        <v/>
      </c>
    </row>
    <row r="292" spans="2:9" ht="10.5" customHeight="1" x14ac:dyDescent="0.25">
      <c r="B292" s="293" t="str">
        <f t="shared" si="35"/>
        <v/>
      </c>
      <c r="C292" s="294" t="str">
        <f t="shared" si="36"/>
        <v/>
      </c>
      <c r="D292" s="295" t="str">
        <f t="shared" si="32"/>
        <v/>
      </c>
      <c r="E292" s="295" t="str">
        <f t="shared" si="33"/>
        <v/>
      </c>
      <c r="F292" s="295" t="str">
        <f t="shared" si="37"/>
        <v/>
      </c>
      <c r="G292" s="295" t="str">
        <f t="shared" si="38"/>
        <v/>
      </c>
      <c r="H292" s="295" t="str">
        <f t="shared" si="39"/>
        <v/>
      </c>
      <c r="I292" s="295" t="str">
        <f t="shared" si="34"/>
        <v/>
      </c>
    </row>
    <row r="293" spans="2:9" ht="10.5" customHeight="1" x14ac:dyDescent="0.25">
      <c r="B293" s="293" t="str">
        <f t="shared" si="35"/>
        <v/>
      </c>
      <c r="C293" s="294" t="str">
        <f t="shared" si="36"/>
        <v/>
      </c>
      <c r="D293" s="295" t="str">
        <f t="shared" si="32"/>
        <v/>
      </c>
      <c r="E293" s="295" t="str">
        <f t="shared" si="33"/>
        <v/>
      </c>
      <c r="F293" s="295" t="str">
        <f t="shared" si="37"/>
        <v/>
      </c>
      <c r="G293" s="295" t="str">
        <f t="shared" si="38"/>
        <v/>
      </c>
      <c r="H293" s="295" t="str">
        <f t="shared" si="39"/>
        <v/>
      </c>
      <c r="I293" s="295" t="str">
        <f t="shared" si="34"/>
        <v/>
      </c>
    </row>
    <row r="294" spans="2:9" ht="10.5" customHeight="1" x14ac:dyDescent="0.25">
      <c r="B294" s="293" t="str">
        <f t="shared" si="35"/>
        <v/>
      </c>
      <c r="C294" s="294" t="str">
        <f t="shared" si="36"/>
        <v/>
      </c>
      <c r="D294" s="295" t="str">
        <f t="shared" si="32"/>
        <v/>
      </c>
      <c r="E294" s="295" t="str">
        <f t="shared" si="33"/>
        <v/>
      </c>
      <c r="F294" s="295" t="str">
        <f t="shared" si="37"/>
        <v/>
      </c>
      <c r="G294" s="295" t="str">
        <f t="shared" si="38"/>
        <v/>
      </c>
      <c r="H294" s="295" t="str">
        <f t="shared" si="39"/>
        <v/>
      </c>
      <c r="I294" s="295" t="str">
        <f t="shared" si="34"/>
        <v/>
      </c>
    </row>
    <row r="295" spans="2:9" ht="10.5" customHeight="1" x14ac:dyDescent="0.25">
      <c r="B295" s="293" t="str">
        <f t="shared" si="35"/>
        <v/>
      </c>
      <c r="C295" s="294" t="str">
        <f t="shared" si="36"/>
        <v/>
      </c>
      <c r="D295" s="295" t="str">
        <f t="shared" si="32"/>
        <v/>
      </c>
      <c r="E295" s="295" t="str">
        <f t="shared" si="33"/>
        <v/>
      </c>
      <c r="F295" s="295" t="str">
        <f t="shared" si="37"/>
        <v/>
      </c>
      <c r="G295" s="295" t="str">
        <f t="shared" si="38"/>
        <v/>
      </c>
      <c r="H295" s="295" t="str">
        <f t="shared" si="39"/>
        <v/>
      </c>
      <c r="I295" s="295" t="str">
        <f t="shared" si="34"/>
        <v/>
      </c>
    </row>
    <row r="296" spans="2:9" ht="10.5" customHeight="1" x14ac:dyDescent="0.25">
      <c r="B296" s="293" t="str">
        <f t="shared" si="35"/>
        <v/>
      </c>
      <c r="C296" s="294" t="str">
        <f t="shared" si="36"/>
        <v/>
      </c>
      <c r="D296" s="295" t="str">
        <f t="shared" si="32"/>
        <v/>
      </c>
      <c r="E296" s="295" t="str">
        <f t="shared" si="33"/>
        <v/>
      </c>
      <c r="F296" s="295" t="str">
        <f t="shared" si="37"/>
        <v/>
      </c>
      <c r="G296" s="295" t="str">
        <f t="shared" si="38"/>
        <v/>
      </c>
      <c r="H296" s="295" t="str">
        <f t="shared" si="39"/>
        <v/>
      </c>
      <c r="I296" s="295" t="str">
        <f t="shared" si="34"/>
        <v/>
      </c>
    </row>
    <row r="297" spans="2:9" ht="10.5" customHeight="1" x14ac:dyDescent="0.25">
      <c r="B297" s="293" t="str">
        <f t="shared" si="35"/>
        <v/>
      </c>
      <c r="C297" s="294" t="str">
        <f t="shared" si="36"/>
        <v/>
      </c>
      <c r="D297" s="295" t="str">
        <f t="shared" si="32"/>
        <v/>
      </c>
      <c r="E297" s="295" t="str">
        <f t="shared" si="33"/>
        <v/>
      </c>
      <c r="F297" s="295" t="str">
        <f t="shared" si="37"/>
        <v/>
      </c>
      <c r="G297" s="295" t="str">
        <f t="shared" si="38"/>
        <v/>
      </c>
      <c r="H297" s="295" t="str">
        <f t="shared" si="39"/>
        <v/>
      </c>
      <c r="I297" s="295" t="str">
        <f t="shared" si="34"/>
        <v/>
      </c>
    </row>
    <row r="298" spans="2:9" ht="10.5" customHeight="1" x14ac:dyDescent="0.25">
      <c r="B298" s="293" t="str">
        <f t="shared" si="35"/>
        <v/>
      </c>
      <c r="C298" s="294" t="str">
        <f t="shared" si="36"/>
        <v/>
      </c>
      <c r="D298" s="295" t="str">
        <f t="shared" si="32"/>
        <v/>
      </c>
      <c r="E298" s="295" t="str">
        <f t="shared" si="33"/>
        <v/>
      </c>
      <c r="F298" s="295" t="str">
        <f t="shared" si="37"/>
        <v/>
      </c>
      <c r="G298" s="295" t="str">
        <f t="shared" si="38"/>
        <v/>
      </c>
      <c r="H298" s="295" t="str">
        <f t="shared" si="39"/>
        <v/>
      </c>
      <c r="I298" s="295" t="str">
        <f t="shared" si="34"/>
        <v/>
      </c>
    </row>
    <row r="299" spans="2:9" ht="10.5" customHeight="1" x14ac:dyDescent="0.25">
      <c r="B299" s="293" t="str">
        <f t="shared" si="35"/>
        <v/>
      </c>
      <c r="C299" s="294" t="str">
        <f t="shared" si="36"/>
        <v/>
      </c>
      <c r="D299" s="295" t="str">
        <f t="shared" si="32"/>
        <v/>
      </c>
      <c r="E299" s="295" t="str">
        <f t="shared" si="33"/>
        <v/>
      </c>
      <c r="F299" s="295" t="str">
        <f t="shared" si="37"/>
        <v/>
      </c>
      <c r="G299" s="295" t="str">
        <f t="shared" si="38"/>
        <v/>
      </c>
      <c r="H299" s="295" t="str">
        <f t="shared" si="39"/>
        <v/>
      </c>
      <c r="I299" s="295" t="str">
        <f t="shared" si="34"/>
        <v/>
      </c>
    </row>
    <row r="300" spans="2:9" ht="10.5" customHeight="1" x14ac:dyDescent="0.25">
      <c r="B300" s="293" t="str">
        <f t="shared" si="35"/>
        <v/>
      </c>
      <c r="C300" s="294" t="str">
        <f t="shared" si="36"/>
        <v/>
      </c>
      <c r="D300" s="295" t="str">
        <f t="shared" si="32"/>
        <v/>
      </c>
      <c r="E300" s="295" t="str">
        <f t="shared" si="33"/>
        <v/>
      </c>
      <c r="F300" s="295" t="str">
        <f t="shared" si="37"/>
        <v/>
      </c>
      <c r="G300" s="295" t="str">
        <f t="shared" si="38"/>
        <v/>
      </c>
      <c r="H300" s="295" t="str">
        <f t="shared" si="39"/>
        <v/>
      </c>
      <c r="I300" s="295" t="str">
        <f t="shared" si="34"/>
        <v/>
      </c>
    </row>
    <row r="301" spans="2:9" ht="10.5" customHeight="1" x14ac:dyDescent="0.25">
      <c r="B301" s="293" t="str">
        <f t="shared" si="35"/>
        <v/>
      </c>
      <c r="C301" s="294" t="str">
        <f t="shared" si="36"/>
        <v/>
      </c>
      <c r="D301" s="295" t="str">
        <f t="shared" si="32"/>
        <v/>
      </c>
      <c r="E301" s="295" t="str">
        <f t="shared" si="33"/>
        <v/>
      </c>
      <c r="F301" s="295" t="str">
        <f t="shared" si="37"/>
        <v/>
      </c>
      <c r="G301" s="295" t="str">
        <f t="shared" si="38"/>
        <v/>
      </c>
      <c r="H301" s="295" t="str">
        <f t="shared" si="39"/>
        <v/>
      </c>
      <c r="I301" s="295" t="str">
        <f t="shared" si="34"/>
        <v/>
      </c>
    </row>
    <row r="302" spans="2:9" ht="10.5" customHeight="1" x14ac:dyDescent="0.25">
      <c r="B302" s="293" t="str">
        <f t="shared" si="35"/>
        <v/>
      </c>
      <c r="C302" s="294" t="str">
        <f t="shared" si="36"/>
        <v/>
      </c>
      <c r="D302" s="295" t="str">
        <f t="shared" si="32"/>
        <v/>
      </c>
      <c r="E302" s="295" t="str">
        <f t="shared" si="33"/>
        <v/>
      </c>
      <c r="F302" s="295" t="str">
        <f t="shared" si="37"/>
        <v/>
      </c>
      <c r="G302" s="295" t="str">
        <f t="shared" si="38"/>
        <v/>
      </c>
      <c r="H302" s="295" t="str">
        <f t="shared" si="39"/>
        <v/>
      </c>
      <c r="I302" s="295" t="str">
        <f t="shared" si="34"/>
        <v/>
      </c>
    </row>
    <row r="303" spans="2:9" ht="10.5" customHeight="1" x14ac:dyDescent="0.25">
      <c r="B303" s="293" t="str">
        <f t="shared" si="35"/>
        <v/>
      </c>
      <c r="C303" s="294" t="str">
        <f t="shared" si="36"/>
        <v/>
      </c>
      <c r="D303" s="295" t="str">
        <f t="shared" si="32"/>
        <v/>
      </c>
      <c r="E303" s="295" t="str">
        <f t="shared" si="33"/>
        <v/>
      </c>
      <c r="F303" s="295" t="str">
        <f t="shared" si="37"/>
        <v/>
      </c>
      <c r="G303" s="295" t="str">
        <f t="shared" si="38"/>
        <v/>
      </c>
      <c r="H303" s="295" t="str">
        <f t="shared" si="39"/>
        <v/>
      </c>
      <c r="I303" s="295" t="str">
        <f t="shared" si="34"/>
        <v/>
      </c>
    </row>
    <row r="304" spans="2:9" ht="10.5" customHeight="1" x14ac:dyDescent="0.25">
      <c r="B304" s="293" t="str">
        <f t="shared" si="35"/>
        <v/>
      </c>
      <c r="C304" s="294" t="str">
        <f t="shared" si="36"/>
        <v/>
      </c>
      <c r="D304" s="295" t="str">
        <f t="shared" si="32"/>
        <v/>
      </c>
      <c r="E304" s="295" t="str">
        <f t="shared" si="33"/>
        <v/>
      </c>
      <c r="F304" s="295" t="str">
        <f t="shared" si="37"/>
        <v/>
      </c>
      <c r="G304" s="295" t="str">
        <f t="shared" si="38"/>
        <v/>
      </c>
      <c r="H304" s="295" t="str">
        <f t="shared" si="39"/>
        <v/>
      </c>
      <c r="I304" s="295" t="str">
        <f t="shared" si="34"/>
        <v/>
      </c>
    </row>
    <row r="305" spans="2:9" ht="10.5" customHeight="1" x14ac:dyDescent="0.25">
      <c r="B305" s="293" t="str">
        <f t="shared" si="35"/>
        <v/>
      </c>
      <c r="C305" s="294" t="str">
        <f t="shared" si="36"/>
        <v/>
      </c>
      <c r="D305" s="295" t="str">
        <f t="shared" si="32"/>
        <v/>
      </c>
      <c r="E305" s="295" t="str">
        <f t="shared" si="33"/>
        <v/>
      </c>
      <c r="F305" s="295" t="str">
        <f t="shared" si="37"/>
        <v/>
      </c>
      <c r="G305" s="295" t="str">
        <f t="shared" si="38"/>
        <v/>
      </c>
      <c r="H305" s="295" t="str">
        <f t="shared" si="39"/>
        <v/>
      </c>
      <c r="I305" s="295" t="str">
        <f t="shared" si="34"/>
        <v/>
      </c>
    </row>
    <row r="306" spans="2:9" ht="10.5" customHeight="1" x14ac:dyDescent="0.25">
      <c r="B306" s="293" t="str">
        <f t="shared" si="35"/>
        <v/>
      </c>
      <c r="C306" s="294" t="str">
        <f t="shared" si="36"/>
        <v/>
      </c>
      <c r="D306" s="295" t="str">
        <f t="shared" si="32"/>
        <v/>
      </c>
      <c r="E306" s="295" t="str">
        <f t="shared" si="33"/>
        <v/>
      </c>
      <c r="F306" s="295" t="str">
        <f t="shared" si="37"/>
        <v/>
      </c>
      <c r="G306" s="295" t="str">
        <f t="shared" si="38"/>
        <v/>
      </c>
      <c r="H306" s="295" t="str">
        <f t="shared" si="39"/>
        <v/>
      </c>
      <c r="I306" s="295" t="str">
        <f t="shared" si="34"/>
        <v/>
      </c>
    </row>
    <row r="307" spans="2:9" ht="10.5" customHeight="1" x14ac:dyDescent="0.25">
      <c r="B307" s="293" t="str">
        <f t="shared" si="35"/>
        <v/>
      </c>
      <c r="C307" s="294" t="str">
        <f t="shared" si="36"/>
        <v/>
      </c>
      <c r="D307" s="295" t="str">
        <f t="shared" si="32"/>
        <v/>
      </c>
      <c r="E307" s="295" t="str">
        <f t="shared" si="33"/>
        <v/>
      </c>
      <c r="F307" s="295" t="str">
        <f t="shared" si="37"/>
        <v/>
      </c>
      <c r="G307" s="295" t="str">
        <f t="shared" si="38"/>
        <v/>
      </c>
      <c r="H307" s="295" t="str">
        <f t="shared" si="39"/>
        <v/>
      </c>
      <c r="I307" s="295" t="str">
        <f t="shared" si="34"/>
        <v/>
      </c>
    </row>
    <row r="308" spans="2:9" ht="10.5" customHeight="1" x14ac:dyDescent="0.25">
      <c r="B308" s="293" t="str">
        <f t="shared" si="35"/>
        <v/>
      </c>
      <c r="C308" s="294" t="str">
        <f t="shared" si="36"/>
        <v/>
      </c>
      <c r="D308" s="295" t="str">
        <f t="shared" si="32"/>
        <v/>
      </c>
      <c r="E308" s="295" t="str">
        <f t="shared" si="33"/>
        <v/>
      </c>
      <c r="F308" s="295" t="str">
        <f t="shared" si="37"/>
        <v/>
      </c>
      <c r="G308" s="295" t="str">
        <f t="shared" si="38"/>
        <v/>
      </c>
      <c r="H308" s="295" t="str">
        <f t="shared" si="39"/>
        <v/>
      </c>
      <c r="I308" s="295" t="str">
        <f t="shared" si="34"/>
        <v/>
      </c>
    </row>
    <row r="309" spans="2:9" ht="10.5" customHeight="1" x14ac:dyDescent="0.25">
      <c r="B309" s="293" t="str">
        <f t="shared" si="35"/>
        <v/>
      </c>
      <c r="C309" s="294" t="str">
        <f t="shared" si="36"/>
        <v/>
      </c>
      <c r="D309" s="295" t="str">
        <f t="shared" si="32"/>
        <v/>
      </c>
      <c r="E309" s="295" t="str">
        <f t="shared" si="33"/>
        <v/>
      </c>
      <c r="F309" s="295" t="str">
        <f t="shared" si="37"/>
        <v/>
      </c>
      <c r="G309" s="295" t="str">
        <f t="shared" si="38"/>
        <v/>
      </c>
      <c r="H309" s="295" t="str">
        <f t="shared" si="39"/>
        <v/>
      </c>
      <c r="I309" s="295" t="str">
        <f t="shared" si="34"/>
        <v/>
      </c>
    </row>
    <row r="310" spans="2:9" ht="10.5" customHeight="1" x14ac:dyDescent="0.25">
      <c r="B310" s="293" t="str">
        <f t="shared" si="35"/>
        <v/>
      </c>
      <c r="C310" s="294" t="str">
        <f t="shared" si="36"/>
        <v/>
      </c>
      <c r="D310" s="295" t="str">
        <f t="shared" si="32"/>
        <v/>
      </c>
      <c r="E310" s="295" t="str">
        <f t="shared" si="33"/>
        <v/>
      </c>
      <c r="F310" s="295" t="str">
        <f t="shared" si="37"/>
        <v/>
      </c>
      <c r="G310" s="295" t="str">
        <f t="shared" si="38"/>
        <v/>
      </c>
      <c r="H310" s="295" t="str">
        <f t="shared" si="39"/>
        <v/>
      </c>
      <c r="I310" s="295" t="str">
        <f t="shared" si="34"/>
        <v/>
      </c>
    </row>
    <row r="311" spans="2:9" ht="10.5" customHeight="1" x14ac:dyDescent="0.25">
      <c r="B311" s="293" t="str">
        <f t="shared" si="35"/>
        <v/>
      </c>
      <c r="C311" s="294" t="str">
        <f t="shared" si="36"/>
        <v/>
      </c>
      <c r="D311" s="295" t="str">
        <f t="shared" si="32"/>
        <v/>
      </c>
      <c r="E311" s="295" t="str">
        <f t="shared" si="33"/>
        <v/>
      </c>
      <c r="F311" s="295" t="str">
        <f t="shared" si="37"/>
        <v/>
      </c>
      <c r="G311" s="295" t="str">
        <f t="shared" si="38"/>
        <v/>
      </c>
      <c r="H311" s="295" t="str">
        <f t="shared" si="39"/>
        <v/>
      </c>
      <c r="I311" s="295" t="str">
        <f t="shared" si="34"/>
        <v/>
      </c>
    </row>
    <row r="312" spans="2:9" ht="10.5" customHeight="1" x14ac:dyDescent="0.25">
      <c r="B312" s="293" t="str">
        <f t="shared" si="35"/>
        <v/>
      </c>
      <c r="C312" s="294" t="str">
        <f t="shared" si="36"/>
        <v/>
      </c>
      <c r="D312" s="295" t="str">
        <f t="shared" si="32"/>
        <v/>
      </c>
      <c r="E312" s="295" t="str">
        <f t="shared" si="33"/>
        <v/>
      </c>
      <c r="F312" s="295" t="str">
        <f t="shared" si="37"/>
        <v/>
      </c>
      <c r="G312" s="295" t="str">
        <f t="shared" si="38"/>
        <v/>
      </c>
      <c r="H312" s="295" t="str">
        <f t="shared" si="39"/>
        <v/>
      </c>
      <c r="I312" s="295" t="str">
        <f t="shared" si="34"/>
        <v/>
      </c>
    </row>
    <row r="313" spans="2:9" ht="10.5" customHeight="1" x14ac:dyDescent="0.25">
      <c r="B313" s="293" t="str">
        <f t="shared" si="35"/>
        <v/>
      </c>
      <c r="C313" s="294" t="str">
        <f t="shared" si="36"/>
        <v/>
      </c>
      <c r="D313" s="295" t="str">
        <f t="shared" si="32"/>
        <v/>
      </c>
      <c r="E313" s="295" t="str">
        <f t="shared" si="33"/>
        <v/>
      </c>
      <c r="F313" s="295" t="str">
        <f t="shared" si="37"/>
        <v/>
      </c>
      <c r="G313" s="295" t="str">
        <f t="shared" si="38"/>
        <v/>
      </c>
      <c r="H313" s="295" t="str">
        <f t="shared" si="39"/>
        <v/>
      </c>
      <c r="I313" s="295" t="str">
        <f t="shared" si="34"/>
        <v/>
      </c>
    </row>
    <row r="314" spans="2:9" ht="10.5" customHeight="1" x14ac:dyDescent="0.25">
      <c r="B314" s="293" t="str">
        <f t="shared" si="35"/>
        <v/>
      </c>
      <c r="C314" s="294" t="str">
        <f t="shared" si="36"/>
        <v/>
      </c>
      <c r="D314" s="295" t="str">
        <f t="shared" si="32"/>
        <v/>
      </c>
      <c r="E314" s="295" t="str">
        <f t="shared" si="33"/>
        <v/>
      </c>
      <c r="F314" s="295" t="str">
        <f t="shared" si="37"/>
        <v/>
      </c>
      <c r="G314" s="295" t="str">
        <f t="shared" si="38"/>
        <v/>
      </c>
      <c r="H314" s="295" t="str">
        <f t="shared" si="39"/>
        <v/>
      </c>
      <c r="I314" s="295" t="str">
        <f t="shared" si="34"/>
        <v/>
      </c>
    </row>
    <row r="315" spans="2:9" ht="10.5" customHeight="1" x14ac:dyDescent="0.25">
      <c r="B315" s="293" t="str">
        <f t="shared" si="35"/>
        <v/>
      </c>
      <c r="C315" s="294" t="str">
        <f t="shared" si="36"/>
        <v/>
      </c>
      <c r="D315" s="295" t="str">
        <f t="shared" si="32"/>
        <v/>
      </c>
      <c r="E315" s="295" t="str">
        <f t="shared" si="33"/>
        <v/>
      </c>
      <c r="F315" s="295" t="str">
        <f t="shared" si="37"/>
        <v/>
      </c>
      <c r="G315" s="295" t="str">
        <f t="shared" si="38"/>
        <v/>
      </c>
      <c r="H315" s="295" t="str">
        <f t="shared" si="39"/>
        <v/>
      </c>
      <c r="I315" s="295" t="str">
        <f t="shared" si="34"/>
        <v/>
      </c>
    </row>
    <row r="316" spans="2:9" ht="10.5" customHeight="1" x14ac:dyDescent="0.25">
      <c r="B316" s="293" t="str">
        <f t="shared" si="35"/>
        <v/>
      </c>
      <c r="C316" s="294" t="str">
        <f t="shared" si="36"/>
        <v/>
      </c>
      <c r="D316" s="295" t="str">
        <f t="shared" si="32"/>
        <v/>
      </c>
      <c r="E316" s="295" t="str">
        <f t="shared" si="33"/>
        <v/>
      </c>
      <c r="F316" s="295" t="str">
        <f t="shared" si="37"/>
        <v/>
      </c>
      <c r="G316" s="295" t="str">
        <f t="shared" si="38"/>
        <v/>
      </c>
      <c r="H316" s="295" t="str">
        <f t="shared" si="39"/>
        <v/>
      </c>
      <c r="I316" s="295" t="str">
        <f t="shared" si="34"/>
        <v/>
      </c>
    </row>
    <row r="317" spans="2:9" ht="10.5" customHeight="1" x14ac:dyDescent="0.25">
      <c r="B317" s="293" t="str">
        <f t="shared" si="35"/>
        <v/>
      </c>
      <c r="C317" s="294" t="str">
        <f t="shared" si="36"/>
        <v/>
      </c>
      <c r="D317" s="295" t="str">
        <f t="shared" si="32"/>
        <v/>
      </c>
      <c r="E317" s="295" t="str">
        <f t="shared" si="33"/>
        <v/>
      </c>
      <c r="F317" s="295" t="str">
        <f t="shared" si="37"/>
        <v/>
      </c>
      <c r="G317" s="295" t="str">
        <f t="shared" si="38"/>
        <v/>
      </c>
      <c r="H317" s="295" t="str">
        <f t="shared" si="39"/>
        <v/>
      </c>
      <c r="I317" s="295" t="str">
        <f t="shared" si="34"/>
        <v/>
      </c>
    </row>
    <row r="318" spans="2:9" ht="10.5" customHeight="1" x14ac:dyDescent="0.25">
      <c r="B318" s="293" t="str">
        <f t="shared" si="35"/>
        <v/>
      </c>
      <c r="C318" s="294" t="str">
        <f t="shared" si="36"/>
        <v/>
      </c>
      <c r="D318" s="295" t="str">
        <f t="shared" si="32"/>
        <v/>
      </c>
      <c r="E318" s="295" t="str">
        <f t="shared" si="33"/>
        <v/>
      </c>
      <c r="F318" s="295" t="str">
        <f t="shared" si="37"/>
        <v/>
      </c>
      <c r="G318" s="295" t="str">
        <f t="shared" si="38"/>
        <v/>
      </c>
      <c r="H318" s="295" t="str">
        <f t="shared" si="39"/>
        <v/>
      </c>
      <c r="I318" s="295" t="str">
        <f t="shared" si="34"/>
        <v/>
      </c>
    </row>
    <row r="319" spans="2:9" ht="10.5" customHeight="1" x14ac:dyDescent="0.25">
      <c r="B319" s="293" t="str">
        <f t="shared" si="35"/>
        <v/>
      </c>
      <c r="C319" s="294" t="str">
        <f t="shared" si="36"/>
        <v/>
      </c>
      <c r="D319" s="295" t="str">
        <f t="shared" si="32"/>
        <v/>
      </c>
      <c r="E319" s="295" t="str">
        <f t="shared" si="33"/>
        <v/>
      </c>
      <c r="F319" s="295" t="str">
        <f t="shared" si="37"/>
        <v/>
      </c>
      <c r="G319" s="295" t="str">
        <f t="shared" si="38"/>
        <v/>
      </c>
      <c r="H319" s="295" t="str">
        <f t="shared" si="39"/>
        <v/>
      </c>
      <c r="I319" s="295" t="str">
        <f t="shared" si="34"/>
        <v/>
      </c>
    </row>
    <row r="320" spans="2:9" ht="10.5" customHeight="1" x14ac:dyDescent="0.25">
      <c r="B320" s="293" t="str">
        <f t="shared" si="35"/>
        <v/>
      </c>
      <c r="C320" s="294" t="str">
        <f t="shared" si="36"/>
        <v/>
      </c>
      <c r="D320" s="295" t="str">
        <f t="shared" si="32"/>
        <v/>
      </c>
      <c r="E320" s="295" t="str">
        <f t="shared" si="33"/>
        <v/>
      </c>
      <c r="F320" s="295" t="str">
        <f t="shared" si="37"/>
        <v/>
      </c>
      <c r="G320" s="295" t="str">
        <f t="shared" si="38"/>
        <v/>
      </c>
      <c r="H320" s="295" t="str">
        <f t="shared" si="39"/>
        <v/>
      </c>
      <c r="I320" s="295" t="str">
        <f t="shared" si="34"/>
        <v/>
      </c>
    </row>
    <row r="321" spans="2:9" ht="10.5" customHeight="1" x14ac:dyDescent="0.25">
      <c r="B321" s="293" t="str">
        <f t="shared" si="35"/>
        <v/>
      </c>
      <c r="C321" s="294" t="str">
        <f t="shared" si="36"/>
        <v/>
      </c>
      <c r="D321" s="295" t="str">
        <f t="shared" si="32"/>
        <v/>
      </c>
      <c r="E321" s="295" t="str">
        <f t="shared" si="33"/>
        <v/>
      </c>
      <c r="F321" s="295" t="str">
        <f t="shared" si="37"/>
        <v/>
      </c>
      <c r="G321" s="295" t="str">
        <f t="shared" si="38"/>
        <v/>
      </c>
      <c r="H321" s="295" t="str">
        <f t="shared" si="39"/>
        <v/>
      </c>
      <c r="I321" s="295" t="str">
        <f t="shared" si="34"/>
        <v/>
      </c>
    </row>
    <row r="322" spans="2:9" ht="10.5" customHeight="1" x14ac:dyDescent="0.25">
      <c r="B322" s="293" t="str">
        <f t="shared" si="35"/>
        <v/>
      </c>
      <c r="C322" s="294" t="str">
        <f t="shared" si="36"/>
        <v/>
      </c>
      <c r="D322" s="295" t="str">
        <f t="shared" si="32"/>
        <v/>
      </c>
      <c r="E322" s="295" t="str">
        <f t="shared" si="33"/>
        <v/>
      </c>
      <c r="F322" s="295" t="str">
        <f t="shared" si="37"/>
        <v/>
      </c>
      <c r="G322" s="295" t="str">
        <f t="shared" si="38"/>
        <v/>
      </c>
      <c r="H322" s="295" t="str">
        <f t="shared" si="39"/>
        <v/>
      </c>
      <c r="I322" s="295" t="str">
        <f t="shared" si="34"/>
        <v/>
      </c>
    </row>
    <row r="323" spans="2:9" ht="10.5" customHeight="1" x14ac:dyDescent="0.25">
      <c r="B323" s="293" t="str">
        <f t="shared" si="35"/>
        <v/>
      </c>
      <c r="C323" s="294" t="str">
        <f t="shared" si="36"/>
        <v/>
      </c>
      <c r="D323" s="295" t="str">
        <f t="shared" si="32"/>
        <v/>
      </c>
      <c r="E323" s="295" t="str">
        <f t="shared" si="33"/>
        <v/>
      </c>
      <c r="F323" s="295" t="str">
        <f t="shared" si="37"/>
        <v/>
      </c>
      <c r="G323" s="295" t="str">
        <f t="shared" si="38"/>
        <v/>
      </c>
      <c r="H323" s="295" t="str">
        <f t="shared" si="39"/>
        <v/>
      </c>
      <c r="I323" s="295" t="str">
        <f t="shared" si="34"/>
        <v/>
      </c>
    </row>
    <row r="324" spans="2:9" ht="10.5" customHeight="1" x14ac:dyDescent="0.25">
      <c r="B324" s="293" t="str">
        <f t="shared" si="35"/>
        <v/>
      </c>
      <c r="C324" s="294" t="str">
        <f t="shared" si="36"/>
        <v/>
      </c>
      <c r="D324" s="295" t="str">
        <f t="shared" si="32"/>
        <v/>
      </c>
      <c r="E324" s="295" t="str">
        <f t="shared" si="33"/>
        <v/>
      </c>
      <c r="F324" s="295" t="str">
        <f t="shared" si="37"/>
        <v/>
      </c>
      <c r="G324" s="295" t="str">
        <f t="shared" si="38"/>
        <v/>
      </c>
      <c r="H324" s="295" t="str">
        <f t="shared" si="39"/>
        <v/>
      </c>
      <c r="I324" s="295" t="str">
        <f t="shared" si="34"/>
        <v/>
      </c>
    </row>
    <row r="325" spans="2:9" ht="10.5" customHeight="1" x14ac:dyDescent="0.25">
      <c r="B325" s="293" t="str">
        <f t="shared" si="35"/>
        <v/>
      </c>
      <c r="C325" s="294" t="str">
        <f t="shared" si="36"/>
        <v/>
      </c>
      <c r="D325" s="295" t="str">
        <f t="shared" si="32"/>
        <v/>
      </c>
      <c r="E325" s="295" t="str">
        <f t="shared" si="33"/>
        <v/>
      </c>
      <c r="F325" s="295" t="str">
        <f t="shared" si="37"/>
        <v/>
      </c>
      <c r="G325" s="295" t="str">
        <f t="shared" si="38"/>
        <v/>
      </c>
      <c r="H325" s="295" t="str">
        <f t="shared" si="39"/>
        <v/>
      </c>
      <c r="I325" s="295" t="str">
        <f t="shared" si="34"/>
        <v/>
      </c>
    </row>
    <row r="326" spans="2:9" ht="10.5" customHeight="1" x14ac:dyDescent="0.25">
      <c r="B326" s="293" t="str">
        <f t="shared" si="35"/>
        <v/>
      </c>
      <c r="C326" s="294" t="str">
        <f t="shared" si="36"/>
        <v/>
      </c>
      <c r="D326" s="295" t="str">
        <f t="shared" si="32"/>
        <v/>
      </c>
      <c r="E326" s="295" t="str">
        <f t="shared" si="33"/>
        <v/>
      </c>
      <c r="F326" s="295" t="str">
        <f t="shared" si="37"/>
        <v/>
      </c>
      <c r="G326" s="295" t="str">
        <f t="shared" si="38"/>
        <v/>
      </c>
      <c r="H326" s="295" t="str">
        <f t="shared" si="39"/>
        <v/>
      </c>
      <c r="I326" s="295" t="str">
        <f t="shared" si="34"/>
        <v/>
      </c>
    </row>
    <row r="327" spans="2:9" ht="10.5" customHeight="1" x14ac:dyDescent="0.25">
      <c r="B327" s="293" t="str">
        <f t="shared" si="35"/>
        <v/>
      </c>
      <c r="C327" s="294" t="str">
        <f t="shared" si="36"/>
        <v/>
      </c>
      <c r="D327" s="295" t="str">
        <f t="shared" si="32"/>
        <v/>
      </c>
      <c r="E327" s="295" t="str">
        <f t="shared" si="33"/>
        <v/>
      </c>
      <c r="F327" s="295" t="str">
        <f t="shared" si="37"/>
        <v/>
      </c>
      <c r="G327" s="295" t="str">
        <f t="shared" si="38"/>
        <v/>
      </c>
      <c r="H327" s="295" t="str">
        <f t="shared" si="39"/>
        <v/>
      </c>
      <c r="I327" s="295" t="str">
        <f t="shared" si="34"/>
        <v/>
      </c>
    </row>
    <row r="328" spans="2:9" ht="10.5" customHeight="1" x14ac:dyDescent="0.25">
      <c r="B328" s="293" t="str">
        <f t="shared" si="35"/>
        <v/>
      </c>
      <c r="C328" s="294" t="str">
        <f t="shared" si="36"/>
        <v/>
      </c>
      <c r="D328" s="295" t="str">
        <f t="shared" si="32"/>
        <v/>
      </c>
      <c r="E328" s="295" t="str">
        <f t="shared" si="33"/>
        <v/>
      </c>
      <c r="F328" s="295" t="str">
        <f t="shared" si="37"/>
        <v/>
      </c>
      <c r="G328" s="295" t="str">
        <f t="shared" si="38"/>
        <v/>
      </c>
      <c r="H328" s="295" t="str">
        <f t="shared" si="39"/>
        <v/>
      </c>
      <c r="I328" s="295" t="str">
        <f t="shared" si="34"/>
        <v/>
      </c>
    </row>
    <row r="329" spans="2:9" ht="10.5" customHeight="1" x14ac:dyDescent="0.25">
      <c r="B329" s="293" t="str">
        <f t="shared" si="35"/>
        <v/>
      </c>
      <c r="C329" s="294" t="str">
        <f t="shared" si="36"/>
        <v/>
      </c>
      <c r="D329" s="295" t="str">
        <f t="shared" si="32"/>
        <v/>
      </c>
      <c r="E329" s="295" t="str">
        <f t="shared" si="33"/>
        <v/>
      </c>
      <c r="F329" s="295" t="str">
        <f t="shared" si="37"/>
        <v/>
      </c>
      <c r="G329" s="295" t="str">
        <f t="shared" si="38"/>
        <v/>
      </c>
      <c r="H329" s="295" t="str">
        <f t="shared" si="39"/>
        <v/>
      </c>
      <c r="I329" s="295" t="str">
        <f t="shared" si="34"/>
        <v/>
      </c>
    </row>
    <row r="330" spans="2:9" ht="10.5" customHeight="1" x14ac:dyDescent="0.25">
      <c r="B330" s="293" t="str">
        <f t="shared" si="35"/>
        <v/>
      </c>
      <c r="C330" s="294" t="str">
        <f t="shared" si="36"/>
        <v/>
      </c>
      <c r="D330" s="295" t="str">
        <f t="shared" si="32"/>
        <v/>
      </c>
      <c r="E330" s="295" t="str">
        <f t="shared" si="33"/>
        <v/>
      </c>
      <c r="F330" s="295" t="str">
        <f t="shared" si="37"/>
        <v/>
      </c>
      <c r="G330" s="295" t="str">
        <f t="shared" si="38"/>
        <v/>
      </c>
      <c r="H330" s="295" t="str">
        <f t="shared" si="39"/>
        <v/>
      </c>
      <c r="I330" s="295" t="str">
        <f t="shared" si="34"/>
        <v/>
      </c>
    </row>
    <row r="331" spans="2:9" ht="10.5" customHeight="1" x14ac:dyDescent="0.25">
      <c r="B331" s="293" t="str">
        <f t="shared" si="35"/>
        <v/>
      </c>
      <c r="C331" s="294" t="str">
        <f t="shared" si="36"/>
        <v/>
      </c>
      <c r="D331" s="295" t="str">
        <f t="shared" si="32"/>
        <v/>
      </c>
      <c r="E331" s="295" t="str">
        <f t="shared" si="33"/>
        <v/>
      </c>
      <c r="F331" s="295" t="str">
        <f t="shared" si="37"/>
        <v/>
      </c>
      <c r="G331" s="295" t="str">
        <f t="shared" si="38"/>
        <v/>
      </c>
      <c r="H331" s="295" t="str">
        <f t="shared" si="39"/>
        <v/>
      </c>
      <c r="I331" s="295" t="str">
        <f t="shared" si="34"/>
        <v/>
      </c>
    </row>
    <row r="332" spans="2:9" ht="10.5" customHeight="1" x14ac:dyDescent="0.25">
      <c r="B332" s="293" t="str">
        <f t="shared" si="35"/>
        <v/>
      </c>
      <c r="C332" s="294" t="str">
        <f t="shared" si="36"/>
        <v/>
      </c>
      <c r="D332" s="295" t="str">
        <f t="shared" si="32"/>
        <v/>
      </c>
      <c r="E332" s="295" t="str">
        <f t="shared" si="33"/>
        <v/>
      </c>
      <c r="F332" s="295" t="str">
        <f t="shared" si="37"/>
        <v/>
      </c>
      <c r="G332" s="295" t="str">
        <f t="shared" si="38"/>
        <v/>
      </c>
      <c r="H332" s="295" t="str">
        <f t="shared" si="39"/>
        <v/>
      </c>
      <c r="I332" s="295" t="str">
        <f t="shared" si="34"/>
        <v/>
      </c>
    </row>
    <row r="333" spans="2:9" ht="10.5" customHeight="1" x14ac:dyDescent="0.25">
      <c r="B333" s="293" t="str">
        <f t="shared" si="35"/>
        <v/>
      </c>
      <c r="C333" s="294" t="str">
        <f t="shared" si="36"/>
        <v/>
      </c>
      <c r="D333" s="295" t="str">
        <f t="shared" si="32"/>
        <v/>
      </c>
      <c r="E333" s="295" t="str">
        <f t="shared" si="33"/>
        <v/>
      </c>
      <c r="F333" s="295" t="str">
        <f t="shared" si="37"/>
        <v/>
      </c>
      <c r="G333" s="295" t="str">
        <f t="shared" si="38"/>
        <v/>
      </c>
      <c r="H333" s="295" t="str">
        <f t="shared" si="39"/>
        <v/>
      </c>
      <c r="I333" s="295" t="str">
        <f t="shared" si="34"/>
        <v/>
      </c>
    </row>
    <row r="334" spans="2:9" ht="10.5" customHeight="1" x14ac:dyDescent="0.25">
      <c r="B334" s="293" t="str">
        <f t="shared" si="35"/>
        <v/>
      </c>
      <c r="C334" s="294" t="str">
        <f t="shared" si="36"/>
        <v/>
      </c>
      <c r="D334" s="295" t="str">
        <f t="shared" si="32"/>
        <v/>
      </c>
      <c r="E334" s="295" t="str">
        <f t="shared" si="33"/>
        <v/>
      </c>
      <c r="F334" s="295" t="str">
        <f t="shared" si="37"/>
        <v/>
      </c>
      <c r="G334" s="295" t="str">
        <f t="shared" si="38"/>
        <v/>
      </c>
      <c r="H334" s="295" t="str">
        <f t="shared" si="39"/>
        <v/>
      </c>
      <c r="I334" s="295" t="str">
        <f t="shared" si="34"/>
        <v/>
      </c>
    </row>
    <row r="335" spans="2:9" ht="10.5" customHeight="1" x14ac:dyDescent="0.25">
      <c r="B335" s="293" t="str">
        <f t="shared" si="35"/>
        <v/>
      </c>
      <c r="C335" s="294" t="str">
        <f t="shared" si="36"/>
        <v/>
      </c>
      <c r="D335" s="295" t="str">
        <f t="shared" si="32"/>
        <v/>
      </c>
      <c r="E335" s="295" t="str">
        <f t="shared" si="33"/>
        <v/>
      </c>
      <c r="F335" s="295" t="str">
        <f t="shared" si="37"/>
        <v/>
      </c>
      <c r="G335" s="295" t="str">
        <f t="shared" si="38"/>
        <v/>
      </c>
      <c r="H335" s="295" t="str">
        <f t="shared" si="39"/>
        <v/>
      </c>
      <c r="I335" s="295" t="str">
        <f t="shared" si="34"/>
        <v/>
      </c>
    </row>
    <row r="336" spans="2:9" ht="10.5" customHeight="1" x14ac:dyDescent="0.25">
      <c r="B336" s="293" t="str">
        <f t="shared" si="35"/>
        <v/>
      </c>
      <c r="C336" s="294" t="str">
        <f t="shared" si="36"/>
        <v/>
      </c>
      <c r="D336" s="295" t="str">
        <f t="shared" si="32"/>
        <v/>
      </c>
      <c r="E336" s="295" t="str">
        <f t="shared" si="33"/>
        <v/>
      </c>
      <c r="F336" s="295" t="str">
        <f t="shared" si="37"/>
        <v/>
      </c>
      <c r="G336" s="295" t="str">
        <f t="shared" si="38"/>
        <v/>
      </c>
      <c r="H336" s="295" t="str">
        <f t="shared" si="39"/>
        <v/>
      </c>
      <c r="I336" s="295" t="str">
        <f t="shared" si="34"/>
        <v/>
      </c>
    </row>
    <row r="337" spans="2:9" ht="10.5" customHeight="1" x14ac:dyDescent="0.25">
      <c r="B337" s="293" t="str">
        <f t="shared" si="35"/>
        <v/>
      </c>
      <c r="C337" s="294" t="str">
        <f t="shared" si="36"/>
        <v/>
      </c>
      <c r="D337" s="295" t="str">
        <f t="shared" si="32"/>
        <v/>
      </c>
      <c r="E337" s="295" t="str">
        <f t="shared" si="33"/>
        <v/>
      </c>
      <c r="F337" s="295" t="str">
        <f t="shared" si="37"/>
        <v/>
      </c>
      <c r="G337" s="295" t="str">
        <f t="shared" si="38"/>
        <v/>
      </c>
      <c r="H337" s="295" t="str">
        <f t="shared" si="39"/>
        <v/>
      </c>
      <c r="I337" s="295" t="str">
        <f t="shared" si="34"/>
        <v/>
      </c>
    </row>
    <row r="338" spans="2:9" ht="10.5" customHeight="1" x14ac:dyDescent="0.25">
      <c r="B338" s="293" t="str">
        <f t="shared" si="35"/>
        <v/>
      </c>
      <c r="C338" s="294" t="str">
        <f t="shared" si="36"/>
        <v/>
      </c>
      <c r="D338" s="295" t="str">
        <f t="shared" si="32"/>
        <v/>
      </c>
      <c r="E338" s="295" t="str">
        <f t="shared" si="33"/>
        <v/>
      </c>
      <c r="F338" s="295" t="str">
        <f t="shared" si="37"/>
        <v/>
      </c>
      <c r="G338" s="295" t="str">
        <f t="shared" si="38"/>
        <v/>
      </c>
      <c r="H338" s="295" t="str">
        <f t="shared" si="39"/>
        <v/>
      </c>
      <c r="I338" s="295" t="str">
        <f t="shared" si="34"/>
        <v/>
      </c>
    </row>
    <row r="339" spans="2:9" ht="10.5" customHeight="1" x14ac:dyDescent="0.25">
      <c r="B339" s="293" t="str">
        <f t="shared" si="35"/>
        <v/>
      </c>
      <c r="C339" s="294" t="str">
        <f t="shared" si="36"/>
        <v/>
      </c>
      <c r="D339" s="295" t="str">
        <f t="shared" si="32"/>
        <v/>
      </c>
      <c r="E339" s="295" t="str">
        <f t="shared" si="33"/>
        <v/>
      </c>
      <c r="F339" s="295" t="str">
        <f t="shared" si="37"/>
        <v/>
      </c>
      <c r="G339" s="295" t="str">
        <f t="shared" si="38"/>
        <v/>
      </c>
      <c r="H339" s="295" t="str">
        <f t="shared" si="39"/>
        <v/>
      </c>
      <c r="I339" s="295" t="str">
        <f t="shared" si="34"/>
        <v/>
      </c>
    </row>
    <row r="340" spans="2:9" ht="10.5" customHeight="1" x14ac:dyDescent="0.25">
      <c r="B340" s="293" t="str">
        <f t="shared" si="35"/>
        <v/>
      </c>
      <c r="C340" s="294" t="str">
        <f t="shared" si="36"/>
        <v/>
      </c>
      <c r="D340" s="295" t="str">
        <f t="shared" si="32"/>
        <v/>
      </c>
      <c r="E340" s="295" t="str">
        <f t="shared" si="33"/>
        <v/>
      </c>
      <c r="F340" s="295" t="str">
        <f t="shared" si="37"/>
        <v/>
      </c>
      <c r="G340" s="295" t="str">
        <f t="shared" si="38"/>
        <v/>
      </c>
      <c r="H340" s="295" t="str">
        <f t="shared" si="39"/>
        <v/>
      </c>
      <c r="I340" s="295" t="str">
        <f t="shared" si="34"/>
        <v/>
      </c>
    </row>
    <row r="341" spans="2:9" ht="10.5" customHeight="1" x14ac:dyDescent="0.25">
      <c r="B341" s="293" t="str">
        <f t="shared" si="35"/>
        <v/>
      </c>
      <c r="C341" s="294" t="str">
        <f t="shared" si="36"/>
        <v/>
      </c>
      <c r="D341" s="295" t="str">
        <f t="shared" si="32"/>
        <v/>
      </c>
      <c r="E341" s="295" t="str">
        <f t="shared" si="33"/>
        <v/>
      </c>
      <c r="F341" s="295" t="str">
        <f t="shared" si="37"/>
        <v/>
      </c>
      <c r="G341" s="295" t="str">
        <f t="shared" si="38"/>
        <v/>
      </c>
      <c r="H341" s="295" t="str">
        <f t="shared" si="39"/>
        <v/>
      </c>
      <c r="I341" s="295" t="str">
        <f t="shared" si="34"/>
        <v/>
      </c>
    </row>
    <row r="342" spans="2:9" ht="10.5" customHeight="1" x14ac:dyDescent="0.25">
      <c r="B342" s="293" t="str">
        <f t="shared" si="35"/>
        <v/>
      </c>
      <c r="C342" s="294" t="str">
        <f t="shared" si="36"/>
        <v/>
      </c>
      <c r="D342" s="295" t="str">
        <f t="shared" si="32"/>
        <v/>
      </c>
      <c r="E342" s="295" t="str">
        <f t="shared" si="33"/>
        <v/>
      </c>
      <c r="F342" s="295" t="str">
        <f t="shared" si="37"/>
        <v/>
      </c>
      <c r="G342" s="295" t="str">
        <f t="shared" si="38"/>
        <v/>
      </c>
      <c r="H342" s="295" t="str">
        <f t="shared" si="39"/>
        <v/>
      </c>
      <c r="I342" s="295" t="str">
        <f t="shared" si="34"/>
        <v/>
      </c>
    </row>
    <row r="343" spans="2:9" ht="10.5" customHeight="1" x14ac:dyDescent="0.25">
      <c r="B343" s="293" t="str">
        <f t="shared" si="35"/>
        <v/>
      </c>
      <c r="C343" s="294" t="str">
        <f t="shared" si="36"/>
        <v/>
      </c>
      <c r="D343" s="295" t="str">
        <f t="shared" si="32"/>
        <v/>
      </c>
      <c r="E343" s="295" t="str">
        <f t="shared" si="33"/>
        <v/>
      </c>
      <c r="F343" s="295" t="str">
        <f t="shared" si="37"/>
        <v/>
      </c>
      <c r="G343" s="295" t="str">
        <f t="shared" si="38"/>
        <v/>
      </c>
      <c r="H343" s="295" t="str">
        <f t="shared" si="39"/>
        <v/>
      </c>
      <c r="I343" s="295" t="str">
        <f t="shared" si="34"/>
        <v/>
      </c>
    </row>
    <row r="344" spans="2:9" ht="10.5" customHeight="1" x14ac:dyDescent="0.25">
      <c r="B344" s="293" t="str">
        <f t="shared" si="35"/>
        <v/>
      </c>
      <c r="C344" s="294" t="str">
        <f t="shared" si="36"/>
        <v/>
      </c>
      <c r="D344" s="295" t="str">
        <f t="shared" si="32"/>
        <v/>
      </c>
      <c r="E344" s="295" t="str">
        <f t="shared" si="33"/>
        <v/>
      </c>
      <c r="F344" s="295" t="str">
        <f t="shared" si="37"/>
        <v/>
      </c>
      <c r="G344" s="295" t="str">
        <f t="shared" si="38"/>
        <v/>
      </c>
      <c r="H344" s="295" t="str">
        <f t="shared" si="39"/>
        <v/>
      </c>
      <c r="I344" s="295" t="str">
        <f t="shared" si="34"/>
        <v/>
      </c>
    </row>
    <row r="345" spans="2:9" ht="10.5" customHeight="1" x14ac:dyDescent="0.25">
      <c r="B345" s="293" t="str">
        <f t="shared" si="35"/>
        <v/>
      </c>
      <c r="C345" s="294" t="str">
        <f t="shared" si="36"/>
        <v/>
      </c>
      <c r="D345" s="295" t="str">
        <f t="shared" si="32"/>
        <v/>
      </c>
      <c r="E345" s="295" t="str">
        <f t="shared" si="33"/>
        <v/>
      </c>
      <c r="F345" s="295" t="str">
        <f t="shared" si="37"/>
        <v/>
      </c>
      <c r="G345" s="295" t="str">
        <f t="shared" si="38"/>
        <v/>
      </c>
      <c r="H345" s="295" t="str">
        <f t="shared" si="39"/>
        <v/>
      </c>
      <c r="I345" s="295" t="str">
        <f t="shared" si="34"/>
        <v/>
      </c>
    </row>
    <row r="346" spans="2:9" ht="10.5" customHeight="1" x14ac:dyDescent="0.25">
      <c r="B346" s="293" t="str">
        <f t="shared" si="35"/>
        <v/>
      </c>
      <c r="C346" s="294" t="str">
        <f t="shared" si="36"/>
        <v/>
      </c>
      <c r="D346" s="295" t="str">
        <f t="shared" si="32"/>
        <v/>
      </c>
      <c r="E346" s="295" t="str">
        <f t="shared" si="33"/>
        <v/>
      </c>
      <c r="F346" s="295" t="str">
        <f t="shared" si="37"/>
        <v/>
      </c>
      <c r="G346" s="295" t="str">
        <f t="shared" si="38"/>
        <v/>
      </c>
      <c r="H346" s="295" t="str">
        <f t="shared" si="39"/>
        <v/>
      </c>
      <c r="I346" s="295" t="str">
        <f t="shared" si="34"/>
        <v/>
      </c>
    </row>
    <row r="347" spans="2:9" ht="10.5" customHeight="1" x14ac:dyDescent="0.25">
      <c r="B347" s="293" t="str">
        <f t="shared" si="35"/>
        <v/>
      </c>
      <c r="C347" s="294" t="str">
        <f t="shared" si="36"/>
        <v/>
      </c>
      <c r="D347" s="295" t="str">
        <f t="shared" si="32"/>
        <v/>
      </c>
      <c r="E347" s="295" t="str">
        <f t="shared" si="33"/>
        <v/>
      </c>
      <c r="F347" s="295" t="str">
        <f t="shared" si="37"/>
        <v/>
      </c>
      <c r="G347" s="295" t="str">
        <f t="shared" si="38"/>
        <v/>
      </c>
      <c r="H347" s="295" t="str">
        <f t="shared" si="39"/>
        <v/>
      </c>
      <c r="I347" s="295" t="str">
        <f t="shared" si="34"/>
        <v/>
      </c>
    </row>
    <row r="348" spans="2:9" ht="10.5" customHeight="1" x14ac:dyDescent="0.25">
      <c r="B348" s="293" t="str">
        <f t="shared" si="35"/>
        <v/>
      </c>
      <c r="C348" s="294" t="str">
        <f t="shared" si="36"/>
        <v/>
      </c>
      <c r="D348" s="295" t="str">
        <f t="shared" si="32"/>
        <v/>
      </c>
      <c r="E348" s="295" t="str">
        <f t="shared" si="33"/>
        <v/>
      </c>
      <c r="F348" s="295" t="str">
        <f t="shared" si="37"/>
        <v/>
      </c>
      <c r="G348" s="295" t="str">
        <f t="shared" si="38"/>
        <v/>
      </c>
      <c r="H348" s="295" t="str">
        <f t="shared" si="39"/>
        <v/>
      </c>
      <c r="I348" s="295" t="str">
        <f t="shared" si="34"/>
        <v/>
      </c>
    </row>
    <row r="349" spans="2:9" ht="10.5" customHeight="1" x14ac:dyDescent="0.25">
      <c r="B349" s="293" t="str">
        <f t="shared" si="35"/>
        <v/>
      </c>
      <c r="C349" s="294" t="str">
        <f t="shared" si="36"/>
        <v/>
      </c>
      <c r="D349" s="295" t="str">
        <f t="shared" si="32"/>
        <v/>
      </c>
      <c r="E349" s="295" t="str">
        <f t="shared" si="33"/>
        <v/>
      </c>
      <c r="F349" s="295" t="str">
        <f t="shared" si="37"/>
        <v/>
      </c>
      <c r="G349" s="295" t="str">
        <f t="shared" si="38"/>
        <v/>
      </c>
      <c r="H349" s="295" t="str">
        <f t="shared" si="39"/>
        <v/>
      </c>
      <c r="I349" s="295" t="str">
        <f t="shared" si="34"/>
        <v/>
      </c>
    </row>
    <row r="350" spans="2:9" ht="10.5" customHeight="1" x14ac:dyDescent="0.25">
      <c r="B350" s="293" t="str">
        <f t="shared" si="35"/>
        <v/>
      </c>
      <c r="C350" s="294" t="str">
        <f t="shared" si="36"/>
        <v/>
      </c>
      <c r="D350" s="295" t="str">
        <f t="shared" ref="D350:D413" si="40">IF(B350&lt;&gt;"",mensualitehorsassurance,"")</f>
        <v/>
      </c>
      <c r="E350" s="295" t="str">
        <f t="shared" ref="E350:E413" si="41">IF(B350&lt;&gt;"",mensualiteassurance,"")</f>
        <v/>
      </c>
      <c r="F350" s="295" t="str">
        <f t="shared" si="37"/>
        <v/>
      </c>
      <c r="G350" s="295" t="str">
        <f t="shared" si="38"/>
        <v/>
      </c>
      <c r="H350" s="295" t="str">
        <f t="shared" si="39"/>
        <v/>
      </c>
      <c r="I350" s="295" t="str">
        <f t="shared" ref="I350:I413" si="42">IF(F350&lt;&gt;"",pret-H350,"")</f>
        <v/>
      </c>
    </row>
    <row r="351" spans="2:9" ht="10.5" customHeight="1" x14ac:dyDescent="0.25">
      <c r="B351" s="293" t="str">
        <f t="shared" ref="B351:B414" si="43">IF(test="OK",IF(B350&lt;dureepret,B350+1,""),"")</f>
        <v/>
      </c>
      <c r="C351" s="294" t="str">
        <f t="shared" ref="C351:C414" si="44">IF(B351&lt;&gt;"",DATE(YEAR(C350),MONTH(C350)+1,DAY(C350)),"")</f>
        <v/>
      </c>
      <c r="D351" s="295" t="str">
        <f t="shared" si="40"/>
        <v/>
      </c>
      <c r="E351" s="295" t="str">
        <f t="shared" si="41"/>
        <v/>
      </c>
      <c r="F351" s="295" t="str">
        <f t="shared" ref="F351:F414" si="45">IF(B351&lt;&gt;"",I350*tauxinteret/100/12,"")</f>
        <v/>
      </c>
      <c r="G351" s="295" t="str">
        <f t="shared" ref="G351:G414" si="46">IF(D351&lt;&gt;"",G350+F351,"")</f>
        <v/>
      </c>
      <c r="H351" s="295" t="str">
        <f t="shared" ref="H351:H414" si="47">IF(E351&lt;&gt;"",D351-F351+H350,"")</f>
        <v/>
      </c>
      <c r="I351" s="295" t="str">
        <f t="shared" si="42"/>
        <v/>
      </c>
    </row>
    <row r="352" spans="2:9" ht="10.5" customHeight="1" x14ac:dyDescent="0.25">
      <c r="B352" s="293" t="str">
        <f t="shared" si="43"/>
        <v/>
      </c>
      <c r="C352" s="294" t="str">
        <f t="shared" si="44"/>
        <v/>
      </c>
      <c r="D352" s="295" t="str">
        <f t="shared" si="40"/>
        <v/>
      </c>
      <c r="E352" s="295" t="str">
        <f t="shared" si="41"/>
        <v/>
      </c>
      <c r="F352" s="295" t="str">
        <f t="shared" si="45"/>
        <v/>
      </c>
      <c r="G352" s="295" t="str">
        <f t="shared" si="46"/>
        <v/>
      </c>
      <c r="H352" s="295" t="str">
        <f t="shared" si="47"/>
        <v/>
      </c>
      <c r="I352" s="295" t="str">
        <f t="shared" si="42"/>
        <v/>
      </c>
    </row>
    <row r="353" spans="2:9" ht="10.5" customHeight="1" x14ac:dyDescent="0.25">
      <c r="B353" s="293" t="str">
        <f t="shared" si="43"/>
        <v/>
      </c>
      <c r="C353" s="294" t="str">
        <f t="shared" si="44"/>
        <v/>
      </c>
      <c r="D353" s="295" t="str">
        <f t="shared" si="40"/>
        <v/>
      </c>
      <c r="E353" s="295" t="str">
        <f t="shared" si="41"/>
        <v/>
      </c>
      <c r="F353" s="295" t="str">
        <f t="shared" si="45"/>
        <v/>
      </c>
      <c r="G353" s="295" t="str">
        <f t="shared" si="46"/>
        <v/>
      </c>
      <c r="H353" s="295" t="str">
        <f t="shared" si="47"/>
        <v/>
      </c>
      <c r="I353" s="295" t="str">
        <f t="shared" si="42"/>
        <v/>
      </c>
    </row>
    <row r="354" spans="2:9" ht="10.5" customHeight="1" x14ac:dyDescent="0.25">
      <c r="B354" s="293" t="str">
        <f t="shared" si="43"/>
        <v/>
      </c>
      <c r="C354" s="294" t="str">
        <f t="shared" si="44"/>
        <v/>
      </c>
      <c r="D354" s="295" t="str">
        <f t="shared" si="40"/>
        <v/>
      </c>
      <c r="E354" s="295" t="str">
        <f t="shared" si="41"/>
        <v/>
      </c>
      <c r="F354" s="295" t="str">
        <f t="shared" si="45"/>
        <v/>
      </c>
      <c r="G354" s="295" t="str">
        <f t="shared" si="46"/>
        <v/>
      </c>
      <c r="H354" s="295" t="str">
        <f t="shared" si="47"/>
        <v/>
      </c>
      <c r="I354" s="295" t="str">
        <f t="shared" si="42"/>
        <v/>
      </c>
    </row>
    <row r="355" spans="2:9" ht="10.5" customHeight="1" x14ac:dyDescent="0.25">
      <c r="B355" s="293" t="str">
        <f t="shared" si="43"/>
        <v/>
      </c>
      <c r="C355" s="294" t="str">
        <f t="shared" si="44"/>
        <v/>
      </c>
      <c r="D355" s="295" t="str">
        <f t="shared" si="40"/>
        <v/>
      </c>
      <c r="E355" s="295" t="str">
        <f t="shared" si="41"/>
        <v/>
      </c>
      <c r="F355" s="295" t="str">
        <f t="shared" si="45"/>
        <v/>
      </c>
      <c r="G355" s="295" t="str">
        <f t="shared" si="46"/>
        <v/>
      </c>
      <c r="H355" s="295" t="str">
        <f t="shared" si="47"/>
        <v/>
      </c>
      <c r="I355" s="295" t="str">
        <f t="shared" si="42"/>
        <v/>
      </c>
    </row>
    <row r="356" spans="2:9" ht="10.5" customHeight="1" x14ac:dyDescent="0.25">
      <c r="B356" s="293" t="str">
        <f t="shared" si="43"/>
        <v/>
      </c>
      <c r="C356" s="294" t="str">
        <f t="shared" si="44"/>
        <v/>
      </c>
      <c r="D356" s="295" t="str">
        <f t="shared" si="40"/>
        <v/>
      </c>
      <c r="E356" s="295" t="str">
        <f t="shared" si="41"/>
        <v/>
      </c>
      <c r="F356" s="295" t="str">
        <f t="shared" si="45"/>
        <v/>
      </c>
      <c r="G356" s="295" t="str">
        <f t="shared" si="46"/>
        <v/>
      </c>
      <c r="H356" s="295" t="str">
        <f t="shared" si="47"/>
        <v/>
      </c>
      <c r="I356" s="295" t="str">
        <f t="shared" si="42"/>
        <v/>
      </c>
    </row>
    <row r="357" spans="2:9" ht="10.5" customHeight="1" x14ac:dyDescent="0.25">
      <c r="B357" s="293" t="str">
        <f t="shared" si="43"/>
        <v/>
      </c>
      <c r="C357" s="294" t="str">
        <f t="shared" si="44"/>
        <v/>
      </c>
      <c r="D357" s="295" t="str">
        <f t="shared" si="40"/>
        <v/>
      </c>
      <c r="E357" s="295" t="str">
        <f t="shared" si="41"/>
        <v/>
      </c>
      <c r="F357" s="295" t="str">
        <f t="shared" si="45"/>
        <v/>
      </c>
      <c r="G357" s="295" t="str">
        <f t="shared" si="46"/>
        <v/>
      </c>
      <c r="H357" s="295" t="str">
        <f t="shared" si="47"/>
        <v/>
      </c>
      <c r="I357" s="295" t="str">
        <f t="shared" si="42"/>
        <v/>
      </c>
    </row>
    <row r="358" spans="2:9" ht="10.5" customHeight="1" x14ac:dyDescent="0.25">
      <c r="B358" s="293" t="str">
        <f t="shared" si="43"/>
        <v/>
      </c>
      <c r="C358" s="294" t="str">
        <f t="shared" si="44"/>
        <v/>
      </c>
      <c r="D358" s="295" t="str">
        <f t="shared" si="40"/>
        <v/>
      </c>
      <c r="E358" s="295" t="str">
        <f t="shared" si="41"/>
        <v/>
      </c>
      <c r="F358" s="295" t="str">
        <f t="shared" si="45"/>
        <v/>
      </c>
      <c r="G358" s="295" t="str">
        <f t="shared" si="46"/>
        <v/>
      </c>
      <c r="H358" s="295" t="str">
        <f t="shared" si="47"/>
        <v/>
      </c>
      <c r="I358" s="295" t="str">
        <f t="shared" si="42"/>
        <v/>
      </c>
    </row>
    <row r="359" spans="2:9" ht="10.5" customHeight="1" x14ac:dyDescent="0.25">
      <c r="B359" s="293" t="str">
        <f t="shared" si="43"/>
        <v/>
      </c>
      <c r="C359" s="294" t="str">
        <f t="shared" si="44"/>
        <v/>
      </c>
      <c r="D359" s="295" t="str">
        <f t="shared" si="40"/>
        <v/>
      </c>
      <c r="E359" s="295" t="str">
        <f t="shared" si="41"/>
        <v/>
      </c>
      <c r="F359" s="295" t="str">
        <f t="shared" si="45"/>
        <v/>
      </c>
      <c r="G359" s="295" t="str">
        <f t="shared" si="46"/>
        <v/>
      </c>
      <c r="H359" s="295" t="str">
        <f t="shared" si="47"/>
        <v/>
      </c>
      <c r="I359" s="295" t="str">
        <f t="shared" si="42"/>
        <v/>
      </c>
    </row>
    <row r="360" spans="2:9" ht="10.5" customHeight="1" x14ac:dyDescent="0.25">
      <c r="B360" s="293" t="str">
        <f t="shared" si="43"/>
        <v/>
      </c>
      <c r="C360" s="294" t="str">
        <f t="shared" si="44"/>
        <v/>
      </c>
      <c r="D360" s="295" t="str">
        <f t="shared" si="40"/>
        <v/>
      </c>
      <c r="E360" s="295" t="str">
        <f t="shared" si="41"/>
        <v/>
      </c>
      <c r="F360" s="295" t="str">
        <f t="shared" si="45"/>
        <v/>
      </c>
      <c r="G360" s="295" t="str">
        <f t="shared" si="46"/>
        <v/>
      </c>
      <c r="H360" s="295" t="str">
        <f t="shared" si="47"/>
        <v/>
      </c>
      <c r="I360" s="295" t="str">
        <f t="shared" si="42"/>
        <v/>
      </c>
    </row>
    <row r="361" spans="2:9" ht="10.5" customHeight="1" x14ac:dyDescent="0.25">
      <c r="B361" s="293" t="str">
        <f t="shared" si="43"/>
        <v/>
      </c>
      <c r="C361" s="294" t="str">
        <f t="shared" si="44"/>
        <v/>
      </c>
      <c r="D361" s="295" t="str">
        <f t="shared" si="40"/>
        <v/>
      </c>
      <c r="E361" s="295" t="str">
        <f t="shared" si="41"/>
        <v/>
      </c>
      <c r="F361" s="295" t="str">
        <f t="shared" si="45"/>
        <v/>
      </c>
      <c r="G361" s="295" t="str">
        <f t="shared" si="46"/>
        <v/>
      </c>
      <c r="H361" s="295" t="str">
        <f t="shared" si="47"/>
        <v/>
      </c>
      <c r="I361" s="295" t="str">
        <f t="shared" si="42"/>
        <v/>
      </c>
    </row>
    <row r="362" spans="2:9" ht="10.5" customHeight="1" x14ac:dyDescent="0.25">
      <c r="B362" s="293" t="str">
        <f t="shared" si="43"/>
        <v/>
      </c>
      <c r="C362" s="294" t="str">
        <f t="shared" si="44"/>
        <v/>
      </c>
      <c r="D362" s="295" t="str">
        <f t="shared" si="40"/>
        <v/>
      </c>
      <c r="E362" s="295" t="str">
        <f t="shared" si="41"/>
        <v/>
      </c>
      <c r="F362" s="295" t="str">
        <f t="shared" si="45"/>
        <v/>
      </c>
      <c r="G362" s="295" t="str">
        <f t="shared" si="46"/>
        <v/>
      </c>
      <c r="H362" s="295" t="str">
        <f t="shared" si="47"/>
        <v/>
      </c>
      <c r="I362" s="295" t="str">
        <f t="shared" si="42"/>
        <v/>
      </c>
    </row>
    <row r="363" spans="2:9" ht="10.5" customHeight="1" x14ac:dyDescent="0.25">
      <c r="B363" s="293" t="str">
        <f t="shared" si="43"/>
        <v/>
      </c>
      <c r="C363" s="294" t="str">
        <f t="shared" si="44"/>
        <v/>
      </c>
      <c r="D363" s="295" t="str">
        <f t="shared" si="40"/>
        <v/>
      </c>
      <c r="E363" s="295" t="str">
        <f t="shared" si="41"/>
        <v/>
      </c>
      <c r="F363" s="295" t="str">
        <f t="shared" si="45"/>
        <v/>
      </c>
      <c r="G363" s="295" t="str">
        <f t="shared" si="46"/>
        <v/>
      </c>
      <c r="H363" s="295" t="str">
        <f t="shared" si="47"/>
        <v/>
      </c>
      <c r="I363" s="295" t="str">
        <f t="shared" si="42"/>
        <v/>
      </c>
    </row>
    <row r="364" spans="2:9" ht="10.5" customHeight="1" x14ac:dyDescent="0.25">
      <c r="B364" s="293" t="str">
        <f t="shared" si="43"/>
        <v/>
      </c>
      <c r="C364" s="294" t="str">
        <f t="shared" si="44"/>
        <v/>
      </c>
      <c r="D364" s="295" t="str">
        <f t="shared" si="40"/>
        <v/>
      </c>
      <c r="E364" s="295" t="str">
        <f t="shared" si="41"/>
        <v/>
      </c>
      <c r="F364" s="295" t="str">
        <f t="shared" si="45"/>
        <v/>
      </c>
      <c r="G364" s="295" t="str">
        <f t="shared" si="46"/>
        <v/>
      </c>
      <c r="H364" s="295" t="str">
        <f t="shared" si="47"/>
        <v/>
      </c>
      <c r="I364" s="295" t="str">
        <f t="shared" si="42"/>
        <v/>
      </c>
    </row>
    <row r="365" spans="2:9" ht="10.5" customHeight="1" x14ac:dyDescent="0.25">
      <c r="B365" s="293" t="str">
        <f t="shared" si="43"/>
        <v/>
      </c>
      <c r="C365" s="294" t="str">
        <f t="shared" si="44"/>
        <v/>
      </c>
      <c r="D365" s="295" t="str">
        <f t="shared" si="40"/>
        <v/>
      </c>
      <c r="E365" s="295" t="str">
        <f t="shared" si="41"/>
        <v/>
      </c>
      <c r="F365" s="295" t="str">
        <f t="shared" si="45"/>
        <v/>
      </c>
      <c r="G365" s="295" t="str">
        <f t="shared" si="46"/>
        <v/>
      </c>
      <c r="H365" s="295" t="str">
        <f t="shared" si="47"/>
        <v/>
      </c>
      <c r="I365" s="295" t="str">
        <f t="shared" si="42"/>
        <v/>
      </c>
    </row>
    <row r="366" spans="2:9" ht="10.5" customHeight="1" x14ac:dyDescent="0.25">
      <c r="B366" s="293" t="str">
        <f t="shared" si="43"/>
        <v/>
      </c>
      <c r="C366" s="294" t="str">
        <f t="shared" si="44"/>
        <v/>
      </c>
      <c r="D366" s="295" t="str">
        <f t="shared" si="40"/>
        <v/>
      </c>
      <c r="E366" s="295" t="str">
        <f t="shared" si="41"/>
        <v/>
      </c>
      <c r="F366" s="295" t="str">
        <f t="shared" si="45"/>
        <v/>
      </c>
      <c r="G366" s="295" t="str">
        <f t="shared" si="46"/>
        <v/>
      </c>
      <c r="H366" s="295" t="str">
        <f t="shared" si="47"/>
        <v/>
      </c>
      <c r="I366" s="295" t="str">
        <f t="shared" si="42"/>
        <v/>
      </c>
    </row>
    <row r="367" spans="2:9" ht="10.5" customHeight="1" x14ac:dyDescent="0.25">
      <c r="B367" s="293" t="str">
        <f t="shared" si="43"/>
        <v/>
      </c>
      <c r="C367" s="294" t="str">
        <f t="shared" si="44"/>
        <v/>
      </c>
      <c r="D367" s="295" t="str">
        <f t="shared" si="40"/>
        <v/>
      </c>
      <c r="E367" s="295" t="str">
        <f t="shared" si="41"/>
        <v/>
      </c>
      <c r="F367" s="295" t="str">
        <f t="shared" si="45"/>
        <v/>
      </c>
      <c r="G367" s="295" t="str">
        <f t="shared" si="46"/>
        <v/>
      </c>
      <c r="H367" s="295" t="str">
        <f t="shared" si="47"/>
        <v/>
      </c>
      <c r="I367" s="295" t="str">
        <f t="shared" si="42"/>
        <v/>
      </c>
    </row>
    <row r="368" spans="2:9" ht="10.5" customHeight="1" x14ac:dyDescent="0.25">
      <c r="B368" s="293" t="str">
        <f t="shared" si="43"/>
        <v/>
      </c>
      <c r="C368" s="294" t="str">
        <f t="shared" si="44"/>
        <v/>
      </c>
      <c r="D368" s="295" t="str">
        <f t="shared" si="40"/>
        <v/>
      </c>
      <c r="E368" s="295" t="str">
        <f t="shared" si="41"/>
        <v/>
      </c>
      <c r="F368" s="295" t="str">
        <f t="shared" si="45"/>
        <v/>
      </c>
      <c r="G368" s="295" t="str">
        <f t="shared" si="46"/>
        <v/>
      </c>
      <c r="H368" s="295" t="str">
        <f t="shared" si="47"/>
        <v/>
      </c>
      <c r="I368" s="295" t="str">
        <f t="shared" si="42"/>
        <v/>
      </c>
    </row>
    <row r="369" spans="2:9" ht="10.5" customHeight="1" x14ac:dyDescent="0.25">
      <c r="B369" s="293" t="str">
        <f t="shared" si="43"/>
        <v/>
      </c>
      <c r="C369" s="294" t="str">
        <f t="shared" si="44"/>
        <v/>
      </c>
      <c r="D369" s="295" t="str">
        <f t="shared" si="40"/>
        <v/>
      </c>
      <c r="E369" s="295" t="str">
        <f t="shared" si="41"/>
        <v/>
      </c>
      <c r="F369" s="295" t="str">
        <f t="shared" si="45"/>
        <v/>
      </c>
      <c r="G369" s="295" t="str">
        <f t="shared" si="46"/>
        <v/>
      </c>
      <c r="H369" s="295" t="str">
        <f t="shared" si="47"/>
        <v/>
      </c>
      <c r="I369" s="295" t="str">
        <f t="shared" si="42"/>
        <v/>
      </c>
    </row>
    <row r="370" spans="2:9" ht="10.5" customHeight="1" x14ac:dyDescent="0.25">
      <c r="B370" s="293" t="str">
        <f t="shared" si="43"/>
        <v/>
      </c>
      <c r="C370" s="294" t="str">
        <f t="shared" si="44"/>
        <v/>
      </c>
      <c r="D370" s="295" t="str">
        <f t="shared" si="40"/>
        <v/>
      </c>
      <c r="E370" s="295" t="str">
        <f t="shared" si="41"/>
        <v/>
      </c>
      <c r="F370" s="295" t="str">
        <f t="shared" si="45"/>
        <v/>
      </c>
      <c r="G370" s="295" t="str">
        <f t="shared" si="46"/>
        <v/>
      </c>
      <c r="H370" s="295" t="str">
        <f t="shared" si="47"/>
        <v/>
      </c>
      <c r="I370" s="295" t="str">
        <f t="shared" si="42"/>
        <v/>
      </c>
    </row>
    <row r="371" spans="2:9" ht="10.5" customHeight="1" x14ac:dyDescent="0.25">
      <c r="B371" s="293" t="str">
        <f t="shared" si="43"/>
        <v/>
      </c>
      <c r="C371" s="294" t="str">
        <f t="shared" si="44"/>
        <v/>
      </c>
      <c r="D371" s="295" t="str">
        <f t="shared" si="40"/>
        <v/>
      </c>
      <c r="E371" s="295" t="str">
        <f t="shared" si="41"/>
        <v/>
      </c>
      <c r="F371" s="295" t="str">
        <f t="shared" si="45"/>
        <v/>
      </c>
      <c r="G371" s="295" t="str">
        <f t="shared" si="46"/>
        <v/>
      </c>
      <c r="H371" s="295" t="str">
        <f t="shared" si="47"/>
        <v/>
      </c>
      <c r="I371" s="295" t="str">
        <f t="shared" si="42"/>
        <v/>
      </c>
    </row>
    <row r="372" spans="2:9" ht="10.5" customHeight="1" x14ac:dyDescent="0.25">
      <c r="B372" s="293" t="str">
        <f t="shared" si="43"/>
        <v/>
      </c>
      <c r="C372" s="294" t="str">
        <f t="shared" si="44"/>
        <v/>
      </c>
      <c r="D372" s="295" t="str">
        <f t="shared" si="40"/>
        <v/>
      </c>
      <c r="E372" s="295" t="str">
        <f t="shared" si="41"/>
        <v/>
      </c>
      <c r="F372" s="295" t="str">
        <f t="shared" si="45"/>
        <v/>
      </c>
      <c r="G372" s="295" t="str">
        <f t="shared" si="46"/>
        <v/>
      </c>
      <c r="H372" s="295" t="str">
        <f t="shared" si="47"/>
        <v/>
      </c>
      <c r="I372" s="295" t="str">
        <f t="shared" si="42"/>
        <v/>
      </c>
    </row>
    <row r="373" spans="2:9" ht="10.5" customHeight="1" x14ac:dyDescent="0.25">
      <c r="B373" s="293" t="str">
        <f t="shared" si="43"/>
        <v/>
      </c>
      <c r="C373" s="294" t="str">
        <f t="shared" si="44"/>
        <v/>
      </c>
      <c r="D373" s="295" t="str">
        <f t="shared" si="40"/>
        <v/>
      </c>
      <c r="E373" s="295" t="str">
        <f t="shared" si="41"/>
        <v/>
      </c>
      <c r="F373" s="295" t="str">
        <f t="shared" si="45"/>
        <v/>
      </c>
      <c r="G373" s="295" t="str">
        <f t="shared" si="46"/>
        <v/>
      </c>
      <c r="H373" s="295" t="str">
        <f t="shared" si="47"/>
        <v/>
      </c>
      <c r="I373" s="295" t="str">
        <f t="shared" si="42"/>
        <v/>
      </c>
    </row>
    <row r="374" spans="2:9" ht="10.5" customHeight="1" x14ac:dyDescent="0.25">
      <c r="B374" s="293" t="str">
        <f t="shared" si="43"/>
        <v/>
      </c>
      <c r="C374" s="294" t="str">
        <f t="shared" si="44"/>
        <v/>
      </c>
      <c r="D374" s="295" t="str">
        <f t="shared" si="40"/>
        <v/>
      </c>
      <c r="E374" s="295" t="str">
        <f t="shared" si="41"/>
        <v/>
      </c>
      <c r="F374" s="295" t="str">
        <f t="shared" si="45"/>
        <v/>
      </c>
      <c r="G374" s="295" t="str">
        <f t="shared" si="46"/>
        <v/>
      </c>
      <c r="H374" s="295" t="str">
        <f t="shared" si="47"/>
        <v/>
      </c>
      <c r="I374" s="295" t="str">
        <f t="shared" si="42"/>
        <v/>
      </c>
    </row>
    <row r="375" spans="2:9" ht="10.5" customHeight="1" x14ac:dyDescent="0.25">
      <c r="B375" s="293" t="str">
        <f t="shared" si="43"/>
        <v/>
      </c>
      <c r="C375" s="294" t="str">
        <f t="shared" si="44"/>
        <v/>
      </c>
      <c r="D375" s="295" t="str">
        <f t="shared" si="40"/>
        <v/>
      </c>
      <c r="E375" s="295" t="str">
        <f t="shared" si="41"/>
        <v/>
      </c>
      <c r="F375" s="295" t="str">
        <f t="shared" si="45"/>
        <v/>
      </c>
      <c r="G375" s="295" t="str">
        <f t="shared" si="46"/>
        <v/>
      </c>
      <c r="H375" s="295" t="str">
        <f t="shared" si="47"/>
        <v/>
      </c>
      <c r="I375" s="295" t="str">
        <f t="shared" si="42"/>
        <v/>
      </c>
    </row>
    <row r="376" spans="2:9" ht="10.5" customHeight="1" x14ac:dyDescent="0.25">
      <c r="B376" s="293" t="str">
        <f t="shared" si="43"/>
        <v/>
      </c>
      <c r="C376" s="294" t="str">
        <f t="shared" si="44"/>
        <v/>
      </c>
      <c r="D376" s="295" t="str">
        <f t="shared" si="40"/>
        <v/>
      </c>
      <c r="E376" s="295" t="str">
        <f t="shared" si="41"/>
        <v/>
      </c>
      <c r="F376" s="295" t="str">
        <f t="shared" si="45"/>
        <v/>
      </c>
      <c r="G376" s="295" t="str">
        <f t="shared" si="46"/>
        <v/>
      </c>
      <c r="H376" s="295" t="str">
        <f t="shared" si="47"/>
        <v/>
      </c>
      <c r="I376" s="295" t="str">
        <f t="shared" si="42"/>
        <v/>
      </c>
    </row>
    <row r="377" spans="2:9" ht="10.5" customHeight="1" x14ac:dyDescent="0.25">
      <c r="B377" s="293" t="str">
        <f t="shared" si="43"/>
        <v/>
      </c>
      <c r="C377" s="294" t="str">
        <f t="shared" si="44"/>
        <v/>
      </c>
      <c r="D377" s="295" t="str">
        <f t="shared" si="40"/>
        <v/>
      </c>
      <c r="E377" s="295" t="str">
        <f t="shared" si="41"/>
        <v/>
      </c>
      <c r="F377" s="295" t="str">
        <f t="shared" si="45"/>
        <v/>
      </c>
      <c r="G377" s="295" t="str">
        <f t="shared" si="46"/>
        <v/>
      </c>
      <c r="H377" s="295" t="str">
        <f t="shared" si="47"/>
        <v/>
      </c>
      <c r="I377" s="295" t="str">
        <f t="shared" si="42"/>
        <v/>
      </c>
    </row>
    <row r="378" spans="2:9" ht="10.5" customHeight="1" x14ac:dyDescent="0.25">
      <c r="B378" s="293" t="str">
        <f t="shared" si="43"/>
        <v/>
      </c>
      <c r="C378" s="294" t="str">
        <f t="shared" si="44"/>
        <v/>
      </c>
      <c r="D378" s="295" t="str">
        <f t="shared" si="40"/>
        <v/>
      </c>
      <c r="E378" s="295" t="str">
        <f t="shared" si="41"/>
        <v/>
      </c>
      <c r="F378" s="295" t="str">
        <f t="shared" si="45"/>
        <v/>
      </c>
      <c r="G378" s="295" t="str">
        <f t="shared" si="46"/>
        <v/>
      </c>
      <c r="H378" s="295" t="str">
        <f t="shared" si="47"/>
        <v/>
      </c>
      <c r="I378" s="295" t="str">
        <f t="shared" si="42"/>
        <v/>
      </c>
    </row>
    <row r="379" spans="2:9" ht="10.5" customHeight="1" x14ac:dyDescent="0.25">
      <c r="B379" s="293" t="str">
        <f t="shared" si="43"/>
        <v/>
      </c>
      <c r="C379" s="294" t="str">
        <f t="shared" si="44"/>
        <v/>
      </c>
      <c r="D379" s="295" t="str">
        <f t="shared" si="40"/>
        <v/>
      </c>
      <c r="E379" s="295" t="str">
        <f t="shared" si="41"/>
        <v/>
      </c>
      <c r="F379" s="295" t="str">
        <f t="shared" si="45"/>
        <v/>
      </c>
      <c r="G379" s="295" t="str">
        <f t="shared" si="46"/>
        <v/>
      </c>
      <c r="H379" s="295" t="str">
        <f t="shared" si="47"/>
        <v/>
      </c>
      <c r="I379" s="295" t="str">
        <f t="shared" si="42"/>
        <v/>
      </c>
    </row>
    <row r="380" spans="2:9" ht="10.5" customHeight="1" x14ac:dyDescent="0.25">
      <c r="B380" s="293" t="str">
        <f t="shared" si="43"/>
        <v/>
      </c>
      <c r="C380" s="294" t="str">
        <f t="shared" si="44"/>
        <v/>
      </c>
      <c r="D380" s="295" t="str">
        <f t="shared" si="40"/>
        <v/>
      </c>
      <c r="E380" s="295" t="str">
        <f t="shared" si="41"/>
        <v/>
      </c>
      <c r="F380" s="295" t="str">
        <f t="shared" si="45"/>
        <v/>
      </c>
      <c r="G380" s="295" t="str">
        <f t="shared" si="46"/>
        <v/>
      </c>
      <c r="H380" s="295" t="str">
        <f t="shared" si="47"/>
        <v/>
      </c>
      <c r="I380" s="295" t="str">
        <f t="shared" si="42"/>
        <v/>
      </c>
    </row>
    <row r="381" spans="2:9" ht="10.5" customHeight="1" x14ac:dyDescent="0.25">
      <c r="B381" s="293" t="str">
        <f t="shared" si="43"/>
        <v/>
      </c>
      <c r="C381" s="294" t="str">
        <f t="shared" si="44"/>
        <v/>
      </c>
      <c r="D381" s="295" t="str">
        <f t="shared" si="40"/>
        <v/>
      </c>
      <c r="E381" s="295" t="str">
        <f t="shared" si="41"/>
        <v/>
      </c>
      <c r="F381" s="295" t="str">
        <f t="shared" si="45"/>
        <v/>
      </c>
      <c r="G381" s="295" t="str">
        <f t="shared" si="46"/>
        <v/>
      </c>
      <c r="H381" s="295" t="str">
        <f t="shared" si="47"/>
        <v/>
      </c>
      <c r="I381" s="295" t="str">
        <f t="shared" si="42"/>
        <v/>
      </c>
    </row>
    <row r="382" spans="2:9" ht="10.5" customHeight="1" x14ac:dyDescent="0.25">
      <c r="B382" s="293" t="str">
        <f t="shared" si="43"/>
        <v/>
      </c>
      <c r="C382" s="294" t="str">
        <f t="shared" si="44"/>
        <v/>
      </c>
      <c r="D382" s="295" t="str">
        <f t="shared" si="40"/>
        <v/>
      </c>
      <c r="E382" s="295" t="str">
        <f t="shared" si="41"/>
        <v/>
      </c>
      <c r="F382" s="295" t="str">
        <f t="shared" si="45"/>
        <v/>
      </c>
      <c r="G382" s="295" t="str">
        <f t="shared" si="46"/>
        <v/>
      </c>
      <c r="H382" s="295" t="str">
        <f t="shared" si="47"/>
        <v/>
      </c>
      <c r="I382" s="295" t="str">
        <f t="shared" si="42"/>
        <v/>
      </c>
    </row>
    <row r="383" spans="2:9" ht="10.5" customHeight="1" x14ac:dyDescent="0.25">
      <c r="B383" s="293" t="str">
        <f t="shared" si="43"/>
        <v/>
      </c>
      <c r="C383" s="294" t="str">
        <f t="shared" si="44"/>
        <v/>
      </c>
      <c r="D383" s="295" t="str">
        <f t="shared" si="40"/>
        <v/>
      </c>
      <c r="E383" s="295" t="str">
        <f t="shared" si="41"/>
        <v/>
      </c>
      <c r="F383" s="295" t="str">
        <f t="shared" si="45"/>
        <v/>
      </c>
      <c r="G383" s="295" t="str">
        <f t="shared" si="46"/>
        <v/>
      </c>
      <c r="H383" s="295" t="str">
        <f t="shared" si="47"/>
        <v/>
      </c>
      <c r="I383" s="295" t="str">
        <f t="shared" si="42"/>
        <v/>
      </c>
    </row>
    <row r="384" spans="2:9" ht="10.5" customHeight="1" x14ac:dyDescent="0.25">
      <c r="B384" s="293" t="str">
        <f t="shared" si="43"/>
        <v/>
      </c>
      <c r="C384" s="294" t="str">
        <f t="shared" si="44"/>
        <v/>
      </c>
      <c r="D384" s="295" t="str">
        <f t="shared" si="40"/>
        <v/>
      </c>
      <c r="E384" s="295" t="str">
        <f t="shared" si="41"/>
        <v/>
      </c>
      <c r="F384" s="295" t="str">
        <f t="shared" si="45"/>
        <v/>
      </c>
      <c r="G384" s="295" t="str">
        <f t="shared" si="46"/>
        <v/>
      </c>
      <c r="H384" s="295" t="str">
        <f t="shared" si="47"/>
        <v/>
      </c>
      <c r="I384" s="295" t="str">
        <f t="shared" si="42"/>
        <v/>
      </c>
    </row>
    <row r="385" spans="2:9" ht="10.5" customHeight="1" x14ac:dyDescent="0.25">
      <c r="B385" s="293" t="str">
        <f t="shared" si="43"/>
        <v/>
      </c>
      <c r="C385" s="294" t="str">
        <f t="shared" si="44"/>
        <v/>
      </c>
      <c r="D385" s="295" t="str">
        <f t="shared" si="40"/>
        <v/>
      </c>
      <c r="E385" s="295" t="str">
        <f t="shared" si="41"/>
        <v/>
      </c>
      <c r="F385" s="295" t="str">
        <f t="shared" si="45"/>
        <v/>
      </c>
      <c r="G385" s="295" t="str">
        <f t="shared" si="46"/>
        <v/>
      </c>
      <c r="H385" s="295" t="str">
        <f t="shared" si="47"/>
        <v/>
      </c>
      <c r="I385" s="295" t="str">
        <f t="shared" si="42"/>
        <v/>
      </c>
    </row>
    <row r="386" spans="2:9" ht="10.5" customHeight="1" x14ac:dyDescent="0.25">
      <c r="B386" s="293" t="str">
        <f t="shared" si="43"/>
        <v/>
      </c>
      <c r="C386" s="294" t="str">
        <f t="shared" si="44"/>
        <v/>
      </c>
      <c r="D386" s="295" t="str">
        <f t="shared" si="40"/>
        <v/>
      </c>
      <c r="E386" s="295" t="str">
        <f t="shared" si="41"/>
        <v/>
      </c>
      <c r="F386" s="295" t="str">
        <f t="shared" si="45"/>
        <v/>
      </c>
      <c r="G386" s="295" t="str">
        <f t="shared" si="46"/>
        <v/>
      </c>
      <c r="H386" s="295" t="str">
        <f t="shared" si="47"/>
        <v/>
      </c>
      <c r="I386" s="295" t="str">
        <f t="shared" si="42"/>
        <v/>
      </c>
    </row>
    <row r="387" spans="2:9" ht="10.5" customHeight="1" x14ac:dyDescent="0.25">
      <c r="B387" s="293" t="str">
        <f t="shared" si="43"/>
        <v/>
      </c>
      <c r="C387" s="294" t="str">
        <f t="shared" si="44"/>
        <v/>
      </c>
      <c r="D387" s="295" t="str">
        <f t="shared" si="40"/>
        <v/>
      </c>
      <c r="E387" s="295" t="str">
        <f t="shared" si="41"/>
        <v/>
      </c>
      <c r="F387" s="295" t="str">
        <f t="shared" si="45"/>
        <v/>
      </c>
      <c r="G387" s="295" t="str">
        <f t="shared" si="46"/>
        <v/>
      </c>
      <c r="H387" s="295" t="str">
        <f t="shared" si="47"/>
        <v/>
      </c>
      <c r="I387" s="295" t="str">
        <f t="shared" si="42"/>
        <v/>
      </c>
    </row>
    <row r="388" spans="2:9" ht="10.5" customHeight="1" x14ac:dyDescent="0.25">
      <c r="B388" s="293" t="str">
        <f t="shared" si="43"/>
        <v/>
      </c>
      <c r="C388" s="294" t="str">
        <f t="shared" si="44"/>
        <v/>
      </c>
      <c r="D388" s="295" t="str">
        <f t="shared" si="40"/>
        <v/>
      </c>
      <c r="E388" s="295" t="str">
        <f t="shared" si="41"/>
        <v/>
      </c>
      <c r="F388" s="295" t="str">
        <f t="shared" si="45"/>
        <v/>
      </c>
      <c r="G388" s="295" t="str">
        <f t="shared" si="46"/>
        <v/>
      </c>
      <c r="H388" s="295" t="str">
        <f t="shared" si="47"/>
        <v/>
      </c>
      <c r="I388" s="295" t="str">
        <f t="shared" si="42"/>
        <v/>
      </c>
    </row>
    <row r="389" spans="2:9" ht="10.5" customHeight="1" x14ac:dyDescent="0.25">
      <c r="B389" s="293" t="str">
        <f t="shared" si="43"/>
        <v/>
      </c>
      <c r="C389" s="294" t="str">
        <f t="shared" si="44"/>
        <v/>
      </c>
      <c r="D389" s="295" t="str">
        <f t="shared" si="40"/>
        <v/>
      </c>
      <c r="E389" s="295" t="str">
        <f t="shared" si="41"/>
        <v/>
      </c>
      <c r="F389" s="295" t="str">
        <f t="shared" si="45"/>
        <v/>
      </c>
      <c r="G389" s="295" t="str">
        <f t="shared" si="46"/>
        <v/>
      </c>
      <c r="H389" s="295" t="str">
        <f t="shared" si="47"/>
        <v/>
      </c>
      <c r="I389" s="295" t="str">
        <f t="shared" si="42"/>
        <v/>
      </c>
    </row>
    <row r="390" spans="2:9" ht="10.5" customHeight="1" x14ac:dyDescent="0.25">
      <c r="B390" s="293" t="str">
        <f t="shared" si="43"/>
        <v/>
      </c>
      <c r="C390" s="294" t="str">
        <f t="shared" si="44"/>
        <v/>
      </c>
      <c r="D390" s="295" t="str">
        <f t="shared" si="40"/>
        <v/>
      </c>
      <c r="E390" s="295" t="str">
        <f t="shared" si="41"/>
        <v/>
      </c>
      <c r="F390" s="295" t="str">
        <f t="shared" si="45"/>
        <v/>
      </c>
      <c r="G390" s="295" t="str">
        <f t="shared" si="46"/>
        <v/>
      </c>
      <c r="H390" s="295" t="str">
        <f t="shared" si="47"/>
        <v/>
      </c>
      <c r="I390" s="295" t="str">
        <f t="shared" si="42"/>
        <v/>
      </c>
    </row>
    <row r="391" spans="2:9" ht="10.5" customHeight="1" x14ac:dyDescent="0.25">
      <c r="B391" s="293" t="str">
        <f t="shared" si="43"/>
        <v/>
      </c>
      <c r="C391" s="294" t="str">
        <f t="shared" si="44"/>
        <v/>
      </c>
      <c r="D391" s="295" t="str">
        <f t="shared" si="40"/>
        <v/>
      </c>
      <c r="E391" s="295" t="str">
        <f t="shared" si="41"/>
        <v/>
      </c>
      <c r="F391" s="295" t="str">
        <f t="shared" si="45"/>
        <v/>
      </c>
      <c r="G391" s="295" t="str">
        <f t="shared" si="46"/>
        <v/>
      </c>
      <c r="H391" s="295" t="str">
        <f t="shared" si="47"/>
        <v/>
      </c>
      <c r="I391" s="295" t="str">
        <f t="shared" si="42"/>
        <v/>
      </c>
    </row>
    <row r="392" spans="2:9" ht="10.5" customHeight="1" x14ac:dyDescent="0.25">
      <c r="B392" s="293" t="str">
        <f t="shared" si="43"/>
        <v/>
      </c>
      <c r="C392" s="294" t="str">
        <f t="shared" si="44"/>
        <v/>
      </c>
      <c r="D392" s="295" t="str">
        <f t="shared" si="40"/>
        <v/>
      </c>
      <c r="E392" s="295" t="str">
        <f t="shared" si="41"/>
        <v/>
      </c>
      <c r="F392" s="295" t="str">
        <f t="shared" si="45"/>
        <v/>
      </c>
      <c r="G392" s="295" t="str">
        <f t="shared" si="46"/>
        <v/>
      </c>
      <c r="H392" s="295" t="str">
        <f t="shared" si="47"/>
        <v/>
      </c>
      <c r="I392" s="295" t="str">
        <f t="shared" si="42"/>
        <v/>
      </c>
    </row>
    <row r="393" spans="2:9" ht="10.5" customHeight="1" x14ac:dyDescent="0.25">
      <c r="B393" s="293" t="str">
        <f t="shared" si="43"/>
        <v/>
      </c>
      <c r="C393" s="294" t="str">
        <f t="shared" si="44"/>
        <v/>
      </c>
      <c r="D393" s="295" t="str">
        <f t="shared" si="40"/>
        <v/>
      </c>
      <c r="E393" s="295" t="str">
        <f t="shared" si="41"/>
        <v/>
      </c>
      <c r="F393" s="295" t="str">
        <f t="shared" si="45"/>
        <v/>
      </c>
      <c r="G393" s="295" t="str">
        <f t="shared" si="46"/>
        <v/>
      </c>
      <c r="H393" s="295" t="str">
        <f t="shared" si="47"/>
        <v/>
      </c>
      <c r="I393" s="295" t="str">
        <f t="shared" si="42"/>
        <v/>
      </c>
    </row>
    <row r="394" spans="2:9" ht="10.5" customHeight="1" x14ac:dyDescent="0.25">
      <c r="B394" s="293" t="str">
        <f t="shared" si="43"/>
        <v/>
      </c>
      <c r="C394" s="294" t="str">
        <f t="shared" si="44"/>
        <v/>
      </c>
      <c r="D394" s="295" t="str">
        <f t="shared" si="40"/>
        <v/>
      </c>
      <c r="E394" s="295" t="str">
        <f t="shared" si="41"/>
        <v/>
      </c>
      <c r="F394" s="295" t="str">
        <f t="shared" si="45"/>
        <v/>
      </c>
      <c r="G394" s="295" t="str">
        <f t="shared" si="46"/>
        <v/>
      </c>
      <c r="H394" s="295" t="str">
        <f t="shared" si="47"/>
        <v/>
      </c>
      <c r="I394" s="295" t="str">
        <f t="shared" si="42"/>
        <v/>
      </c>
    </row>
    <row r="395" spans="2:9" ht="10.5" customHeight="1" x14ac:dyDescent="0.25">
      <c r="B395" s="293" t="str">
        <f t="shared" si="43"/>
        <v/>
      </c>
      <c r="C395" s="294" t="str">
        <f t="shared" si="44"/>
        <v/>
      </c>
      <c r="D395" s="295" t="str">
        <f t="shared" si="40"/>
        <v/>
      </c>
      <c r="E395" s="295" t="str">
        <f t="shared" si="41"/>
        <v/>
      </c>
      <c r="F395" s="295" t="str">
        <f t="shared" si="45"/>
        <v/>
      </c>
      <c r="G395" s="295" t="str">
        <f t="shared" si="46"/>
        <v/>
      </c>
      <c r="H395" s="295" t="str">
        <f t="shared" si="47"/>
        <v/>
      </c>
      <c r="I395" s="295" t="str">
        <f t="shared" si="42"/>
        <v/>
      </c>
    </row>
    <row r="396" spans="2:9" ht="10.5" customHeight="1" x14ac:dyDescent="0.25">
      <c r="B396" s="293" t="str">
        <f t="shared" si="43"/>
        <v/>
      </c>
      <c r="C396" s="294" t="str">
        <f t="shared" si="44"/>
        <v/>
      </c>
      <c r="D396" s="295" t="str">
        <f t="shared" si="40"/>
        <v/>
      </c>
      <c r="E396" s="295" t="str">
        <f t="shared" si="41"/>
        <v/>
      </c>
      <c r="F396" s="295" t="str">
        <f t="shared" si="45"/>
        <v/>
      </c>
      <c r="G396" s="295" t="str">
        <f t="shared" si="46"/>
        <v/>
      </c>
      <c r="H396" s="295" t="str">
        <f t="shared" si="47"/>
        <v/>
      </c>
      <c r="I396" s="295" t="str">
        <f t="shared" si="42"/>
        <v/>
      </c>
    </row>
    <row r="397" spans="2:9" ht="10.5" customHeight="1" x14ac:dyDescent="0.25">
      <c r="B397" s="293" t="str">
        <f t="shared" si="43"/>
        <v/>
      </c>
      <c r="C397" s="294" t="str">
        <f t="shared" si="44"/>
        <v/>
      </c>
      <c r="D397" s="295" t="str">
        <f t="shared" si="40"/>
        <v/>
      </c>
      <c r="E397" s="295" t="str">
        <f t="shared" si="41"/>
        <v/>
      </c>
      <c r="F397" s="295" t="str">
        <f t="shared" si="45"/>
        <v/>
      </c>
      <c r="G397" s="295" t="str">
        <f t="shared" si="46"/>
        <v/>
      </c>
      <c r="H397" s="295" t="str">
        <f t="shared" si="47"/>
        <v/>
      </c>
      <c r="I397" s="295" t="str">
        <f t="shared" si="42"/>
        <v/>
      </c>
    </row>
    <row r="398" spans="2:9" ht="10.5" customHeight="1" x14ac:dyDescent="0.25">
      <c r="B398" s="293" t="str">
        <f t="shared" si="43"/>
        <v/>
      </c>
      <c r="C398" s="294" t="str">
        <f t="shared" si="44"/>
        <v/>
      </c>
      <c r="D398" s="295" t="str">
        <f t="shared" si="40"/>
        <v/>
      </c>
      <c r="E398" s="295" t="str">
        <f t="shared" si="41"/>
        <v/>
      </c>
      <c r="F398" s="295" t="str">
        <f t="shared" si="45"/>
        <v/>
      </c>
      <c r="G398" s="295" t="str">
        <f t="shared" si="46"/>
        <v/>
      </c>
      <c r="H398" s="295" t="str">
        <f t="shared" si="47"/>
        <v/>
      </c>
      <c r="I398" s="295" t="str">
        <f t="shared" si="42"/>
        <v/>
      </c>
    </row>
    <row r="399" spans="2:9" ht="10.5" customHeight="1" x14ac:dyDescent="0.25">
      <c r="B399" s="293" t="str">
        <f t="shared" si="43"/>
        <v/>
      </c>
      <c r="C399" s="294" t="str">
        <f t="shared" si="44"/>
        <v/>
      </c>
      <c r="D399" s="295" t="str">
        <f t="shared" si="40"/>
        <v/>
      </c>
      <c r="E399" s="295" t="str">
        <f t="shared" si="41"/>
        <v/>
      </c>
      <c r="F399" s="295" t="str">
        <f t="shared" si="45"/>
        <v/>
      </c>
      <c r="G399" s="295" t="str">
        <f t="shared" si="46"/>
        <v/>
      </c>
      <c r="H399" s="295" t="str">
        <f t="shared" si="47"/>
        <v/>
      </c>
      <c r="I399" s="295" t="str">
        <f t="shared" si="42"/>
        <v/>
      </c>
    </row>
    <row r="400" spans="2:9" ht="10.5" customHeight="1" x14ac:dyDescent="0.25">
      <c r="B400" s="293" t="str">
        <f t="shared" si="43"/>
        <v/>
      </c>
      <c r="C400" s="294" t="str">
        <f t="shared" si="44"/>
        <v/>
      </c>
      <c r="D400" s="295" t="str">
        <f t="shared" si="40"/>
        <v/>
      </c>
      <c r="E400" s="295" t="str">
        <f t="shared" si="41"/>
        <v/>
      </c>
      <c r="F400" s="295" t="str">
        <f t="shared" si="45"/>
        <v/>
      </c>
      <c r="G400" s="295" t="str">
        <f t="shared" si="46"/>
        <v/>
      </c>
      <c r="H400" s="295" t="str">
        <f t="shared" si="47"/>
        <v/>
      </c>
      <c r="I400" s="295" t="str">
        <f t="shared" si="42"/>
        <v/>
      </c>
    </row>
    <row r="401" spans="2:9" ht="10.5" customHeight="1" x14ac:dyDescent="0.25">
      <c r="B401" s="293" t="str">
        <f t="shared" si="43"/>
        <v/>
      </c>
      <c r="C401" s="294" t="str">
        <f t="shared" si="44"/>
        <v/>
      </c>
      <c r="D401" s="295" t="str">
        <f t="shared" si="40"/>
        <v/>
      </c>
      <c r="E401" s="295" t="str">
        <f t="shared" si="41"/>
        <v/>
      </c>
      <c r="F401" s="295" t="str">
        <f t="shared" si="45"/>
        <v/>
      </c>
      <c r="G401" s="295" t="str">
        <f t="shared" si="46"/>
        <v/>
      </c>
      <c r="H401" s="295" t="str">
        <f t="shared" si="47"/>
        <v/>
      </c>
      <c r="I401" s="295" t="str">
        <f t="shared" si="42"/>
        <v/>
      </c>
    </row>
    <row r="402" spans="2:9" ht="10.5" customHeight="1" x14ac:dyDescent="0.25">
      <c r="B402" s="293" t="str">
        <f t="shared" si="43"/>
        <v/>
      </c>
      <c r="C402" s="294" t="str">
        <f t="shared" si="44"/>
        <v/>
      </c>
      <c r="D402" s="295" t="str">
        <f t="shared" si="40"/>
        <v/>
      </c>
      <c r="E402" s="295" t="str">
        <f t="shared" si="41"/>
        <v/>
      </c>
      <c r="F402" s="295" t="str">
        <f t="shared" si="45"/>
        <v/>
      </c>
      <c r="G402" s="295" t="str">
        <f t="shared" si="46"/>
        <v/>
      </c>
      <c r="H402" s="295" t="str">
        <f t="shared" si="47"/>
        <v/>
      </c>
      <c r="I402" s="295" t="str">
        <f t="shared" si="42"/>
        <v/>
      </c>
    </row>
    <row r="403" spans="2:9" ht="10.5" customHeight="1" x14ac:dyDescent="0.25">
      <c r="B403" s="293" t="str">
        <f t="shared" si="43"/>
        <v/>
      </c>
      <c r="C403" s="294" t="str">
        <f t="shared" si="44"/>
        <v/>
      </c>
      <c r="D403" s="295" t="str">
        <f t="shared" si="40"/>
        <v/>
      </c>
      <c r="E403" s="295" t="str">
        <f t="shared" si="41"/>
        <v/>
      </c>
      <c r="F403" s="295" t="str">
        <f t="shared" si="45"/>
        <v/>
      </c>
      <c r="G403" s="295" t="str">
        <f t="shared" si="46"/>
        <v/>
      </c>
      <c r="H403" s="295" t="str">
        <f t="shared" si="47"/>
        <v/>
      </c>
      <c r="I403" s="295" t="str">
        <f t="shared" si="42"/>
        <v/>
      </c>
    </row>
    <row r="404" spans="2:9" ht="10.5" customHeight="1" x14ac:dyDescent="0.25">
      <c r="B404" s="293" t="str">
        <f t="shared" si="43"/>
        <v/>
      </c>
      <c r="C404" s="294" t="str">
        <f t="shared" si="44"/>
        <v/>
      </c>
      <c r="D404" s="295" t="str">
        <f t="shared" si="40"/>
        <v/>
      </c>
      <c r="E404" s="295" t="str">
        <f t="shared" si="41"/>
        <v/>
      </c>
      <c r="F404" s="295" t="str">
        <f t="shared" si="45"/>
        <v/>
      </c>
      <c r="G404" s="295" t="str">
        <f t="shared" si="46"/>
        <v/>
      </c>
      <c r="H404" s="295" t="str">
        <f t="shared" si="47"/>
        <v/>
      </c>
      <c r="I404" s="295" t="str">
        <f t="shared" si="42"/>
        <v/>
      </c>
    </row>
    <row r="405" spans="2:9" ht="10.5" customHeight="1" x14ac:dyDescent="0.25">
      <c r="B405" s="293" t="str">
        <f t="shared" si="43"/>
        <v/>
      </c>
      <c r="C405" s="294" t="str">
        <f t="shared" si="44"/>
        <v/>
      </c>
      <c r="D405" s="295" t="str">
        <f t="shared" si="40"/>
        <v/>
      </c>
      <c r="E405" s="295" t="str">
        <f t="shared" si="41"/>
        <v/>
      </c>
      <c r="F405" s="295" t="str">
        <f t="shared" si="45"/>
        <v/>
      </c>
      <c r="G405" s="295" t="str">
        <f t="shared" si="46"/>
        <v/>
      </c>
      <c r="H405" s="295" t="str">
        <f t="shared" si="47"/>
        <v/>
      </c>
      <c r="I405" s="295" t="str">
        <f t="shared" si="42"/>
        <v/>
      </c>
    </row>
    <row r="406" spans="2:9" ht="10.5" customHeight="1" x14ac:dyDescent="0.25">
      <c r="B406" s="293" t="str">
        <f t="shared" si="43"/>
        <v/>
      </c>
      <c r="C406" s="294" t="str">
        <f t="shared" si="44"/>
        <v/>
      </c>
      <c r="D406" s="295" t="str">
        <f t="shared" si="40"/>
        <v/>
      </c>
      <c r="E406" s="295" t="str">
        <f t="shared" si="41"/>
        <v/>
      </c>
      <c r="F406" s="295" t="str">
        <f t="shared" si="45"/>
        <v/>
      </c>
      <c r="G406" s="295" t="str">
        <f t="shared" si="46"/>
        <v/>
      </c>
      <c r="H406" s="295" t="str">
        <f t="shared" si="47"/>
        <v/>
      </c>
      <c r="I406" s="295" t="str">
        <f t="shared" si="42"/>
        <v/>
      </c>
    </row>
    <row r="407" spans="2:9" ht="10.5" customHeight="1" x14ac:dyDescent="0.25">
      <c r="B407" s="293" t="str">
        <f t="shared" si="43"/>
        <v/>
      </c>
      <c r="C407" s="294" t="str">
        <f t="shared" si="44"/>
        <v/>
      </c>
      <c r="D407" s="295" t="str">
        <f t="shared" si="40"/>
        <v/>
      </c>
      <c r="E407" s="295" t="str">
        <f t="shared" si="41"/>
        <v/>
      </c>
      <c r="F407" s="295" t="str">
        <f t="shared" si="45"/>
        <v/>
      </c>
      <c r="G407" s="295" t="str">
        <f t="shared" si="46"/>
        <v/>
      </c>
      <c r="H407" s="295" t="str">
        <f t="shared" si="47"/>
        <v/>
      </c>
      <c r="I407" s="295" t="str">
        <f t="shared" si="42"/>
        <v/>
      </c>
    </row>
    <row r="408" spans="2:9" ht="10.5" customHeight="1" x14ac:dyDescent="0.25">
      <c r="B408" s="293" t="str">
        <f t="shared" si="43"/>
        <v/>
      </c>
      <c r="C408" s="294" t="str">
        <f t="shared" si="44"/>
        <v/>
      </c>
      <c r="D408" s="295" t="str">
        <f t="shared" si="40"/>
        <v/>
      </c>
      <c r="E408" s="295" t="str">
        <f t="shared" si="41"/>
        <v/>
      </c>
      <c r="F408" s="295" t="str">
        <f t="shared" si="45"/>
        <v/>
      </c>
      <c r="G408" s="295" t="str">
        <f t="shared" si="46"/>
        <v/>
      </c>
      <c r="H408" s="295" t="str">
        <f t="shared" si="47"/>
        <v/>
      </c>
      <c r="I408" s="295" t="str">
        <f t="shared" si="42"/>
        <v/>
      </c>
    </row>
    <row r="409" spans="2:9" ht="10.5" customHeight="1" x14ac:dyDescent="0.25">
      <c r="B409" s="293" t="str">
        <f t="shared" si="43"/>
        <v/>
      </c>
      <c r="C409" s="294" t="str">
        <f t="shared" si="44"/>
        <v/>
      </c>
      <c r="D409" s="295" t="str">
        <f t="shared" si="40"/>
        <v/>
      </c>
      <c r="E409" s="295" t="str">
        <f t="shared" si="41"/>
        <v/>
      </c>
      <c r="F409" s="295" t="str">
        <f t="shared" si="45"/>
        <v/>
      </c>
      <c r="G409" s="295" t="str">
        <f t="shared" si="46"/>
        <v/>
      </c>
      <c r="H409" s="295" t="str">
        <f t="shared" si="47"/>
        <v/>
      </c>
      <c r="I409" s="295" t="str">
        <f t="shared" si="42"/>
        <v/>
      </c>
    </row>
    <row r="410" spans="2:9" ht="10.5" customHeight="1" x14ac:dyDescent="0.25">
      <c r="B410" s="293" t="str">
        <f t="shared" si="43"/>
        <v/>
      </c>
      <c r="C410" s="294" t="str">
        <f t="shared" si="44"/>
        <v/>
      </c>
      <c r="D410" s="295" t="str">
        <f t="shared" si="40"/>
        <v/>
      </c>
      <c r="E410" s="295" t="str">
        <f t="shared" si="41"/>
        <v/>
      </c>
      <c r="F410" s="295" t="str">
        <f t="shared" si="45"/>
        <v/>
      </c>
      <c r="G410" s="295" t="str">
        <f t="shared" si="46"/>
        <v/>
      </c>
      <c r="H410" s="295" t="str">
        <f t="shared" si="47"/>
        <v/>
      </c>
      <c r="I410" s="295" t="str">
        <f t="shared" si="42"/>
        <v/>
      </c>
    </row>
    <row r="411" spans="2:9" ht="10.5" customHeight="1" x14ac:dyDescent="0.25">
      <c r="B411" s="293" t="str">
        <f t="shared" si="43"/>
        <v/>
      </c>
      <c r="C411" s="294" t="str">
        <f t="shared" si="44"/>
        <v/>
      </c>
      <c r="D411" s="295" t="str">
        <f t="shared" si="40"/>
        <v/>
      </c>
      <c r="E411" s="295" t="str">
        <f t="shared" si="41"/>
        <v/>
      </c>
      <c r="F411" s="295" t="str">
        <f t="shared" si="45"/>
        <v/>
      </c>
      <c r="G411" s="295" t="str">
        <f t="shared" si="46"/>
        <v/>
      </c>
      <c r="H411" s="295" t="str">
        <f t="shared" si="47"/>
        <v/>
      </c>
      <c r="I411" s="295" t="str">
        <f t="shared" si="42"/>
        <v/>
      </c>
    </row>
    <row r="412" spans="2:9" ht="10.5" customHeight="1" x14ac:dyDescent="0.25">
      <c r="B412" s="293" t="str">
        <f t="shared" si="43"/>
        <v/>
      </c>
      <c r="C412" s="294" t="str">
        <f t="shared" si="44"/>
        <v/>
      </c>
      <c r="D412" s="295" t="str">
        <f t="shared" si="40"/>
        <v/>
      </c>
      <c r="E412" s="295" t="str">
        <f t="shared" si="41"/>
        <v/>
      </c>
      <c r="F412" s="295" t="str">
        <f t="shared" si="45"/>
        <v/>
      </c>
      <c r="G412" s="295" t="str">
        <f t="shared" si="46"/>
        <v/>
      </c>
      <c r="H412" s="295" t="str">
        <f t="shared" si="47"/>
        <v/>
      </c>
      <c r="I412" s="295" t="str">
        <f t="shared" si="42"/>
        <v/>
      </c>
    </row>
    <row r="413" spans="2:9" ht="10.5" customHeight="1" x14ac:dyDescent="0.25">
      <c r="B413" s="293" t="str">
        <f t="shared" si="43"/>
        <v/>
      </c>
      <c r="C413" s="294" t="str">
        <f t="shared" si="44"/>
        <v/>
      </c>
      <c r="D413" s="295" t="str">
        <f t="shared" si="40"/>
        <v/>
      </c>
      <c r="E413" s="295" t="str">
        <f t="shared" si="41"/>
        <v/>
      </c>
      <c r="F413" s="295" t="str">
        <f t="shared" si="45"/>
        <v/>
      </c>
      <c r="G413" s="295" t="str">
        <f t="shared" si="46"/>
        <v/>
      </c>
      <c r="H413" s="295" t="str">
        <f t="shared" si="47"/>
        <v/>
      </c>
      <c r="I413" s="295" t="str">
        <f t="shared" si="42"/>
        <v/>
      </c>
    </row>
    <row r="414" spans="2:9" ht="10.5" customHeight="1" x14ac:dyDescent="0.25">
      <c r="B414" s="293" t="str">
        <f t="shared" si="43"/>
        <v/>
      </c>
      <c r="C414" s="294" t="str">
        <f t="shared" si="44"/>
        <v/>
      </c>
      <c r="D414" s="295" t="str">
        <f t="shared" ref="D414:D477" si="48">IF(B414&lt;&gt;"",mensualitehorsassurance,"")</f>
        <v/>
      </c>
      <c r="E414" s="295" t="str">
        <f t="shared" ref="E414:E477" si="49">IF(B414&lt;&gt;"",mensualiteassurance,"")</f>
        <v/>
      </c>
      <c r="F414" s="295" t="str">
        <f t="shared" si="45"/>
        <v/>
      </c>
      <c r="G414" s="295" t="str">
        <f t="shared" si="46"/>
        <v/>
      </c>
      <c r="H414" s="295" t="str">
        <f t="shared" si="47"/>
        <v/>
      </c>
      <c r="I414" s="295" t="str">
        <f t="shared" ref="I414:I477" si="50">IF(F414&lt;&gt;"",pret-H414,"")</f>
        <v/>
      </c>
    </row>
    <row r="415" spans="2:9" ht="10.5" customHeight="1" x14ac:dyDescent="0.25">
      <c r="B415" s="293" t="str">
        <f t="shared" ref="B415:B478" si="51">IF(test="OK",IF(B414&lt;dureepret,B414+1,""),"")</f>
        <v/>
      </c>
      <c r="C415" s="294" t="str">
        <f t="shared" ref="C415:C478" si="52">IF(B415&lt;&gt;"",DATE(YEAR(C414),MONTH(C414)+1,DAY(C414)),"")</f>
        <v/>
      </c>
      <c r="D415" s="295" t="str">
        <f t="shared" si="48"/>
        <v/>
      </c>
      <c r="E415" s="295" t="str">
        <f t="shared" si="49"/>
        <v/>
      </c>
      <c r="F415" s="295" t="str">
        <f t="shared" ref="F415:F478" si="53">IF(B415&lt;&gt;"",I414*tauxinteret/100/12,"")</f>
        <v/>
      </c>
      <c r="G415" s="295" t="str">
        <f t="shared" ref="G415:G478" si="54">IF(D415&lt;&gt;"",G414+F415,"")</f>
        <v/>
      </c>
      <c r="H415" s="295" t="str">
        <f t="shared" ref="H415:H478" si="55">IF(E415&lt;&gt;"",D415-F415+H414,"")</f>
        <v/>
      </c>
      <c r="I415" s="295" t="str">
        <f t="shared" si="50"/>
        <v/>
      </c>
    </row>
    <row r="416" spans="2:9" ht="10.5" customHeight="1" x14ac:dyDescent="0.25">
      <c r="B416" s="293" t="str">
        <f t="shared" si="51"/>
        <v/>
      </c>
      <c r="C416" s="294" t="str">
        <f t="shared" si="52"/>
        <v/>
      </c>
      <c r="D416" s="295" t="str">
        <f t="shared" si="48"/>
        <v/>
      </c>
      <c r="E416" s="295" t="str">
        <f t="shared" si="49"/>
        <v/>
      </c>
      <c r="F416" s="295" t="str">
        <f t="shared" si="53"/>
        <v/>
      </c>
      <c r="G416" s="295" t="str">
        <f t="shared" si="54"/>
        <v/>
      </c>
      <c r="H416" s="295" t="str">
        <f t="shared" si="55"/>
        <v/>
      </c>
      <c r="I416" s="295" t="str">
        <f t="shared" si="50"/>
        <v/>
      </c>
    </row>
    <row r="417" spans="2:9" ht="10.5" customHeight="1" x14ac:dyDescent="0.25">
      <c r="B417" s="293" t="str">
        <f t="shared" si="51"/>
        <v/>
      </c>
      <c r="C417" s="294" t="str">
        <f t="shared" si="52"/>
        <v/>
      </c>
      <c r="D417" s="295" t="str">
        <f t="shared" si="48"/>
        <v/>
      </c>
      <c r="E417" s="295" t="str">
        <f t="shared" si="49"/>
        <v/>
      </c>
      <c r="F417" s="295" t="str">
        <f t="shared" si="53"/>
        <v/>
      </c>
      <c r="G417" s="295" t="str">
        <f t="shared" si="54"/>
        <v/>
      </c>
      <c r="H417" s="295" t="str">
        <f t="shared" si="55"/>
        <v/>
      </c>
      <c r="I417" s="295" t="str">
        <f t="shared" si="50"/>
        <v/>
      </c>
    </row>
    <row r="418" spans="2:9" ht="10.5" customHeight="1" x14ac:dyDescent="0.25">
      <c r="B418" s="293" t="str">
        <f t="shared" si="51"/>
        <v/>
      </c>
      <c r="C418" s="294" t="str">
        <f t="shared" si="52"/>
        <v/>
      </c>
      <c r="D418" s="295" t="str">
        <f t="shared" si="48"/>
        <v/>
      </c>
      <c r="E418" s="295" t="str">
        <f t="shared" si="49"/>
        <v/>
      </c>
      <c r="F418" s="295" t="str">
        <f t="shared" si="53"/>
        <v/>
      </c>
      <c r="G418" s="295" t="str">
        <f t="shared" si="54"/>
        <v/>
      </c>
      <c r="H418" s="295" t="str">
        <f t="shared" si="55"/>
        <v/>
      </c>
      <c r="I418" s="295" t="str">
        <f t="shared" si="50"/>
        <v/>
      </c>
    </row>
    <row r="419" spans="2:9" ht="10.5" customHeight="1" x14ac:dyDescent="0.25">
      <c r="B419" s="293" t="str">
        <f t="shared" si="51"/>
        <v/>
      </c>
      <c r="C419" s="294" t="str">
        <f t="shared" si="52"/>
        <v/>
      </c>
      <c r="D419" s="295" t="str">
        <f t="shared" si="48"/>
        <v/>
      </c>
      <c r="E419" s="295" t="str">
        <f t="shared" si="49"/>
        <v/>
      </c>
      <c r="F419" s="295" t="str">
        <f t="shared" si="53"/>
        <v/>
      </c>
      <c r="G419" s="295" t="str">
        <f t="shared" si="54"/>
        <v/>
      </c>
      <c r="H419" s="295" t="str">
        <f t="shared" si="55"/>
        <v/>
      </c>
      <c r="I419" s="295" t="str">
        <f t="shared" si="50"/>
        <v/>
      </c>
    </row>
    <row r="420" spans="2:9" ht="10.5" customHeight="1" x14ac:dyDescent="0.25">
      <c r="B420" s="293" t="str">
        <f t="shared" si="51"/>
        <v/>
      </c>
      <c r="C420" s="294" t="str">
        <f t="shared" si="52"/>
        <v/>
      </c>
      <c r="D420" s="295" t="str">
        <f t="shared" si="48"/>
        <v/>
      </c>
      <c r="E420" s="295" t="str">
        <f t="shared" si="49"/>
        <v/>
      </c>
      <c r="F420" s="295" t="str">
        <f t="shared" si="53"/>
        <v/>
      </c>
      <c r="G420" s="295" t="str">
        <f t="shared" si="54"/>
        <v/>
      </c>
      <c r="H420" s="295" t="str">
        <f t="shared" si="55"/>
        <v/>
      </c>
      <c r="I420" s="295" t="str">
        <f t="shared" si="50"/>
        <v/>
      </c>
    </row>
    <row r="421" spans="2:9" ht="10.5" customHeight="1" x14ac:dyDescent="0.25">
      <c r="B421" s="293" t="str">
        <f t="shared" si="51"/>
        <v/>
      </c>
      <c r="C421" s="294" t="str">
        <f t="shared" si="52"/>
        <v/>
      </c>
      <c r="D421" s="295" t="str">
        <f t="shared" si="48"/>
        <v/>
      </c>
      <c r="E421" s="295" t="str">
        <f t="shared" si="49"/>
        <v/>
      </c>
      <c r="F421" s="295" t="str">
        <f t="shared" si="53"/>
        <v/>
      </c>
      <c r="G421" s="295" t="str">
        <f t="shared" si="54"/>
        <v/>
      </c>
      <c r="H421" s="295" t="str">
        <f t="shared" si="55"/>
        <v/>
      </c>
      <c r="I421" s="295" t="str">
        <f t="shared" si="50"/>
        <v/>
      </c>
    </row>
    <row r="422" spans="2:9" ht="10.5" customHeight="1" x14ac:dyDescent="0.25">
      <c r="B422" s="293" t="str">
        <f t="shared" si="51"/>
        <v/>
      </c>
      <c r="C422" s="294" t="str">
        <f t="shared" si="52"/>
        <v/>
      </c>
      <c r="D422" s="295" t="str">
        <f t="shared" si="48"/>
        <v/>
      </c>
      <c r="E422" s="295" t="str">
        <f t="shared" si="49"/>
        <v/>
      </c>
      <c r="F422" s="295" t="str">
        <f t="shared" si="53"/>
        <v/>
      </c>
      <c r="G422" s="295" t="str">
        <f t="shared" si="54"/>
        <v/>
      </c>
      <c r="H422" s="295" t="str">
        <f t="shared" si="55"/>
        <v/>
      </c>
      <c r="I422" s="295" t="str">
        <f t="shared" si="50"/>
        <v/>
      </c>
    </row>
    <row r="423" spans="2:9" ht="10.5" customHeight="1" x14ac:dyDescent="0.25">
      <c r="B423" s="293" t="str">
        <f t="shared" si="51"/>
        <v/>
      </c>
      <c r="C423" s="294" t="str">
        <f t="shared" si="52"/>
        <v/>
      </c>
      <c r="D423" s="295" t="str">
        <f t="shared" si="48"/>
        <v/>
      </c>
      <c r="E423" s="295" t="str">
        <f t="shared" si="49"/>
        <v/>
      </c>
      <c r="F423" s="295" t="str">
        <f t="shared" si="53"/>
        <v/>
      </c>
      <c r="G423" s="295" t="str">
        <f t="shared" si="54"/>
        <v/>
      </c>
      <c r="H423" s="295" t="str">
        <f t="shared" si="55"/>
        <v/>
      </c>
      <c r="I423" s="295" t="str">
        <f t="shared" si="50"/>
        <v/>
      </c>
    </row>
    <row r="424" spans="2:9" ht="10.5" customHeight="1" x14ac:dyDescent="0.25">
      <c r="B424" s="293" t="str">
        <f t="shared" si="51"/>
        <v/>
      </c>
      <c r="C424" s="294" t="str">
        <f t="shared" si="52"/>
        <v/>
      </c>
      <c r="D424" s="295" t="str">
        <f t="shared" si="48"/>
        <v/>
      </c>
      <c r="E424" s="295" t="str">
        <f t="shared" si="49"/>
        <v/>
      </c>
      <c r="F424" s="295" t="str">
        <f t="shared" si="53"/>
        <v/>
      </c>
      <c r="G424" s="295" t="str">
        <f t="shared" si="54"/>
        <v/>
      </c>
      <c r="H424" s="295" t="str">
        <f t="shared" si="55"/>
        <v/>
      </c>
      <c r="I424" s="295" t="str">
        <f t="shared" si="50"/>
        <v/>
      </c>
    </row>
    <row r="425" spans="2:9" ht="10.5" customHeight="1" x14ac:dyDescent="0.25">
      <c r="B425" s="293" t="str">
        <f t="shared" si="51"/>
        <v/>
      </c>
      <c r="C425" s="294" t="str">
        <f t="shared" si="52"/>
        <v/>
      </c>
      <c r="D425" s="295" t="str">
        <f t="shared" si="48"/>
        <v/>
      </c>
      <c r="E425" s="295" t="str">
        <f t="shared" si="49"/>
        <v/>
      </c>
      <c r="F425" s="295" t="str">
        <f t="shared" si="53"/>
        <v/>
      </c>
      <c r="G425" s="295" t="str">
        <f t="shared" si="54"/>
        <v/>
      </c>
      <c r="H425" s="295" t="str">
        <f t="shared" si="55"/>
        <v/>
      </c>
      <c r="I425" s="295" t="str">
        <f t="shared" si="50"/>
        <v/>
      </c>
    </row>
    <row r="426" spans="2:9" ht="10.5" customHeight="1" x14ac:dyDescent="0.25">
      <c r="B426" s="293" t="str">
        <f t="shared" si="51"/>
        <v/>
      </c>
      <c r="C426" s="294" t="str">
        <f t="shared" si="52"/>
        <v/>
      </c>
      <c r="D426" s="295" t="str">
        <f t="shared" si="48"/>
        <v/>
      </c>
      <c r="E426" s="295" t="str">
        <f t="shared" si="49"/>
        <v/>
      </c>
      <c r="F426" s="295" t="str">
        <f t="shared" si="53"/>
        <v/>
      </c>
      <c r="G426" s="295" t="str">
        <f t="shared" si="54"/>
        <v/>
      </c>
      <c r="H426" s="295" t="str">
        <f t="shared" si="55"/>
        <v/>
      </c>
      <c r="I426" s="295" t="str">
        <f t="shared" si="50"/>
        <v/>
      </c>
    </row>
    <row r="427" spans="2:9" ht="10.5" customHeight="1" x14ac:dyDescent="0.25">
      <c r="B427" s="293" t="str">
        <f t="shared" si="51"/>
        <v/>
      </c>
      <c r="C427" s="294" t="str">
        <f t="shared" si="52"/>
        <v/>
      </c>
      <c r="D427" s="295" t="str">
        <f t="shared" si="48"/>
        <v/>
      </c>
      <c r="E427" s="295" t="str">
        <f t="shared" si="49"/>
        <v/>
      </c>
      <c r="F427" s="295" t="str">
        <f t="shared" si="53"/>
        <v/>
      </c>
      <c r="G427" s="295" t="str">
        <f t="shared" si="54"/>
        <v/>
      </c>
      <c r="H427" s="295" t="str">
        <f t="shared" si="55"/>
        <v/>
      </c>
      <c r="I427" s="295" t="str">
        <f t="shared" si="50"/>
        <v/>
      </c>
    </row>
    <row r="428" spans="2:9" ht="10.5" customHeight="1" x14ac:dyDescent="0.25">
      <c r="B428" s="293" t="str">
        <f t="shared" si="51"/>
        <v/>
      </c>
      <c r="C428" s="294" t="str">
        <f t="shared" si="52"/>
        <v/>
      </c>
      <c r="D428" s="295" t="str">
        <f t="shared" si="48"/>
        <v/>
      </c>
      <c r="E428" s="295" t="str">
        <f t="shared" si="49"/>
        <v/>
      </c>
      <c r="F428" s="295" t="str">
        <f t="shared" si="53"/>
        <v/>
      </c>
      <c r="G428" s="295" t="str">
        <f t="shared" si="54"/>
        <v/>
      </c>
      <c r="H428" s="295" t="str">
        <f t="shared" si="55"/>
        <v/>
      </c>
      <c r="I428" s="295" t="str">
        <f t="shared" si="50"/>
        <v/>
      </c>
    </row>
    <row r="429" spans="2:9" ht="10.5" customHeight="1" x14ac:dyDescent="0.25">
      <c r="B429" s="293" t="str">
        <f t="shared" si="51"/>
        <v/>
      </c>
      <c r="C429" s="294" t="str">
        <f t="shared" si="52"/>
        <v/>
      </c>
      <c r="D429" s="295" t="str">
        <f t="shared" si="48"/>
        <v/>
      </c>
      <c r="E429" s="295" t="str">
        <f t="shared" si="49"/>
        <v/>
      </c>
      <c r="F429" s="295" t="str">
        <f t="shared" si="53"/>
        <v/>
      </c>
      <c r="G429" s="295" t="str">
        <f t="shared" si="54"/>
        <v/>
      </c>
      <c r="H429" s="295" t="str">
        <f t="shared" si="55"/>
        <v/>
      </c>
      <c r="I429" s="295" t="str">
        <f t="shared" si="50"/>
        <v/>
      </c>
    </row>
    <row r="430" spans="2:9" ht="10.5" customHeight="1" x14ac:dyDescent="0.25">
      <c r="B430" s="293" t="str">
        <f t="shared" si="51"/>
        <v/>
      </c>
      <c r="C430" s="294" t="str">
        <f t="shared" si="52"/>
        <v/>
      </c>
      <c r="D430" s="295" t="str">
        <f t="shared" si="48"/>
        <v/>
      </c>
      <c r="E430" s="295" t="str">
        <f t="shared" si="49"/>
        <v/>
      </c>
      <c r="F430" s="295" t="str">
        <f t="shared" si="53"/>
        <v/>
      </c>
      <c r="G430" s="295" t="str">
        <f t="shared" si="54"/>
        <v/>
      </c>
      <c r="H430" s="295" t="str">
        <f t="shared" si="55"/>
        <v/>
      </c>
      <c r="I430" s="295" t="str">
        <f t="shared" si="50"/>
        <v/>
      </c>
    </row>
    <row r="431" spans="2:9" ht="10.5" customHeight="1" x14ac:dyDescent="0.25">
      <c r="B431" s="293" t="str">
        <f t="shared" si="51"/>
        <v/>
      </c>
      <c r="C431" s="294" t="str">
        <f t="shared" si="52"/>
        <v/>
      </c>
      <c r="D431" s="295" t="str">
        <f t="shared" si="48"/>
        <v/>
      </c>
      <c r="E431" s="295" t="str">
        <f t="shared" si="49"/>
        <v/>
      </c>
      <c r="F431" s="295" t="str">
        <f t="shared" si="53"/>
        <v/>
      </c>
      <c r="G431" s="295" t="str">
        <f t="shared" si="54"/>
        <v/>
      </c>
      <c r="H431" s="295" t="str">
        <f t="shared" si="55"/>
        <v/>
      </c>
      <c r="I431" s="295" t="str">
        <f t="shared" si="50"/>
        <v/>
      </c>
    </row>
    <row r="432" spans="2:9" ht="10.5" customHeight="1" x14ac:dyDescent="0.25">
      <c r="B432" s="293" t="str">
        <f t="shared" si="51"/>
        <v/>
      </c>
      <c r="C432" s="294" t="str">
        <f t="shared" si="52"/>
        <v/>
      </c>
      <c r="D432" s="295" t="str">
        <f t="shared" si="48"/>
        <v/>
      </c>
      <c r="E432" s="295" t="str">
        <f t="shared" si="49"/>
        <v/>
      </c>
      <c r="F432" s="295" t="str">
        <f t="shared" si="53"/>
        <v/>
      </c>
      <c r="G432" s="295" t="str">
        <f t="shared" si="54"/>
        <v/>
      </c>
      <c r="H432" s="295" t="str">
        <f t="shared" si="55"/>
        <v/>
      </c>
      <c r="I432" s="295" t="str">
        <f t="shared" si="50"/>
        <v/>
      </c>
    </row>
    <row r="433" spans="2:9" ht="10.5" customHeight="1" x14ac:dyDescent="0.25">
      <c r="B433" s="293" t="str">
        <f t="shared" si="51"/>
        <v/>
      </c>
      <c r="C433" s="294" t="str">
        <f t="shared" si="52"/>
        <v/>
      </c>
      <c r="D433" s="295" t="str">
        <f t="shared" si="48"/>
        <v/>
      </c>
      <c r="E433" s="295" t="str">
        <f t="shared" si="49"/>
        <v/>
      </c>
      <c r="F433" s="295" t="str">
        <f t="shared" si="53"/>
        <v/>
      </c>
      <c r="G433" s="295" t="str">
        <f t="shared" si="54"/>
        <v/>
      </c>
      <c r="H433" s="295" t="str">
        <f t="shared" si="55"/>
        <v/>
      </c>
      <c r="I433" s="295" t="str">
        <f t="shared" si="50"/>
        <v/>
      </c>
    </row>
    <row r="434" spans="2:9" ht="10.5" customHeight="1" x14ac:dyDescent="0.25">
      <c r="B434" s="293" t="str">
        <f t="shared" si="51"/>
        <v/>
      </c>
      <c r="C434" s="294" t="str">
        <f t="shared" si="52"/>
        <v/>
      </c>
      <c r="D434" s="295" t="str">
        <f t="shared" si="48"/>
        <v/>
      </c>
      <c r="E434" s="295" t="str">
        <f t="shared" si="49"/>
        <v/>
      </c>
      <c r="F434" s="295" t="str">
        <f t="shared" si="53"/>
        <v/>
      </c>
      <c r="G434" s="295" t="str">
        <f t="shared" si="54"/>
        <v/>
      </c>
      <c r="H434" s="295" t="str">
        <f t="shared" si="55"/>
        <v/>
      </c>
      <c r="I434" s="295" t="str">
        <f t="shared" si="50"/>
        <v/>
      </c>
    </row>
    <row r="435" spans="2:9" ht="10.5" customHeight="1" x14ac:dyDescent="0.25">
      <c r="B435" s="293" t="str">
        <f t="shared" si="51"/>
        <v/>
      </c>
      <c r="C435" s="294" t="str">
        <f t="shared" si="52"/>
        <v/>
      </c>
      <c r="D435" s="295" t="str">
        <f t="shared" si="48"/>
        <v/>
      </c>
      <c r="E435" s="295" t="str">
        <f t="shared" si="49"/>
        <v/>
      </c>
      <c r="F435" s="295" t="str">
        <f t="shared" si="53"/>
        <v/>
      </c>
      <c r="G435" s="295" t="str">
        <f t="shared" si="54"/>
        <v/>
      </c>
      <c r="H435" s="295" t="str">
        <f t="shared" si="55"/>
        <v/>
      </c>
      <c r="I435" s="295" t="str">
        <f t="shared" si="50"/>
        <v/>
      </c>
    </row>
    <row r="436" spans="2:9" ht="10.5" customHeight="1" x14ac:dyDescent="0.25">
      <c r="B436" s="293" t="str">
        <f t="shared" si="51"/>
        <v/>
      </c>
      <c r="C436" s="294" t="str">
        <f t="shared" si="52"/>
        <v/>
      </c>
      <c r="D436" s="295" t="str">
        <f t="shared" si="48"/>
        <v/>
      </c>
      <c r="E436" s="295" t="str">
        <f t="shared" si="49"/>
        <v/>
      </c>
      <c r="F436" s="295" t="str">
        <f t="shared" si="53"/>
        <v/>
      </c>
      <c r="G436" s="295" t="str">
        <f t="shared" si="54"/>
        <v/>
      </c>
      <c r="H436" s="295" t="str">
        <f t="shared" si="55"/>
        <v/>
      </c>
      <c r="I436" s="295" t="str">
        <f t="shared" si="50"/>
        <v/>
      </c>
    </row>
    <row r="437" spans="2:9" ht="10.5" customHeight="1" x14ac:dyDescent="0.25">
      <c r="B437" s="293" t="str">
        <f t="shared" si="51"/>
        <v/>
      </c>
      <c r="C437" s="294" t="str">
        <f t="shared" si="52"/>
        <v/>
      </c>
      <c r="D437" s="295" t="str">
        <f t="shared" si="48"/>
        <v/>
      </c>
      <c r="E437" s="295" t="str">
        <f t="shared" si="49"/>
        <v/>
      </c>
      <c r="F437" s="295" t="str">
        <f t="shared" si="53"/>
        <v/>
      </c>
      <c r="G437" s="295" t="str">
        <f t="shared" si="54"/>
        <v/>
      </c>
      <c r="H437" s="295" t="str">
        <f t="shared" si="55"/>
        <v/>
      </c>
      <c r="I437" s="295" t="str">
        <f t="shared" si="50"/>
        <v/>
      </c>
    </row>
    <row r="438" spans="2:9" ht="10.5" customHeight="1" x14ac:dyDescent="0.25">
      <c r="B438" s="293" t="str">
        <f t="shared" si="51"/>
        <v/>
      </c>
      <c r="C438" s="294" t="str">
        <f t="shared" si="52"/>
        <v/>
      </c>
      <c r="D438" s="295" t="str">
        <f t="shared" si="48"/>
        <v/>
      </c>
      <c r="E438" s="295" t="str">
        <f t="shared" si="49"/>
        <v/>
      </c>
      <c r="F438" s="295" t="str">
        <f t="shared" si="53"/>
        <v/>
      </c>
      <c r="G438" s="295" t="str">
        <f t="shared" si="54"/>
        <v/>
      </c>
      <c r="H438" s="295" t="str">
        <f t="shared" si="55"/>
        <v/>
      </c>
      <c r="I438" s="295" t="str">
        <f t="shared" si="50"/>
        <v/>
      </c>
    </row>
    <row r="439" spans="2:9" ht="10.5" customHeight="1" x14ac:dyDescent="0.25">
      <c r="B439" s="293" t="str">
        <f t="shared" si="51"/>
        <v/>
      </c>
      <c r="C439" s="294" t="str">
        <f t="shared" si="52"/>
        <v/>
      </c>
      <c r="D439" s="295" t="str">
        <f t="shared" si="48"/>
        <v/>
      </c>
      <c r="E439" s="295" t="str">
        <f t="shared" si="49"/>
        <v/>
      </c>
      <c r="F439" s="295" t="str">
        <f t="shared" si="53"/>
        <v/>
      </c>
      <c r="G439" s="295" t="str">
        <f t="shared" si="54"/>
        <v/>
      </c>
      <c r="H439" s="295" t="str">
        <f t="shared" si="55"/>
        <v/>
      </c>
      <c r="I439" s="295" t="str">
        <f t="shared" si="50"/>
        <v/>
      </c>
    </row>
    <row r="440" spans="2:9" ht="10.5" customHeight="1" x14ac:dyDescent="0.25">
      <c r="B440" s="293" t="str">
        <f t="shared" si="51"/>
        <v/>
      </c>
      <c r="C440" s="294" t="str">
        <f t="shared" si="52"/>
        <v/>
      </c>
      <c r="D440" s="295" t="str">
        <f t="shared" si="48"/>
        <v/>
      </c>
      <c r="E440" s="295" t="str">
        <f t="shared" si="49"/>
        <v/>
      </c>
      <c r="F440" s="295" t="str">
        <f t="shared" si="53"/>
        <v/>
      </c>
      <c r="G440" s="295" t="str">
        <f t="shared" si="54"/>
        <v/>
      </c>
      <c r="H440" s="295" t="str">
        <f t="shared" si="55"/>
        <v/>
      </c>
      <c r="I440" s="295" t="str">
        <f t="shared" si="50"/>
        <v/>
      </c>
    </row>
    <row r="441" spans="2:9" ht="10.5" customHeight="1" x14ac:dyDescent="0.25">
      <c r="B441" s="293" t="str">
        <f t="shared" si="51"/>
        <v/>
      </c>
      <c r="C441" s="294" t="str">
        <f t="shared" si="52"/>
        <v/>
      </c>
      <c r="D441" s="295" t="str">
        <f t="shared" si="48"/>
        <v/>
      </c>
      <c r="E441" s="295" t="str">
        <f t="shared" si="49"/>
        <v/>
      </c>
      <c r="F441" s="295" t="str">
        <f t="shared" si="53"/>
        <v/>
      </c>
      <c r="G441" s="295" t="str">
        <f t="shared" si="54"/>
        <v/>
      </c>
      <c r="H441" s="295" t="str">
        <f t="shared" si="55"/>
        <v/>
      </c>
      <c r="I441" s="295" t="str">
        <f t="shared" si="50"/>
        <v/>
      </c>
    </row>
    <row r="442" spans="2:9" ht="10.5" customHeight="1" x14ac:dyDescent="0.25">
      <c r="B442" s="293" t="str">
        <f t="shared" si="51"/>
        <v/>
      </c>
      <c r="C442" s="294" t="str">
        <f t="shared" si="52"/>
        <v/>
      </c>
      <c r="D442" s="295" t="str">
        <f t="shared" si="48"/>
        <v/>
      </c>
      <c r="E442" s="295" t="str">
        <f t="shared" si="49"/>
        <v/>
      </c>
      <c r="F442" s="295" t="str">
        <f t="shared" si="53"/>
        <v/>
      </c>
      <c r="G442" s="295" t="str">
        <f t="shared" si="54"/>
        <v/>
      </c>
      <c r="H442" s="295" t="str">
        <f t="shared" si="55"/>
        <v/>
      </c>
      <c r="I442" s="295" t="str">
        <f t="shared" si="50"/>
        <v/>
      </c>
    </row>
    <row r="443" spans="2:9" ht="10.5" customHeight="1" x14ac:dyDescent="0.25">
      <c r="B443" s="293" t="str">
        <f t="shared" si="51"/>
        <v/>
      </c>
      <c r="C443" s="294" t="str">
        <f t="shared" si="52"/>
        <v/>
      </c>
      <c r="D443" s="295" t="str">
        <f t="shared" si="48"/>
        <v/>
      </c>
      <c r="E443" s="295" t="str">
        <f t="shared" si="49"/>
        <v/>
      </c>
      <c r="F443" s="295" t="str">
        <f t="shared" si="53"/>
        <v/>
      </c>
      <c r="G443" s="295" t="str">
        <f t="shared" si="54"/>
        <v/>
      </c>
      <c r="H443" s="295" t="str">
        <f t="shared" si="55"/>
        <v/>
      </c>
      <c r="I443" s="295" t="str">
        <f t="shared" si="50"/>
        <v/>
      </c>
    </row>
    <row r="444" spans="2:9" ht="10.5" customHeight="1" x14ac:dyDescent="0.25">
      <c r="B444" s="293" t="str">
        <f t="shared" si="51"/>
        <v/>
      </c>
      <c r="C444" s="294" t="str">
        <f t="shared" si="52"/>
        <v/>
      </c>
      <c r="D444" s="295" t="str">
        <f t="shared" si="48"/>
        <v/>
      </c>
      <c r="E444" s="295" t="str">
        <f t="shared" si="49"/>
        <v/>
      </c>
      <c r="F444" s="295" t="str">
        <f t="shared" si="53"/>
        <v/>
      </c>
      <c r="G444" s="295" t="str">
        <f t="shared" si="54"/>
        <v/>
      </c>
      <c r="H444" s="295" t="str">
        <f t="shared" si="55"/>
        <v/>
      </c>
      <c r="I444" s="295" t="str">
        <f t="shared" si="50"/>
        <v/>
      </c>
    </row>
    <row r="445" spans="2:9" ht="10.5" customHeight="1" x14ac:dyDescent="0.25">
      <c r="B445" s="293" t="str">
        <f t="shared" si="51"/>
        <v/>
      </c>
      <c r="C445" s="294" t="str">
        <f t="shared" si="52"/>
        <v/>
      </c>
      <c r="D445" s="295" t="str">
        <f t="shared" si="48"/>
        <v/>
      </c>
      <c r="E445" s="295" t="str">
        <f t="shared" si="49"/>
        <v/>
      </c>
      <c r="F445" s="295" t="str">
        <f t="shared" si="53"/>
        <v/>
      </c>
      <c r="G445" s="295" t="str">
        <f t="shared" si="54"/>
        <v/>
      </c>
      <c r="H445" s="295" t="str">
        <f t="shared" si="55"/>
        <v/>
      </c>
      <c r="I445" s="295" t="str">
        <f t="shared" si="50"/>
        <v/>
      </c>
    </row>
    <row r="446" spans="2:9" ht="10.5" customHeight="1" x14ac:dyDescent="0.25">
      <c r="B446" s="293" t="str">
        <f t="shared" si="51"/>
        <v/>
      </c>
      <c r="C446" s="294" t="str">
        <f t="shared" si="52"/>
        <v/>
      </c>
      <c r="D446" s="295" t="str">
        <f t="shared" si="48"/>
        <v/>
      </c>
      <c r="E446" s="295" t="str">
        <f t="shared" si="49"/>
        <v/>
      </c>
      <c r="F446" s="295" t="str">
        <f t="shared" si="53"/>
        <v/>
      </c>
      <c r="G446" s="295" t="str">
        <f t="shared" si="54"/>
        <v/>
      </c>
      <c r="H446" s="295" t="str">
        <f t="shared" si="55"/>
        <v/>
      </c>
      <c r="I446" s="295" t="str">
        <f t="shared" si="50"/>
        <v/>
      </c>
    </row>
    <row r="447" spans="2:9" ht="10.5" customHeight="1" x14ac:dyDescent="0.25">
      <c r="B447" s="293" t="str">
        <f t="shared" si="51"/>
        <v/>
      </c>
      <c r="C447" s="294" t="str">
        <f t="shared" si="52"/>
        <v/>
      </c>
      <c r="D447" s="295" t="str">
        <f t="shared" si="48"/>
        <v/>
      </c>
      <c r="E447" s="295" t="str">
        <f t="shared" si="49"/>
        <v/>
      </c>
      <c r="F447" s="295" t="str">
        <f t="shared" si="53"/>
        <v/>
      </c>
      <c r="G447" s="295" t="str">
        <f t="shared" si="54"/>
        <v/>
      </c>
      <c r="H447" s="295" t="str">
        <f t="shared" si="55"/>
        <v/>
      </c>
      <c r="I447" s="295" t="str">
        <f t="shared" si="50"/>
        <v/>
      </c>
    </row>
    <row r="448" spans="2:9" ht="10.5" customHeight="1" x14ac:dyDescent="0.25">
      <c r="B448" s="293" t="str">
        <f t="shared" si="51"/>
        <v/>
      </c>
      <c r="C448" s="294" t="str">
        <f t="shared" si="52"/>
        <v/>
      </c>
      <c r="D448" s="295" t="str">
        <f t="shared" si="48"/>
        <v/>
      </c>
      <c r="E448" s="295" t="str">
        <f t="shared" si="49"/>
        <v/>
      </c>
      <c r="F448" s="295" t="str">
        <f t="shared" si="53"/>
        <v/>
      </c>
      <c r="G448" s="295" t="str">
        <f t="shared" si="54"/>
        <v/>
      </c>
      <c r="H448" s="295" t="str">
        <f t="shared" si="55"/>
        <v/>
      </c>
      <c r="I448" s="295" t="str">
        <f t="shared" si="50"/>
        <v/>
      </c>
    </row>
    <row r="449" spans="2:9" ht="10.5" customHeight="1" x14ac:dyDescent="0.25">
      <c r="B449" s="293" t="str">
        <f t="shared" si="51"/>
        <v/>
      </c>
      <c r="C449" s="294" t="str">
        <f t="shared" si="52"/>
        <v/>
      </c>
      <c r="D449" s="295" t="str">
        <f t="shared" si="48"/>
        <v/>
      </c>
      <c r="E449" s="295" t="str">
        <f t="shared" si="49"/>
        <v/>
      </c>
      <c r="F449" s="295" t="str">
        <f t="shared" si="53"/>
        <v/>
      </c>
      <c r="G449" s="295" t="str">
        <f t="shared" si="54"/>
        <v/>
      </c>
      <c r="H449" s="295" t="str">
        <f t="shared" si="55"/>
        <v/>
      </c>
      <c r="I449" s="295" t="str">
        <f t="shared" si="50"/>
        <v/>
      </c>
    </row>
    <row r="450" spans="2:9" ht="10.5" customHeight="1" x14ac:dyDescent="0.25">
      <c r="B450" s="293" t="str">
        <f t="shared" si="51"/>
        <v/>
      </c>
      <c r="C450" s="294" t="str">
        <f t="shared" si="52"/>
        <v/>
      </c>
      <c r="D450" s="295" t="str">
        <f t="shared" si="48"/>
        <v/>
      </c>
      <c r="E450" s="295" t="str">
        <f t="shared" si="49"/>
        <v/>
      </c>
      <c r="F450" s="295" t="str">
        <f t="shared" si="53"/>
        <v/>
      </c>
      <c r="G450" s="295" t="str">
        <f t="shared" si="54"/>
        <v/>
      </c>
      <c r="H450" s="295" t="str">
        <f t="shared" si="55"/>
        <v/>
      </c>
      <c r="I450" s="295" t="str">
        <f t="shared" si="50"/>
        <v/>
      </c>
    </row>
    <row r="451" spans="2:9" ht="10.5" customHeight="1" x14ac:dyDescent="0.25">
      <c r="B451" s="293" t="str">
        <f t="shared" si="51"/>
        <v/>
      </c>
      <c r="C451" s="294" t="str">
        <f t="shared" si="52"/>
        <v/>
      </c>
      <c r="D451" s="295" t="str">
        <f t="shared" si="48"/>
        <v/>
      </c>
      <c r="E451" s="295" t="str">
        <f t="shared" si="49"/>
        <v/>
      </c>
      <c r="F451" s="295" t="str">
        <f t="shared" si="53"/>
        <v/>
      </c>
      <c r="G451" s="295" t="str">
        <f t="shared" si="54"/>
        <v/>
      </c>
      <c r="H451" s="295" t="str">
        <f t="shared" si="55"/>
        <v/>
      </c>
      <c r="I451" s="295" t="str">
        <f t="shared" si="50"/>
        <v/>
      </c>
    </row>
    <row r="452" spans="2:9" ht="10.5" customHeight="1" x14ac:dyDescent="0.25">
      <c r="B452" s="293" t="str">
        <f t="shared" si="51"/>
        <v/>
      </c>
      <c r="C452" s="294" t="str">
        <f t="shared" si="52"/>
        <v/>
      </c>
      <c r="D452" s="295" t="str">
        <f t="shared" si="48"/>
        <v/>
      </c>
      <c r="E452" s="295" t="str">
        <f t="shared" si="49"/>
        <v/>
      </c>
      <c r="F452" s="295" t="str">
        <f t="shared" si="53"/>
        <v/>
      </c>
      <c r="G452" s="295" t="str">
        <f t="shared" si="54"/>
        <v/>
      </c>
      <c r="H452" s="295" t="str">
        <f t="shared" si="55"/>
        <v/>
      </c>
      <c r="I452" s="295" t="str">
        <f t="shared" si="50"/>
        <v/>
      </c>
    </row>
    <row r="453" spans="2:9" ht="10.5" customHeight="1" x14ac:dyDescent="0.25">
      <c r="B453" s="293" t="str">
        <f t="shared" si="51"/>
        <v/>
      </c>
      <c r="C453" s="294" t="str">
        <f t="shared" si="52"/>
        <v/>
      </c>
      <c r="D453" s="295" t="str">
        <f t="shared" si="48"/>
        <v/>
      </c>
      <c r="E453" s="295" t="str">
        <f t="shared" si="49"/>
        <v/>
      </c>
      <c r="F453" s="295" t="str">
        <f t="shared" si="53"/>
        <v/>
      </c>
      <c r="G453" s="295" t="str">
        <f t="shared" si="54"/>
        <v/>
      </c>
      <c r="H453" s="295" t="str">
        <f t="shared" si="55"/>
        <v/>
      </c>
      <c r="I453" s="295" t="str">
        <f t="shared" si="50"/>
        <v/>
      </c>
    </row>
    <row r="454" spans="2:9" ht="10.5" customHeight="1" x14ac:dyDescent="0.25">
      <c r="B454" s="293" t="str">
        <f t="shared" si="51"/>
        <v/>
      </c>
      <c r="C454" s="294" t="str">
        <f t="shared" si="52"/>
        <v/>
      </c>
      <c r="D454" s="295" t="str">
        <f t="shared" si="48"/>
        <v/>
      </c>
      <c r="E454" s="295" t="str">
        <f t="shared" si="49"/>
        <v/>
      </c>
      <c r="F454" s="295" t="str">
        <f t="shared" si="53"/>
        <v/>
      </c>
      <c r="G454" s="295" t="str">
        <f t="shared" si="54"/>
        <v/>
      </c>
      <c r="H454" s="295" t="str">
        <f t="shared" si="55"/>
        <v/>
      </c>
      <c r="I454" s="295" t="str">
        <f t="shared" si="50"/>
        <v/>
      </c>
    </row>
    <row r="455" spans="2:9" ht="10.5" customHeight="1" x14ac:dyDescent="0.25">
      <c r="B455" s="293" t="str">
        <f t="shared" si="51"/>
        <v/>
      </c>
      <c r="C455" s="294" t="str">
        <f t="shared" si="52"/>
        <v/>
      </c>
      <c r="D455" s="295" t="str">
        <f t="shared" si="48"/>
        <v/>
      </c>
      <c r="E455" s="295" t="str">
        <f t="shared" si="49"/>
        <v/>
      </c>
      <c r="F455" s="295" t="str">
        <f t="shared" si="53"/>
        <v/>
      </c>
      <c r="G455" s="295" t="str">
        <f t="shared" si="54"/>
        <v/>
      </c>
      <c r="H455" s="295" t="str">
        <f t="shared" si="55"/>
        <v/>
      </c>
      <c r="I455" s="295" t="str">
        <f t="shared" si="50"/>
        <v/>
      </c>
    </row>
    <row r="456" spans="2:9" ht="10.5" customHeight="1" x14ac:dyDescent="0.25">
      <c r="B456" s="293" t="str">
        <f t="shared" si="51"/>
        <v/>
      </c>
      <c r="C456" s="294" t="str">
        <f t="shared" si="52"/>
        <v/>
      </c>
      <c r="D456" s="295" t="str">
        <f t="shared" si="48"/>
        <v/>
      </c>
      <c r="E456" s="295" t="str">
        <f t="shared" si="49"/>
        <v/>
      </c>
      <c r="F456" s="295" t="str">
        <f t="shared" si="53"/>
        <v/>
      </c>
      <c r="G456" s="295" t="str">
        <f t="shared" si="54"/>
        <v/>
      </c>
      <c r="H456" s="295" t="str">
        <f t="shared" si="55"/>
        <v/>
      </c>
      <c r="I456" s="295" t="str">
        <f t="shared" si="50"/>
        <v/>
      </c>
    </row>
    <row r="457" spans="2:9" ht="10.5" customHeight="1" x14ac:dyDescent="0.25">
      <c r="B457" s="293" t="str">
        <f t="shared" si="51"/>
        <v/>
      </c>
      <c r="C457" s="294" t="str">
        <f t="shared" si="52"/>
        <v/>
      </c>
      <c r="D457" s="295" t="str">
        <f t="shared" si="48"/>
        <v/>
      </c>
      <c r="E457" s="295" t="str">
        <f t="shared" si="49"/>
        <v/>
      </c>
      <c r="F457" s="295" t="str">
        <f t="shared" si="53"/>
        <v/>
      </c>
      <c r="G457" s="295" t="str">
        <f t="shared" si="54"/>
        <v/>
      </c>
      <c r="H457" s="295" t="str">
        <f t="shared" si="55"/>
        <v/>
      </c>
      <c r="I457" s="295" t="str">
        <f t="shared" si="50"/>
        <v/>
      </c>
    </row>
    <row r="458" spans="2:9" ht="10.5" customHeight="1" x14ac:dyDescent="0.25">
      <c r="B458" s="293" t="str">
        <f t="shared" si="51"/>
        <v/>
      </c>
      <c r="C458" s="294" t="str">
        <f t="shared" si="52"/>
        <v/>
      </c>
      <c r="D458" s="295" t="str">
        <f t="shared" si="48"/>
        <v/>
      </c>
      <c r="E458" s="295" t="str">
        <f t="shared" si="49"/>
        <v/>
      </c>
      <c r="F458" s="295" t="str">
        <f t="shared" si="53"/>
        <v/>
      </c>
      <c r="G458" s="295" t="str">
        <f t="shared" si="54"/>
        <v/>
      </c>
      <c r="H458" s="295" t="str">
        <f t="shared" si="55"/>
        <v/>
      </c>
      <c r="I458" s="295" t="str">
        <f t="shared" si="50"/>
        <v/>
      </c>
    </row>
    <row r="459" spans="2:9" ht="10.5" customHeight="1" x14ac:dyDescent="0.25">
      <c r="B459" s="293" t="str">
        <f t="shared" si="51"/>
        <v/>
      </c>
      <c r="C459" s="294" t="str">
        <f t="shared" si="52"/>
        <v/>
      </c>
      <c r="D459" s="295" t="str">
        <f t="shared" si="48"/>
        <v/>
      </c>
      <c r="E459" s="295" t="str">
        <f t="shared" si="49"/>
        <v/>
      </c>
      <c r="F459" s="295" t="str">
        <f t="shared" si="53"/>
        <v/>
      </c>
      <c r="G459" s="295" t="str">
        <f t="shared" si="54"/>
        <v/>
      </c>
      <c r="H459" s="295" t="str">
        <f t="shared" si="55"/>
        <v/>
      </c>
      <c r="I459" s="295" t="str">
        <f t="shared" si="50"/>
        <v/>
      </c>
    </row>
    <row r="460" spans="2:9" ht="10.5" customHeight="1" x14ac:dyDescent="0.25">
      <c r="B460" s="293" t="str">
        <f t="shared" si="51"/>
        <v/>
      </c>
      <c r="C460" s="294" t="str">
        <f t="shared" si="52"/>
        <v/>
      </c>
      <c r="D460" s="295" t="str">
        <f t="shared" si="48"/>
        <v/>
      </c>
      <c r="E460" s="295" t="str">
        <f t="shared" si="49"/>
        <v/>
      </c>
      <c r="F460" s="295" t="str">
        <f t="shared" si="53"/>
        <v/>
      </c>
      <c r="G460" s="295" t="str">
        <f t="shared" si="54"/>
        <v/>
      </c>
      <c r="H460" s="295" t="str">
        <f t="shared" si="55"/>
        <v/>
      </c>
      <c r="I460" s="295" t="str">
        <f t="shared" si="50"/>
        <v/>
      </c>
    </row>
    <row r="461" spans="2:9" ht="10.5" customHeight="1" x14ac:dyDescent="0.25">
      <c r="B461" s="293" t="str">
        <f t="shared" si="51"/>
        <v/>
      </c>
      <c r="C461" s="294" t="str">
        <f t="shared" si="52"/>
        <v/>
      </c>
      <c r="D461" s="295" t="str">
        <f t="shared" si="48"/>
        <v/>
      </c>
      <c r="E461" s="295" t="str">
        <f t="shared" si="49"/>
        <v/>
      </c>
      <c r="F461" s="295" t="str">
        <f t="shared" si="53"/>
        <v/>
      </c>
      <c r="G461" s="295" t="str">
        <f t="shared" si="54"/>
        <v/>
      </c>
      <c r="H461" s="295" t="str">
        <f t="shared" si="55"/>
        <v/>
      </c>
      <c r="I461" s="295" t="str">
        <f t="shared" si="50"/>
        <v/>
      </c>
    </row>
    <row r="462" spans="2:9" ht="10.5" customHeight="1" x14ac:dyDescent="0.25">
      <c r="B462" s="293" t="str">
        <f t="shared" si="51"/>
        <v/>
      </c>
      <c r="C462" s="294" t="str">
        <f t="shared" si="52"/>
        <v/>
      </c>
      <c r="D462" s="295" t="str">
        <f t="shared" si="48"/>
        <v/>
      </c>
      <c r="E462" s="295" t="str">
        <f t="shared" si="49"/>
        <v/>
      </c>
      <c r="F462" s="295" t="str">
        <f t="shared" si="53"/>
        <v/>
      </c>
      <c r="G462" s="295" t="str">
        <f t="shared" si="54"/>
        <v/>
      </c>
      <c r="H462" s="295" t="str">
        <f t="shared" si="55"/>
        <v/>
      </c>
      <c r="I462" s="295" t="str">
        <f t="shared" si="50"/>
        <v/>
      </c>
    </row>
    <row r="463" spans="2:9" ht="10.5" customHeight="1" x14ac:dyDescent="0.25">
      <c r="B463" s="293" t="str">
        <f t="shared" si="51"/>
        <v/>
      </c>
      <c r="C463" s="294" t="str">
        <f t="shared" si="52"/>
        <v/>
      </c>
      <c r="D463" s="295" t="str">
        <f t="shared" si="48"/>
        <v/>
      </c>
      <c r="E463" s="295" t="str">
        <f t="shared" si="49"/>
        <v/>
      </c>
      <c r="F463" s="295" t="str">
        <f t="shared" si="53"/>
        <v/>
      </c>
      <c r="G463" s="295" t="str">
        <f t="shared" si="54"/>
        <v/>
      </c>
      <c r="H463" s="295" t="str">
        <f t="shared" si="55"/>
        <v/>
      </c>
      <c r="I463" s="295" t="str">
        <f t="shared" si="50"/>
        <v/>
      </c>
    </row>
    <row r="464" spans="2:9" ht="10.5" customHeight="1" x14ac:dyDescent="0.25">
      <c r="B464" s="293" t="str">
        <f t="shared" si="51"/>
        <v/>
      </c>
      <c r="C464" s="294" t="str">
        <f t="shared" si="52"/>
        <v/>
      </c>
      <c r="D464" s="295" t="str">
        <f t="shared" si="48"/>
        <v/>
      </c>
      <c r="E464" s="295" t="str">
        <f t="shared" si="49"/>
        <v/>
      </c>
      <c r="F464" s="295" t="str">
        <f t="shared" si="53"/>
        <v/>
      </c>
      <c r="G464" s="295" t="str">
        <f t="shared" si="54"/>
        <v/>
      </c>
      <c r="H464" s="295" t="str">
        <f t="shared" si="55"/>
        <v/>
      </c>
      <c r="I464" s="295" t="str">
        <f t="shared" si="50"/>
        <v/>
      </c>
    </row>
    <row r="465" spans="2:9" ht="10.5" customHeight="1" x14ac:dyDescent="0.25">
      <c r="B465" s="293" t="str">
        <f t="shared" si="51"/>
        <v/>
      </c>
      <c r="C465" s="294" t="str">
        <f t="shared" si="52"/>
        <v/>
      </c>
      <c r="D465" s="295" t="str">
        <f t="shared" si="48"/>
        <v/>
      </c>
      <c r="E465" s="295" t="str">
        <f t="shared" si="49"/>
        <v/>
      </c>
      <c r="F465" s="295" t="str">
        <f t="shared" si="53"/>
        <v/>
      </c>
      <c r="G465" s="295" t="str">
        <f t="shared" si="54"/>
        <v/>
      </c>
      <c r="H465" s="295" t="str">
        <f t="shared" si="55"/>
        <v/>
      </c>
      <c r="I465" s="295" t="str">
        <f t="shared" si="50"/>
        <v/>
      </c>
    </row>
    <row r="466" spans="2:9" ht="10.5" customHeight="1" x14ac:dyDescent="0.25">
      <c r="B466" s="293" t="str">
        <f t="shared" si="51"/>
        <v/>
      </c>
      <c r="C466" s="294" t="str">
        <f t="shared" si="52"/>
        <v/>
      </c>
      <c r="D466" s="295" t="str">
        <f t="shared" si="48"/>
        <v/>
      </c>
      <c r="E466" s="295" t="str">
        <f t="shared" si="49"/>
        <v/>
      </c>
      <c r="F466" s="295" t="str">
        <f t="shared" si="53"/>
        <v/>
      </c>
      <c r="G466" s="295" t="str">
        <f t="shared" si="54"/>
        <v/>
      </c>
      <c r="H466" s="295" t="str">
        <f t="shared" si="55"/>
        <v/>
      </c>
      <c r="I466" s="295" t="str">
        <f t="shared" si="50"/>
        <v/>
      </c>
    </row>
    <row r="467" spans="2:9" ht="10.5" customHeight="1" x14ac:dyDescent="0.25">
      <c r="B467" s="293" t="str">
        <f t="shared" si="51"/>
        <v/>
      </c>
      <c r="C467" s="294" t="str">
        <f t="shared" si="52"/>
        <v/>
      </c>
      <c r="D467" s="295" t="str">
        <f t="shared" si="48"/>
        <v/>
      </c>
      <c r="E467" s="295" t="str">
        <f t="shared" si="49"/>
        <v/>
      </c>
      <c r="F467" s="295" t="str">
        <f t="shared" si="53"/>
        <v/>
      </c>
      <c r="G467" s="295" t="str">
        <f t="shared" si="54"/>
        <v/>
      </c>
      <c r="H467" s="295" t="str">
        <f t="shared" si="55"/>
        <v/>
      </c>
      <c r="I467" s="295" t="str">
        <f t="shared" si="50"/>
        <v/>
      </c>
    </row>
    <row r="468" spans="2:9" ht="10.5" customHeight="1" x14ac:dyDescent="0.25">
      <c r="B468" s="293" t="str">
        <f t="shared" si="51"/>
        <v/>
      </c>
      <c r="C468" s="294" t="str">
        <f t="shared" si="52"/>
        <v/>
      </c>
      <c r="D468" s="295" t="str">
        <f t="shared" si="48"/>
        <v/>
      </c>
      <c r="E468" s="295" t="str">
        <f t="shared" si="49"/>
        <v/>
      </c>
      <c r="F468" s="295" t="str">
        <f t="shared" si="53"/>
        <v/>
      </c>
      <c r="G468" s="295" t="str">
        <f t="shared" si="54"/>
        <v/>
      </c>
      <c r="H468" s="295" t="str">
        <f t="shared" si="55"/>
        <v/>
      </c>
      <c r="I468" s="295" t="str">
        <f t="shared" si="50"/>
        <v/>
      </c>
    </row>
    <row r="469" spans="2:9" ht="10.5" customHeight="1" x14ac:dyDescent="0.25">
      <c r="B469" s="293" t="str">
        <f t="shared" si="51"/>
        <v/>
      </c>
      <c r="C469" s="294" t="str">
        <f t="shared" si="52"/>
        <v/>
      </c>
      <c r="D469" s="295" t="str">
        <f t="shared" si="48"/>
        <v/>
      </c>
      <c r="E469" s="295" t="str">
        <f t="shared" si="49"/>
        <v/>
      </c>
      <c r="F469" s="295" t="str">
        <f t="shared" si="53"/>
        <v/>
      </c>
      <c r="G469" s="295" t="str">
        <f t="shared" si="54"/>
        <v/>
      </c>
      <c r="H469" s="295" t="str">
        <f t="shared" si="55"/>
        <v/>
      </c>
      <c r="I469" s="295" t="str">
        <f t="shared" si="50"/>
        <v/>
      </c>
    </row>
    <row r="470" spans="2:9" ht="10.5" customHeight="1" x14ac:dyDescent="0.25">
      <c r="B470" s="293" t="str">
        <f t="shared" si="51"/>
        <v/>
      </c>
      <c r="C470" s="294" t="str">
        <f t="shared" si="52"/>
        <v/>
      </c>
      <c r="D470" s="295" t="str">
        <f t="shared" si="48"/>
        <v/>
      </c>
      <c r="E470" s="295" t="str">
        <f t="shared" si="49"/>
        <v/>
      </c>
      <c r="F470" s="295" t="str">
        <f t="shared" si="53"/>
        <v/>
      </c>
      <c r="G470" s="295" t="str">
        <f t="shared" si="54"/>
        <v/>
      </c>
      <c r="H470" s="295" t="str">
        <f t="shared" si="55"/>
        <v/>
      </c>
      <c r="I470" s="295" t="str">
        <f t="shared" si="50"/>
        <v/>
      </c>
    </row>
    <row r="471" spans="2:9" ht="10.5" customHeight="1" x14ac:dyDescent="0.25">
      <c r="B471" s="293" t="str">
        <f t="shared" si="51"/>
        <v/>
      </c>
      <c r="C471" s="294" t="str">
        <f t="shared" si="52"/>
        <v/>
      </c>
      <c r="D471" s="295" t="str">
        <f t="shared" si="48"/>
        <v/>
      </c>
      <c r="E471" s="295" t="str">
        <f t="shared" si="49"/>
        <v/>
      </c>
      <c r="F471" s="295" t="str">
        <f t="shared" si="53"/>
        <v/>
      </c>
      <c r="G471" s="295" t="str">
        <f t="shared" si="54"/>
        <v/>
      </c>
      <c r="H471" s="295" t="str">
        <f t="shared" si="55"/>
        <v/>
      </c>
      <c r="I471" s="295" t="str">
        <f t="shared" si="50"/>
        <v/>
      </c>
    </row>
    <row r="472" spans="2:9" ht="10.5" customHeight="1" x14ac:dyDescent="0.25">
      <c r="B472" s="293" t="str">
        <f t="shared" si="51"/>
        <v/>
      </c>
      <c r="C472" s="294" t="str">
        <f t="shared" si="52"/>
        <v/>
      </c>
      <c r="D472" s="295" t="str">
        <f t="shared" si="48"/>
        <v/>
      </c>
      <c r="E472" s="295" t="str">
        <f t="shared" si="49"/>
        <v/>
      </c>
      <c r="F472" s="295" t="str">
        <f t="shared" si="53"/>
        <v/>
      </c>
      <c r="G472" s="295" t="str">
        <f t="shared" si="54"/>
        <v/>
      </c>
      <c r="H472" s="295" t="str">
        <f t="shared" si="55"/>
        <v/>
      </c>
      <c r="I472" s="295" t="str">
        <f t="shared" si="50"/>
        <v/>
      </c>
    </row>
    <row r="473" spans="2:9" ht="10.5" customHeight="1" x14ac:dyDescent="0.25">
      <c r="B473" s="293" t="str">
        <f t="shared" si="51"/>
        <v/>
      </c>
      <c r="C473" s="294" t="str">
        <f t="shared" si="52"/>
        <v/>
      </c>
      <c r="D473" s="295" t="str">
        <f t="shared" si="48"/>
        <v/>
      </c>
      <c r="E473" s="295" t="str">
        <f t="shared" si="49"/>
        <v/>
      </c>
      <c r="F473" s="295" t="str">
        <f t="shared" si="53"/>
        <v/>
      </c>
      <c r="G473" s="295" t="str">
        <f t="shared" si="54"/>
        <v/>
      </c>
      <c r="H473" s="295" t="str">
        <f t="shared" si="55"/>
        <v/>
      </c>
      <c r="I473" s="295" t="str">
        <f t="shared" si="50"/>
        <v/>
      </c>
    </row>
    <row r="474" spans="2:9" ht="10.5" customHeight="1" x14ac:dyDescent="0.25">
      <c r="B474" s="293" t="str">
        <f t="shared" si="51"/>
        <v/>
      </c>
      <c r="C474" s="294" t="str">
        <f t="shared" si="52"/>
        <v/>
      </c>
      <c r="D474" s="295" t="str">
        <f t="shared" si="48"/>
        <v/>
      </c>
      <c r="E474" s="295" t="str">
        <f t="shared" si="49"/>
        <v/>
      </c>
      <c r="F474" s="295" t="str">
        <f t="shared" si="53"/>
        <v/>
      </c>
      <c r="G474" s="295" t="str">
        <f t="shared" si="54"/>
        <v/>
      </c>
      <c r="H474" s="295" t="str">
        <f t="shared" si="55"/>
        <v/>
      </c>
      <c r="I474" s="295" t="str">
        <f t="shared" si="50"/>
        <v/>
      </c>
    </row>
    <row r="475" spans="2:9" ht="10.5" customHeight="1" x14ac:dyDescent="0.25">
      <c r="B475" s="293" t="str">
        <f t="shared" si="51"/>
        <v/>
      </c>
      <c r="C475" s="294" t="str">
        <f t="shared" si="52"/>
        <v/>
      </c>
      <c r="D475" s="295" t="str">
        <f t="shared" si="48"/>
        <v/>
      </c>
      <c r="E475" s="295" t="str">
        <f t="shared" si="49"/>
        <v/>
      </c>
      <c r="F475" s="295" t="str">
        <f t="shared" si="53"/>
        <v/>
      </c>
      <c r="G475" s="295" t="str">
        <f t="shared" si="54"/>
        <v/>
      </c>
      <c r="H475" s="295" t="str">
        <f t="shared" si="55"/>
        <v/>
      </c>
      <c r="I475" s="295" t="str">
        <f t="shared" si="50"/>
        <v/>
      </c>
    </row>
    <row r="476" spans="2:9" ht="10.5" customHeight="1" x14ac:dyDescent="0.25">
      <c r="B476" s="293" t="str">
        <f t="shared" si="51"/>
        <v/>
      </c>
      <c r="C476" s="294" t="str">
        <f t="shared" si="52"/>
        <v/>
      </c>
      <c r="D476" s="295" t="str">
        <f t="shared" si="48"/>
        <v/>
      </c>
      <c r="E476" s="295" t="str">
        <f t="shared" si="49"/>
        <v/>
      </c>
      <c r="F476" s="295" t="str">
        <f t="shared" si="53"/>
        <v/>
      </c>
      <c r="G476" s="295" t="str">
        <f t="shared" si="54"/>
        <v/>
      </c>
      <c r="H476" s="295" t="str">
        <f t="shared" si="55"/>
        <v/>
      </c>
      <c r="I476" s="295" t="str">
        <f t="shared" si="50"/>
        <v/>
      </c>
    </row>
    <row r="477" spans="2:9" ht="10.5" customHeight="1" x14ac:dyDescent="0.25">
      <c r="B477" s="293" t="str">
        <f t="shared" si="51"/>
        <v/>
      </c>
      <c r="C477" s="294" t="str">
        <f t="shared" si="52"/>
        <v/>
      </c>
      <c r="D477" s="295" t="str">
        <f t="shared" si="48"/>
        <v/>
      </c>
      <c r="E477" s="295" t="str">
        <f t="shared" si="49"/>
        <v/>
      </c>
      <c r="F477" s="295" t="str">
        <f t="shared" si="53"/>
        <v/>
      </c>
      <c r="G477" s="295" t="str">
        <f t="shared" si="54"/>
        <v/>
      </c>
      <c r="H477" s="295" t="str">
        <f t="shared" si="55"/>
        <v/>
      </c>
      <c r="I477" s="295" t="str">
        <f t="shared" si="50"/>
        <v/>
      </c>
    </row>
    <row r="478" spans="2:9" ht="10.5" customHeight="1" x14ac:dyDescent="0.25">
      <c r="B478" s="293" t="str">
        <f t="shared" si="51"/>
        <v/>
      </c>
      <c r="C478" s="294" t="str">
        <f t="shared" si="52"/>
        <v/>
      </c>
      <c r="D478" s="295" t="str">
        <f t="shared" ref="D478:D499" si="56">IF(B478&lt;&gt;"",mensualitehorsassurance,"")</f>
        <v/>
      </c>
      <c r="E478" s="295" t="str">
        <f t="shared" ref="E478:E499" si="57">IF(B478&lt;&gt;"",mensualiteassurance,"")</f>
        <v/>
      </c>
      <c r="F478" s="295" t="str">
        <f t="shared" si="53"/>
        <v/>
      </c>
      <c r="G478" s="295" t="str">
        <f t="shared" si="54"/>
        <v/>
      </c>
      <c r="H478" s="295" t="str">
        <f t="shared" si="55"/>
        <v/>
      </c>
      <c r="I478" s="295" t="str">
        <f t="shared" ref="I478:I499" si="58">IF(F478&lt;&gt;"",pret-H478,"")</f>
        <v/>
      </c>
    </row>
    <row r="479" spans="2:9" ht="10.5" customHeight="1" x14ac:dyDescent="0.25">
      <c r="B479" s="293" t="str">
        <f t="shared" ref="B479:B499" si="59">IF(test="OK",IF(B478&lt;dureepret,B478+1,""),"")</f>
        <v/>
      </c>
      <c r="C479" s="294" t="str">
        <f t="shared" ref="C479:C499" si="60">IF(B479&lt;&gt;"",DATE(YEAR(C478),MONTH(C478)+1,DAY(C478)),"")</f>
        <v/>
      </c>
      <c r="D479" s="295" t="str">
        <f t="shared" si="56"/>
        <v/>
      </c>
      <c r="E479" s="295" t="str">
        <f t="shared" si="57"/>
        <v/>
      </c>
      <c r="F479" s="295" t="str">
        <f t="shared" ref="F479:F499" si="61">IF(B479&lt;&gt;"",I478*tauxinteret/100/12,"")</f>
        <v/>
      </c>
      <c r="G479" s="295" t="str">
        <f t="shared" ref="G479:G499" si="62">IF(D479&lt;&gt;"",G478+F479,"")</f>
        <v/>
      </c>
      <c r="H479" s="295" t="str">
        <f t="shared" ref="H479:H499" si="63">IF(E479&lt;&gt;"",D479-F479+H478,"")</f>
        <v/>
      </c>
      <c r="I479" s="295" t="str">
        <f t="shared" si="58"/>
        <v/>
      </c>
    </row>
    <row r="480" spans="2:9" ht="10.5" customHeight="1" x14ac:dyDescent="0.25">
      <c r="B480" s="293" t="str">
        <f t="shared" si="59"/>
        <v/>
      </c>
      <c r="C480" s="294" t="str">
        <f t="shared" si="60"/>
        <v/>
      </c>
      <c r="D480" s="295" t="str">
        <f t="shared" si="56"/>
        <v/>
      </c>
      <c r="E480" s="295" t="str">
        <f t="shared" si="57"/>
        <v/>
      </c>
      <c r="F480" s="295" t="str">
        <f t="shared" si="61"/>
        <v/>
      </c>
      <c r="G480" s="295" t="str">
        <f t="shared" si="62"/>
        <v/>
      </c>
      <c r="H480" s="295" t="str">
        <f t="shared" si="63"/>
        <v/>
      </c>
      <c r="I480" s="295" t="str">
        <f t="shared" si="58"/>
        <v/>
      </c>
    </row>
    <row r="481" spans="2:9" ht="10.5" customHeight="1" x14ac:dyDescent="0.25">
      <c r="B481" s="293" t="str">
        <f t="shared" si="59"/>
        <v/>
      </c>
      <c r="C481" s="294" t="str">
        <f t="shared" si="60"/>
        <v/>
      </c>
      <c r="D481" s="295" t="str">
        <f t="shared" si="56"/>
        <v/>
      </c>
      <c r="E481" s="295" t="str">
        <f t="shared" si="57"/>
        <v/>
      </c>
      <c r="F481" s="295" t="str">
        <f t="shared" si="61"/>
        <v/>
      </c>
      <c r="G481" s="295" t="str">
        <f t="shared" si="62"/>
        <v/>
      </c>
      <c r="H481" s="295" t="str">
        <f t="shared" si="63"/>
        <v/>
      </c>
      <c r="I481" s="295" t="str">
        <f t="shared" si="58"/>
        <v/>
      </c>
    </row>
    <row r="482" spans="2:9" ht="10.5" customHeight="1" x14ac:dyDescent="0.25">
      <c r="B482" s="293" t="str">
        <f t="shared" si="59"/>
        <v/>
      </c>
      <c r="C482" s="294" t="str">
        <f t="shared" si="60"/>
        <v/>
      </c>
      <c r="D482" s="295" t="str">
        <f t="shared" si="56"/>
        <v/>
      </c>
      <c r="E482" s="295" t="str">
        <f t="shared" si="57"/>
        <v/>
      </c>
      <c r="F482" s="295" t="str">
        <f t="shared" si="61"/>
        <v/>
      </c>
      <c r="G482" s="295" t="str">
        <f t="shared" si="62"/>
        <v/>
      </c>
      <c r="H482" s="295" t="str">
        <f t="shared" si="63"/>
        <v/>
      </c>
      <c r="I482" s="295" t="str">
        <f t="shared" si="58"/>
        <v/>
      </c>
    </row>
    <row r="483" spans="2:9" ht="10.5" customHeight="1" x14ac:dyDescent="0.25">
      <c r="B483" s="293" t="str">
        <f t="shared" si="59"/>
        <v/>
      </c>
      <c r="C483" s="294" t="str">
        <f t="shared" si="60"/>
        <v/>
      </c>
      <c r="D483" s="295" t="str">
        <f t="shared" si="56"/>
        <v/>
      </c>
      <c r="E483" s="295" t="str">
        <f t="shared" si="57"/>
        <v/>
      </c>
      <c r="F483" s="295" t="str">
        <f t="shared" si="61"/>
        <v/>
      </c>
      <c r="G483" s="295" t="str">
        <f t="shared" si="62"/>
        <v/>
      </c>
      <c r="H483" s="295" t="str">
        <f t="shared" si="63"/>
        <v/>
      </c>
      <c r="I483" s="295" t="str">
        <f t="shared" si="58"/>
        <v/>
      </c>
    </row>
    <row r="484" spans="2:9" ht="10.5" customHeight="1" x14ac:dyDescent="0.25">
      <c r="B484" s="293" t="str">
        <f t="shared" si="59"/>
        <v/>
      </c>
      <c r="C484" s="294" t="str">
        <f t="shared" si="60"/>
        <v/>
      </c>
      <c r="D484" s="295" t="str">
        <f t="shared" si="56"/>
        <v/>
      </c>
      <c r="E484" s="295" t="str">
        <f t="shared" si="57"/>
        <v/>
      </c>
      <c r="F484" s="295" t="str">
        <f t="shared" si="61"/>
        <v/>
      </c>
      <c r="G484" s="295" t="str">
        <f t="shared" si="62"/>
        <v/>
      </c>
      <c r="H484" s="295" t="str">
        <f t="shared" si="63"/>
        <v/>
      </c>
      <c r="I484" s="295" t="str">
        <f t="shared" si="58"/>
        <v/>
      </c>
    </row>
    <row r="485" spans="2:9" ht="10.5" customHeight="1" x14ac:dyDescent="0.25">
      <c r="B485" s="293" t="str">
        <f t="shared" si="59"/>
        <v/>
      </c>
      <c r="C485" s="294" t="str">
        <f t="shared" si="60"/>
        <v/>
      </c>
      <c r="D485" s="295" t="str">
        <f t="shared" si="56"/>
        <v/>
      </c>
      <c r="E485" s="295" t="str">
        <f t="shared" si="57"/>
        <v/>
      </c>
      <c r="F485" s="295" t="str">
        <f t="shared" si="61"/>
        <v/>
      </c>
      <c r="G485" s="295" t="str">
        <f t="shared" si="62"/>
        <v/>
      </c>
      <c r="H485" s="295" t="str">
        <f t="shared" si="63"/>
        <v/>
      </c>
      <c r="I485" s="295" t="str">
        <f t="shared" si="58"/>
        <v/>
      </c>
    </row>
    <row r="486" spans="2:9" ht="10.5" customHeight="1" x14ac:dyDescent="0.25">
      <c r="B486" s="293" t="str">
        <f t="shared" si="59"/>
        <v/>
      </c>
      <c r="C486" s="294" t="str">
        <f t="shared" si="60"/>
        <v/>
      </c>
      <c r="D486" s="295" t="str">
        <f t="shared" si="56"/>
        <v/>
      </c>
      <c r="E486" s="295" t="str">
        <f t="shared" si="57"/>
        <v/>
      </c>
      <c r="F486" s="295" t="str">
        <f t="shared" si="61"/>
        <v/>
      </c>
      <c r="G486" s="295" t="str">
        <f t="shared" si="62"/>
        <v/>
      </c>
      <c r="H486" s="295" t="str">
        <f t="shared" si="63"/>
        <v/>
      </c>
      <c r="I486" s="295" t="str">
        <f t="shared" si="58"/>
        <v/>
      </c>
    </row>
    <row r="487" spans="2:9" ht="10.5" customHeight="1" x14ac:dyDescent="0.25">
      <c r="B487" s="293" t="str">
        <f t="shared" si="59"/>
        <v/>
      </c>
      <c r="C487" s="294" t="str">
        <f t="shared" si="60"/>
        <v/>
      </c>
      <c r="D487" s="295" t="str">
        <f t="shared" si="56"/>
        <v/>
      </c>
      <c r="E487" s="295" t="str">
        <f t="shared" si="57"/>
        <v/>
      </c>
      <c r="F487" s="295" t="str">
        <f t="shared" si="61"/>
        <v/>
      </c>
      <c r="G487" s="295" t="str">
        <f t="shared" si="62"/>
        <v/>
      </c>
      <c r="H487" s="295" t="str">
        <f t="shared" si="63"/>
        <v/>
      </c>
      <c r="I487" s="295" t="str">
        <f t="shared" si="58"/>
        <v/>
      </c>
    </row>
    <row r="488" spans="2:9" ht="10.5" customHeight="1" x14ac:dyDescent="0.25">
      <c r="B488" s="293" t="str">
        <f t="shared" si="59"/>
        <v/>
      </c>
      <c r="C488" s="294" t="str">
        <f t="shared" si="60"/>
        <v/>
      </c>
      <c r="D488" s="295" t="str">
        <f t="shared" si="56"/>
        <v/>
      </c>
      <c r="E488" s="295" t="str">
        <f t="shared" si="57"/>
        <v/>
      </c>
      <c r="F488" s="295" t="str">
        <f t="shared" si="61"/>
        <v/>
      </c>
      <c r="G488" s="295" t="str">
        <f t="shared" si="62"/>
        <v/>
      </c>
      <c r="H488" s="295" t="str">
        <f t="shared" si="63"/>
        <v/>
      </c>
      <c r="I488" s="295" t="str">
        <f t="shared" si="58"/>
        <v/>
      </c>
    </row>
    <row r="489" spans="2:9" ht="10.5" customHeight="1" x14ac:dyDescent="0.25">
      <c r="B489" s="293" t="str">
        <f t="shared" si="59"/>
        <v/>
      </c>
      <c r="C489" s="294" t="str">
        <f t="shared" si="60"/>
        <v/>
      </c>
      <c r="D489" s="295" t="str">
        <f t="shared" si="56"/>
        <v/>
      </c>
      <c r="E489" s="295" t="str">
        <f t="shared" si="57"/>
        <v/>
      </c>
      <c r="F489" s="295" t="str">
        <f t="shared" si="61"/>
        <v/>
      </c>
      <c r="G489" s="295" t="str">
        <f t="shared" si="62"/>
        <v/>
      </c>
      <c r="H489" s="295" t="str">
        <f t="shared" si="63"/>
        <v/>
      </c>
      <c r="I489" s="295" t="str">
        <f t="shared" si="58"/>
        <v/>
      </c>
    </row>
    <row r="490" spans="2:9" ht="10.5" customHeight="1" x14ac:dyDescent="0.25">
      <c r="B490" s="293" t="str">
        <f t="shared" si="59"/>
        <v/>
      </c>
      <c r="C490" s="294" t="str">
        <f t="shared" si="60"/>
        <v/>
      </c>
      <c r="D490" s="295" t="str">
        <f t="shared" si="56"/>
        <v/>
      </c>
      <c r="E490" s="295" t="str">
        <f t="shared" si="57"/>
        <v/>
      </c>
      <c r="F490" s="295" t="str">
        <f t="shared" si="61"/>
        <v/>
      </c>
      <c r="G490" s="295" t="str">
        <f t="shared" si="62"/>
        <v/>
      </c>
      <c r="H490" s="295" t="str">
        <f t="shared" si="63"/>
        <v/>
      </c>
      <c r="I490" s="295" t="str">
        <f t="shared" si="58"/>
        <v/>
      </c>
    </row>
    <row r="491" spans="2:9" ht="10.5" customHeight="1" x14ac:dyDescent="0.25">
      <c r="B491" s="293" t="str">
        <f t="shared" si="59"/>
        <v/>
      </c>
      <c r="C491" s="294" t="str">
        <f t="shared" si="60"/>
        <v/>
      </c>
      <c r="D491" s="295" t="str">
        <f t="shared" si="56"/>
        <v/>
      </c>
      <c r="E491" s="295" t="str">
        <f t="shared" si="57"/>
        <v/>
      </c>
      <c r="F491" s="295" t="str">
        <f t="shared" si="61"/>
        <v/>
      </c>
      <c r="G491" s="295" t="str">
        <f t="shared" si="62"/>
        <v/>
      </c>
      <c r="H491" s="295" t="str">
        <f t="shared" si="63"/>
        <v/>
      </c>
      <c r="I491" s="295" t="str">
        <f t="shared" si="58"/>
        <v/>
      </c>
    </row>
    <row r="492" spans="2:9" ht="10.5" customHeight="1" x14ac:dyDescent="0.25">
      <c r="B492" s="293" t="str">
        <f t="shared" si="59"/>
        <v/>
      </c>
      <c r="C492" s="294" t="str">
        <f t="shared" si="60"/>
        <v/>
      </c>
      <c r="D492" s="295" t="str">
        <f t="shared" si="56"/>
        <v/>
      </c>
      <c r="E492" s="295" t="str">
        <f t="shared" si="57"/>
        <v/>
      </c>
      <c r="F492" s="295" t="str">
        <f t="shared" si="61"/>
        <v/>
      </c>
      <c r="G492" s="295" t="str">
        <f t="shared" si="62"/>
        <v/>
      </c>
      <c r="H492" s="295" t="str">
        <f t="shared" si="63"/>
        <v/>
      </c>
      <c r="I492" s="295" t="str">
        <f t="shared" si="58"/>
        <v/>
      </c>
    </row>
    <row r="493" spans="2:9" ht="10.5" customHeight="1" x14ac:dyDescent="0.25">
      <c r="B493" s="293" t="str">
        <f t="shared" si="59"/>
        <v/>
      </c>
      <c r="C493" s="294" t="str">
        <f t="shared" si="60"/>
        <v/>
      </c>
      <c r="D493" s="295" t="str">
        <f t="shared" si="56"/>
        <v/>
      </c>
      <c r="E493" s="295" t="str">
        <f t="shared" si="57"/>
        <v/>
      </c>
      <c r="F493" s="295" t="str">
        <f t="shared" si="61"/>
        <v/>
      </c>
      <c r="G493" s="295" t="str">
        <f t="shared" si="62"/>
        <v/>
      </c>
      <c r="H493" s="295" t="str">
        <f t="shared" si="63"/>
        <v/>
      </c>
      <c r="I493" s="295" t="str">
        <f t="shared" si="58"/>
        <v/>
      </c>
    </row>
    <row r="494" spans="2:9" ht="10.5" customHeight="1" x14ac:dyDescent="0.25">
      <c r="B494" s="293" t="str">
        <f t="shared" si="59"/>
        <v/>
      </c>
      <c r="C494" s="294" t="str">
        <f t="shared" si="60"/>
        <v/>
      </c>
      <c r="D494" s="295" t="str">
        <f t="shared" si="56"/>
        <v/>
      </c>
      <c r="E494" s="295" t="str">
        <f t="shared" si="57"/>
        <v/>
      </c>
      <c r="F494" s="295" t="str">
        <f t="shared" si="61"/>
        <v/>
      </c>
      <c r="G494" s="295" t="str">
        <f t="shared" si="62"/>
        <v/>
      </c>
      <c r="H494" s="295" t="str">
        <f t="shared" si="63"/>
        <v/>
      </c>
      <c r="I494" s="295" t="str">
        <f t="shared" si="58"/>
        <v/>
      </c>
    </row>
    <row r="495" spans="2:9" ht="10.5" customHeight="1" x14ac:dyDescent="0.25">
      <c r="B495" s="293" t="str">
        <f t="shared" si="59"/>
        <v/>
      </c>
      <c r="C495" s="294" t="str">
        <f t="shared" si="60"/>
        <v/>
      </c>
      <c r="D495" s="295" t="str">
        <f t="shared" si="56"/>
        <v/>
      </c>
      <c r="E495" s="295" t="str">
        <f t="shared" si="57"/>
        <v/>
      </c>
      <c r="F495" s="295" t="str">
        <f t="shared" si="61"/>
        <v/>
      </c>
      <c r="G495" s="295" t="str">
        <f t="shared" si="62"/>
        <v/>
      </c>
      <c r="H495" s="295" t="str">
        <f t="shared" si="63"/>
        <v/>
      </c>
      <c r="I495" s="295" t="str">
        <f t="shared" si="58"/>
        <v/>
      </c>
    </row>
    <row r="496" spans="2:9" ht="10.5" customHeight="1" x14ac:dyDescent="0.25">
      <c r="B496" s="293" t="str">
        <f t="shared" si="59"/>
        <v/>
      </c>
      <c r="C496" s="294" t="str">
        <f t="shared" si="60"/>
        <v/>
      </c>
      <c r="D496" s="295" t="str">
        <f t="shared" si="56"/>
        <v/>
      </c>
      <c r="E496" s="295" t="str">
        <f t="shared" si="57"/>
        <v/>
      </c>
      <c r="F496" s="295" t="str">
        <f t="shared" si="61"/>
        <v/>
      </c>
      <c r="G496" s="295" t="str">
        <f t="shared" si="62"/>
        <v/>
      </c>
      <c r="H496" s="295" t="str">
        <f t="shared" si="63"/>
        <v/>
      </c>
      <c r="I496" s="295" t="str">
        <f t="shared" si="58"/>
        <v/>
      </c>
    </row>
    <row r="497" spans="2:9" ht="10.5" customHeight="1" x14ac:dyDescent="0.25">
      <c r="B497" s="293" t="str">
        <f t="shared" si="59"/>
        <v/>
      </c>
      <c r="C497" s="294" t="str">
        <f t="shared" si="60"/>
        <v/>
      </c>
      <c r="D497" s="295" t="str">
        <f t="shared" si="56"/>
        <v/>
      </c>
      <c r="E497" s="295" t="str">
        <f t="shared" si="57"/>
        <v/>
      </c>
      <c r="F497" s="295" t="str">
        <f t="shared" si="61"/>
        <v/>
      </c>
      <c r="G497" s="295" t="str">
        <f t="shared" si="62"/>
        <v/>
      </c>
      <c r="H497" s="295" t="str">
        <f t="shared" si="63"/>
        <v/>
      </c>
      <c r="I497" s="295" t="str">
        <f t="shared" si="58"/>
        <v/>
      </c>
    </row>
    <row r="498" spans="2:9" ht="10.5" customHeight="1" x14ac:dyDescent="0.25">
      <c r="B498" s="293" t="str">
        <f t="shared" si="59"/>
        <v/>
      </c>
      <c r="C498" s="294" t="str">
        <f t="shared" si="60"/>
        <v/>
      </c>
      <c r="D498" s="295" t="str">
        <f t="shared" si="56"/>
        <v/>
      </c>
      <c r="E498" s="295" t="str">
        <f t="shared" si="57"/>
        <v/>
      </c>
      <c r="F498" s="295" t="str">
        <f t="shared" si="61"/>
        <v/>
      </c>
      <c r="G498" s="295" t="str">
        <f t="shared" si="62"/>
        <v/>
      </c>
      <c r="H498" s="295" t="str">
        <f t="shared" si="63"/>
        <v/>
      </c>
      <c r="I498" s="295" t="str">
        <f t="shared" si="58"/>
        <v/>
      </c>
    </row>
    <row r="499" spans="2:9" ht="10.5" customHeight="1" x14ac:dyDescent="0.25">
      <c r="B499" s="293" t="str">
        <f t="shared" si="59"/>
        <v/>
      </c>
      <c r="C499" s="294" t="str">
        <f t="shared" si="60"/>
        <v/>
      </c>
      <c r="D499" s="295" t="str">
        <f t="shared" si="56"/>
        <v/>
      </c>
      <c r="E499" s="295" t="str">
        <f t="shared" si="57"/>
        <v/>
      </c>
      <c r="F499" s="295" t="str">
        <f t="shared" si="61"/>
        <v/>
      </c>
      <c r="G499" s="295" t="str">
        <f t="shared" si="62"/>
        <v/>
      </c>
      <c r="H499" s="295" t="str">
        <f t="shared" si="63"/>
        <v/>
      </c>
      <c r="I499" s="295" t="str">
        <f t="shared" si="58"/>
        <v/>
      </c>
    </row>
  </sheetData>
  <sheetProtection password="FC51" sheet="1" objects="1" scenarios="1"/>
  <protectedRanges>
    <protectedRange sqref="F5:G5 F7 F9 F11 F13" name="Plage1"/>
  </protectedRanges>
  <mergeCells count="2">
    <mergeCell ref="A1:I1"/>
    <mergeCell ref="A3:D3"/>
  </mergeCells>
  <conditionalFormatting sqref="B30:I499">
    <cfRule type="expression" dxfId="0" priority="1" stopIfTrue="1">
      <formula>IF($B30&lt;&gt;"",TRUE,FALSE)</formula>
    </cfRule>
  </conditionalFormatting>
  <dataValidations disablePrompts="1" count="2">
    <dataValidation type="list" allowBlank="1" showInputMessage="1" showErrorMessage="1" sqref="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G65541 JC65541 SY65541 ACU65541 AMQ65541 AWM65541 BGI65541 BQE65541 CAA65541 CJW65541 CTS65541 DDO65541 DNK65541 DXG65541 EHC65541 EQY65541 FAU65541 FKQ65541 FUM65541 GEI65541 GOE65541 GYA65541 HHW65541 HRS65541 IBO65541 ILK65541 IVG65541 JFC65541 JOY65541 JYU65541 KIQ65541 KSM65541 LCI65541 LME65541 LWA65541 MFW65541 MPS65541 MZO65541 NJK65541 NTG65541 ODC65541 OMY65541 OWU65541 PGQ65541 PQM65541 QAI65541 QKE65541 QUA65541 RDW65541 RNS65541 RXO65541 SHK65541 SRG65541 TBC65541 TKY65541 TUU65541 UEQ65541 UOM65541 UYI65541 VIE65541 VSA65541 WBW65541 WLS65541 WVO65541 G131077 JC131077 SY131077 ACU131077 AMQ131077 AWM131077 BGI131077 BQE131077 CAA131077 CJW131077 CTS131077 DDO131077 DNK131077 DXG131077 EHC131077 EQY131077 FAU131077 FKQ131077 FUM131077 GEI131077 GOE131077 GYA131077 HHW131077 HRS131077 IBO131077 ILK131077 IVG131077 JFC131077 JOY131077 JYU131077 KIQ131077 KSM131077 LCI131077 LME131077 LWA131077 MFW131077 MPS131077 MZO131077 NJK131077 NTG131077 ODC131077 OMY131077 OWU131077 PGQ131077 PQM131077 QAI131077 QKE131077 QUA131077 RDW131077 RNS131077 RXO131077 SHK131077 SRG131077 TBC131077 TKY131077 TUU131077 UEQ131077 UOM131077 UYI131077 VIE131077 VSA131077 WBW131077 WLS131077 WVO131077 G196613 JC196613 SY196613 ACU196613 AMQ196613 AWM196613 BGI196613 BQE196613 CAA196613 CJW196613 CTS196613 DDO196613 DNK196613 DXG196613 EHC196613 EQY196613 FAU196613 FKQ196613 FUM196613 GEI196613 GOE196613 GYA196613 HHW196613 HRS196613 IBO196613 ILK196613 IVG196613 JFC196613 JOY196613 JYU196613 KIQ196613 KSM196613 LCI196613 LME196613 LWA196613 MFW196613 MPS196613 MZO196613 NJK196613 NTG196613 ODC196613 OMY196613 OWU196613 PGQ196613 PQM196613 QAI196613 QKE196613 QUA196613 RDW196613 RNS196613 RXO196613 SHK196613 SRG196613 TBC196613 TKY196613 TUU196613 UEQ196613 UOM196613 UYI196613 VIE196613 VSA196613 WBW196613 WLS196613 WVO196613 G262149 JC262149 SY262149 ACU262149 AMQ262149 AWM262149 BGI262149 BQE262149 CAA262149 CJW262149 CTS262149 DDO262149 DNK262149 DXG262149 EHC262149 EQY262149 FAU262149 FKQ262149 FUM262149 GEI262149 GOE262149 GYA262149 HHW262149 HRS262149 IBO262149 ILK262149 IVG262149 JFC262149 JOY262149 JYU262149 KIQ262149 KSM262149 LCI262149 LME262149 LWA262149 MFW262149 MPS262149 MZO262149 NJK262149 NTG262149 ODC262149 OMY262149 OWU262149 PGQ262149 PQM262149 QAI262149 QKE262149 QUA262149 RDW262149 RNS262149 RXO262149 SHK262149 SRG262149 TBC262149 TKY262149 TUU262149 UEQ262149 UOM262149 UYI262149 VIE262149 VSA262149 WBW262149 WLS262149 WVO262149 G327685 JC327685 SY327685 ACU327685 AMQ327685 AWM327685 BGI327685 BQE327685 CAA327685 CJW327685 CTS327685 DDO327685 DNK327685 DXG327685 EHC327685 EQY327685 FAU327685 FKQ327685 FUM327685 GEI327685 GOE327685 GYA327685 HHW327685 HRS327685 IBO327685 ILK327685 IVG327685 JFC327685 JOY327685 JYU327685 KIQ327685 KSM327685 LCI327685 LME327685 LWA327685 MFW327685 MPS327685 MZO327685 NJK327685 NTG327685 ODC327685 OMY327685 OWU327685 PGQ327685 PQM327685 QAI327685 QKE327685 QUA327685 RDW327685 RNS327685 RXO327685 SHK327685 SRG327685 TBC327685 TKY327685 TUU327685 UEQ327685 UOM327685 UYI327685 VIE327685 VSA327685 WBW327685 WLS327685 WVO327685 G393221 JC393221 SY393221 ACU393221 AMQ393221 AWM393221 BGI393221 BQE393221 CAA393221 CJW393221 CTS393221 DDO393221 DNK393221 DXG393221 EHC393221 EQY393221 FAU393221 FKQ393221 FUM393221 GEI393221 GOE393221 GYA393221 HHW393221 HRS393221 IBO393221 ILK393221 IVG393221 JFC393221 JOY393221 JYU393221 KIQ393221 KSM393221 LCI393221 LME393221 LWA393221 MFW393221 MPS393221 MZO393221 NJK393221 NTG393221 ODC393221 OMY393221 OWU393221 PGQ393221 PQM393221 QAI393221 QKE393221 QUA393221 RDW393221 RNS393221 RXO393221 SHK393221 SRG393221 TBC393221 TKY393221 TUU393221 UEQ393221 UOM393221 UYI393221 VIE393221 VSA393221 WBW393221 WLS393221 WVO393221 G458757 JC458757 SY458757 ACU458757 AMQ458757 AWM458757 BGI458757 BQE458757 CAA458757 CJW458757 CTS458757 DDO458757 DNK458757 DXG458757 EHC458757 EQY458757 FAU458757 FKQ458757 FUM458757 GEI458757 GOE458757 GYA458757 HHW458757 HRS458757 IBO458757 ILK458757 IVG458757 JFC458757 JOY458757 JYU458757 KIQ458757 KSM458757 LCI458757 LME458757 LWA458757 MFW458757 MPS458757 MZO458757 NJK458757 NTG458757 ODC458757 OMY458757 OWU458757 PGQ458757 PQM458757 QAI458757 QKE458757 QUA458757 RDW458757 RNS458757 RXO458757 SHK458757 SRG458757 TBC458757 TKY458757 TUU458757 UEQ458757 UOM458757 UYI458757 VIE458757 VSA458757 WBW458757 WLS458757 WVO458757 G524293 JC524293 SY524293 ACU524293 AMQ524293 AWM524293 BGI524293 BQE524293 CAA524293 CJW524293 CTS524293 DDO524293 DNK524293 DXG524293 EHC524293 EQY524293 FAU524293 FKQ524293 FUM524293 GEI524293 GOE524293 GYA524293 HHW524293 HRS524293 IBO524293 ILK524293 IVG524293 JFC524293 JOY524293 JYU524293 KIQ524293 KSM524293 LCI524293 LME524293 LWA524293 MFW524293 MPS524293 MZO524293 NJK524293 NTG524293 ODC524293 OMY524293 OWU524293 PGQ524293 PQM524293 QAI524293 QKE524293 QUA524293 RDW524293 RNS524293 RXO524293 SHK524293 SRG524293 TBC524293 TKY524293 TUU524293 UEQ524293 UOM524293 UYI524293 VIE524293 VSA524293 WBW524293 WLS524293 WVO524293 G589829 JC589829 SY589829 ACU589829 AMQ589829 AWM589829 BGI589829 BQE589829 CAA589829 CJW589829 CTS589829 DDO589829 DNK589829 DXG589829 EHC589829 EQY589829 FAU589829 FKQ589829 FUM589829 GEI589829 GOE589829 GYA589829 HHW589829 HRS589829 IBO589829 ILK589829 IVG589829 JFC589829 JOY589829 JYU589829 KIQ589829 KSM589829 LCI589829 LME589829 LWA589829 MFW589829 MPS589829 MZO589829 NJK589829 NTG589829 ODC589829 OMY589829 OWU589829 PGQ589829 PQM589829 QAI589829 QKE589829 QUA589829 RDW589829 RNS589829 RXO589829 SHK589829 SRG589829 TBC589829 TKY589829 TUU589829 UEQ589829 UOM589829 UYI589829 VIE589829 VSA589829 WBW589829 WLS589829 WVO589829 G655365 JC655365 SY655365 ACU655365 AMQ655365 AWM655365 BGI655365 BQE655365 CAA655365 CJW655365 CTS655365 DDO655365 DNK655365 DXG655365 EHC655365 EQY655365 FAU655365 FKQ655365 FUM655365 GEI655365 GOE655365 GYA655365 HHW655365 HRS655365 IBO655365 ILK655365 IVG655365 JFC655365 JOY655365 JYU655365 KIQ655365 KSM655365 LCI655365 LME655365 LWA655365 MFW655365 MPS655365 MZO655365 NJK655365 NTG655365 ODC655365 OMY655365 OWU655365 PGQ655365 PQM655365 QAI655365 QKE655365 QUA655365 RDW655365 RNS655365 RXO655365 SHK655365 SRG655365 TBC655365 TKY655365 TUU655365 UEQ655365 UOM655365 UYI655365 VIE655365 VSA655365 WBW655365 WLS655365 WVO655365 G720901 JC720901 SY720901 ACU720901 AMQ720901 AWM720901 BGI720901 BQE720901 CAA720901 CJW720901 CTS720901 DDO720901 DNK720901 DXG720901 EHC720901 EQY720901 FAU720901 FKQ720901 FUM720901 GEI720901 GOE720901 GYA720901 HHW720901 HRS720901 IBO720901 ILK720901 IVG720901 JFC720901 JOY720901 JYU720901 KIQ720901 KSM720901 LCI720901 LME720901 LWA720901 MFW720901 MPS720901 MZO720901 NJK720901 NTG720901 ODC720901 OMY720901 OWU720901 PGQ720901 PQM720901 QAI720901 QKE720901 QUA720901 RDW720901 RNS720901 RXO720901 SHK720901 SRG720901 TBC720901 TKY720901 TUU720901 UEQ720901 UOM720901 UYI720901 VIE720901 VSA720901 WBW720901 WLS720901 WVO720901 G786437 JC786437 SY786437 ACU786437 AMQ786437 AWM786437 BGI786437 BQE786437 CAA786437 CJW786437 CTS786437 DDO786437 DNK786437 DXG786437 EHC786437 EQY786437 FAU786437 FKQ786437 FUM786437 GEI786437 GOE786437 GYA786437 HHW786437 HRS786437 IBO786437 ILK786437 IVG786437 JFC786437 JOY786437 JYU786437 KIQ786437 KSM786437 LCI786437 LME786437 LWA786437 MFW786437 MPS786437 MZO786437 NJK786437 NTG786437 ODC786437 OMY786437 OWU786437 PGQ786437 PQM786437 QAI786437 QKE786437 QUA786437 RDW786437 RNS786437 RXO786437 SHK786437 SRG786437 TBC786437 TKY786437 TUU786437 UEQ786437 UOM786437 UYI786437 VIE786437 VSA786437 WBW786437 WLS786437 WVO786437 G851973 JC851973 SY851973 ACU851973 AMQ851973 AWM851973 BGI851973 BQE851973 CAA851973 CJW851973 CTS851973 DDO851973 DNK851973 DXG851973 EHC851973 EQY851973 FAU851973 FKQ851973 FUM851973 GEI851973 GOE851973 GYA851973 HHW851973 HRS851973 IBO851973 ILK851973 IVG851973 JFC851973 JOY851973 JYU851973 KIQ851973 KSM851973 LCI851973 LME851973 LWA851973 MFW851973 MPS851973 MZO851973 NJK851973 NTG851973 ODC851973 OMY851973 OWU851973 PGQ851973 PQM851973 QAI851973 QKE851973 QUA851973 RDW851973 RNS851973 RXO851973 SHK851973 SRG851973 TBC851973 TKY851973 TUU851973 UEQ851973 UOM851973 UYI851973 VIE851973 VSA851973 WBW851973 WLS851973 WVO851973 G917509 JC917509 SY917509 ACU917509 AMQ917509 AWM917509 BGI917509 BQE917509 CAA917509 CJW917509 CTS917509 DDO917509 DNK917509 DXG917509 EHC917509 EQY917509 FAU917509 FKQ917509 FUM917509 GEI917509 GOE917509 GYA917509 HHW917509 HRS917509 IBO917509 ILK917509 IVG917509 JFC917509 JOY917509 JYU917509 KIQ917509 KSM917509 LCI917509 LME917509 LWA917509 MFW917509 MPS917509 MZO917509 NJK917509 NTG917509 ODC917509 OMY917509 OWU917509 PGQ917509 PQM917509 QAI917509 QKE917509 QUA917509 RDW917509 RNS917509 RXO917509 SHK917509 SRG917509 TBC917509 TKY917509 TUU917509 UEQ917509 UOM917509 UYI917509 VIE917509 VSA917509 WBW917509 WLS917509 WVO917509 G983045 JC983045 SY983045 ACU983045 AMQ983045 AWM983045 BGI983045 BQE983045 CAA983045 CJW983045 CTS983045 DDO983045 DNK983045 DXG983045 EHC983045 EQY983045 FAU983045 FKQ983045 FUM983045 GEI983045 GOE983045 GYA983045 HHW983045 HRS983045 IBO983045 ILK983045 IVG983045 JFC983045 JOY983045 JYU983045 KIQ983045 KSM983045 LCI983045 LME983045 LWA983045 MFW983045 MPS983045 MZO983045 NJK983045 NTG983045 ODC983045 OMY983045 OWU983045 PGQ983045 PQM983045 QAI983045 QKE983045 QUA983045 RDW983045 RNS983045 RXO983045 SHK983045 SRG983045 TBC983045 TKY983045 TUU983045 UEQ983045 UOM983045 UYI983045 VIE983045 VSA983045 WBW983045 WLS983045 WVO983045">
      <formula1>"2016,2015,2014,2013,2012,2011,2010,2009,2008,2007,2006,2005,2004,2003,2002,2001,2000,1999,1998,1997,1996,1995,1994,1993,1992,1991,1990"</formula1>
    </dataValidation>
    <dataValidation type="list" allowBlank="1" showInputMessage="1" showErrorMessage="1" sqref="F5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F65541 JB65541 SX65541 ACT65541 AMP65541 AWL65541 BGH65541 BQD65541 BZZ65541 CJV65541 CTR65541 DDN65541 DNJ65541 DXF65541 EHB65541 EQX65541 FAT65541 FKP65541 FUL65541 GEH65541 GOD65541 GXZ65541 HHV65541 HRR65541 IBN65541 ILJ65541 IVF65541 JFB65541 JOX65541 JYT65541 KIP65541 KSL65541 LCH65541 LMD65541 LVZ65541 MFV65541 MPR65541 MZN65541 NJJ65541 NTF65541 ODB65541 OMX65541 OWT65541 PGP65541 PQL65541 QAH65541 QKD65541 QTZ65541 RDV65541 RNR65541 RXN65541 SHJ65541 SRF65541 TBB65541 TKX65541 TUT65541 UEP65541 UOL65541 UYH65541 VID65541 VRZ65541 WBV65541 WLR65541 WVN65541 F131077 JB131077 SX131077 ACT131077 AMP131077 AWL131077 BGH131077 BQD131077 BZZ131077 CJV131077 CTR131077 DDN131077 DNJ131077 DXF131077 EHB131077 EQX131077 FAT131077 FKP131077 FUL131077 GEH131077 GOD131077 GXZ131077 HHV131077 HRR131077 IBN131077 ILJ131077 IVF131077 JFB131077 JOX131077 JYT131077 KIP131077 KSL131077 LCH131077 LMD131077 LVZ131077 MFV131077 MPR131077 MZN131077 NJJ131077 NTF131077 ODB131077 OMX131077 OWT131077 PGP131077 PQL131077 QAH131077 QKD131077 QTZ131077 RDV131077 RNR131077 RXN131077 SHJ131077 SRF131077 TBB131077 TKX131077 TUT131077 UEP131077 UOL131077 UYH131077 VID131077 VRZ131077 WBV131077 WLR131077 WVN131077 F196613 JB196613 SX196613 ACT196613 AMP196613 AWL196613 BGH196613 BQD196613 BZZ196613 CJV196613 CTR196613 DDN196613 DNJ196613 DXF196613 EHB196613 EQX196613 FAT196613 FKP196613 FUL196613 GEH196613 GOD196613 GXZ196613 HHV196613 HRR196613 IBN196613 ILJ196613 IVF196613 JFB196613 JOX196613 JYT196613 KIP196613 KSL196613 LCH196613 LMD196613 LVZ196613 MFV196613 MPR196613 MZN196613 NJJ196613 NTF196613 ODB196613 OMX196613 OWT196613 PGP196613 PQL196613 QAH196613 QKD196613 QTZ196613 RDV196613 RNR196613 RXN196613 SHJ196613 SRF196613 TBB196613 TKX196613 TUT196613 UEP196613 UOL196613 UYH196613 VID196613 VRZ196613 WBV196613 WLR196613 WVN196613 F262149 JB262149 SX262149 ACT262149 AMP262149 AWL262149 BGH262149 BQD262149 BZZ262149 CJV262149 CTR262149 DDN262149 DNJ262149 DXF262149 EHB262149 EQX262149 FAT262149 FKP262149 FUL262149 GEH262149 GOD262149 GXZ262149 HHV262149 HRR262149 IBN262149 ILJ262149 IVF262149 JFB262149 JOX262149 JYT262149 KIP262149 KSL262149 LCH262149 LMD262149 LVZ262149 MFV262149 MPR262149 MZN262149 NJJ262149 NTF262149 ODB262149 OMX262149 OWT262149 PGP262149 PQL262149 QAH262149 QKD262149 QTZ262149 RDV262149 RNR262149 RXN262149 SHJ262149 SRF262149 TBB262149 TKX262149 TUT262149 UEP262149 UOL262149 UYH262149 VID262149 VRZ262149 WBV262149 WLR262149 WVN262149 F327685 JB327685 SX327685 ACT327685 AMP327685 AWL327685 BGH327685 BQD327685 BZZ327685 CJV327685 CTR327685 DDN327685 DNJ327685 DXF327685 EHB327685 EQX327685 FAT327685 FKP327685 FUL327685 GEH327685 GOD327685 GXZ327685 HHV327685 HRR327685 IBN327685 ILJ327685 IVF327685 JFB327685 JOX327685 JYT327685 KIP327685 KSL327685 LCH327685 LMD327685 LVZ327685 MFV327685 MPR327685 MZN327685 NJJ327685 NTF327685 ODB327685 OMX327685 OWT327685 PGP327685 PQL327685 QAH327685 QKD327685 QTZ327685 RDV327685 RNR327685 RXN327685 SHJ327685 SRF327685 TBB327685 TKX327685 TUT327685 UEP327685 UOL327685 UYH327685 VID327685 VRZ327685 WBV327685 WLR327685 WVN327685 F393221 JB393221 SX393221 ACT393221 AMP393221 AWL393221 BGH393221 BQD393221 BZZ393221 CJV393221 CTR393221 DDN393221 DNJ393221 DXF393221 EHB393221 EQX393221 FAT393221 FKP393221 FUL393221 GEH393221 GOD393221 GXZ393221 HHV393221 HRR393221 IBN393221 ILJ393221 IVF393221 JFB393221 JOX393221 JYT393221 KIP393221 KSL393221 LCH393221 LMD393221 LVZ393221 MFV393221 MPR393221 MZN393221 NJJ393221 NTF393221 ODB393221 OMX393221 OWT393221 PGP393221 PQL393221 QAH393221 QKD393221 QTZ393221 RDV393221 RNR393221 RXN393221 SHJ393221 SRF393221 TBB393221 TKX393221 TUT393221 UEP393221 UOL393221 UYH393221 VID393221 VRZ393221 WBV393221 WLR393221 WVN393221 F458757 JB458757 SX458757 ACT458757 AMP458757 AWL458757 BGH458757 BQD458757 BZZ458757 CJV458757 CTR458757 DDN458757 DNJ458757 DXF458757 EHB458757 EQX458757 FAT458757 FKP458757 FUL458757 GEH458757 GOD458757 GXZ458757 HHV458757 HRR458757 IBN458757 ILJ458757 IVF458757 JFB458757 JOX458757 JYT458757 KIP458757 KSL458757 LCH458757 LMD458757 LVZ458757 MFV458757 MPR458757 MZN458757 NJJ458757 NTF458757 ODB458757 OMX458757 OWT458757 PGP458757 PQL458757 QAH458757 QKD458757 QTZ458757 RDV458757 RNR458757 RXN458757 SHJ458757 SRF458757 TBB458757 TKX458757 TUT458757 UEP458757 UOL458757 UYH458757 VID458757 VRZ458757 WBV458757 WLR458757 WVN458757 F524293 JB524293 SX524293 ACT524293 AMP524293 AWL524293 BGH524293 BQD524293 BZZ524293 CJV524293 CTR524293 DDN524293 DNJ524293 DXF524293 EHB524293 EQX524293 FAT524293 FKP524293 FUL524293 GEH524293 GOD524293 GXZ524293 HHV524293 HRR524293 IBN524293 ILJ524293 IVF524293 JFB524293 JOX524293 JYT524293 KIP524293 KSL524293 LCH524293 LMD524293 LVZ524293 MFV524293 MPR524293 MZN524293 NJJ524293 NTF524293 ODB524293 OMX524293 OWT524293 PGP524293 PQL524293 QAH524293 QKD524293 QTZ524293 RDV524293 RNR524293 RXN524293 SHJ524293 SRF524293 TBB524293 TKX524293 TUT524293 UEP524293 UOL524293 UYH524293 VID524293 VRZ524293 WBV524293 WLR524293 WVN524293 F589829 JB589829 SX589829 ACT589829 AMP589829 AWL589829 BGH589829 BQD589829 BZZ589829 CJV589829 CTR589829 DDN589829 DNJ589829 DXF589829 EHB589829 EQX589829 FAT589829 FKP589829 FUL589829 GEH589829 GOD589829 GXZ589829 HHV589829 HRR589829 IBN589829 ILJ589829 IVF589829 JFB589829 JOX589829 JYT589829 KIP589829 KSL589829 LCH589829 LMD589829 LVZ589829 MFV589829 MPR589829 MZN589829 NJJ589829 NTF589829 ODB589829 OMX589829 OWT589829 PGP589829 PQL589829 QAH589829 QKD589829 QTZ589829 RDV589829 RNR589829 RXN589829 SHJ589829 SRF589829 TBB589829 TKX589829 TUT589829 UEP589829 UOL589829 UYH589829 VID589829 VRZ589829 WBV589829 WLR589829 WVN589829 F655365 JB655365 SX655365 ACT655365 AMP655365 AWL655365 BGH655365 BQD655365 BZZ655365 CJV655365 CTR655365 DDN655365 DNJ655365 DXF655365 EHB655365 EQX655365 FAT655365 FKP655365 FUL655365 GEH655365 GOD655365 GXZ655365 HHV655365 HRR655365 IBN655365 ILJ655365 IVF655365 JFB655365 JOX655365 JYT655365 KIP655365 KSL655365 LCH655365 LMD655365 LVZ655365 MFV655365 MPR655365 MZN655365 NJJ655365 NTF655365 ODB655365 OMX655365 OWT655365 PGP655365 PQL655365 QAH655365 QKD655365 QTZ655365 RDV655365 RNR655365 RXN655365 SHJ655365 SRF655365 TBB655365 TKX655365 TUT655365 UEP655365 UOL655365 UYH655365 VID655365 VRZ655365 WBV655365 WLR655365 WVN655365 F720901 JB720901 SX720901 ACT720901 AMP720901 AWL720901 BGH720901 BQD720901 BZZ720901 CJV720901 CTR720901 DDN720901 DNJ720901 DXF720901 EHB720901 EQX720901 FAT720901 FKP720901 FUL720901 GEH720901 GOD720901 GXZ720901 HHV720901 HRR720901 IBN720901 ILJ720901 IVF720901 JFB720901 JOX720901 JYT720901 KIP720901 KSL720901 LCH720901 LMD720901 LVZ720901 MFV720901 MPR720901 MZN720901 NJJ720901 NTF720901 ODB720901 OMX720901 OWT720901 PGP720901 PQL720901 QAH720901 QKD720901 QTZ720901 RDV720901 RNR720901 RXN720901 SHJ720901 SRF720901 TBB720901 TKX720901 TUT720901 UEP720901 UOL720901 UYH720901 VID720901 VRZ720901 WBV720901 WLR720901 WVN720901 F786437 JB786437 SX786437 ACT786437 AMP786437 AWL786437 BGH786437 BQD786437 BZZ786437 CJV786437 CTR786437 DDN786437 DNJ786437 DXF786437 EHB786437 EQX786437 FAT786437 FKP786437 FUL786437 GEH786437 GOD786437 GXZ786437 HHV786437 HRR786437 IBN786437 ILJ786437 IVF786437 JFB786437 JOX786437 JYT786437 KIP786437 KSL786437 LCH786437 LMD786437 LVZ786437 MFV786437 MPR786437 MZN786437 NJJ786437 NTF786437 ODB786437 OMX786437 OWT786437 PGP786437 PQL786437 QAH786437 QKD786437 QTZ786437 RDV786437 RNR786437 RXN786437 SHJ786437 SRF786437 TBB786437 TKX786437 TUT786437 UEP786437 UOL786437 UYH786437 VID786437 VRZ786437 WBV786437 WLR786437 WVN786437 F851973 JB851973 SX851973 ACT851973 AMP851973 AWL851973 BGH851973 BQD851973 BZZ851973 CJV851973 CTR851973 DDN851973 DNJ851973 DXF851973 EHB851973 EQX851973 FAT851973 FKP851973 FUL851973 GEH851973 GOD851973 GXZ851973 HHV851973 HRR851973 IBN851973 ILJ851973 IVF851973 JFB851973 JOX851973 JYT851973 KIP851973 KSL851973 LCH851973 LMD851973 LVZ851973 MFV851973 MPR851973 MZN851973 NJJ851973 NTF851973 ODB851973 OMX851973 OWT851973 PGP851973 PQL851973 QAH851973 QKD851973 QTZ851973 RDV851973 RNR851973 RXN851973 SHJ851973 SRF851973 TBB851973 TKX851973 TUT851973 UEP851973 UOL851973 UYH851973 VID851973 VRZ851973 WBV851973 WLR851973 WVN851973 F917509 JB917509 SX917509 ACT917509 AMP917509 AWL917509 BGH917509 BQD917509 BZZ917509 CJV917509 CTR917509 DDN917509 DNJ917509 DXF917509 EHB917509 EQX917509 FAT917509 FKP917509 FUL917509 GEH917509 GOD917509 GXZ917509 HHV917509 HRR917509 IBN917509 ILJ917509 IVF917509 JFB917509 JOX917509 JYT917509 KIP917509 KSL917509 LCH917509 LMD917509 LVZ917509 MFV917509 MPR917509 MZN917509 NJJ917509 NTF917509 ODB917509 OMX917509 OWT917509 PGP917509 PQL917509 QAH917509 QKD917509 QTZ917509 RDV917509 RNR917509 RXN917509 SHJ917509 SRF917509 TBB917509 TKX917509 TUT917509 UEP917509 UOL917509 UYH917509 VID917509 VRZ917509 WBV917509 WLR917509 WVN917509 F983045 JB983045 SX983045 ACT983045 AMP983045 AWL983045 BGH983045 BQD983045 BZZ983045 CJV983045 CTR983045 DDN983045 DNJ983045 DXF983045 EHB983045 EQX983045 FAT983045 FKP983045 FUL983045 GEH983045 GOD983045 GXZ983045 HHV983045 HRR983045 IBN983045 ILJ983045 IVF983045 JFB983045 JOX983045 JYT983045 KIP983045 KSL983045 LCH983045 LMD983045 LVZ983045 MFV983045 MPR983045 MZN983045 NJJ983045 NTF983045 ODB983045 OMX983045 OWT983045 PGP983045 PQL983045 QAH983045 QKD983045 QTZ983045 RDV983045 RNR983045 RXN983045 SHJ983045 SRF983045 TBB983045 TKX983045 TUT983045 UEP983045 UOL983045 UYH983045 VID983045 VRZ983045 WBV983045 WLR983045 WVN983045">
      <formula1>"Janvier,Février,Mars,Avril,Mai,Juin,Juillet,Août,Septembre,Octobre,Novembre,Décembre"</formula1>
    </dataValidation>
  </dataValidations>
  <hyperlinks>
    <hyperlink ref="A3" r:id="rId1" display="Edité par www.calculateurimmo.fr"/>
  </hyperlinks>
  <pageMargins left="0.78740157480314965" right="0.78740157480314965" top="0.98425196850393704" bottom="0.98425196850393704" header="0.51181102362204722" footer="0.51181102362204722"/>
  <pageSetup paperSize="9" scale="87" fitToHeight="20" orientation="portrait" r:id="rId2"/>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58"/>
  <sheetViews>
    <sheetView topLeftCell="D6" workbookViewId="0">
      <selection activeCell="M21" sqref="M21"/>
    </sheetView>
  </sheetViews>
  <sheetFormatPr baseColWidth="10" defaultRowHeight="13.2" x14ac:dyDescent="0.25"/>
  <cols>
    <col min="1" max="1" width="11.5546875" customWidth="1"/>
    <col min="2" max="2" width="21.6640625" customWidth="1"/>
    <col min="3" max="3" width="11.5546875" customWidth="1"/>
    <col min="4" max="4" width="12.6640625" customWidth="1"/>
    <col min="5" max="9" width="11.5546875" customWidth="1"/>
    <col min="10" max="10" width="6.33203125" customWidth="1"/>
    <col min="11" max="11" width="14.44140625" customWidth="1"/>
    <col min="13" max="13" width="11.5546875" style="166"/>
  </cols>
  <sheetData>
    <row r="1" spans="1:15" ht="15" customHeight="1" x14ac:dyDescent="0.25">
      <c r="K1" s="323"/>
    </row>
    <row r="2" spans="1:15" ht="15" customHeight="1" x14ac:dyDescent="0.25">
      <c r="G2" t="s">
        <v>274</v>
      </c>
      <c r="I2">
        <v>7441</v>
      </c>
      <c r="J2" t="s">
        <v>272</v>
      </c>
      <c r="K2" s="323"/>
    </row>
    <row r="3" spans="1:15" ht="15" customHeight="1" x14ac:dyDescent="0.25">
      <c r="G3" t="s">
        <v>273</v>
      </c>
      <c r="I3">
        <v>3005</v>
      </c>
      <c r="J3" t="s">
        <v>272</v>
      </c>
      <c r="K3" s="323"/>
    </row>
    <row r="4" spans="1:15" ht="15" customHeight="1" x14ac:dyDescent="0.25">
      <c r="G4" s="91" t="s">
        <v>271</v>
      </c>
      <c r="I4">
        <f>+I3+I2</f>
        <v>10446</v>
      </c>
      <c r="K4" s="323"/>
    </row>
    <row r="5" spans="1:15" ht="15" customHeight="1" x14ac:dyDescent="0.25">
      <c r="G5" t="s">
        <v>270</v>
      </c>
      <c r="I5">
        <v>95</v>
      </c>
      <c r="K5" s="323"/>
    </row>
    <row r="6" spans="1:15" ht="15.75" customHeight="1" thickBot="1" x14ac:dyDescent="0.3">
      <c r="K6" s="323"/>
    </row>
    <row r="7" spans="1:15" ht="41.25" customHeight="1" thickBot="1" x14ac:dyDescent="0.3">
      <c r="B7" s="400"/>
      <c r="C7" s="653" t="s">
        <v>205</v>
      </c>
      <c r="D7" s="654"/>
      <c r="E7" s="655"/>
      <c r="F7" s="402"/>
      <c r="G7" s="656">
        <v>40886</v>
      </c>
      <c r="H7" s="656"/>
      <c r="I7" s="656"/>
      <c r="K7" s="323"/>
    </row>
    <row r="8" spans="1:15" ht="35.25" customHeight="1" thickBot="1" x14ac:dyDescent="0.3">
      <c r="C8" s="401" t="s">
        <v>269</v>
      </c>
      <c r="D8" s="400"/>
      <c r="E8" s="399"/>
      <c r="F8" s="399"/>
      <c r="K8" s="323"/>
    </row>
    <row r="9" spans="1:15" ht="35.25" customHeight="1" thickBot="1" x14ac:dyDescent="0.3">
      <c r="A9" s="331" t="s">
        <v>268</v>
      </c>
      <c r="B9" s="331" t="s">
        <v>267</v>
      </c>
      <c r="C9" s="331" t="s">
        <v>266</v>
      </c>
      <c r="D9" s="331" t="s">
        <v>265</v>
      </c>
      <c r="E9" s="398" t="s">
        <v>264</v>
      </c>
      <c r="F9" s="397" t="s">
        <v>263</v>
      </c>
      <c r="G9" s="332" t="s">
        <v>262</v>
      </c>
      <c r="H9" s="332" t="s">
        <v>261</v>
      </c>
      <c r="I9" s="332" t="s">
        <v>260</v>
      </c>
      <c r="J9" s="396"/>
      <c r="K9" s="395" t="s">
        <v>259</v>
      </c>
      <c r="M9" s="394" t="s">
        <v>258</v>
      </c>
      <c r="N9" s="393" t="s">
        <v>257</v>
      </c>
      <c r="O9" s="392" t="s">
        <v>256</v>
      </c>
    </row>
    <row r="10" spans="1:15" ht="24.9" customHeight="1" x14ac:dyDescent="0.25">
      <c r="A10" s="391">
        <v>13</v>
      </c>
      <c r="B10" s="390" t="s">
        <v>255</v>
      </c>
      <c r="C10" s="389">
        <v>749013</v>
      </c>
      <c r="D10" s="388" t="s">
        <v>234</v>
      </c>
      <c r="E10" s="387">
        <v>602848.80000000005</v>
      </c>
      <c r="F10" s="386"/>
      <c r="G10" s="372"/>
      <c r="H10" s="372"/>
      <c r="I10" s="372"/>
      <c r="K10" s="353">
        <f t="shared" ref="K10:K27" si="0">E10*1.085</f>
        <v>654090.94799999997</v>
      </c>
      <c r="M10" s="166">
        <f t="shared" ref="M10:M27" si="1">+E10/95</f>
        <v>6345.7768421052633</v>
      </c>
      <c r="N10" s="166">
        <f t="shared" ref="N10:N27" si="2">+E10/$I$2</f>
        <v>81.017175110872202</v>
      </c>
      <c r="O10" s="166">
        <f t="shared" ref="O10:O27" si="3">+E10/$I$4</f>
        <v>57.710970706490528</v>
      </c>
    </row>
    <row r="11" spans="1:15" ht="24.9" customHeight="1" x14ac:dyDescent="0.25">
      <c r="A11" s="370">
        <v>1</v>
      </c>
      <c r="B11" s="367" t="s">
        <v>254</v>
      </c>
      <c r="C11" s="657">
        <v>8209123</v>
      </c>
      <c r="D11" s="369" t="s">
        <v>253</v>
      </c>
      <c r="E11" s="339">
        <v>4020000</v>
      </c>
      <c r="F11" s="366"/>
      <c r="G11" s="329"/>
      <c r="H11" s="358"/>
      <c r="I11" s="363"/>
      <c r="K11" s="353">
        <f t="shared" si="0"/>
        <v>4361700</v>
      </c>
      <c r="M11" s="166">
        <f t="shared" si="1"/>
        <v>42315.789473684214</v>
      </c>
      <c r="N11" s="166">
        <f t="shared" si="2"/>
        <v>540.24996640236532</v>
      </c>
      <c r="O11" s="166">
        <f t="shared" si="3"/>
        <v>384.83630097645033</v>
      </c>
    </row>
    <row r="12" spans="1:15" ht="24.9" customHeight="1" x14ac:dyDescent="0.25">
      <c r="A12" s="370">
        <v>2</v>
      </c>
      <c r="B12" s="369" t="s">
        <v>252</v>
      </c>
      <c r="C12" s="658"/>
      <c r="D12" s="369" t="s">
        <v>247</v>
      </c>
      <c r="E12" s="339">
        <v>178358</v>
      </c>
      <c r="F12" s="366"/>
      <c r="G12" s="329"/>
      <c r="H12" s="363"/>
      <c r="I12" s="363"/>
      <c r="K12" s="353">
        <f t="shared" si="0"/>
        <v>193518.43</v>
      </c>
      <c r="M12" s="166">
        <f t="shared" si="1"/>
        <v>1877.4526315789474</v>
      </c>
      <c r="N12" s="166">
        <f t="shared" si="2"/>
        <v>23.96962773820723</v>
      </c>
      <c r="O12" s="166">
        <f t="shared" si="3"/>
        <v>17.074286808347694</v>
      </c>
    </row>
    <row r="13" spans="1:15" ht="24.9" customHeight="1" x14ac:dyDescent="0.25">
      <c r="A13" s="370">
        <v>3</v>
      </c>
      <c r="B13" s="369" t="s">
        <v>251</v>
      </c>
      <c r="C13" s="658"/>
      <c r="D13" s="330" t="s">
        <v>236</v>
      </c>
      <c r="E13" s="339">
        <v>255000</v>
      </c>
      <c r="F13" s="366"/>
      <c r="G13" s="329"/>
      <c r="H13" s="381"/>
      <c r="I13" s="363"/>
      <c r="K13" s="353">
        <f t="shared" si="0"/>
        <v>276675</v>
      </c>
      <c r="M13" s="166">
        <f t="shared" si="1"/>
        <v>2684.2105263157896</v>
      </c>
      <c r="N13" s="166">
        <f t="shared" si="2"/>
        <v>34.269587421045557</v>
      </c>
      <c r="O13" s="166">
        <f t="shared" si="3"/>
        <v>24.411257897759906</v>
      </c>
    </row>
    <row r="14" spans="1:15" ht="24.9" customHeight="1" x14ac:dyDescent="0.25">
      <c r="A14" s="370">
        <v>4</v>
      </c>
      <c r="B14" s="367" t="s">
        <v>250</v>
      </c>
      <c r="C14" s="658"/>
      <c r="D14" s="330" t="s">
        <v>249</v>
      </c>
      <c r="E14" s="375">
        <v>213831</v>
      </c>
      <c r="F14" s="366"/>
      <c r="G14" s="329"/>
      <c r="H14" s="381"/>
      <c r="I14" s="363"/>
      <c r="J14" s="385"/>
      <c r="K14" s="353">
        <f t="shared" si="0"/>
        <v>232006.63499999998</v>
      </c>
      <c r="M14" s="166">
        <f t="shared" si="1"/>
        <v>2250.8526315789472</v>
      </c>
      <c r="N14" s="166">
        <f t="shared" si="2"/>
        <v>28.736863324821933</v>
      </c>
      <c r="O14" s="166">
        <f t="shared" si="3"/>
        <v>20.470132107983918</v>
      </c>
    </row>
    <row r="15" spans="1:15" ht="24.9" customHeight="1" x14ac:dyDescent="0.25">
      <c r="A15" s="370">
        <v>5</v>
      </c>
      <c r="B15" s="369" t="s">
        <v>248</v>
      </c>
      <c r="C15" s="658"/>
      <c r="D15" s="369" t="s">
        <v>247</v>
      </c>
      <c r="E15" s="339">
        <v>330286.13</v>
      </c>
      <c r="F15" s="366"/>
      <c r="G15" s="329"/>
      <c r="H15" s="381"/>
      <c r="I15" s="363"/>
      <c r="J15" s="385"/>
      <c r="K15" s="353">
        <f t="shared" si="0"/>
        <v>358360.45104999997</v>
      </c>
      <c r="M15" s="166">
        <f t="shared" si="1"/>
        <v>3476.6961052631577</v>
      </c>
      <c r="N15" s="166">
        <f t="shared" si="2"/>
        <v>44.387331003897323</v>
      </c>
      <c r="O15" s="166">
        <f t="shared" si="3"/>
        <v>31.618430978364923</v>
      </c>
    </row>
    <row r="16" spans="1:15" ht="24.9" customHeight="1" x14ac:dyDescent="0.25">
      <c r="A16" s="370">
        <v>6</v>
      </c>
      <c r="B16" s="369" t="s">
        <v>246</v>
      </c>
      <c r="C16" s="658"/>
      <c r="D16" s="384" t="s">
        <v>238</v>
      </c>
      <c r="E16" s="383">
        <v>304024</v>
      </c>
      <c r="F16" s="366"/>
      <c r="G16" s="329"/>
      <c r="H16" s="381"/>
      <c r="I16" s="363"/>
      <c r="K16" s="353">
        <f t="shared" si="0"/>
        <v>329866.03999999998</v>
      </c>
      <c r="M16" s="166">
        <f t="shared" si="1"/>
        <v>3200.2526315789473</v>
      </c>
      <c r="N16" s="166">
        <f t="shared" si="2"/>
        <v>40.857949200376297</v>
      </c>
      <c r="O16" s="166">
        <f t="shared" si="3"/>
        <v>29.104346161210032</v>
      </c>
    </row>
    <row r="17" spans="1:15" ht="24.9" customHeight="1" x14ac:dyDescent="0.25">
      <c r="A17" s="370">
        <v>7</v>
      </c>
      <c r="B17" s="369" t="s">
        <v>245</v>
      </c>
      <c r="C17" s="658"/>
      <c r="D17" s="330" t="s">
        <v>244</v>
      </c>
      <c r="E17" s="375">
        <v>416000</v>
      </c>
      <c r="F17" s="366"/>
      <c r="G17" s="329"/>
      <c r="H17" s="381"/>
      <c r="I17" s="363"/>
      <c r="J17" s="382"/>
      <c r="K17" s="353">
        <f t="shared" si="0"/>
        <v>451360</v>
      </c>
      <c r="M17" s="166">
        <f t="shared" si="1"/>
        <v>4378.9473684210525</v>
      </c>
      <c r="N17" s="166">
        <f t="shared" si="2"/>
        <v>55.906464184921383</v>
      </c>
      <c r="O17" s="166">
        <f t="shared" si="3"/>
        <v>39.823856021443618</v>
      </c>
    </row>
    <row r="18" spans="1:15" ht="24.9" customHeight="1" x14ac:dyDescent="0.25">
      <c r="A18" s="370">
        <v>8</v>
      </c>
      <c r="B18" s="367" t="s">
        <v>243</v>
      </c>
      <c r="C18" s="658"/>
      <c r="D18" s="369" t="s">
        <v>242</v>
      </c>
      <c r="E18" s="339">
        <v>271477.68</v>
      </c>
      <c r="F18" s="366"/>
      <c r="G18" s="381"/>
      <c r="H18" s="381"/>
      <c r="I18" s="363"/>
      <c r="K18" s="353">
        <f t="shared" si="0"/>
        <v>294553.28279999999</v>
      </c>
      <c r="M18" s="166">
        <f t="shared" si="1"/>
        <v>2857.6597894736842</v>
      </c>
      <c r="N18" s="166">
        <f t="shared" si="2"/>
        <v>36.484031716167181</v>
      </c>
      <c r="O18" s="166">
        <f t="shared" si="3"/>
        <v>25.988673176335439</v>
      </c>
    </row>
    <row r="19" spans="1:15" ht="24.9" customHeight="1" x14ac:dyDescent="0.25">
      <c r="A19" s="376">
        <v>9</v>
      </c>
      <c r="B19" s="330" t="s">
        <v>241</v>
      </c>
      <c r="C19" s="658"/>
      <c r="D19" s="330" t="s">
        <v>240</v>
      </c>
      <c r="E19" s="375">
        <v>79000</v>
      </c>
      <c r="F19" s="374"/>
      <c r="G19" s="380"/>
      <c r="H19" s="380"/>
      <c r="I19" s="372"/>
      <c r="J19" s="377"/>
      <c r="K19" s="353">
        <f t="shared" si="0"/>
        <v>85715</v>
      </c>
      <c r="M19" s="166">
        <f t="shared" si="1"/>
        <v>831.57894736842104</v>
      </c>
      <c r="N19" s="166">
        <f t="shared" si="2"/>
        <v>10.61685257357882</v>
      </c>
      <c r="O19" s="166">
        <f t="shared" si="3"/>
        <v>7.562703427149148</v>
      </c>
    </row>
    <row r="20" spans="1:15" ht="24.9" customHeight="1" x14ac:dyDescent="0.25">
      <c r="A20" s="370">
        <v>10</v>
      </c>
      <c r="B20" s="369" t="s">
        <v>239</v>
      </c>
      <c r="C20" s="658"/>
      <c r="D20" s="330" t="s">
        <v>238</v>
      </c>
      <c r="E20" s="375">
        <v>181980</v>
      </c>
      <c r="F20" s="366"/>
      <c r="G20" s="364"/>
      <c r="H20" s="364"/>
      <c r="I20" s="363"/>
      <c r="J20" s="379"/>
      <c r="K20" s="353">
        <f t="shared" si="0"/>
        <v>197448.3</v>
      </c>
      <c r="M20" s="166">
        <f t="shared" si="1"/>
        <v>1915.578947368421</v>
      </c>
      <c r="N20" s="166">
        <f t="shared" si="2"/>
        <v>24.456390270124984</v>
      </c>
      <c r="O20" s="166">
        <f t="shared" si="3"/>
        <v>17.421022400919011</v>
      </c>
    </row>
    <row r="21" spans="1:15" ht="24.9" customHeight="1" x14ac:dyDescent="0.25">
      <c r="A21" s="370">
        <v>11</v>
      </c>
      <c r="B21" s="369" t="s">
        <v>237</v>
      </c>
      <c r="C21" s="658"/>
      <c r="D21" s="369" t="s">
        <v>236</v>
      </c>
      <c r="E21" s="339">
        <v>430000</v>
      </c>
      <c r="F21" s="366"/>
      <c r="G21" s="364"/>
      <c r="H21" s="364"/>
      <c r="I21" s="363"/>
      <c r="J21" s="379"/>
      <c r="K21" s="353">
        <f t="shared" si="0"/>
        <v>466550</v>
      </c>
      <c r="M21" s="166">
        <f t="shared" si="1"/>
        <v>4526.3157894736842</v>
      </c>
      <c r="N21" s="166">
        <f t="shared" si="2"/>
        <v>57.787931729606235</v>
      </c>
      <c r="O21" s="166">
        <f t="shared" si="3"/>
        <v>41.164081945242195</v>
      </c>
    </row>
    <row r="22" spans="1:15" ht="24.9" customHeight="1" x14ac:dyDescent="0.25">
      <c r="A22" s="370">
        <v>12</v>
      </c>
      <c r="B22" s="369" t="s">
        <v>235</v>
      </c>
      <c r="C22" s="658"/>
      <c r="D22" s="367" t="s">
        <v>234</v>
      </c>
      <c r="E22" s="339">
        <v>381073</v>
      </c>
      <c r="F22" s="366"/>
      <c r="G22" s="364"/>
      <c r="H22" s="364"/>
      <c r="I22" s="363"/>
      <c r="K22" s="353">
        <f t="shared" si="0"/>
        <v>413464.20499999996</v>
      </c>
      <c r="M22" s="166">
        <f t="shared" si="1"/>
        <v>4011.2947368421051</v>
      </c>
      <c r="N22" s="166">
        <f t="shared" si="2"/>
        <v>51.212605832549386</v>
      </c>
      <c r="O22" s="166">
        <f t="shared" si="3"/>
        <v>36.480279532835532</v>
      </c>
    </row>
    <row r="23" spans="1:15" ht="24.9" customHeight="1" x14ac:dyDescent="0.25">
      <c r="A23" s="376" t="s">
        <v>233</v>
      </c>
      <c r="B23" s="330" t="s">
        <v>232</v>
      </c>
      <c r="C23" s="658"/>
      <c r="D23" s="345" t="s">
        <v>231</v>
      </c>
      <c r="E23" s="375">
        <v>24025.200000000001</v>
      </c>
      <c r="F23" s="374"/>
      <c r="G23" s="373"/>
      <c r="H23" s="373"/>
      <c r="I23" s="372"/>
      <c r="J23" s="377"/>
      <c r="K23" s="353">
        <f t="shared" si="0"/>
        <v>26067.342000000001</v>
      </c>
      <c r="M23" s="166">
        <f t="shared" si="1"/>
        <v>252.89684210526318</v>
      </c>
      <c r="N23" s="166">
        <f t="shared" si="2"/>
        <v>3.2287595753258973</v>
      </c>
      <c r="O23" s="166">
        <f t="shared" si="3"/>
        <v>2.2999425617461231</v>
      </c>
    </row>
    <row r="24" spans="1:15" ht="24.9" customHeight="1" x14ac:dyDescent="0.25">
      <c r="A24" s="376">
        <v>14</v>
      </c>
      <c r="B24" s="330" t="s">
        <v>230</v>
      </c>
      <c r="C24" s="658"/>
      <c r="D24" s="378" t="s">
        <v>229</v>
      </c>
      <c r="E24" s="343">
        <v>311880</v>
      </c>
      <c r="F24" s="374"/>
      <c r="G24" s="373"/>
      <c r="H24" s="373"/>
      <c r="I24" s="372"/>
      <c r="J24" s="377"/>
      <c r="K24" s="353">
        <f t="shared" si="0"/>
        <v>338389.8</v>
      </c>
      <c r="M24" s="166">
        <f t="shared" si="1"/>
        <v>3282.9473684210525</v>
      </c>
      <c r="N24" s="166">
        <f t="shared" si="2"/>
        <v>41.913721274022308</v>
      </c>
      <c r="O24" s="166">
        <f t="shared" si="3"/>
        <v>29.856404365307295</v>
      </c>
    </row>
    <row r="25" spans="1:15" ht="24.9" customHeight="1" x14ac:dyDescent="0.25">
      <c r="A25" s="376"/>
      <c r="B25" s="330" t="s">
        <v>228</v>
      </c>
      <c r="C25" s="659"/>
      <c r="D25" s="345" t="s">
        <v>227</v>
      </c>
      <c r="E25" s="375">
        <v>42060</v>
      </c>
      <c r="F25" s="374"/>
      <c r="G25" s="373"/>
      <c r="H25" s="373"/>
      <c r="I25" s="372"/>
      <c r="J25" s="371"/>
      <c r="K25" s="353">
        <f t="shared" si="0"/>
        <v>45635.1</v>
      </c>
      <c r="M25" s="166">
        <f t="shared" si="1"/>
        <v>442.73684210526318</v>
      </c>
      <c r="N25" s="166">
        <f t="shared" si="2"/>
        <v>5.6524660663889259</v>
      </c>
      <c r="O25" s="166">
        <f t="shared" si="3"/>
        <v>4.0264215967834573</v>
      </c>
    </row>
    <row r="26" spans="1:15" ht="24.9" customHeight="1" x14ac:dyDescent="0.25">
      <c r="A26" s="370"/>
      <c r="B26" s="369" t="s">
        <v>85</v>
      </c>
      <c r="C26" s="368">
        <v>150000</v>
      </c>
      <c r="D26" s="367"/>
      <c r="E26" s="339"/>
      <c r="F26" s="366"/>
      <c r="G26" s="365"/>
      <c r="H26" s="364"/>
      <c r="I26" s="363"/>
      <c r="K26" s="353">
        <f t="shared" si="0"/>
        <v>0</v>
      </c>
      <c r="M26" s="166">
        <f t="shared" si="1"/>
        <v>0</v>
      </c>
      <c r="N26" s="166">
        <f t="shared" si="2"/>
        <v>0</v>
      </c>
      <c r="O26" s="166">
        <f t="shared" si="3"/>
        <v>0</v>
      </c>
    </row>
    <row r="27" spans="1:15" ht="24.9" customHeight="1" x14ac:dyDescent="0.25">
      <c r="A27" s="357"/>
      <c r="B27" s="330" t="s">
        <v>194</v>
      </c>
      <c r="C27" s="361">
        <f>SUM(C10:C26)</f>
        <v>9108136</v>
      </c>
      <c r="D27" s="360"/>
      <c r="E27" s="359">
        <f>SUM(E10:E26)</f>
        <v>8041843.8099999996</v>
      </c>
      <c r="F27" s="358">
        <f>SUM(F10:F26)</f>
        <v>0</v>
      </c>
      <c r="G27" s="358">
        <f>SUM(G10:G26)</f>
        <v>0</v>
      </c>
      <c r="H27" s="358">
        <f>SUM(H10:H26)</f>
        <v>0</v>
      </c>
      <c r="I27" s="358">
        <f>SUM(I10:I26)</f>
        <v>0</v>
      </c>
      <c r="J27" s="357"/>
      <c r="K27" s="353">
        <f t="shared" si="0"/>
        <v>8725400.5338499993</v>
      </c>
      <c r="L27" s="362"/>
      <c r="M27" s="166">
        <f t="shared" si="1"/>
        <v>84650.987473684203</v>
      </c>
      <c r="N27" s="166">
        <f t="shared" si="2"/>
        <v>1080.7477234242708</v>
      </c>
      <c r="O27" s="166">
        <f t="shared" si="3"/>
        <v>769.84911066436905</v>
      </c>
    </row>
    <row r="28" spans="1:15" ht="24.9" customHeight="1" x14ac:dyDescent="0.25">
      <c r="A28" s="357"/>
      <c r="B28" s="330" t="s">
        <v>193</v>
      </c>
      <c r="C28" s="361">
        <f>C27*0.085</f>
        <v>774191.56</v>
      </c>
      <c r="D28" s="360"/>
      <c r="E28" s="359">
        <f>E27*0.085</f>
        <v>683556.72385000007</v>
      </c>
      <c r="F28" s="358">
        <f>F27*0.085</f>
        <v>0</v>
      </c>
      <c r="G28" s="358">
        <f>G27*0.085</f>
        <v>0</v>
      </c>
      <c r="H28" s="358">
        <f>H27*0.085</f>
        <v>0</v>
      </c>
      <c r="I28" s="358">
        <f>I27*0.085</f>
        <v>0</v>
      </c>
      <c r="J28" s="357"/>
      <c r="K28" s="353"/>
      <c r="L28" s="362"/>
    </row>
    <row r="29" spans="1:15" ht="24.9" customHeight="1" x14ac:dyDescent="0.25">
      <c r="A29" s="357"/>
      <c r="B29" s="330" t="s">
        <v>2</v>
      </c>
      <c r="C29" s="361">
        <f>C27+C28</f>
        <v>9882327.5600000005</v>
      </c>
      <c r="D29" s="360"/>
      <c r="E29" s="359">
        <f>E27+E28</f>
        <v>8725400.5338499993</v>
      </c>
      <c r="F29" s="358">
        <f>F27+F28</f>
        <v>0</v>
      </c>
      <c r="G29" s="358">
        <f>G27+G28</f>
        <v>0</v>
      </c>
      <c r="H29" s="358">
        <f>H27+H28</f>
        <v>0</v>
      </c>
      <c r="I29" s="358">
        <f>I27+I28</f>
        <v>0</v>
      </c>
      <c r="J29" s="357"/>
      <c r="K29" s="353">
        <f>+K27</f>
        <v>8725400.5338499993</v>
      </c>
      <c r="L29" s="356"/>
    </row>
    <row r="30" spans="1:15" ht="24.9" customHeight="1" x14ac:dyDescent="0.25">
      <c r="A30" s="652"/>
      <c r="B30" s="652"/>
      <c r="C30" s="652"/>
      <c r="D30" s="652"/>
      <c r="K30" s="323"/>
    </row>
    <row r="31" spans="1:15" ht="24.9" customHeight="1" x14ac:dyDescent="0.25">
      <c r="B31" s="355"/>
      <c r="C31" s="354"/>
      <c r="D31" s="333"/>
      <c r="K31" s="353">
        <v>750000</v>
      </c>
      <c r="L31" s="351" t="s">
        <v>226</v>
      </c>
    </row>
    <row r="32" spans="1:15" ht="24.9" customHeight="1" x14ac:dyDescent="0.25">
      <c r="B32" s="345" t="s">
        <v>225</v>
      </c>
      <c r="C32" s="339">
        <v>400000</v>
      </c>
      <c r="D32" s="348" t="s">
        <v>224</v>
      </c>
      <c r="E32" s="339">
        <v>538385</v>
      </c>
      <c r="F32" s="347">
        <f>(E32-C32)</f>
        <v>138385</v>
      </c>
      <c r="G32" s="339"/>
      <c r="H32" s="339"/>
      <c r="I32" s="339"/>
      <c r="K32" s="352">
        <f>+K31+K29</f>
        <v>9475400.5338499993</v>
      </c>
      <c r="L32" s="351" t="s">
        <v>223</v>
      </c>
    </row>
    <row r="33" spans="2:14" ht="24.9" customHeight="1" x14ac:dyDescent="0.25">
      <c r="B33" s="345" t="s">
        <v>222</v>
      </c>
      <c r="C33" s="339"/>
      <c r="D33" s="348" t="s">
        <v>221</v>
      </c>
      <c r="E33" s="339">
        <v>19500</v>
      </c>
      <c r="F33" s="347"/>
      <c r="G33" s="339"/>
      <c r="H33" s="339"/>
      <c r="I33" s="339"/>
      <c r="K33" s="323">
        <f>+K32/I2</f>
        <v>1273.4041840948796</v>
      </c>
      <c r="L33" s="91" t="s">
        <v>220</v>
      </c>
      <c r="N33">
        <f>+K33/1.085</f>
        <v>1173.6444093040366</v>
      </c>
    </row>
    <row r="34" spans="2:14" ht="24.9" customHeight="1" x14ac:dyDescent="0.25">
      <c r="B34" s="345" t="s">
        <v>219</v>
      </c>
      <c r="C34" s="339">
        <v>10920</v>
      </c>
      <c r="D34" s="348" t="s">
        <v>216</v>
      </c>
      <c r="E34" s="348">
        <v>7100</v>
      </c>
      <c r="F34" s="350">
        <f>(E34-C34)</f>
        <v>-3820</v>
      </c>
      <c r="G34" s="339"/>
      <c r="H34" s="339"/>
      <c r="I34" s="339"/>
      <c r="K34" s="323">
        <f>+K32/(I2+I3)</f>
        <v>907.08410241719309</v>
      </c>
      <c r="L34" s="91" t="s">
        <v>218</v>
      </c>
      <c r="N34">
        <f>+K34/1.085</f>
        <v>836.02221420939463</v>
      </c>
    </row>
    <row r="35" spans="2:14" ht="24.9" customHeight="1" x14ac:dyDescent="0.25">
      <c r="B35" s="345" t="s">
        <v>217</v>
      </c>
      <c r="C35" s="339">
        <v>35000</v>
      </c>
      <c r="D35" s="348" t="s">
        <v>216</v>
      </c>
      <c r="E35" s="348">
        <v>38000</v>
      </c>
      <c r="F35" s="347">
        <f>(E35-C35)</f>
        <v>3000</v>
      </c>
      <c r="G35" s="339"/>
      <c r="H35" s="339"/>
      <c r="I35" s="339"/>
      <c r="K35" s="323"/>
    </row>
    <row r="36" spans="2:14" ht="24.9" customHeight="1" x14ac:dyDescent="0.25">
      <c r="B36" s="345" t="s">
        <v>215</v>
      </c>
      <c r="C36" s="339">
        <v>9449</v>
      </c>
      <c r="D36" s="348" t="s">
        <v>214</v>
      </c>
      <c r="E36" s="348">
        <v>8193.75</v>
      </c>
      <c r="F36" s="350">
        <f>(E36-C36)</f>
        <v>-1255.25</v>
      </c>
      <c r="G36" s="339"/>
      <c r="H36" s="339"/>
      <c r="I36" s="339"/>
      <c r="K36" s="323"/>
    </row>
    <row r="37" spans="2:14" ht="24.9" customHeight="1" x14ac:dyDescent="0.25">
      <c r="B37" s="345" t="s">
        <v>213</v>
      </c>
      <c r="C37" s="649">
        <v>65000</v>
      </c>
      <c r="D37" s="348" t="s">
        <v>212</v>
      </c>
      <c r="E37" s="339">
        <f>(31758.38+37232)</f>
        <v>68990.38</v>
      </c>
      <c r="F37" s="339"/>
      <c r="G37" s="339"/>
      <c r="H37" s="339"/>
      <c r="I37" s="339"/>
      <c r="J37" s="349" t="s">
        <v>211</v>
      </c>
      <c r="K37" s="323"/>
    </row>
    <row r="38" spans="2:14" ht="24.9" customHeight="1" x14ac:dyDescent="0.25">
      <c r="B38" s="345" t="s">
        <v>210</v>
      </c>
      <c r="C38" s="650"/>
      <c r="D38" s="348" t="s">
        <v>209</v>
      </c>
      <c r="E38" s="339"/>
      <c r="F38" s="339"/>
      <c r="G38" s="339"/>
      <c r="H38" s="339"/>
      <c r="I38" s="339"/>
      <c r="K38" s="323"/>
    </row>
    <row r="39" spans="2:14" ht="24.9" customHeight="1" x14ac:dyDescent="0.3">
      <c r="B39" s="345" t="s">
        <v>208</v>
      </c>
      <c r="C39" s="651"/>
      <c r="D39" s="344" t="s">
        <v>207</v>
      </c>
      <c r="E39" s="339">
        <v>3616.01</v>
      </c>
      <c r="F39" s="339"/>
      <c r="G39" s="342"/>
      <c r="H39" s="342"/>
      <c r="I39" s="342"/>
      <c r="K39" s="323"/>
    </row>
    <row r="40" spans="2:14" ht="24.9" customHeight="1" x14ac:dyDescent="0.3">
      <c r="B40" s="345" t="s">
        <v>206</v>
      </c>
      <c r="C40" s="346">
        <v>2450000</v>
      </c>
      <c r="D40" s="344" t="s">
        <v>205</v>
      </c>
      <c r="E40" s="339">
        <v>2450000</v>
      </c>
      <c r="F40" s="339">
        <f t="shared" ref="F40:F47" si="4">(E40-C40)</f>
        <v>0</v>
      </c>
      <c r="G40" s="342"/>
      <c r="H40" s="342"/>
      <c r="I40" s="342"/>
      <c r="K40" s="323"/>
    </row>
    <row r="41" spans="2:14" ht="24.9" customHeight="1" x14ac:dyDescent="0.3">
      <c r="B41" s="345" t="s">
        <v>204</v>
      </c>
      <c r="C41" s="346">
        <v>5600</v>
      </c>
      <c r="D41" s="344"/>
      <c r="E41" s="339"/>
      <c r="F41" s="339">
        <f t="shared" si="4"/>
        <v>-5600</v>
      </c>
      <c r="G41" s="342"/>
      <c r="H41" s="342"/>
      <c r="I41" s="342"/>
      <c r="K41" s="323"/>
    </row>
    <row r="42" spans="2:14" ht="24.9" customHeight="1" x14ac:dyDescent="0.3">
      <c r="B42" s="345" t="s">
        <v>203</v>
      </c>
      <c r="C42" s="346">
        <v>2140.94</v>
      </c>
      <c r="D42" s="344" t="s">
        <v>202</v>
      </c>
      <c r="E42" s="339">
        <v>2140.94</v>
      </c>
      <c r="F42" s="347">
        <f t="shared" si="4"/>
        <v>0</v>
      </c>
      <c r="G42" s="342"/>
      <c r="H42" s="342"/>
      <c r="I42" s="342"/>
      <c r="K42" s="323"/>
    </row>
    <row r="43" spans="2:14" ht="24.9" customHeight="1" x14ac:dyDescent="0.3">
      <c r="B43" s="345" t="s">
        <v>201</v>
      </c>
      <c r="C43" s="346">
        <v>119860</v>
      </c>
      <c r="D43" s="344"/>
      <c r="E43" s="339"/>
      <c r="F43" s="339">
        <f t="shared" si="4"/>
        <v>-119860</v>
      </c>
      <c r="G43" s="342"/>
      <c r="H43" s="342"/>
      <c r="I43" s="342"/>
      <c r="K43" s="323" t="s">
        <v>200</v>
      </c>
    </row>
    <row r="44" spans="2:14" ht="24.9" customHeight="1" x14ac:dyDescent="0.3">
      <c r="B44" s="345" t="s">
        <v>199</v>
      </c>
      <c r="C44" s="346">
        <v>47000</v>
      </c>
      <c r="D44" s="344" t="s">
        <v>198</v>
      </c>
      <c r="E44" s="339">
        <v>4800</v>
      </c>
      <c r="F44" s="339">
        <f t="shared" si="4"/>
        <v>-42200</v>
      </c>
      <c r="G44" s="342"/>
      <c r="H44" s="342"/>
      <c r="I44" s="342"/>
      <c r="K44" s="323"/>
    </row>
    <row r="45" spans="2:14" ht="24.9" customHeight="1" x14ac:dyDescent="0.3">
      <c r="B45" s="345" t="s">
        <v>197</v>
      </c>
      <c r="C45" s="346">
        <v>206409</v>
      </c>
      <c r="D45" s="344"/>
      <c r="E45" s="339"/>
      <c r="F45" s="339">
        <f t="shared" si="4"/>
        <v>-206409</v>
      </c>
      <c r="G45" s="342"/>
      <c r="H45" s="342"/>
      <c r="I45" s="342"/>
      <c r="K45" s="323"/>
    </row>
    <row r="46" spans="2:14" ht="24.9" customHeight="1" x14ac:dyDescent="0.3">
      <c r="B46" s="345" t="s">
        <v>196</v>
      </c>
      <c r="C46" s="339">
        <f>(8474+56492+84739+49480+9601)</f>
        <v>208786</v>
      </c>
      <c r="D46" s="344"/>
      <c r="E46" s="343"/>
      <c r="F46" s="339">
        <f t="shared" si="4"/>
        <v>-208786</v>
      </c>
      <c r="G46" s="342"/>
      <c r="H46" s="342"/>
      <c r="I46" s="342"/>
      <c r="K46" s="323"/>
    </row>
    <row r="47" spans="2:14" ht="24.9" customHeight="1" x14ac:dyDescent="0.3">
      <c r="B47" s="330" t="s">
        <v>195</v>
      </c>
      <c r="C47" s="341">
        <v>192000</v>
      </c>
      <c r="D47" s="340"/>
      <c r="E47" s="334">
        <v>192000</v>
      </c>
      <c r="F47" s="339">
        <f t="shared" si="4"/>
        <v>0</v>
      </c>
      <c r="G47" s="338"/>
      <c r="H47" s="338"/>
      <c r="I47" s="338"/>
      <c r="K47" s="323"/>
    </row>
    <row r="48" spans="2:14" ht="24.9" customHeight="1" x14ac:dyDescent="0.3">
      <c r="B48" s="330" t="s">
        <v>194</v>
      </c>
      <c r="C48" s="336">
        <f>SUM(C32:C39)</f>
        <v>520369</v>
      </c>
      <c r="D48" s="335"/>
      <c r="E48" s="337">
        <f>SUM(E32:E39)</f>
        <v>683785.14</v>
      </c>
      <c r="F48" s="41"/>
      <c r="G48" s="41"/>
      <c r="H48" s="41"/>
      <c r="I48" s="41"/>
      <c r="K48" s="323"/>
    </row>
    <row r="49" spans="2:11" ht="24.9" customHeight="1" x14ac:dyDescent="0.3">
      <c r="B49" s="330" t="s">
        <v>193</v>
      </c>
      <c r="C49" s="336">
        <f>C48*0.085</f>
        <v>44231.365000000005</v>
      </c>
      <c r="D49" s="335"/>
      <c r="E49" s="334">
        <f>E48*0.085</f>
        <v>58121.736900000004</v>
      </c>
      <c r="F49" s="41"/>
      <c r="G49" s="41"/>
      <c r="H49" s="41"/>
      <c r="I49" s="41"/>
      <c r="K49" s="323"/>
    </row>
    <row r="50" spans="2:11" ht="24.9" customHeight="1" x14ac:dyDescent="0.3">
      <c r="B50" s="330" t="s">
        <v>2</v>
      </c>
      <c r="C50" s="336">
        <f>SUM(C48:C49)</f>
        <v>564600.36499999999</v>
      </c>
      <c r="D50" s="335"/>
      <c r="E50" s="334">
        <f>SUM(E48:E49)</f>
        <v>741906.87690000003</v>
      </c>
      <c r="F50" s="41"/>
      <c r="G50" s="41"/>
      <c r="H50" s="41"/>
      <c r="I50" s="41"/>
      <c r="K50" s="323"/>
    </row>
    <row r="51" spans="2:11" ht="24.9" customHeight="1" x14ac:dyDescent="0.25">
      <c r="D51" s="333"/>
      <c r="K51" s="323"/>
    </row>
    <row r="52" spans="2:11" ht="24.9" customHeight="1" x14ac:dyDescent="0.25">
      <c r="D52" s="333"/>
      <c r="K52" s="323"/>
    </row>
    <row r="53" spans="2:11" ht="24.9" customHeight="1" x14ac:dyDescent="0.25">
      <c r="B53" s="332" t="s">
        <v>192</v>
      </c>
      <c r="C53" s="331" t="s">
        <v>191</v>
      </c>
      <c r="D53" s="331" t="s">
        <v>1</v>
      </c>
      <c r="E53" s="331" t="s">
        <v>190</v>
      </c>
      <c r="K53" s="323"/>
    </row>
    <row r="54" spans="2:11" ht="24.9" customHeight="1" x14ac:dyDescent="0.25">
      <c r="B54" s="330" t="s">
        <v>189</v>
      </c>
      <c r="C54" s="329">
        <f>(E27+G27+H27+I27)-E10</f>
        <v>7438995.0099999998</v>
      </c>
      <c r="D54" s="329">
        <f>C54*0.085</f>
        <v>632314.57585000002</v>
      </c>
      <c r="E54" s="329">
        <f>SUM(C54:D54)</f>
        <v>8071309.5858499995</v>
      </c>
      <c r="K54" s="323"/>
    </row>
    <row r="55" spans="2:11" ht="24.9" customHeight="1" x14ac:dyDescent="0.25">
      <c r="B55" s="328" t="s">
        <v>188</v>
      </c>
      <c r="C55" s="327">
        <f>E10+E36+E37+E38+E39+E47</f>
        <v>875648.94000000006</v>
      </c>
      <c r="D55" s="329">
        <f>C55*0.085</f>
        <v>74430.159900000013</v>
      </c>
      <c r="E55" s="329">
        <f>SUM(C55:D55)</f>
        <v>950079.09990000003</v>
      </c>
      <c r="K55" s="323"/>
    </row>
    <row r="56" spans="2:11" ht="24.9" customHeight="1" thickBot="1" x14ac:dyDescent="0.3">
      <c r="B56" s="328" t="s">
        <v>187</v>
      </c>
      <c r="C56" s="327">
        <f>E32+E34+E35+42+E41+E42+E43+E44+E45+E46+E47</f>
        <v>782467.94</v>
      </c>
      <c r="D56" s="327">
        <f>C56*0.085</f>
        <v>66509.774900000004</v>
      </c>
      <c r="E56" s="327">
        <f>SUM(C56:D56)</f>
        <v>848977.7148999999</v>
      </c>
      <c r="K56" s="323"/>
    </row>
    <row r="57" spans="2:11" ht="24.9" customHeight="1" thickTop="1" thickBot="1" x14ac:dyDescent="0.3">
      <c r="B57" s="326" t="s">
        <v>186</v>
      </c>
      <c r="C57" s="325">
        <f>SUM(C54:C56)</f>
        <v>9097111.8900000006</v>
      </c>
      <c r="D57" s="325">
        <f>C57*0.085</f>
        <v>773254.51065000007</v>
      </c>
      <c r="E57" s="324">
        <f>SUM(C57:D57)</f>
        <v>9870366.4006500002</v>
      </c>
      <c r="K57" s="323"/>
    </row>
    <row r="58" spans="2:11" ht="13.8" thickTop="1" x14ac:dyDescent="0.25"/>
  </sheetData>
  <mergeCells count="5">
    <mergeCell ref="C37:C39"/>
    <mergeCell ref="A30:D30"/>
    <mergeCell ref="C7:E7"/>
    <mergeCell ref="G7:I7"/>
    <mergeCell ref="C11:C25"/>
  </mergeCells>
  <pageMargins left="0.78740157499999996" right="0.78740157499999996" top="0.984251969" bottom="0.984251969" header="0.4921259845" footer="0.4921259845"/>
  <pageSetup paperSize="9" orientation="portrait" r:id="rId1"/>
  <headerFooter alignWithMargins="0"/>
  <drawing r:id="rId2"/>
  <legacyDrawing r:id="rId3"/>
  <oleObjects>
    <mc:AlternateContent xmlns:mc="http://schemas.openxmlformats.org/markup-compatibility/2006">
      <mc:Choice Requires="x14">
        <oleObject progId="MSPhotoEd.3" shapeId="6145" r:id="rId4">
          <objectPr defaultSize="0" autoPict="0" r:id="rId5">
            <anchor moveWithCells="1" sizeWithCells="1">
              <from>
                <xdr:col>0</xdr:col>
                <xdr:colOff>0</xdr:colOff>
                <xdr:row>0</xdr:row>
                <xdr:rowOff>0</xdr:rowOff>
              </from>
              <to>
                <xdr:col>0</xdr:col>
                <xdr:colOff>586740</xdr:colOff>
                <xdr:row>4</xdr:row>
                <xdr:rowOff>7620</xdr:rowOff>
              </to>
            </anchor>
          </objectPr>
        </oleObject>
      </mc:Choice>
      <mc:Fallback>
        <oleObject progId="MSPhotoEd.3" shapeId="614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19</vt:i4>
      </vt:variant>
    </vt:vector>
  </HeadingPairs>
  <TitlesOfParts>
    <vt:vector size="27" baseType="lpstr">
      <vt:lpstr>surfaces</vt:lpstr>
      <vt:lpstr>SYNTHESE</vt:lpstr>
      <vt:lpstr>Budget</vt:lpstr>
      <vt:lpstr>Estimation</vt:lpstr>
      <vt:lpstr>GRILLE</vt:lpstr>
      <vt:lpstr>Plan de trésorerie</vt:lpstr>
      <vt:lpstr>Amortissement</vt:lpstr>
      <vt:lpstr>Tab. Définitif 9-12-11</vt:lpstr>
      <vt:lpstr>annee</vt:lpstr>
      <vt:lpstr>coutassurance</vt:lpstr>
      <vt:lpstr>coutinterets</vt:lpstr>
      <vt:lpstr>couttotal</vt:lpstr>
      <vt:lpstr>dureepret</vt:lpstr>
      <vt:lpstr>mensualiteassurance</vt:lpstr>
      <vt:lpstr>mensualitehorsassurance</vt:lpstr>
      <vt:lpstr>mensualitetotale</vt:lpstr>
      <vt:lpstr>mois</vt:lpstr>
      <vt:lpstr>pret</vt:lpstr>
      <vt:lpstr>tauxassurance</vt:lpstr>
      <vt:lpstr>tauxinteret</vt:lpstr>
      <vt:lpstr>test</vt:lpstr>
      <vt:lpstr>Budget!Zone_d_impression</vt:lpstr>
      <vt:lpstr>Estimation!Zone_d_impression</vt:lpstr>
      <vt:lpstr>GRILLE!Zone_d_impression</vt:lpstr>
      <vt:lpstr>'Plan de trésorerie'!Zone_d_impression</vt:lpstr>
      <vt:lpstr>surfaces!Zone_d_impression</vt:lpstr>
      <vt:lpstr>SYNTHESE!Zone_d_impression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Baileys</cp:lastModifiedBy>
  <cp:lastPrinted>2014-05-09T06:51:05Z</cp:lastPrinted>
  <dcterms:created xsi:type="dcterms:W3CDTF">2003-10-13T12:24:36Z</dcterms:created>
  <dcterms:modified xsi:type="dcterms:W3CDTF">2014-06-12T05:59:17Z</dcterms:modified>
</cp:coreProperties>
</file>