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8235" windowWidth="15120" windowHeight="1185"/>
  </bookViews>
  <sheets>
    <sheet name="LABCEM Project" sheetId="1" r:id="rId1"/>
    <sheet name="FIAREX Project" sheetId="5" r:id="rId2"/>
    <sheet name="INVOICE TOTAL" sheetId="4" r:id="rId3"/>
    <sheet name="Feuil1" sheetId="6" r:id="rId4"/>
  </sheets>
  <functionGroups builtInGroupCount="17"/>
  <definedNames>
    <definedName name="_xlnm._FilterDatabase" localSheetId="1" hidden="1">'FIAREX Project'!$B$1:$O$7</definedName>
    <definedName name="_xlnm._FilterDatabase" localSheetId="0" hidden="1">'LABCEM Project'!$C$1:$C$19</definedName>
  </definedNames>
  <calcPr calcId="145621"/>
</workbook>
</file>

<file path=xl/calcChain.xml><?xml version="1.0" encoding="utf-8"?>
<calcChain xmlns="http://schemas.openxmlformats.org/spreadsheetml/2006/main">
  <c r="D4" i="4" l="1"/>
  <c r="E7" i="6"/>
  <c r="E6" i="6"/>
  <c r="E8" i="6"/>
  <c r="F6" i="4"/>
  <c r="B6" i="4"/>
  <c r="D5" i="4"/>
  <c r="B5" i="4"/>
  <c r="E9" i="6"/>
  <c r="B3" i="4"/>
  <c r="D6" i="4"/>
  <c r="D3" i="4"/>
  <c r="F12" i="1"/>
  <c r="F13" i="1"/>
  <c r="F7" i="1"/>
  <c r="F17" i="1"/>
  <c r="F11" i="1"/>
  <c r="F15" i="1"/>
  <c r="F8" i="1"/>
  <c r="F14" i="1"/>
  <c r="F16" i="1"/>
  <c r="F9" i="1"/>
  <c r="F18" i="1"/>
  <c r="F10" i="1"/>
  <c r="F19" i="1"/>
  <c r="F20" i="1"/>
  <c r="B2" i="6" l="1"/>
  <c r="C4" i="6"/>
  <c r="B4" i="6"/>
  <c r="C13" i="6"/>
  <c r="C12" i="6"/>
  <c r="C11" i="6"/>
  <c r="C10" i="6"/>
  <c r="C9" i="6"/>
  <c r="C8" i="6"/>
  <c r="C7" i="6"/>
  <c r="C6" i="6"/>
  <c r="C5" i="6"/>
  <c r="C3" i="6"/>
  <c r="C2" i="6"/>
  <c r="B13" i="6"/>
  <c r="B12" i="6"/>
  <c r="B11" i="6"/>
  <c r="B10" i="6"/>
  <c r="B9" i="6"/>
  <c r="B8" i="6"/>
  <c r="B7" i="6"/>
  <c r="B6" i="6"/>
  <c r="B5" i="6"/>
  <c r="B3" i="6"/>
  <c r="D8" i="4" l="1"/>
</calcChain>
</file>

<file path=xl/sharedStrings.xml><?xml version="1.0" encoding="utf-8"?>
<sst xmlns="http://schemas.openxmlformats.org/spreadsheetml/2006/main" count="129" uniqueCount="102">
  <si>
    <t>#</t>
  </si>
  <si>
    <t>Job Number</t>
  </si>
  <si>
    <t xml:space="preserve">Client </t>
  </si>
  <si>
    <t>Description</t>
  </si>
  <si>
    <t>PO #</t>
  </si>
  <si>
    <t>Invoice #</t>
  </si>
  <si>
    <t>Comments</t>
  </si>
  <si>
    <t>N/A</t>
  </si>
  <si>
    <t>Essais d'ingénierie</t>
  </si>
  <si>
    <t>CP</t>
  </si>
  <si>
    <t>F-0209-305</t>
  </si>
  <si>
    <t>F-0326-301</t>
  </si>
  <si>
    <t>Essais de qualification alimentation 12V</t>
  </si>
  <si>
    <t>Essais de qualification 4 unités</t>
  </si>
  <si>
    <t>Essais de qualification</t>
  </si>
  <si>
    <t>F-0806-307</t>
  </si>
  <si>
    <t>Essais de qualification-  Scalance W788-2 M12  (NEMA-TS2)</t>
  </si>
  <si>
    <t>TR-0209-305</t>
  </si>
  <si>
    <t>En soumission</t>
  </si>
  <si>
    <t>Annulé</t>
  </si>
  <si>
    <t>En cours</t>
  </si>
  <si>
    <t>Facturé</t>
  </si>
  <si>
    <t>PROJETS EN COURS</t>
  </si>
  <si>
    <t>MONTANT</t>
  </si>
  <si>
    <t>NOMBRE</t>
  </si>
  <si>
    <t>Invoice Amount</t>
  </si>
  <si>
    <t>Paper</t>
  </si>
  <si>
    <t>Recipient</t>
  </si>
  <si>
    <t>PROJETS ANNULÉS</t>
  </si>
  <si>
    <t>PROJETS EN SOUMISSION</t>
  </si>
  <si>
    <t xml:space="preserve">NOMBRE TOTAL DE SOUMISSIONS </t>
  </si>
  <si>
    <t>PROJETS FACTURÉS</t>
  </si>
  <si>
    <t>AVEC TAXES</t>
  </si>
  <si>
    <t>TR-0326-301</t>
  </si>
  <si>
    <t>Fiarex Report</t>
  </si>
  <si>
    <t xml:space="preserve">Essais de qualification </t>
  </si>
  <si>
    <t>0506-401</t>
  </si>
  <si>
    <t>0506-402</t>
  </si>
  <si>
    <t>0507-401</t>
  </si>
  <si>
    <t>0507-402</t>
  </si>
  <si>
    <t>0507-403</t>
  </si>
  <si>
    <t>1/2 journée réalisée,  Appeler ou écrire au client  avant de facturer</t>
  </si>
  <si>
    <t>0510-401</t>
  </si>
  <si>
    <t>0512-401</t>
  </si>
  <si>
    <t>0512-402</t>
  </si>
  <si>
    <t>0515-401</t>
  </si>
  <si>
    <t>0520-401</t>
  </si>
  <si>
    <t>Consultation ESD</t>
  </si>
  <si>
    <t xml:space="preserve">Invoice        Date </t>
  </si>
  <si>
    <t>Invoice         Type</t>
  </si>
  <si>
    <t>PO         Amount</t>
  </si>
  <si>
    <t>PO                        Date</t>
  </si>
  <si>
    <t>TR #                 sent</t>
  </si>
  <si>
    <t>PO                  Date</t>
  </si>
  <si>
    <t>PO                 Amount</t>
  </si>
  <si>
    <t>TR #             sent</t>
  </si>
  <si>
    <t>Invoice Amount + Fee</t>
  </si>
  <si>
    <t>INV-0522-408</t>
  </si>
  <si>
    <t>0523-401</t>
  </si>
  <si>
    <t>0524-401</t>
  </si>
  <si>
    <t>0525-401</t>
  </si>
  <si>
    <t>XX</t>
  </si>
  <si>
    <t>CC</t>
  </si>
  <si>
    <t>DD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</si>
  <si>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</si>
  <si>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</si>
  <si>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</si>
  <si>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</si>
  <si>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</si>
  <si>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</si>
  <si>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</si>
  <si>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</si>
  <si>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</si>
  <si>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</si>
  <si>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</si>
  <si>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</si>
  <si>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</si>
  <si>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PO-A</t>
  </si>
  <si>
    <t>PO-C</t>
  </si>
  <si>
    <t>PO-D</t>
  </si>
  <si>
    <t>PO-E</t>
  </si>
  <si>
    <t>PO-I</t>
  </si>
  <si>
    <t>PO-J</t>
  </si>
  <si>
    <t>Essais de qualifiaction -M2</t>
  </si>
  <si>
    <t>Essais de qualifiaction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</si>
  <si>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</si>
  <si>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</si>
  <si>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</si>
  <si>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</si>
  <si>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</si>
  <si>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</si>
  <si>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</si>
  <si>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</si>
  <si>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 xml:space="preserve">Août </t>
  </si>
  <si>
    <t>Septembre</t>
  </si>
  <si>
    <t>Octobre</t>
  </si>
  <si>
    <t>Novembre</t>
  </si>
  <si>
    <t>Décembre</t>
  </si>
  <si>
    <t>Nombre de PO</t>
  </si>
  <si>
    <t>Montant</t>
  </si>
  <si>
    <t>Z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</si>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</sst>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$&quot;"/>
    <numFmt numFmtId="165" formatCode="dd/mm/yyyy;@"/>
    <numFmt numFmtId="166" formatCode="[$-C09]d\ mmmm\ yyyy;@"/>
  </numFmts>
  <fonts count="9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8"/>
      <color theme="0"/>
      <name val="Calibri"/>
      <family val="2"/>
      <scheme val="minor"/>
    </font>
    <font>
      <b/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1" xfId="0" applyFont="1" applyBorder="1"/>
    <xf numFmtId="0" fontId="2" fillId="3" borderId="1" xfId="0" applyFont="1" applyFill="1" applyBorder="1"/>
    <xf numFmtId="49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/>
    <xf numFmtId="164" fontId="2" fillId="3" borderId="1" xfId="0" applyNumberFormat="1" applyFont="1" applyFill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0" fontId="4" fillId="3" borderId="1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right"/>
    </xf>
    <xf numFmtId="166" fontId="3" fillId="3" borderId="1" xfId="0" applyNumberFormat="1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right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/>
    </xf>
    <xf numFmtId="49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66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49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5" fillId="2" borderId="0" xfId="0" applyFont="1" applyFill="1"/>
    <xf numFmtId="164" fontId="5" fillId="2" borderId="0" xfId="0" applyNumberFormat="1" applyFont="1" applyFill="1"/>
    <xf numFmtId="0" fontId="5" fillId="3" borderId="0" xfId="0" applyFont="1" applyFill="1"/>
    <xf numFmtId="164" fontId="5" fillId="3" borderId="0" xfId="0" applyNumberFormat="1" applyFont="1" applyFill="1"/>
    <xf numFmtId="0" fontId="5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5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6" borderId="0" xfId="0" applyFont="1" applyFill="1" applyAlignment="1">
      <alignment horizontal="center"/>
    </xf>
    <xf numFmtId="0" fontId="5" fillId="6" borderId="0" xfId="0" applyFont="1" applyFill="1"/>
    <xf numFmtId="0" fontId="5" fillId="4" borderId="0" xfId="0" applyFont="1" applyFill="1"/>
    <xf numFmtId="0" fontId="5" fillId="4" borderId="0" xfId="0" applyFont="1" applyFill="1" applyAlignment="1">
      <alignment horizontal="center"/>
    </xf>
    <xf numFmtId="164" fontId="0" fillId="0" borderId="0" xfId="0" applyNumberFormat="1"/>
    <xf numFmtId="0" fontId="5" fillId="0" borderId="0" xfId="0" applyFont="1" applyFill="1"/>
    <xf numFmtId="164" fontId="5" fillId="0" borderId="0" xfId="0" applyNumberFormat="1" applyFont="1" applyFill="1"/>
    <xf numFmtId="0" fontId="0" fillId="0" borderId="0" xfId="0" applyFill="1"/>
    <xf numFmtId="0" fontId="5" fillId="0" borderId="0" xfId="0" applyFont="1" applyFill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right"/>
    </xf>
    <xf numFmtId="164" fontId="5" fillId="4" borderId="0" xfId="0" applyNumberFormat="1" applyFont="1" applyFill="1" applyAlignment="1">
      <alignment horizontal="right"/>
    </xf>
    <xf numFmtId="166" fontId="6" fillId="5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right" vertical="center" wrapText="1"/>
    </xf>
    <xf numFmtId="164" fontId="1" fillId="6" borderId="1" xfId="0" applyNumberFormat="1" applyFont="1" applyFill="1" applyBorder="1" applyAlignment="1">
      <alignment horizontal="right" vertical="center" wrapText="1"/>
    </xf>
    <xf numFmtId="164" fontId="8" fillId="2" borderId="1" xfId="0" applyNumberFormat="1" applyFont="1" applyFill="1" applyBorder="1" applyAlignment="1">
      <alignment horizontal="right"/>
    </xf>
    <xf numFmtId="164" fontId="8" fillId="3" borderId="1" xfId="0" applyNumberFormat="1" applyFont="1" applyFill="1" applyBorder="1" applyAlignment="1">
      <alignment horizontal="right"/>
    </xf>
    <xf numFmtId="164" fontId="8" fillId="0" borderId="1" xfId="0" applyNumberFormat="1" applyFont="1" applyFill="1" applyBorder="1" applyAlignment="1">
      <alignment horizontal="right"/>
    </xf>
    <xf numFmtId="166" fontId="6" fillId="4" borderId="1" xfId="0" applyNumberFormat="1" applyFont="1" applyFill="1" applyBorder="1" applyAlignment="1">
      <alignment horizontal="center" vertical="center"/>
    </xf>
    <xf numFmtId="166" fontId="6" fillId="6" borderId="1" xfId="0" applyNumberFormat="1" applyFon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49" fontId="2" fillId="4" borderId="1" xfId="0" applyNumberFormat="1" applyFon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164" fontId="4" fillId="4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49" fontId="2" fillId="2" borderId="1" xfId="0" applyNumberFormat="1" applyFont="1" applyFill="1" applyBorder="1" applyAlignment="1">
      <alignment horizontal="center"/>
    </xf>
    <xf numFmtId="166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4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right"/>
    </xf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/>
    <xf numFmtId="49" fontId="2" fillId="6" borderId="1" xfId="0" applyNumberFormat="1" applyFont="1" applyFill="1" applyBorder="1" applyAlignment="1">
      <alignment horizontal="center"/>
    </xf>
    <xf numFmtId="166" fontId="2" fillId="6" borderId="1" xfId="0" applyNumberFormat="1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right"/>
    </xf>
    <xf numFmtId="0" fontId="4" fillId="6" borderId="1" xfId="0" applyFont="1" applyFill="1" applyBorder="1" applyAlignment="1">
      <alignment horizontal="center"/>
    </xf>
    <xf numFmtId="164" fontId="4" fillId="6" borderId="1" xfId="0" applyNumberFormat="1" applyFont="1" applyFill="1" applyBorder="1" applyAlignment="1">
      <alignment horizontal="right"/>
    </xf>
    <xf numFmtId="0" fontId="0" fillId="4" borderId="0" xfId="0" applyFill="1"/>
    <xf numFmtId="0" fontId="0" fillId="6" borderId="0" xfId="0" applyFill="1"/>
    <xf numFmtId="0" fontId="0" fillId="8" borderId="0" xfId="0" applyFill="1"/>
    <xf numFmtId="0" fontId="6" fillId="5" borderId="1" xfId="0" applyNumberFormat="1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center" vertical="center"/>
    </xf>
    <xf numFmtId="0" fontId="6" fillId="6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6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Feuil1!$C$1</c:f>
              <c:strCache>
                <c:ptCount val="1"/>
                <c:pt idx="0">
                  <c:v>Montant</c:v>
                </c:pt>
              </c:strCache>
            </c:strRef>
          </c:tx>
          <c:marker>
            <c:symbol val="none"/>
          </c:marker>
          <c:cat>
            <c:strRef>
              <c:f>Feuil1!$A$2:$A$13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Feuil1!$C$2:$C$13</c:f>
              <c:numCache>
                <c:formatCode>General</c:formatCode>
                <c:ptCount val="12"/>
                <c:pt idx="0">
                  <c:v>2500</c:v>
                </c:pt>
                <c:pt idx="1">
                  <c:v>0</c:v>
                </c:pt>
                <c:pt idx="2">
                  <c:v>1250</c:v>
                </c:pt>
                <c:pt idx="3">
                  <c:v>0</c:v>
                </c:pt>
                <c:pt idx="4">
                  <c:v>1300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7300</c:v>
                </c:pt>
                <c:pt idx="10">
                  <c:v>0</c:v>
                </c:pt>
                <c:pt idx="11">
                  <c:v>50000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158272"/>
        <c:axId val="101778560"/>
      </c:lineChart>
      <c:catAx>
        <c:axId val="101158272"/>
        <c:scaling>
          <c:orientation val="minMax"/>
        </c:scaling>
        <c:delete val="0"/>
        <c:axPos val="b"/>
        <c:majorTickMark val="out"/>
        <c:minorTickMark val="none"/>
        <c:tickLblPos val="nextTo"/>
        <c:crossAx val="101778560"/>
        <c:crosses val="autoZero"/>
        <c:auto val="1"/>
        <c:lblAlgn val="ctr"/>
        <c:lblOffset val="100"/>
        <c:noMultiLvlLbl val="0"/>
      </c:catAx>
      <c:valAx>
        <c:axId val="101778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11582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Feuil1!$B$1</c:f>
              <c:strCache>
                <c:ptCount val="1"/>
                <c:pt idx="0">
                  <c:v>Nombre de PO</c:v>
                </c:pt>
              </c:strCache>
            </c:strRef>
          </c:tx>
          <c:marker>
            <c:symbol val="none"/>
          </c:marker>
          <c:cat>
            <c:strRef>
              <c:f>Feuil1!$A$2:$A$13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Feuil1!$B$2:$B$13</c:f>
              <c:numCache>
                <c:formatCode>General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815424"/>
        <c:axId val="101816960"/>
      </c:lineChart>
      <c:catAx>
        <c:axId val="101815424"/>
        <c:scaling>
          <c:orientation val="minMax"/>
        </c:scaling>
        <c:delete val="0"/>
        <c:axPos val="b"/>
        <c:majorTickMark val="out"/>
        <c:minorTickMark val="none"/>
        <c:tickLblPos val="nextTo"/>
        <c:crossAx val="101816960"/>
        <c:crosses val="autoZero"/>
        <c:auto val="1"/>
        <c:lblAlgn val="ctr"/>
        <c:lblOffset val="100"/>
        <c:noMultiLvlLbl val="0"/>
      </c:catAx>
      <c:valAx>
        <c:axId val="101816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18154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352425</xdr:colOff>
      <xdr:row>16</xdr:row>
      <xdr:rowOff>9525</xdr:rowOff>
    </xdr:from>
    <xdr:to>
      <xdr:col>12</xdr:col>
      <xdr:colOff>352425</xdr:colOff>
      <xdr:row>30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6</xdr:col>
      <xdr:colOff>0</xdr:colOff>
      <xdr:row>30</xdr:row>
      <xdr:rowOff>76200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0"/>
  <sheetViews>
    <sheetView tabSelected="1" zoomScale="90" zoomScaleNormal="9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22" sqref="D22"/>
    </sheetView>
  </sheetViews>
  <sheetFormatPr baseColWidth="10" defaultRowHeight="11.25" x14ac:dyDescent="0.2"/>
  <cols>
    <col min="1" max="1" width="3.85546875" style="6" bestFit="1" customWidth="1"/>
    <col min="2" max="2" width="10.5703125" style="6" bestFit="1" customWidth="1"/>
    <col min="3" max="3" width="26.7109375" style="1" bestFit="1" customWidth="1"/>
    <col min="4" max="4" width="63" style="1" customWidth="1"/>
    <col min="5" max="5" width="14.85546875" style="5" customWidth="1"/>
    <col min="6" max="6" width="14.85546875" style="110" customWidth="1"/>
    <col min="7" max="7" width="14.85546875" style="14" customWidth="1"/>
    <col min="8" max="8" width="11.28515625" style="5" customWidth="1"/>
    <col min="9" max="9" width="15.7109375" style="6" customWidth="1"/>
    <col min="10" max="10" width="12.42578125" style="6" customWidth="1"/>
    <col min="11" max="11" width="12.42578125" style="9" customWidth="1"/>
    <col min="12" max="12" width="13.5703125" style="9" customWidth="1"/>
    <col min="13" max="13" width="18" style="14" customWidth="1"/>
    <col min="14" max="14" width="15.140625" style="15" customWidth="1"/>
    <col min="15" max="15" width="18.28515625" style="6" bestFit="1" customWidth="1"/>
    <col min="16" max="16" width="83.140625" style="1" bestFit="1" customWidth="1"/>
    <col min="17" max="16384" width="11.42578125" style="1"/>
  </cols>
  <sheetData>
    <row r="1" spans="1:16" s="20" customFormat="1" ht="30" customHeight="1" x14ac:dyDescent="0.2">
      <c r="A1" s="17" t="s">
        <v>0</v>
      </c>
      <c r="B1" s="17" t="s">
        <v>1</v>
      </c>
      <c r="C1" s="17" t="s">
        <v>2</v>
      </c>
      <c r="D1" s="17" t="s">
        <v>3</v>
      </c>
      <c r="E1" s="64" t="s">
        <v>4</v>
      </c>
      <c r="F1" s="101" t="s">
        <v>101</v>
      </c>
      <c r="G1" s="63" t="s">
        <v>51</v>
      </c>
      <c r="H1" s="64" t="s">
        <v>50</v>
      </c>
      <c r="I1" s="18" t="s">
        <v>52</v>
      </c>
      <c r="J1" s="18" t="s">
        <v>5</v>
      </c>
      <c r="K1" s="19" t="s">
        <v>25</v>
      </c>
      <c r="L1" s="19" t="s">
        <v>56</v>
      </c>
      <c r="M1" s="63" t="s">
        <v>48</v>
      </c>
      <c r="N1" s="18" t="s">
        <v>49</v>
      </c>
      <c r="O1" s="18" t="s">
        <v>27</v>
      </c>
      <c r="P1" s="17" t="s">
        <v>6</v>
      </c>
    </row>
    <row r="2" spans="1:16" s="28" customFormat="1" x14ac:dyDescent="0.2">
      <c r="A2" s="21"/>
      <c r="B2" s="21"/>
      <c r="C2" s="21"/>
      <c r="D2" s="22" t="s">
        <v>18</v>
      </c>
      <c r="E2" s="23"/>
      <c r="F2" s="102"/>
      <c r="G2" s="70"/>
      <c r="H2" s="23"/>
      <c r="I2" s="24"/>
      <c r="J2" s="25"/>
      <c r="K2" s="65"/>
      <c r="L2" s="26"/>
      <c r="M2" s="27"/>
      <c r="N2" s="21"/>
      <c r="O2" s="21"/>
      <c r="P2" s="21"/>
    </row>
    <row r="3" spans="1:16" s="28" customFormat="1" x14ac:dyDescent="0.2">
      <c r="A3" s="21"/>
      <c r="B3" s="21"/>
      <c r="C3" s="21"/>
      <c r="D3" s="22" t="s">
        <v>19</v>
      </c>
      <c r="E3" s="29"/>
      <c r="F3" s="103"/>
      <c r="G3" s="71"/>
      <c r="H3" s="29"/>
      <c r="I3" s="30"/>
      <c r="J3" s="31"/>
      <c r="K3" s="66"/>
      <c r="L3" s="32"/>
      <c r="M3" s="27"/>
      <c r="N3" s="21"/>
      <c r="O3" s="21"/>
      <c r="P3" s="21"/>
    </row>
    <row r="4" spans="1:16" s="28" customFormat="1" x14ac:dyDescent="0.2">
      <c r="A4" s="21"/>
      <c r="B4" s="21"/>
      <c r="C4" s="21"/>
      <c r="D4" s="22" t="s">
        <v>20</v>
      </c>
      <c r="E4" s="33"/>
      <c r="F4" s="104"/>
      <c r="G4" s="72"/>
      <c r="H4" s="33"/>
      <c r="I4" s="34"/>
      <c r="J4" s="35"/>
      <c r="K4" s="67"/>
      <c r="L4" s="35"/>
      <c r="M4" s="27"/>
      <c r="N4" s="21"/>
      <c r="O4" s="21"/>
      <c r="P4" s="21"/>
    </row>
    <row r="5" spans="1:16" s="28" customFormat="1" x14ac:dyDescent="0.2">
      <c r="A5" s="21"/>
      <c r="B5" s="21"/>
      <c r="C5" s="21"/>
      <c r="D5" s="22" t="s">
        <v>21</v>
      </c>
      <c r="E5" s="36"/>
      <c r="F5" s="105"/>
      <c r="G5" s="73"/>
      <c r="H5" s="36"/>
      <c r="I5" s="37"/>
      <c r="J5" s="38"/>
      <c r="K5" s="68"/>
      <c r="L5" s="38"/>
      <c r="M5" s="27"/>
      <c r="N5" s="21"/>
      <c r="O5" s="21"/>
      <c r="P5" s="21"/>
    </row>
    <row r="6" spans="1:16" s="28" customFormat="1" x14ac:dyDescent="0.2">
      <c r="A6" s="21"/>
      <c r="B6" s="21"/>
      <c r="C6" s="21"/>
      <c r="D6" s="22"/>
      <c r="E6" s="39"/>
      <c r="F6" s="106"/>
      <c r="G6" s="27"/>
      <c r="H6" s="39"/>
      <c r="I6" s="21"/>
      <c r="J6" s="40"/>
      <c r="K6" s="69"/>
      <c r="L6" s="40"/>
      <c r="M6" s="27"/>
      <c r="N6" s="21"/>
      <c r="O6" s="21"/>
      <c r="P6" s="21"/>
    </row>
    <row r="7" spans="1:16" s="2" customFormat="1" x14ac:dyDescent="0.2">
      <c r="A7" s="4">
        <v>272</v>
      </c>
      <c r="B7" s="4" t="s">
        <v>36</v>
      </c>
      <c r="C7" s="2" t="s">
        <v>64</v>
      </c>
      <c r="D7" s="2" t="s">
        <v>8</v>
      </c>
      <c r="E7" s="3" t="s">
        <v>77</v>
      </c>
      <c r="F7" s="108" t="str">
        <f>ETAT_COULEUR(F7,$F$4,$F$5,$F$2,$F$3)</f>
        <v>F</v>
      </c>
      <c r="G7" s="13">
        <v>41766</v>
      </c>
      <c r="H7" s="8">
        <v>800</v>
      </c>
      <c r="I7" s="4" t="s">
        <v>7</v>
      </c>
      <c r="J7" s="10" t="s">
        <v>57</v>
      </c>
      <c r="K7" s="11">
        <v>800</v>
      </c>
      <c r="L7" s="8">
        <v>919.8</v>
      </c>
      <c r="M7" s="13">
        <v>41781</v>
      </c>
      <c r="N7" s="4" t="s">
        <v>26</v>
      </c>
      <c r="O7" s="4" t="s">
        <v>9</v>
      </c>
    </row>
    <row r="8" spans="1:16" s="2" customFormat="1" x14ac:dyDescent="0.2">
      <c r="A8" s="4">
        <v>273</v>
      </c>
      <c r="B8" s="4" t="s">
        <v>37</v>
      </c>
      <c r="C8" s="2" t="s">
        <v>65</v>
      </c>
      <c r="D8" s="2" t="s">
        <v>83</v>
      </c>
      <c r="E8" s="3"/>
      <c r="F8" s="108" t="str">
        <f>ETAT_COULEUR(F8,$F$4,$F$5,$F$2,$F$3)</f>
        <v>F</v>
      </c>
      <c r="G8" s="13"/>
      <c r="H8" s="8">
        <v>1100</v>
      </c>
      <c r="I8" s="4"/>
      <c r="J8" s="10"/>
      <c r="K8" s="11"/>
      <c r="L8" s="8"/>
      <c r="M8" s="13"/>
      <c r="N8" s="4"/>
      <c r="O8" s="4"/>
    </row>
    <row r="9" spans="1:16" s="85" customFormat="1" x14ac:dyDescent="0.2">
      <c r="A9" s="84">
        <v>274</v>
      </c>
      <c r="B9" s="84" t="s">
        <v>38</v>
      </c>
      <c r="C9" s="85" t="s">
        <v>66</v>
      </c>
      <c r="D9" s="85" t="s">
        <v>8</v>
      </c>
      <c r="E9" s="86" t="s">
        <v>78</v>
      </c>
      <c r="F9" s="109" t="str">
        <f>ETAT_COULEUR(F9,$F$4,$F$5,$F$2,$F$3)</f>
        <v>EN</v>
      </c>
      <c r="G9" s="87"/>
      <c r="H9" s="88">
        <v>1250</v>
      </c>
      <c r="I9" s="84"/>
      <c r="J9" s="89"/>
      <c r="K9" s="90"/>
      <c r="L9" s="88"/>
      <c r="M9" s="87"/>
      <c r="N9" s="84"/>
      <c r="O9" s="84"/>
      <c r="P9" s="85" t="s">
        <v>41</v>
      </c>
    </row>
    <row r="10" spans="1:16" s="85" customFormat="1" x14ac:dyDescent="0.2">
      <c r="A10" s="84">
        <v>275</v>
      </c>
      <c r="B10" s="84" t="s">
        <v>39</v>
      </c>
      <c r="C10" s="85" t="s">
        <v>67</v>
      </c>
      <c r="D10" s="85" t="s">
        <v>84</v>
      </c>
      <c r="E10" s="86" t="s">
        <v>79</v>
      </c>
      <c r="F10" s="109" t="str">
        <f>ETAT_COULEUR(F10,$F$4,$F$5,$F$2,$F$3)</f>
        <v>EN</v>
      </c>
      <c r="G10" s="87"/>
      <c r="H10" s="88">
        <v>1100</v>
      </c>
      <c r="I10" s="84"/>
      <c r="J10" s="89"/>
      <c r="K10" s="90"/>
      <c r="L10" s="88"/>
      <c r="M10" s="87"/>
      <c r="N10" s="84"/>
      <c r="O10" s="84"/>
    </row>
    <row r="11" spans="1:16" s="78" customFormat="1" x14ac:dyDescent="0.2">
      <c r="A11" s="77">
        <v>276</v>
      </c>
      <c r="B11" s="77" t="s">
        <v>40</v>
      </c>
      <c r="C11" s="78" t="s">
        <v>68</v>
      </c>
      <c r="D11" s="78" t="s">
        <v>8</v>
      </c>
      <c r="E11" s="79" t="s">
        <v>80</v>
      </c>
      <c r="F11" s="107" t="str">
        <f t="shared" ref="F11" si="0">ETAT_COULEUR(F11,$F$4,$F$5,$F$2,$F$3)</f>
        <v>ES</v>
      </c>
      <c r="G11" s="80">
        <v>41713</v>
      </c>
      <c r="H11" s="81">
        <v>1250</v>
      </c>
      <c r="I11" s="77"/>
      <c r="J11" s="82"/>
      <c r="K11" s="83"/>
      <c r="L11" s="81"/>
      <c r="M11" s="80"/>
      <c r="N11" s="77"/>
      <c r="O11" s="77"/>
    </row>
    <row r="12" spans="1:16" s="78" customFormat="1" x14ac:dyDescent="0.2">
      <c r="A12" s="77">
        <v>277</v>
      </c>
      <c r="B12" s="77" t="s">
        <v>42</v>
      </c>
      <c r="C12" s="78" t="s">
        <v>69</v>
      </c>
      <c r="D12" s="78" t="s">
        <v>35</v>
      </c>
      <c r="E12" s="79"/>
      <c r="F12" s="107" t="str">
        <f t="shared" ref="F12:F20" si="1">ETAT_COULEUR(F12,$F$4,$F$5,$F$2,$F$3)</f>
        <v>ES</v>
      </c>
      <c r="G12" s="80"/>
      <c r="H12" s="81">
        <v>6550</v>
      </c>
      <c r="I12" s="77"/>
      <c r="J12" s="82"/>
      <c r="K12" s="83"/>
      <c r="L12" s="81"/>
      <c r="M12" s="80"/>
      <c r="N12" s="77"/>
      <c r="O12" s="77"/>
    </row>
    <row r="13" spans="1:16" s="92" customFormat="1" x14ac:dyDescent="0.2">
      <c r="A13" s="91">
        <v>278</v>
      </c>
      <c r="B13" s="91" t="s">
        <v>43</v>
      </c>
      <c r="C13" s="92" t="s">
        <v>70</v>
      </c>
      <c r="D13" s="92" t="s">
        <v>8</v>
      </c>
      <c r="E13" s="93"/>
      <c r="F13" s="111" t="str">
        <f t="shared" si="1"/>
        <v>A</v>
      </c>
      <c r="G13" s="94">
        <v>41643</v>
      </c>
      <c r="H13" s="95">
        <v>1250</v>
      </c>
      <c r="I13" s="91"/>
      <c r="J13" s="96"/>
      <c r="K13" s="97"/>
      <c r="L13" s="95"/>
      <c r="M13" s="94"/>
      <c r="N13" s="91"/>
      <c r="O13" s="91"/>
    </row>
    <row r="14" spans="1:16" s="92" customFormat="1" x14ac:dyDescent="0.2">
      <c r="A14" s="91">
        <v>279</v>
      </c>
      <c r="B14" s="91" t="s">
        <v>44</v>
      </c>
      <c r="C14" s="92" t="s">
        <v>71</v>
      </c>
      <c r="D14" s="92" t="s">
        <v>14</v>
      </c>
      <c r="E14" s="93"/>
      <c r="F14" s="111" t="str">
        <f t="shared" si="1"/>
        <v>A</v>
      </c>
      <c r="G14" s="94"/>
      <c r="H14" s="95">
        <v>5300</v>
      </c>
      <c r="I14" s="91"/>
      <c r="J14" s="96"/>
      <c r="K14" s="97"/>
      <c r="L14" s="95"/>
      <c r="M14" s="94"/>
      <c r="N14" s="91"/>
      <c r="O14" s="91"/>
    </row>
    <row r="15" spans="1:16" s="2" customFormat="1" x14ac:dyDescent="0.2">
      <c r="A15" s="4">
        <v>280</v>
      </c>
      <c r="B15" s="4" t="s">
        <v>45</v>
      </c>
      <c r="C15" s="2" t="s">
        <v>72</v>
      </c>
      <c r="D15" s="2" t="s">
        <v>8</v>
      </c>
      <c r="E15" s="3" t="s">
        <v>81</v>
      </c>
      <c r="F15" s="108" t="str">
        <f t="shared" si="1"/>
        <v>F</v>
      </c>
      <c r="G15" s="13">
        <v>41641</v>
      </c>
      <c r="H15" s="8">
        <v>1250</v>
      </c>
      <c r="I15" s="4" t="s">
        <v>7</v>
      </c>
      <c r="J15" s="10"/>
      <c r="K15" s="11"/>
      <c r="L15" s="8"/>
      <c r="M15" s="13"/>
      <c r="N15" s="4"/>
      <c r="O15" s="4"/>
    </row>
    <row r="16" spans="1:16" s="78" customFormat="1" x14ac:dyDescent="0.2">
      <c r="A16" s="77">
        <v>281</v>
      </c>
      <c r="B16" s="77" t="s">
        <v>46</v>
      </c>
      <c r="C16" s="78" t="s">
        <v>73</v>
      </c>
      <c r="D16" s="78" t="s">
        <v>47</v>
      </c>
      <c r="E16" s="79" t="s">
        <v>82</v>
      </c>
      <c r="F16" s="107" t="str">
        <f t="shared" si="1"/>
        <v>ES</v>
      </c>
      <c r="G16" s="80">
        <v>41782</v>
      </c>
      <c r="H16" s="81">
        <v>500</v>
      </c>
      <c r="I16" s="77" t="s">
        <v>7</v>
      </c>
      <c r="J16" s="82"/>
      <c r="K16" s="83"/>
      <c r="L16" s="81"/>
      <c r="M16" s="80"/>
      <c r="N16" s="77"/>
      <c r="O16" s="77"/>
    </row>
    <row r="17" spans="1:15" s="2" customFormat="1" x14ac:dyDescent="0.2">
      <c r="A17" s="4">
        <v>282</v>
      </c>
      <c r="B17" s="4" t="s">
        <v>58</v>
      </c>
      <c r="C17" s="2" t="s">
        <v>74</v>
      </c>
      <c r="D17" s="2" t="s">
        <v>35</v>
      </c>
      <c r="E17" s="3"/>
      <c r="F17" s="108" t="str">
        <f t="shared" si="1"/>
        <v>F</v>
      </c>
      <c r="G17" s="13"/>
      <c r="H17" s="8">
        <v>8000</v>
      </c>
      <c r="I17" s="4"/>
      <c r="J17" s="10"/>
      <c r="K17" s="11"/>
      <c r="L17" s="8"/>
      <c r="M17" s="13"/>
      <c r="N17" s="4"/>
      <c r="O17" s="4"/>
    </row>
    <row r="18" spans="1:15" s="78" customFormat="1" x14ac:dyDescent="0.2">
      <c r="A18" s="77">
        <v>283</v>
      </c>
      <c r="B18" s="77" t="s">
        <v>59</v>
      </c>
      <c r="C18" s="78" t="s">
        <v>75</v>
      </c>
      <c r="D18" s="78" t="s">
        <v>35</v>
      </c>
      <c r="E18" s="79"/>
      <c r="F18" s="107" t="str">
        <f t="shared" si="1"/>
        <v>ES</v>
      </c>
      <c r="G18" s="80"/>
      <c r="H18" s="81">
        <v>1650</v>
      </c>
      <c r="I18" s="77"/>
      <c r="J18" s="82"/>
      <c r="K18" s="83"/>
      <c r="L18" s="81"/>
      <c r="M18" s="80"/>
      <c r="N18" s="77"/>
      <c r="O18" s="77"/>
    </row>
    <row r="19" spans="1:15" s="92" customFormat="1" x14ac:dyDescent="0.2">
      <c r="A19" s="91">
        <v>284</v>
      </c>
      <c r="B19" s="91" t="s">
        <v>60</v>
      </c>
      <c r="C19" s="92" t="s">
        <v>76</v>
      </c>
      <c r="D19" s="92" t="s">
        <v>14</v>
      </c>
      <c r="E19" s="93"/>
      <c r="F19" s="111" t="str">
        <f>ETAT_COULEUR(F19,$F$4,$F$5,$F$2,$F$3)</f>
        <v>A</v>
      </c>
      <c r="G19" s="94">
        <v>41943</v>
      </c>
      <c r="H19" s="95">
        <v>7300</v>
      </c>
      <c r="I19" s="91"/>
      <c r="J19" s="96"/>
      <c r="K19" s="97"/>
      <c r="L19" s="95"/>
      <c r="M19" s="94"/>
      <c r="N19" s="91"/>
      <c r="O19" s="91"/>
    </row>
    <row r="20" spans="1:15" s="2" customFormat="1" x14ac:dyDescent="0.2">
      <c r="A20" s="4">
        <v>284</v>
      </c>
      <c r="B20" s="4" t="s">
        <v>60</v>
      </c>
      <c r="C20" s="2" t="s">
        <v>100</v>
      </c>
      <c r="D20" s="2" t="s">
        <v>14</v>
      </c>
      <c r="E20" s="3"/>
      <c r="F20" s="108" t="str">
        <f>ETAT_COULEUR(F20,$F$4,$F$5,$F$2,$F$3)</f>
        <v>F</v>
      </c>
      <c r="G20" s="13">
        <v>41975</v>
      </c>
      <c r="H20" s="8">
        <v>50000</v>
      </c>
      <c r="I20" s="4"/>
      <c r="J20" s="10"/>
      <c r="K20" s="11"/>
      <c r="L20" s="8"/>
      <c r="M20" s="13"/>
      <c r="N20" s="4"/>
      <c r="O20" s="4"/>
    </row>
  </sheetData>
  <autoFilter ref="C1:C19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9"/>
  <sheetViews>
    <sheetView zoomScale="90" zoomScaleNormal="90" workbookViewId="0">
      <pane ySplit="1" topLeftCell="A2" activePane="bottomLeft" state="frozen"/>
      <selection pane="bottomLeft" activeCell="D9" sqref="D9"/>
    </sheetView>
  </sheetViews>
  <sheetFormatPr baseColWidth="10" defaultRowHeight="11.25" x14ac:dyDescent="0.2"/>
  <cols>
    <col min="1" max="1" width="3.85546875" style="6" bestFit="1" customWidth="1"/>
    <col min="2" max="2" width="10.5703125" style="6" bestFit="1" customWidth="1"/>
    <col min="3" max="3" width="26.7109375" style="1" bestFit="1" customWidth="1"/>
    <col min="4" max="4" width="77.28515625" style="1" bestFit="1" customWidth="1"/>
    <col min="5" max="5" width="15" style="5" bestFit="1" customWidth="1"/>
    <col min="6" max="6" width="15" style="5" customWidth="1"/>
    <col min="7" max="7" width="12" style="16" customWidth="1"/>
    <col min="8" max="8" width="11.28515625" style="6" bestFit="1" customWidth="1"/>
    <col min="9" max="9" width="10.5703125" style="6" customWidth="1"/>
    <col min="10" max="10" width="13.140625" style="6" customWidth="1"/>
    <col min="11" max="11" width="14.140625" style="9" customWidth="1"/>
    <col min="12" max="12" width="14.85546875" style="14" bestFit="1" customWidth="1"/>
    <col min="13" max="13" width="15.140625" style="7" customWidth="1"/>
    <col min="14" max="14" width="18" style="6" customWidth="1"/>
    <col min="15" max="15" width="60" style="1" customWidth="1"/>
    <col min="16" max="16384" width="11.42578125" style="1"/>
  </cols>
  <sheetData>
    <row r="1" spans="1:15" s="20" customFormat="1" ht="36.75" customHeight="1" x14ac:dyDescent="0.2">
      <c r="A1" s="17" t="s">
        <v>0</v>
      </c>
      <c r="B1" s="17" t="s">
        <v>1</v>
      </c>
      <c r="C1" s="17" t="s">
        <v>2</v>
      </c>
      <c r="D1" s="17" t="s">
        <v>3</v>
      </c>
      <c r="E1" s="64" t="s">
        <v>4</v>
      </c>
      <c r="F1" s="64" t="s">
        <v>53</v>
      </c>
      <c r="G1" s="64" t="s">
        <v>54</v>
      </c>
      <c r="H1" s="18" t="s">
        <v>55</v>
      </c>
      <c r="I1" s="18" t="s">
        <v>5</v>
      </c>
      <c r="J1" s="18" t="s">
        <v>25</v>
      </c>
      <c r="K1" s="19" t="s">
        <v>56</v>
      </c>
      <c r="L1" s="63" t="s">
        <v>48</v>
      </c>
      <c r="M1" s="18" t="s">
        <v>49</v>
      </c>
      <c r="N1" s="18" t="s">
        <v>27</v>
      </c>
      <c r="O1" s="17" t="s">
        <v>6</v>
      </c>
    </row>
    <row r="2" spans="1:15" s="28" customFormat="1" x14ac:dyDescent="0.2">
      <c r="A2" s="21"/>
      <c r="B2" s="21"/>
      <c r="C2" s="21"/>
      <c r="D2" s="22" t="s">
        <v>18</v>
      </c>
      <c r="E2" s="23"/>
      <c r="F2" s="23"/>
      <c r="G2" s="23"/>
      <c r="H2" s="24"/>
      <c r="I2" s="25"/>
      <c r="J2" s="25"/>
      <c r="K2" s="26"/>
      <c r="L2" s="27"/>
      <c r="M2" s="21"/>
      <c r="N2" s="21"/>
      <c r="O2" s="21"/>
    </row>
    <row r="3" spans="1:15" s="28" customFormat="1" x14ac:dyDescent="0.2">
      <c r="A3" s="21"/>
      <c r="B3" s="21"/>
      <c r="C3" s="21"/>
      <c r="D3" s="22" t="s">
        <v>19</v>
      </c>
      <c r="E3" s="29"/>
      <c r="F3" s="29"/>
      <c r="G3" s="29"/>
      <c r="H3" s="30"/>
      <c r="I3" s="31"/>
      <c r="J3" s="31"/>
      <c r="K3" s="32"/>
      <c r="L3" s="27"/>
      <c r="M3" s="21"/>
      <c r="N3" s="21"/>
      <c r="O3" s="21"/>
    </row>
    <row r="4" spans="1:15" s="28" customFormat="1" x14ac:dyDescent="0.2">
      <c r="A4" s="21"/>
      <c r="B4" s="21"/>
      <c r="C4" s="21"/>
      <c r="D4" s="22" t="s">
        <v>20</v>
      </c>
      <c r="E4" s="33"/>
      <c r="F4" s="33"/>
      <c r="G4" s="33"/>
      <c r="H4" s="34"/>
      <c r="I4" s="35"/>
      <c r="J4" s="35"/>
      <c r="K4" s="35"/>
      <c r="L4" s="27"/>
      <c r="M4" s="21"/>
      <c r="N4" s="21"/>
      <c r="O4" s="21"/>
    </row>
    <row r="5" spans="1:15" s="28" customFormat="1" x14ac:dyDescent="0.2">
      <c r="A5" s="21"/>
      <c r="B5" s="21"/>
      <c r="C5" s="21"/>
      <c r="D5" s="22" t="s">
        <v>21</v>
      </c>
      <c r="E5" s="36"/>
      <c r="F5" s="36"/>
      <c r="G5" s="36"/>
      <c r="H5" s="37"/>
      <c r="I5" s="38"/>
      <c r="J5" s="38"/>
      <c r="K5" s="38"/>
      <c r="L5" s="27"/>
      <c r="M5" s="21"/>
      <c r="N5" s="21"/>
      <c r="O5" s="21"/>
    </row>
    <row r="6" spans="1:15" s="28" customFormat="1" x14ac:dyDescent="0.2">
      <c r="A6" s="21"/>
      <c r="B6" s="21"/>
      <c r="C6" s="21"/>
      <c r="D6" s="22"/>
      <c r="E6" s="39"/>
      <c r="F6" s="39"/>
      <c r="G6" s="39"/>
      <c r="H6" s="21"/>
      <c r="I6" s="40"/>
      <c r="J6" s="40"/>
      <c r="K6" s="40"/>
      <c r="L6" s="27"/>
      <c r="M6" s="21"/>
      <c r="N6" s="21"/>
      <c r="O6" s="21"/>
    </row>
    <row r="7" spans="1:15" s="2" customFormat="1" x14ac:dyDescent="0.2">
      <c r="A7" s="4">
        <v>1</v>
      </c>
      <c r="B7" s="4" t="s">
        <v>10</v>
      </c>
      <c r="C7" s="2" t="s">
        <v>61</v>
      </c>
      <c r="D7" s="2" t="s">
        <v>13</v>
      </c>
      <c r="E7" s="3"/>
      <c r="F7" s="3"/>
      <c r="G7" s="8">
        <v>26054.78</v>
      </c>
      <c r="H7" s="4" t="s">
        <v>17</v>
      </c>
      <c r="I7" s="4"/>
      <c r="J7" s="4"/>
      <c r="K7" s="8">
        <v>29956.48</v>
      </c>
      <c r="L7" s="12"/>
      <c r="N7" s="4"/>
    </row>
    <row r="8" spans="1:15" s="2" customFormat="1" x14ac:dyDescent="0.2">
      <c r="A8" s="4">
        <v>2</v>
      </c>
      <c r="B8" s="4" t="s">
        <v>11</v>
      </c>
      <c r="C8" s="2" t="s">
        <v>62</v>
      </c>
      <c r="D8" s="2" t="s">
        <v>12</v>
      </c>
      <c r="E8" s="3"/>
      <c r="F8" s="3"/>
      <c r="G8" s="8">
        <v>10070</v>
      </c>
      <c r="H8" s="4" t="s">
        <v>33</v>
      </c>
      <c r="I8" s="4"/>
      <c r="J8" s="4"/>
      <c r="K8" s="8">
        <v>10070</v>
      </c>
      <c r="L8" s="12"/>
      <c r="N8" s="4"/>
    </row>
    <row r="9" spans="1:15" s="2" customFormat="1" x14ac:dyDescent="0.2">
      <c r="A9" s="4">
        <v>3</v>
      </c>
      <c r="B9" s="4" t="s">
        <v>15</v>
      </c>
      <c r="C9" s="2" t="s">
        <v>63</v>
      </c>
      <c r="D9" s="2" t="s">
        <v>16</v>
      </c>
      <c r="E9" s="3"/>
      <c r="F9" s="3"/>
      <c r="G9" s="8">
        <v>2450</v>
      </c>
      <c r="H9" s="4" t="s">
        <v>34</v>
      </c>
      <c r="I9" s="4"/>
      <c r="J9" s="4"/>
      <c r="K9" s="8">
        <v>2450</v>
      </c>
      <c r="L9" s="12"/>
      <c r="N9" s="4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2:G9"/>
  <sheetViews>
    <sheetView workbookViewId="0">
      <selection activeCell="D4" sqref="D4"/>
    </sheetView>
  </sheetViews>
  <sheetFormatPr baseColWidth="10" defaultRowHeight="15" x14ac:dyDescent="0.25"/>
  <cols>
    <col min="1" max="1" width="46.85546875" customWidth="1"/>
    <col min="2" max="2" width="34.140625" customWidth="1"/>
    <col min="3" max="3" width="4.85546875" customWidth="1"/>
    <col min="4" max="4" width="16.28515625" style="50" bestFit="1" customWidth="1"/>
    <col min="5" max="5" width="4" customWidth="1"/>
    <col min="6" max="6" width="25.42578125" bestFit="1" customWidth="1"/>
    <col min="7" max="7" width="22.5703125" bestFit="1" customWidth="1"/>
  </cols>
  <sheetData>
    <row r="2" spans="1:7" s="45" customFormat="1" ht="26.25" x14ac:dyDescent="0.4">
      <c r="B2" s="45" t="s">
        <v>23</v>
      </c>
      <c r="D2" s="45" t="s">
        <v>24</v>
      </c>
    </row>
    <row r="3" spans="1:7" s="45" customFormat="1" ht="26.25" x14ac:dyDescent="0.4">
      <c r="A3" s="53" t="s">
        <v>29</v>
      </c>
      <c r="B3" s="62">
        <f>SUM(SOMME_SI_COULEUR('LABCEM Project'!H7:H727,'LABCEM Project'!L2),SOMME_SI_COULEUR('FIAREX Project'!G7:G998,'FIAREX Project'!K2))</f>
        <v>9950</v>
      </c>
      <c r="C3" s="54"/>
      <c r="D3" s="54">
        <f>SUM(NB_SI_COULEUR('LABCEM Project'!L7:L727,'LABCEM Project'!L2),NB_SI_COULEUR('FIAREX Project'!K7:K998,'FIAREX Project'!K2))</f>
        <v>4</v>
      </c>
    </row>
    <row r="4" spans="1:7" s="45" customFormat="1" ht="26.25" x14ac:dyDescent="0.4">
      <c r="A4" s="52" t="s">
        <v>28</v>
      </c>
      <c r="B4" s="51"/>
      <c r="C4" s="51"/>
      <c r="D4" s="51">
        <f>SUM(NB_SI_COULEUR('LABCEM Project'!L7:L727,'LABCEM Project'!L3),NB_SI_COULEUR('FIAREX Project'!K7:K998,'FIAREX Project'!K3))</f>
        <v>3</v>
      </c>
    </row>
    <row r="5" spans="1:7" ht="26.25" x14ac:dyDescent="0.4">
      <c r="A5" s="41" t="s">
        <v>22</v>
      </c>
      <c r="B5" s="42">
        <f>SUM(SOMME_SI_COULEUR('LABCEM Project'!H7:H727,'LABCEM Project'!L4),SOMME_SI_COULEUR('FIAREX Project'!G7:G998,'FIAREX Project'!K4))</f>
        <v>2350</v>
      </c>
      <c r="C5" s="46"/>
      <c r="D5" s="48">
        <f>SUM(NB_SI_COULEUR('LABCEM Project'!L7:L727,'LABCEM Project'!L4),NB_SI_COULEUR('FIAREX Project'!K7:K998,'FIAREX Project'!K4))</f>
        <v>2</v>
      </c>
    </row>
    <row r="6" spans="1:7" ht="26.25" x14ac:dyDescent="0.4">
      <c r="A6" s="43" t="s">
        <v>31</v>
      </c>
      <c r="B6" s="44">
        <f>SUM(SOMME_SI_COULEUR('LABCEM Project'!H7:H727,'LABCEM Project'!L5),SOMME_SI_COULEUR('FIAREX Project'!G7:G998,'FIAREX Project'!K5))</f>
        <v>99724.78</v>
      </c>
      <c r="C6" s="47"/>
      <c r="D6" s="49">
        <f>SUM(NB_SI_COULEUR('LABCEM Project'!L7:L727,'LABCEM Project'!L5),NB_SI_COULEUR('FIAREX Project'!K7:K998,'FIAREX Project'!K5))</f>
        <v>8</v>
      </c>
      <c r="F6" s="44">
        <f>SUM(SOMME_SI_COULEUR('LABCEM Project'!L7:L727,'LABCEM Project'!L5),SOMME_SI_COULEUR('FIAREX Project'!K7:K998,'FIAREX Project'!K5))</f>
        <v>43396.280000000006</v>
      </c>
      <c r="G6" s="43" t="s">
        <v>32</v>
      </c>
    </row>
    <row r="7" spans="1:7" s="58" customFormat="1" ht="26.25" x14ac:dyDescent="0.4">
      <c r="A7" s="56"/>
      <c r="B7" s="57"/>
      <c r="D7" s="59"/>
    </row>
    <row r="8" spans="1:7" ht="26.25" x14ac:dyDescent="0.4">
      <c r="A8" s="60"/>
      <c r="B8" s="61" t="s">
        <v>30</v>
      </c>
      <c r="D8" s="45">
        <f>SUM(D3:D6)</f>
        <v>17</v>
      </c>
    </row>
    <row r="9" spans="1:7" x14ac:dyDescent="0.25">
      <c r="B9" s="55"/>
    </row>
  </sheetData>
  <pageMargins left="0.7" right="0.7" top="0.75" bottom="0.75" header="0.3" footer="0.3"/>
  <pageSetup scale="5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4"/>
  <sheetViews>
    <sheetView workbookViewId="0">
      <selection activeCell="D2" sqref="D2"/>
    </sheetView>
  </sheetViews>
  <sheetFormatPr baseColWidth="10" defaultRowHeight="15" x14ac:dyDescent="0.25"/>
  <sheetData>
    <row r="1" spans="1:12" ht="30" x14ac:dyDescent="0.25">
      <c r="A1" s="75" t="s">
        <v>85</v>
      </c>
      <c r="B1" s="75" t="s">
        <v>98</v>
      </c>
      <c r="C1" s="75" t="s">
        <v>99</v>
      </c>
    </row>
    <row r="2" spans="1:12" x14ac:dyDescent="0.25">
      <c r="A2" s="75" t="s">
        <v>86</v>
      </c>
      <c r="B2" s="76">
        <f>SUMPRODUCT(('LABCEM Project'!$G:$G&gt;=DATEVALUE("2014/01/01"))*('LABCEM Project'!$G:$G&lt;=DATEVALUE("2014/01/31")))</f>
        <v>2</v>
      </c>
      <c r="C2" s="76">
        <f>SUMIF('LABCEM Project'!$G:$G,"&lt;="&amp;DATEVALUE("2014/1/31"),'LABCEM Project'!$H:$H)-SUMIF('LABCEM Project'!$G:$G,"&lt;"&amp;DATEVALUE("2014/1/1"),'LABCEM Project'!$H:$H)</f>
        <v>2500</v>
      </c>
      <c r="D2" s="76"/>
    </row>
    <row r="3" spans="1:12" x14ac:dyDescent="0.25">
      <c r="A3" s="75" t="s">
        <v>87</v>
      </c>
      <c r="B3" s="76">
        <f>SUMPRODUCT(('LABCEM Project'!$G:$G&gt;=DATEVALUE("2014/02/01"))*('LABCEM Project'!$G:$G&lt;=DATEVALUE("2014/02/28")))</f>
        <v>0</v>
      </c>
      <c r="C3" s="76">
        <f>SUMIF('LABCEM Project'!$G:$G,"&lt;="&amp;DATEVALUE("2014/02/28"),'LABCEM Project'!$H:$H)-SUMIF('LABCEM Project'!$G:$G,"&lt;"&amp;DATEVALUE("2014/02/1"),'LABCEM Project'!$H:$H)</f>
        <v>0</v>
      </c>
    </row>
    <row r="4" spans="1:12" x14ac:dyDescent="0.25">
      <c r="A4" s="75" t="s">
        <v>88</v>
      </c>
      <c r="B4" s="76">
        <f>SUMPRODUCT(('LABCEM Project'!$G:$G&gt;=DATEVALUE("2014/03/01"))*('LABCEM Project'!$G:$G&lt;=DATEVALUE("2014/03/31")))</f>
        <v>1</v>
      </c>
      <c r="C4" s="76">
        <f>SUMIF('LABCEM Project'!$G:$G,"&lt;="&amp;DATEVALUE("2014/03/31"),'LABCEM Project'!$H:$H)-SUMIF('LABCEM Project'!$G:$G,"&lt;"&amp;DATEVALUE("2014/03/1"),'LABCEM Project'!$H:$H)</f>
        <v>1250</v>
      </c>
      <c r="H4" s="46"/>
      <c r="I4" s="47"/>
      <c r="J4" s="98"/>
      <c r="K4" s="99"/>
    </row>
    <row r="5" spans="1:12" x14ac:dyDescent="0.25">
      <c r="A5" s="75" t="s">
        <v>89</v>
      </c>
      <c r="B5" s="76">
        <f>SUMPRODUCT(('LABCEM Project'!$G:$G&gt;=DATEVALUE("2014/04/01"))*('LABCEM Project'!$G:$G&lt;=DATEVALUE("2014/04/30")))</f>
        <v>0</v>
      </c>
      <c r="C5" s="76">
        <f>SUMIF('LABCEM Project'!$G:$G,"&lt;="&amp;DATEVALUE("2014/04/30"),'LABCEM Project'!$H:$H)-SUMIF('LABCEM Project'!$G:$G,"&lt;"&amp;DATEVALUE("2014/04/1"),'LABCEM Project'!$H:$H)</f>
        <v>0</v>
      </c>
      <c r="H5" s="100"/>
      <c r="I5" s="100"/>
      <c r="J5" s="100"/>
      <c r="K5" s="100"/>
      <c r="L5" s="100"/>
    </row>
    <row r="6" spans="1:12" x14ac:dyDescent="0.25">
      <c r="A6" s="75" t="s">
        <v>90</v>
      </c>
      <c r="B6" s="76">
        <f>SUMPRODUCT(('LABCEM Project'!$G:$G&gt;=DATEVALUE("2014/05/01"))*('LABCEM Project'!$G:$G&lt;=DATEVALUE("2014/05/31")))</f>
        <v>2</v>
      </c>
      <c r="C6" s="76">
        <f>SUMIF('LABCEM Project'!$G:$G,"&lt;="&amp;DATEVALUE("2014/05/31"),'LABCEM Project'!$H:$H)-SUMIF('LABCEM Project'!$G:$G,"&lt;"&amp;DATEVALUE("2014/05/1"),'LABCEM Project'!$H:$H)</f>
        <v>1300</v>
      </c>
      <c r="E6" s="46" t="str">
        <f>ETAT_COULEUR(E6,$H$4,$I$4,$J$4,$K$4)</f>
        <v>EN</v>
      </c>
      <c r="F6" s="100"/>
      <c r="H6" s="100"/>
      <c r="I6" s="100"/>
      <c r="J6" s="100"/>
      <c r="K6" s="100"/>
      <c r="L6" s="100"/>
    </row>
    <row r="7" spans="1:12" x14ac:dyDescent="0.25">
      <c r="A7" s="75" t="s">
        <v>91</v>
      </c>
      <c r="B7" s="76">
        <f>SUMPRODUCT(('LABCEM Project'!$G:$G&gt;=DATEVALUE("2014/06/01"))*('LABCEM Project'!$G:$G&lt;=DATEVALUE("2014/06/30")))</f>
        <v>0</v>
      </c>
      <c r="C7" s="76">
        <f>SUMIF('LABCEM Project'!$G:$G,"&lt;="&amp;DATEVALUE("2014/06/30"),'LABCEM Project'!$H:$H)-SUMIF('LABCEM Project'!$G:$G,"&lt;"&amp;DATEVALUE("2014/06/1"),'LABCEM Project'!$H:$H)</f>
        <v>0</v>
      </c>
      <c r="E7" s="47" t="str">
        <f>ETAT_COULEUR(E7,$H$4,$I$4,$J$4,$K$4)</f>
        <v>F</v>
      </c>
      <c r="F7" s="100"/>
      <c r="H7" s="100"/>
      <c r="I7" s="100"/>
      <c r="J7" s="100"/>
      <c r="K7" s="100"/>
      <c r="L7" s="100"/>
    </row>
    <row r="8" spans="1:12" x14ac:dyDescent="0.25">
      <c r="A8" s="75" t="s">
        <v>92</v>
      </c>
      <c r="B8" s="76">
        <f>SUMPRODUCT(('LABCEM Project'!$G:$G&gt;=DATEVALUE("2014/07/01"))*('LABCEM Project'!$G:$G&lt;=DATEVALUE("2014/07/31")))</f>
        <v>0</v>
      </c>
      <c r="C8" s="76">
        <f>SUMIF('LABCEM Project'!$G:$G,"&lt;="&amp;DATEVALUE("2014/07/31"),'LABCEM Project'!$H:$H)-SUMIF('LABCEM Project'!$G:$G,"&lt;"&amp;DATEVALUE("2014/07/1"),'LABCEM Project'!$H:$H)</f>
        <v>0</v>
      </c>
      <c r="E8" s="98" t="str">
        <f>ETAT_COULEUR(E8,$H$4,$I$4,$J$4,$K$4)</f>
        <v>ES</v>
      </c>
      <c r="F8" s="100"/>
      <c r="H8" s="100"/>
      <c r="I8" s="100"/>
      <c r="J8" s="100"/>
      <c r="K8" s="100"/>
      <c r="L8" s="100"/>
    </row>
    <row r="9" spans="1:12" x14ac:dyDescent="0.25">
      <c r="A9" s="75" t="s">
        <v>93</v>
      </c>
      <c r="B9" s="76">
        <f>SUMPRODUCT(('LABCEM Project'!$G:$G&gt;=DATEVALUE("2014/08/01"))*('LABCEM Project'!$G:$G&lt;=DATEVALUE("2014/08/31")))</f>
        <v>0</v>
      </c>
      <c r="C9" s="76">
        <f>SUMIF('LABCEM Project'!$G:$G,"&lt;="&amp;DATEVALUE("2014/08/31"),'LABCEM Project'!$H:$H)-SUMIF('LABCEM Project'!$G:$G,"&lt;"&amp;DATEVALUE("2014/08/1"),'LABCEM Project'!$H:$H)</f>
        <v>0</v>
      </c>
      <c r="E9" s="99" t="str">
        <f>ETAT_COULEUR(E9,$H$4,$I$4,$J$4,$K$4)</f>
        <v>A</v>
      </c>
      <c r="F9" s="100"/>
      <c r="H9" s="100"/>
      <c r="I9" s="100"/>
      <c r="J9" s="100"/>
      <c r="K9" s="100"/>
      <c r="L9" s="100"/>
    </row>
    <row r="10" spans="1:12" x14ac:dyDescent="0.25">
      <c r="A10" s="75" t="s">
        <v>94</v>
      </c>
      <c r="B10" s="76">
        <f>SUMPRODUCT(('LABCEM Project'!$G:$G&gt;=DATEVALUE("2014/09/01"))*('LABCEM Project'!$G:$G&lt;=DATEVALUE("2014/09/30")))</f>
        <v>0</v>
      </c>
      <c r="C10" s="76">
        <f>SUMIF('LABCEM Project'!$G:$G,"&lt;="&amp;DATEVALUE("2014/09/30"),'LABCEM Project'!$H:$H)-SUMIF('LABCEM Project'!$G:$G,"&lt;"&amp;DATEVALUE("2014/09/1"),'LABCEM Project'!$H:$H)</f>
        <v>0</v>
      </c>
      <c r="F10" s="100"/>
    </row>
    <row r="11" spans="1:12" x14ac:dyDescent="0.25">
      <c r="A11" s="75" t="s">
        <v>95</v>
      </c>
      <c r="B11" s="76">
        <f>SUMPRODUCT(('LABCEM Project'!$G:$G&gt;=DATEVALUE("2014/10/01"))*('LABCEM Project'!$G:$G&lt;=DATEVALUE("2014/10/31")))</f>
        <v>1</v>
      </c>
      <c r="C11" s="76">
        <f>SUMIF('LABCEM Project'!$G:$G,"&lt;="&amp;DATEVALUE("2014/10/31"),'LABCEM Project'!$H:$H)-SUMIF('LABCEM Project'!$G:$G,"&lt;"&amp;DATEVALUE("2014/10/1"),'LABCEM Project'!$H:$H)</f>
        <v>7300</v>
      </c>
      <c r="F11" s="100"/>
    </row>
    <row r="12" spans="1:12" x14ac:dyDescent="0.25">
      <c r="A12" s="75" t="s">
        <v>96</v>
      </c>
      <c r="B12" s="76">
        <f>SUMPRODUCT(('LABCEM Project'!$G:$G&gt;=DATEVALUE("2014/11/01"))*('LABCEM Project'!$G:$G&lt;=DATEVALUE("2014/11/30")))</f>
        <v>0</v>
      </c>
      <c r="C12" s="76">
        <f>SUMIF('LABCEM Project'!$G:$G,"&lt;="&amp;DATEVALUE("2014/11/30"),'LABCEM Project'!$H:$H)-SUMIF('LABCEM Project'!$G:$G,"&lt;"&amp;DATEVALUE("2014/11/1"),'LABCEM Project'!$H:$H)</f>
        <v>0</v>
      </c>
    </row>
    <row r="13" spans="1:12" x14ac:dyDescent="0.25">
      <c r="A13" s="75" t="s">
        <v>97</v>
      </c>
      <c r="B13" s="76">
        <f>SUMPRODUCT(('LABCEM Project'!$G:$G&gt;=DATEVALUE("2014/12/01"))*('LABCEM Project'!$G:$G&lt;=DATEVALUE("2014/12/31")))</f>
        <v>1</v>
      </c>
      <c r="C13" s="76">
        <f>SUMIF('LABCEM Project'!$G:$G,"&lt;="&amp;DATEVALUE("2014/12/31"),'LABCEM Project'!$H:$H)-SUMIF('LABCEM Project'!$G:$G,"&lt;"&amp;DATEVALUE("2014/12/1"),'LABCEM Project'!$H:$H)</f>
        <v>50000</v>
      </c>
    </row>
    <row r="14" spans="1:12" x14ac:dyDescent="0.25">
      <c r="A14" s="74"/>
      <c r="B14" s="74"/>
      <c r="C14" s="7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LABCEM Project</vt:lpstr>
      <vt:lpstr>FIAREX Project</vt:lpstr>
      <vt:lpstr>INVOICE TOTAL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Jules</cp:lastModifiedBy>
  <dcterms:created xsi:type="dcterms:W3CDTF">2013-05-23T00:20:50Z</dcterms:created>
  <dcterms:modified xsi:type="dcterms:W3CDTF">2014-05-29T12:48:10Z</dcterms:modified>
</cp:coreProperties>
</file>