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illaume\Documents\Travail\Stage\"/>
    </mc:Choice>
  </mc:AlternateContent>
  <bookViews>
    <workbookView xWindow="0" yWindow="0" windowWidth="24000" windowHeight="9135" tabRatio="825"/>
  </bookViews>
  <sheets>
    <sheet name="Coût de revient" sheetId="1" r:id="rId1"/>
    <sheet name="Feuil1" sheetId="11" r:id="rId2"/>
    <sheet name="MOD - Rendements" sheetId="3" r:id="rId3"/>
    <sheet name="Achats matière" sheetId="2" r:id="rId4"/>
    <sheet name="Achats ingrédients" sheetId="10" r:id="rId5"/>
    <sheet name="Autres achats" sheetId="9" r:id="rId6"/>
    <sheet name="Recettes" sheetId="6" r:id="rId7"/>
    <sheet name="Coût machines" sheetId="7" r:id="rId8"/>
    <sheet name="Couts fixes" sheetId="8" r:id="rId9"/>
    <sheet name="Prix de vente" sheetId="5" r:id="rId10"/>
  </sheets>
  <definedNames>
    <definedName name="_xlnm._FilterDatabase" localSheetId="4" hidden="1">'Achats ingrédients'!$B$3:$C$66</definedName>
    <definedName name="_xlnm._FilterDatabase" localSheetId="3" hidden="1">'Achats matière'!$B$3:$D$3</definedName>
    <definedName name="_xlnm._FilterDatabase" localSheetId="5" hidden="1">'Autres achats'!$B$4:$E$7</definedName>
    <definedName name="_xlnm._FilterDatabase" localSheetId="0" hidden="1">'Coût de revient'!$B$6:$C$6</definedName>
    <definedName name="_xlnm._FilterDatabase" localSheetId="9" hidden="1">'Prix de vente'!$B$3:$C$3</definedName>
    <definedName name="Couth">'MOD - Rendements'!$D$2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J4" i="3"/>
  <c r="K15" i="3" l="1"/>
  <c r="N11" i="3"/>
  <c r="N10" i="3"/>
  <c r="C21" i="6" l="1"/>
  <c r="C22" i="6"/>
  <c r="C23" i="6"/>
  <c r="C24" i="6"/>
  <c r="E23" i="6"/>
  <c r="D23" i="6"/>
  <c r="E22" i="6"/>
  <c r="E21" i="6"/>
  <c r="E24" i="6" l="1"/>
  <c r="D24" i="6" s="1"/>
  <c r="D14" i="10" l="1"/>
  <c r="C13" i="10"/>
  <c r="AK7" i="1"/>
  <c r="AJ7" i="1"/>
  <c r="AI7" i="1" l="1"/>
  <c r="I8" i="1"/>
  <c r="E8" i="1"/>
  <c r="F8" i="1"/>
  <c r="G8" i="1"/>
  <c r="Z8" i="1" l="1"/>
  <c r="H7" i="1"/>
  <c r="AR7" i="1" l="1"/>
  <c r="AA8" i="1"/>
  <c r="AD7" i="1" s="1"/>
  <c r="P7" i="1"/>
  <c r="O7" i="1" l="1"/>
  <c r="P8" i="1"/>
  <c r="Z7" i="1" l="1"/>
  <c r="AJ8" i="1" l="1"/>
  <c r="AK8" i="1"/>
  <c r="AI8" i="1"/>
  <c r="AS7" i="1"/>
  <c r="AP7" i="1"/>
  <c r="AN8" i="1" l="1"/>
  <c r="AO7" i="1" s="1"/>
  <c r="AT7" i="1" s="1"/>
  <c r="AU7" i="1" s="1"/>
  <c r="C16" i="6" l="1"/>
  <c r="E16" i="6" s="1"/>
  <c r="D16" i="6"/>
  <c r="C14" i="6"/>
  <c r="C15" i="6"/>
  <c r="E15" i="6" s="1"/>
  <c r="E9" i="6"/>
  <c r="C9" i="6"/>
  <c r="E8" i="6"/>
  <c r="C8" i="6"/>
  <c r="E7" i="6"/>
  <c r="C7" i="6"/>
  <c r="E6" i="6"/>
  <c r="C6" i="6"/>
  <c r="E5" i="6"/>
  <c r="C5" i="6"/>
  <c r="C10" i="6" s="1"/>
  <c r="E4" i="6"/>
  <c r="E10" i="6" s="1"/>
  <c r="D4" i="6"/>
  <c r="C17" i="6" l="1"/>
  <c r="E14" i="6"/>
  <c r="E17" i="6" s="1"/>
  <c r="D10" i="6"/>
  <c r="D17" i="6" l="1"/>
</calcChain>
</file>

<file path=xl/comments1.xml><?xml version="1.0" encoding="utf-8"?>
<comments xmlns="http://schemas.openxmlformats.org/spreadsheetml/2006/main">
  <authors>
    <author>Guillaume Allano</author>
  </authors>
  <commentList>
    <comment ref="D18" authorId="0" shapeId="0">
      <text>
        <r>
          <rPr>
            <b/>
            <sz val="9"/>
            <color indexed="81"/>
            <rFont val="Tahoma"/>
            <family val="2"/>
          </rPr>
          <t>Guillaume Allano:
Parage+injection</t>
        </r>
      </text>
    </comment>
    <comment ref="D20" authorId="0" shapeId="0">
      <text>
        <r>
          <rPr>
            <b/>
            <sz val="9"/>
            <color indexed="81"/>
            <rFont val="Tahoma"/>
            <family val="2"/>
          </rPr>
          <t>Guillaume Allano:</t>
        </r>
        <r>
          <rPr>
            <sz val="9"/>
            <color indexed="81"/>
            <rFont val="Tahoma"/>
            <family val="2"/>
          </rPr>
          <t xml:space="preserve">
Parage+injection </t>
        </r>
      </text>
    </comment>
  </commentList>
</comments>
</file>

<file path=xl/sharedStrings.xml><?xml version="1.0" encoding="utf-8"?>
<sst xmlns="http://schemas.openxmlformats.org/spreadsheetml/2006/main" count="321" uniqueCount="218">
  <si>
    <t>Produit</t>
  </si>
  <si>
    <t xml:space="preserve">Réception matière première </t>
  </si>
  <si>
    <t>Matière 2</t>
  </si>
  <si>
    <t>Matière 3</t>
  </si>
  <si>
    <t>Centre de préparation</t>
  </si>
  <si>
    <t>Coûts matière première</t>
  </si>
  <si>
    <t>Fournisseur</t>
  </si>
  <si>
    <t>Prix (€/KG)</t>
  </si>
  <si>
    <t>Matière</t>
  </si>
  <si>
    <t>AIM</t>
  </si>
  <si>
    <t>Stergoz</t>
  </si>
  <si>
    <t>Jambonneau AIM</t>
  </si>
  <si>
    <t>Jambonneau</t>
  </si>
  <si>
    <t>Barattage</t>
  </si>
  <si>
    <t>Mise en pièce</t>
  </si>
  <si>
    <t>Cuisson</t>
  </si>
  <si>
    <t>Rendement</t>
  </si>
  <si>
    <t>Cout total matière</t>
  </si>
  <si>
    <t>Désossage</t>
  </si>
  <si>
    <t>Montant heure de MOD employés</t>
  </si>
  <si>
    <t>Montant MOD tacheron (KG)</t>
  </si>
  <si>
    <t>Cout total MOD préparation</t>
  </si>
  <si>
    <t>Centre de cuisson</t>
  </si>
  <si>
    <t>Cout total MOD cuisson</t>
  </si>
  <si>
    <t>Rendement préparation</t>
  </si>
  <si>
    <t>Rendement total cuisson</t>
  </si>
  <si>
    <t>Centre de conditionnement</t>
  </si>
  <si>
    <t>Total MOD conditionnement</t>
  </si>
  <si>
    <t>Consommation ingrédients</t>
  </si>
  <si>
    <t>Synthèse</t>
  </si>
  <si>
    <t>Rendement final</t>
  </si>
  <si>
    <t>Cout total</t>
  </si>
  <si>
    <t>Cout total/kg</t>
  </si>
  <si>
    <t>Prix de vente</t>
  </si>
  <si>
    <t>Barquettes</t>
  </si>
  <si>
    <t>Barquette Jambonneau</t>
  </si>
  <si>
    <t>Knauf</t>
  </si>
  <si>
    <t>Prix (pièce)</t>
  </si>
  <si>
    <t>Consommation emballages + divers</t>
  </si>
  <si>
    <t>Agrafe</t>
  </si>
  <si>
    <t>Gaine</t>
  </si>
  <si>
    <t>Poids cru</t>
  </si>
  <si>
    <t>Poids cuit</t>
  </si>
  <si>
    <t>Saumure rotisserie</t>
  </si>
  <si>
    <t>Ingrédient</t>
  </si>
  <si>
    <t>Quantité</t>
  </si>
  <si>
    <t>Montant</t>
  </si>
  <si>
    <t>Eau</t>
  </si>
  <si>
    <t>Sel nitrité</t>
  </si>
  <si>
    <t>Mélange PAE Le Leu</t>
  </si>
  <si>
    <t>Sel fin</t>
  </si>
  <si>
    <t>Lactate</t>
  </si>
  <si>
    <t>Bouquet Traiteur</t>
  </si>
  <si>
    <t>Total</t>
  </si>
  <si>
    <t>pour</t>
  </si>
  <si>
    <t>Poivre</t>
  </si>
  <si>
    <t>Ail en poudre</t>
  </si>
  <si>
    <t>Ingrédients barattage jambonneaux</t>
  </si>
  <si>
    <t>Ingrédient 2</t>
  </si>
  <si>
    <t>Ingrédient 3</t>
  </si>
  <si>
    <t>Prix (Au kg)</t>
  </si>
  <si>
    <t>Code produit</t>
  </si>
  <si>
    <t>Matière 1</t>
  </si>
  <si>
    <t>Quantité de départ</t>
  </si>
  <si>
    <t>Jarret AIM</t>
  </si>
  <si>
    <t>Jarret Stergoz</t>
  </si>
  <si>
    <t>Tâche 1</t>
  </si>
  <si>
    <t>Tâche 2</t>
  </si>
  <si>
    <t>Tâche 3</t>
  </si>
  <si>
    <t>Rendement total conditionnement</t>
  </si>
  <si>
    <t>Coût machine</t>
  </si>
  <si>
    <t>Achat 1</t>
  </si>
  <si>
    <t>Achat 2</t>
  </si>
  <si>
    <t>Achat 3</t>
  </si>
  <si>
    <t>Achat 4</t>
  </si>
  <si>
    <t>Achat 5</t>
  </si>
  <si>
    <t>Coût total autres achats</t>
  </si>
  <si>
    <t>Coût MOD</t>
  </si>
  <si>
    <t>Coût H/Machine</t>
  </si>
  <si>
    <t>Cout total des achats</t>
  </si>
  <si>
    <t>Ingrédient 1</t>
  </si>
  <si>
    <t>Saumure barattage</t>
  </si>
  <si>
    <t>Total achat ingrédients</t>
  </si>
  <si>
    <t>Coût autres achats</t>
  </si>
  <si>
    <t>Catégorie</t>
  </si>
  <si>
    <t>Divers</t>
  </si>
  <si>
    <t>Activex</t>
  </si>
  <si>
    <t>SOUSSANA</t>
  </si>
  <si>
    <t>ASKELL</t>
  </si>
  <si>
    <t>Arome viande grillée</t>
  </si>
  <si>
    <t>Thym</t>
  </si>
  <si>
    <t>LA BOVIDA</t>
  </si>
  <si>
    <t>Bouillon Charcutier traiteur</t>
  </si>
  <si>
    <t>Bouquet traiteur</t>
  </si>
  <si>
    <t>Caramel</t>
  </si>
  <si>
    <t>NACTIS</t>
  </si>
  <si>
    <t>Cèpes</t>
  </si>
  <si>
    <t>Cidre</t>
  </si>
  <si>
    <t>INTER</t>
  </si>
  <si>
    <t>Cipango 4 épices (poivre)</t>
  </si>
  <si>
    <t>Cognac Bidon 2 lit,</t>
  </si>
  <si>
    <t xml:space="preserve">Color grill </t>
  </si>
  <si>
    <t>Complet merguez KG</t>
  </si>
  <si>
    <t>Cumin</t>
  </si>
  <si>
    <t>Echalottes</t>
  </si>
  <si>
    <t>Erythorbat KG</t>
  </si>
  <si>
    <t>Fos liquide - bidon 10 lit,</t>
  </si>
  <si>
    <t>Gelatine</t>
  </si>
  <si>
    <t>Herbes de Provence</t>
  </si>
  <si>
    <t>lactate sodium</t>
  </si>
  <si>
    <t>SOFRAL SOUSSANA</t>
  </si>
  <si>
    <t>Liant protéique végétal Aminoweat KG</t>
  </si>
  <si>
    <t xml:space="preserve">MADERE </t>
  </si>
  <si>
    <t>Marinade Tex mex</t>
  </si>
  <si>
    <t>Marrons boite</t>
  </si>
  <si>
    <t>INTER ASKELL</t>
  </si>
  <si>
    <t>Miel</t>
  </si>
  <si>
    <t>METRO</t>
  </si>
  <si>
    <t>Morilles TETE ET QUEUE</t>
  </si>
  <si>
    <t>BOVIDA</t>
  </si>
  <si>
    <t>Mousseron kg</t>
  </si>
  <si>
    <t>Muscade</t>
  </si>
  <si>
    <t>Oignons</t>
  </si>
  <si>
    <t>Olive verte boite</t>
  </si>
  <si>
    <t>PAE 25 kg</t>
  </si>
  <si>
    <t>Persil</t>
  </si>
  <si>
    <t>Pleurotes KG</t>
  </si>
  <si>
    <t>POIVRE arome KG</t>
  </si>
  <si>
    <t>Poivre gris concassé mignonette KG</t>
  </si>
  <si>
    <t>Poivre blanc</t>
  </si>
  <si>
    <t>Poivre noire grains</t>
  </si>
  <si>
    <t>Protosol gemtec</t>
  </si>
  <si>
    <t>Raisin sec</t>
  </si>
  <si>
    <t>ASKE</t>
  </si>
  <si>
    <t>Sauce Curry</t>
  </si>
  <si>
    <t>Saumure poitrine lit,</t>
  </si>
  <si>
    <t>Saumure roti lit,</t>
  </si>
  <si>
    <t>Sel pastille (adoucisseur)</t>
  </si>
  <si>
    <t>Shi také</t>
  </si>
  <si>
    <t>Smokez</t>
  </si>
  <si>
    <t>Trompette</t>
  </si>
  <si>
    <t>Porto</t>
  </si>
  <si>
    <t>Sel de Guérande</t>
  </si>
  <si>
    <t xml:space="preserve">4 épices </t>
  </si>
  <si>
    <t>Gelée ambrée</t>
  </si>
  <si>
    <t>Bovida</t>
  </si>
  <si>
    <t>Clous de girofles</t>
  </si>
  <si>
    <t>MICHAUD</t>
  </si>
  <si>
    <t>Melange 5 parfums</t>
  </si>
  <si>
    <t>COLIN</t>
  </si>
  <si>
    <t>Aromatisation laquée</t>
  </si>
  <si>
    <t>Arome Gingembre</t>
  </si>
  <si>
    <t>Sucre</t>
  </si>
  <si>
    <t>Pomme de terre</t>
  </si>
  <si>
    <t>Euro 5</t>
  </si>
  <si>
    <t>Oignon en lanière</t>
  </si>
  <si>
    <t>Echalottes semoule</t>
  </si>
  <si>
    <t>Coût d'achat des ingrédients</t>
  </si>
  <si>
    <t>Cout unitaire</t>
  </si>
  <si>
    <t>Jambon cousu main</t>
  </si>
  <si>
    <t xml:space="preserve">Poitrine de porc </t>
  </si>
  <si>
    <t>Rôti de porc simple longe</t>
  </si>
  <si>
    <t>Rôti de porc double longe</t>
  </si>
  <si>
    <t>Rôti de porc simple longe aux herbes de Provence</t>
  </si>
  <si>
    <t>Rôti de porc simple longe farci aux champignons de saison</t>
  </si>
  <si>
    <t>Petit rôti échine</t>
  </si>
  <si>
    <t>Carré de côtes détalonné et baguette leée</t>
  </si>
  <si>
    <t>Traverc de porc Nature</t>
  </si>
  <si>
    <t>Travers de porc Tex-Mex</t>
  </si>
  <si>
    <t>Palette de porc</t>
  </si>
  <si>
    <t>Jarreton</t>
  </si>
  <si>
    <t>Porcelet farci olives, raisins, thym</t>
  </si>
  <si>
    <t>Noix de joue de porc</t>
  </si>
  <si>
    <t xml:space="preserve">Gambette de porc </t>
  </si>
  <si>
    <t>Saucisse "La daoulas" cuite et rôtie</t>
  </si>
  <si>
    <t>Bouchée de poulet</t>
  </si>
  <si>
    <t xml:space="preserve">Canard laqué </t>
  </si>
  <si>
    <t xml:space="preserve">Abricots en boite </t>
  </si>
  <si>
    <t xml:space="preserve">Ail en poudre </t>
  </si>
  <si>
    <t xml:space="preserve">Ananas en boite </t>
  </si>
  <si>
    <t>Mini-travers Tex-Mex</t>
  </si>
  <si>
    <t>Mini-travers Nature</t>
  </si>
  <si>
    <t xml:space="preserve">Travers de porc 5cm </t>
  </si>
  <si>
    <t>Gatine</t>
  </si>
  <si>
    <t>Mise en barquette</t>
  </si>
  <si>
    <t>Sac 700*400 (Mini-travers)</t>
  </si>
  <si>
    <t>Sacs</t>
  </si>
  <si>
    <t>Sacpo</t>
  </si>
  <si>
    <t>Sel de guérande</t>
  </si>
  <si>
    <t>Marinade tex-Mex</t>
  </si>
  <si>
    <t>Saumure Tex-Mex pour</t>
  </si>
  <si>
    <t>Zone de saisie</t>
  </si>
  <si>
    <t>Synthèse rendements/MOD de l'étape de production</t>
  </si>
  <si>
    <t>Palette</t>
  </si>
  <si>
    <t>Couenne</t>
  </si>
  <si>
    <t>Petit maigre 70/30</t>
  </si>
  <si>
    <t>gad</t>
  </si>
  <si>
    <t>Injection</t>
  </si>
  <si>
    <t>Poitrine BnB</t>
  </si>
  <si>
    <t>Conditionnement</t>
  </si>
  <si>
    <t>Désossage/parage</t>
  </si>
  <si>
    <t>Fabrication</t>
  </si>
  <si>
    <t>Jambonneaux AIM</t>
  </si>
  <si>
    <t>15min/panier</t>
  </si>
  <si>
    <t>Jambonneaux Stergoz</t>
  </si>
  <si>
    <t>Carré de côtes</t>
  </si>
  <si>
    <t>Gambette</t>
  </si>
  <si>
    <t>Mini-travers</t>
  </si>
  <si>
    <t>cf injection</t>
  </si>
  <si>
    <t xml:space="preserve">Poitrine </t>
  </si>
  <si>
    <t>Rôti</t>
  </si>
  <si>
    <t>Travers Nature</t>
  </si>
  <si>
    <t>Travers Tex-Mex</t>
  </si>
  <si>
    <t>Produits</t>
  </si>
  <si>
    <t>Productivité (Kg/H/personne)</t>
  </si>
  <si>
    <t>Rendements (%)</t>
  </si>
  <si>
    <t>jambonneau</t>
  </si>
  <si>
    <t>désossage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</si>
</sst>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.0000\ &quot;€&quot;_-;\-* #,##0.0000\ &quot;€&quot;_-;_-* &quot;-&quot;??\ &quot;€&quot;_-;_-@_-"/>
    <numFmt numFmtId="166" formatCode="0.000"/>
    <numFmt numFmtId="167" formatCode="0.0000"/>
    <numFmt numFmtId="168" formatCode="0.0%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Up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06">
    <xf numFmtId="0" fontId="0" fillId="0" borderId="0" xfId="0"/>
    <xf numFmtId="164" fontId="0" fillId="0" borderId="3" xfId="0" applyNumberFormat="1" applyBorder="1"/>
    <xf numFmtId="44" fontId="0" fillId="0" borderId="3" xfId="1" applyFont="1" applyBorder="1"/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3" borderId="8" xfId="0" applyFill="1" applyBorder="1"/>
    <xf numFmtId="0" fontId="0" fillId="0" borderId="10" xfId="0" applyBorder="1"/>
    <xf numFmtId="0" fontId="0" fillId="0" borderId="13" xfId="0" applyBorder="1"/>
    <xf numFmtId="0" fontId="0" fillId="3" borderId="14" xfId="0" applyFill="1" applyBorder="1"/>
    <xf numFmtId="0" fontId="0" fillId="0" borderId="15" xfId="0" applyBorder="1"/>
    <xf numFmtId="0" fontId="0" fillId="2" borderId="5" xfId="0" applyFill="1" applyBorder="1" applyAlignment="1">
      <alignment horizontal="center"/>
    </xf>
    <xf numFmtId="0" fontId="0" fillId="0" borderId="8" xfId="0" applyBorder="1"/>
    <xf numFmtId="0" fontId="0" fillId="0" borderId="14" xfId="0" applyBorder="1"/>
    <xf numFmtId="44" fontId="0" fillId="0" borderId="10" xfId="1" applyFont="1" applyBorder="1"/>
    <xf numFmtId="0" fontId="0" fillId="0" borderId="19" xfId="0" applyBorder="1"/>
    <xf numFmtId="0" fontId="0" fillId="0" borderId="17" xfId="0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3" borderId="9" xfId="0" applyFill="1" applyBorder="1"/>
    <xf numFmtId="0" fontId="0" fillId="3" borderId="18" xfId="0" applyFill="1" applyBorder="1"/>
    <xf numFmtId="2" fontId="0" fillId="0" borderId="7" xfId="0" applyNumberFormat="1" applyBorder="1"/>
    <xf numFmtId="2" fontId="0" fillId="0" borderId="19" xfId="0" applyNumberFormat="1" applyBorder="1"/>
    <xf numFmtId="0" fontId="0" fillId="3" borderId="23" xfId="0" applyFill="1" applyBorder="1"/>
    <xf numFmtId="0" fontId="0" fillId="0" borderId="24" xfId="0" applyBorder="1"/>
    <xf numFmtId="0" fontId="0" fillId="0" borderId="25" xfId="0" applyBorder="1"/>
    <xf numFmtId="0" fontId="2" fillId="5" borderId="1" xfId="0" applyFont="1" applyFill="1" applyBorder="1"/>
    <xf numFmtId="0" fontId="2" fillId="5" borderId="2" xfId="0" applyFont="1" applyFill="1" applyBorder="1"/>
    <xf numFmtId="166" fontId="2" fillId="5" borderId="2" xfId="0" applyNumberFormat="1" applyFont="1" applyFill="1" applyBorder="1"/>
    <xf numFmtId="0" fontId="2" fillId="5" borderId="3" xfId="0" applyFont="1" applyFill="1" applyBorder="1"/>
    <xf numFmtId="166" fontId="0" fillId="0" borderId="7" xfId="0" applyNumberFormat="1" applyBorder="1"/>
    <xf numFmtId="166" fontId="0" fillId="0" borderId="19" xfId="0" applyNumberFormat="1" applyBorder="1"/>
    <xf numFmtId="167" fontId="2" fillId="5" borderId="2" xfId="0" applyNumberFormat="1" applyFont="1" applyFill="1" applyBorder="1"/>
    <xf numFmtId="166" fontId="2" fillId="5" borderId="3" xfId="0" applyNumberFormat="1" applyFont="1" applyFill="1" applyBorder="1"/>
    <xf numFmtId="0" fontId="0" fillId="0" borderId="0" xfId="0" applyFill="1" applyBorder="1"/>
    <xf numFmtId="0" fontId="0" fillId="0" borderId="16" xfId="0" applyBorder="1"/>
    <xf numFmtId="0" fontId="0" fillId="0" borderId="34" xfId="0" applyBorder="1"/>
    <xf numFmtId="0" fontId="0" fillId="0" borderId="0" xfId="0" applyBorder="1" applyAlignment="1">
      <alignment horizontal="center"/>
    </xf>
    <xf numFmtId="0" fontId="0" fillId="7" borderId="26" xfId="0" applyFill="1" applyBorder="1"/>
    <xf numFmtId="0" fontId="0" fillId="7" borderId="27" xfId="0" applyFill="1" applyBorder="1"/>
    <xf numFmtId="0" fontId="2" fillId="7" borderId="33" xfId="0" applyFont="1" applyFill="1" applyBorder="1"/>
    <xf numFmtId="0" fontId="0" fillId="7" borderId="20" xfId="0" applyFill="1" applyBorder="1"/>
    <xf numFmtId="0" fontId="0" fillId="7" borderId="21" xfId="0" applyFill="1" applyBorder="1"/>
    <xf numFmtId="0" fontId="2" fillId="7" borderId="21" xfId="0" applyFont="1" applyFill="1" applyBorder="1"/>
    <xf numFmtId="0" fontId="2" fillId="7" borderId="35" xfId="0" applyFont="1" applyFill="1" applyBorder="1"/>
    <xf numFmtId="0" fontId="0" fillId="7" borderId="35" xfId="0" applyFill="1" applyBorder="1"/>
    <xf numFmtId="0" fontId="2" fillId="7" borderId="22" xfId="0" applyFont="1" applyFill="1" applyBorder="1"/>
    <xf numFmtId="0" fontId="0" fillId="7" borderId="4" xfId="0" applyFont="1" applyFill="1" applyBorder="1"/>
    <xf numFmtId="0" fontId="0" fillId="7" borderId="33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22" xfId="0" applyFill="1" applyBorder="1"/>
    <xf numFmtId="0" fontId="0" fillId="9" borderId="16" xfId="0" applyFill="1" applyBorder="1"/>
    <xf numFmtId="0" fontId="0" fillId="9" borderId="17" xfId="0" applyFill="1" applyBorder="1"/>
    <xf numFmtId="0" fontId="0" fillId="9" borderId="8" xfId="0" applyFill="1" applyBorder="1" applyAlignment="1">
      <alignment horizontal="right" vertical="center"/>
    </xf>
    <xf numFmtId="0" fontId="0" fillId="9" borderId="14" xfId="0" applyFill="1" applyBorder="1"/>
    <xf numFmtId="9" fontId="0" fillId="0" borderId="15" xfId="2" applyFont="1" applyBorder="1"/>
    <xf numFmtId="2" fontId="0" fillId="0" borderId="17" xfId="0" applyNumberFormat="1" applyBorder="1"/>
    <xf numFmtId="0" fontId="2" fillId="7" borderId="21" xfId="0" applyFont="1" applyFill="1" applyBorder="1" applyAlignment="1">
      <alignment horizontal="center"/>
    </xf>
    <xf numFmtId="168" fontId="0" fillId="0" borderId="15" xfId="2" applyNumberFormat="1" applyFont="1" applyBorder="1"/>
    <xf numFmtId="0" fontId="0" fillId="0" borderId="7" xfId="0" applyFill="1" applyBorder="1"/>
    <xf numFmtId="0" fontId="0" fillId="0" borderId="0" xfId="0" applyBorder="1"/>
    <xf numFmtId="165" fontId="0" fillId="0" borderId="0" xfId="1" applyNumberFormat="1" applyFont="1" applyBorder="1"/>
    <xf numFmtId="0" fontId="0" fillId="0" borderId="19" xfId="0" applyFill="1" applyBorder="1"/>
    <xf numFmtId="0" fontId="2" fillId="10" borderId="8" xfId="0" applyFont="1" applyFill="1" applyBorder="1"/>
    <xf numFmtId="0" fontId="2" fillId="10" borderId="14" xfId="0" applyFont="1" applyFill="1" applyBorder="1"/>
    <xf numFmtId="0" fontId="0" fillId="0" borderId="11" xfId="0" applyBorder="1"/>
    <xf numFmtId="0" fontId="2" fillId="10" borderId="9" xfId="0" applyFont="1" applyFill="1" applyBorder="1"/>
    <xf numFmtId="4" fontId="3" fillId="0" borderId="19" xfId="0" applyNumberFormat="1" applyFont="1" applyFill="1" applyBorder="1"/>
    <xf numFmtId="4" fontId="3" fillId="0" borderId="25" xfId="0" applyNumberFormat="1" applyFont="1" applyFill="1" applyBorder="1"/>
    <xf numFmtId="4" fontId="3" fillId="0" borderId="11" xfId="0" applyNumberFormat="1" applyFont="1" applyFill="1" applyBorder="1"/>
    <xf numFmtId="0" fontId="0" fillId="4" borderId="29" xfId="0" applyFill="1" applyBorder="1"/>
    <xf numFmtId="0" fontId="0" fillId="4" borderId="5" xfId="0" applyFill="1" applyBorder="1"/>
    <xf numFmtId="0" fontId="0" fillId="4" borderId="28" xfId="0" applyFill="1" applyBorder="1"/>
    <xf numFmtId="44" fontId="0" fillId="0" borderId="9" xfId="1" applyFont="1" applyBorder="1"/>
    <xf numFmtId="0" fontId="0" fillId="0" borderId="18" xfId="0" applyBorder="1"/>
    <xf numFmtId="0" fontId="0" fillId="0" borderId="18" xfId="0" applyFont="1" applyFill="1" applyBorder="1"/>
    <xf numFmtId="11" fontId="0" fillId="0" borderId="18" xfId="0" applyNumberFormat="1" applyFont="1" applyFill="1" applyBorder="1"/>
    <xf numFmtId="0" fontId="4" fillId="0" borderId="18" xfId="0" applyFont="1" applyFill="1" applyBorder="1"/>
    <xf numFmtId="0" fontId="4" fillId="0" borderId="10" xfId="0" applyFont="1" applyFill="1" applyBorder="1"/>
    <xf numFmtId="0" fontId="0" fillId="0" borderId="7" xfId="0" applyFont="1" applyFill="1" applyBorder="1"/>
    <xf numFmtId="0" fontId="4" fillId="0" borderId="7" xfId="0" applyFont="1" applyFill="1" applyBorder="1"/>
    <xf numFmtId="0" fontId="4" fillId="0" borderId="15" xfId="0" applyFont="1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4" borderId="27" xfId="0" applyFill="1" applyBorder="1"/>
    <xf numFmtId="0" fontId="0" fillId="9" borderId="36" xfId="0" applyFill="1" applyBorder="1"/>
    <xf numFmtId="44" fontId="0" fillId="0" borderId="37" xfId="1" applyFont="1" applyBorder="1"/>
    <xf numFmtId="0" fontId="0" fillId="9" borderId="14" xfId="0" applyFill="1" applyBorder="1" applyAlignment="1">
      <alignment horizontal="right" vertical="center"/>
    </xf>
    <xf numFmtId="44" fontId="0" fillId="0" borderId="23" xfId="1" applyFont="1" applyBorder="1" applyAlignment="1">
      <alignment horizontal="right" vertical="center"/>
    </xf>
    <xf numFmtId="44" fontId="0" fillId="0" borderId="24" xfId="1" applyFont="1" applyBorder="1" applyAlignment="1">
      <alignment horizontal="right" vertical="center"/>
    </xf>
    <xf numFmtId="0" fontId="0" fillId="7" borderId="29" xfId="0" applyFill="1" applyBorder="1"/>
    <xf numFmtId="0" fontId="2" fillId="7" borderId="27" xfId="0" applyFont="1" applyFill="1" applyBorder="1"/>
    <xf numFmtId="0" fontId="2" fillId="7" borderId="27" xfId="0" applyFont="1" applyFill="1" applyBorder="1" applyAlignment="1">
      <alignment horizontal="center"/>
    </xf>
    <xf numFmtId="2" fontId="0" fillId="0" borderId="14" xfId="0" applyNumberFormat="1" applyBorder="1"/>
    <xf numFmtId="44" fontId="0" fillId="0" borderId="15" xfId="1" applyFont="1" applyBorder="1"/>
    <xf numFmtId="9" fontId="0" fillId="0" borderId="19" xfId="0" applyNumberFormat="1" applyBorder="1"/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6" borderId="7" xfId="0" applyFill="1" applyBorder="1"/>
    <xf numFmtId="166" fontId="0" fillId="0" borderId="7" xfId="0" applyNumberFormat="1" applyFill="1" applyBorder="1"/>
    <xf numFmtId="166" fontId="0" fillId="0" borderId="7" xfId="1" applyNumberFormat="1" applyFont="1" applyBorder="1"/>
    <xf numFmtId="165" fontId="0" fillId="0" borderId="7" xfId="1" applyNumberFormat="1" applyFont="1" applyBorder="1"/>
    <xf numFmtId="2" fontId="0" fillId="11" borderId="9" xfId="0" applyNumberFormat="1" applyFill="1" applyBorder="1" applyAlignment="1">
      <alignment horizontal="center"/>
    </xf>
    <xf numFmtId="10" fontId="0" fillId="11" borderId="11" xfId="2" applyNumberFormat="1" applyFont="1" applyFill="1" applyBorder="1"/>
    <xf numFmtId="2" fontId="2" fillId="11" borderId="34" xfId="0" applyNumberFormat="1" applyFont="1" applyFill="1" applyBorder="1"/>
    <xf numFmtId="9" fontId="2" fillId="11" borderId="13" xfId="0" applyNumberFormat="1" applyFont="1" applyFill="1" applyBorder="1"/>
    <xf numFmtId="0" fontId="0" fillId="11" borderId="34" xfId="0" applyFill="1" applyBorder="1"/>
    <xf numFmtId="44" fontId="0" fillId="11" borderId="13" xfId="1" applyFont="1" applyFill="1" applyBorder="1"/>
    <xf numFmtId="2" fontId="2" fillId="5" borderId="38" xfId="0" applyNumberFormat="1" applyFont="1" applyFill="1" applyBorder="1"/>
    <xf numFmtId="166" fontId="2" fillId="5" borderId="38" xfId="0" applyNumberFormat="1" applyFont="1" applyFill="1" applyBorder="1"/>
    <xf numFmtId="2" fontId="0" fillId="11" borderId="17" xfId="0" applyNumberFormat="1" applyFill="1" applyBorder="1"/>
    <xf numFmtId="9" fontId="0" fillId="11" borderId="15" xfId="0" applyNumberFormat="1" applyFill="1" applyBorder="1"/>
    <xf numFmtId="0" fontId="0" fillId="0" borderId="39" xfId="0" applyFill="1" applyBorder="1"/>
    <xf numFmtId="44" fontId="0" fillId="0" borderId="7" xfId="1" applyFont="1" applyFill="1" applyBorder="1"/>
    <xf numFmtId="44" fontId="0" fillId="0" borderId="7" xfId="1" applyFont="1" applyBorder="1"/>
    <xf numFmtId="44" fontId="0" fillId="0" borderId="39" xfId="1" applyFont="1" applyFill="1" applyBorder="1"/>
    <xf numFmtId="10" fontId="0" fillId="0" borderId="7" xfId="0" applyNumberFormat="1" applyBorder="1"/>
    <xf numFmtId="9" fontId="0" fillId="0" borderId="7" xfId="0" applyNumberFormat="1" applyBorder="1"/>
    <xf numFmtId="43" fontId="0" fillId="0" borderId="7" xfId="3" applyFont="1" applyBorder="1"/>
    <xf numFmtId="0" fontId="0" fillId="9" borderId="40" xfId="0" applyFill="1" applyBorder="1"/>
    <xf numFmtId="0" fontId="0" fillId="12" borderId="17" xfId="0" applyFill="1" applyBorder="1"/>
    <xf numFmtId="168" fontId="0" fillId="0" borderId="17" xfId="2" applyNumberFormat="1" applyFont="1" applyBorder="1"/>
    <xf numFmtId="9" fontId="0" fillId="0" borderId="17" xfId="2" applyFont="1" applyBorder="1"/>
    <xf numFmtId="10" fontId="0" fillId="0" borderId="17" xfId="2" applyNumberFormat="1" applyFont="1" applyBorder="1"/>
    <xf numFmtId="0" fontId="0" fillId="0" borderId="17" xfId="0" applyFill="1" applyBorder="1"/>
    <xf numFmtId="0" fontId="0" fillId="12" borderId="41" xfId="0" applyFill="1" applyBorder="1"/>
    <xf numFmtId="0" fontId="0" fillId="12" borderId="7" xfId="0" applyFill="1" applyBorder="1"/>
    <xf numFmtId="9" fontId="0" fillId="0" borderId="7" xfId="2" applyFont="1" applyBorder="1"/>
    <xf numFmtId="0" fontId="0" fillId="12" borderId="19" xfId="0" applyFill="1" applyBorder="1"/>
    <xf numFmtId="0" fontId="0" fillId="13" borderId="7" xfId="0" applyFill="1" applyBorder="1"/>
    <xf numFmtId="9" fontId="0" fillId="0" borderId="7" xfId="0" applyNumberFormat="1" applyFill="1" applyBorder="1"/>
    <xf numFmtId="168" fontId="0" fillId="0" borderId="7" xfId="2" applyNumberFormat="1" applyFont="1" applyBorder="1"/>
    <xf numFmtId="0" fontId="0" fillId="13" borderId="19" xfId="0" applyFill="1" applyBorder="1"/>
    <xf numFmtId="10" fontId="0" fillId="0" borderId="7" xfId="0" applyNumberFormat="1" applyFill="1" applyBorder="1"/>
    <xf numFmtId="9" fontId="0" fillId="12" borderId="7" xfId="0" applyNumberFormat="1" applyFill="1" applyBorder="1"/>
    <xf numFmtId="0" fontId="0" fillId="12" borderId="15" xfId="0" applyFill="1" applyBorder="1"/>
    <xf numFmtId="9" fontId="0" fillId="0" borderId="15" xfId="0" applyNumberFormat="1" applyFill="1" applyBorder="1"/>
    <xf numFmtId="0" fontId="0" fillId="13" borderId="15" xfId="0" applyFill="1" applyBorder="1"/>
    <xf numFmtId="9" fontId="0" fillId="0" borderId="15" xfId="0" applyNumberFormat="1" applyBorder="1"/>
    <xf numFmtId="0" fontId="0" fillId="12" borderId="11" xfId="0" applyFill="1" applyBorder="1"/>
    <xf numFmtId="0" fontId="2" fillId="2" borderId="14" xfId="0" applyFont="1" applyFill="1" applyBorder="1" applyAlignment="1"/>
    <xf numFmtId="0" fontId="2" fillId="2" borderId="14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11" borderId="8" xfId="0" applyFont="1" applyFill="1" applyBorder="1"/>
    <xf numFmtId="0" fontId="0" fillId="11" borderId="16" xfId="0" applyFill="1" applyBorder="1"/>
    <xf numFmtId="0" fontId="0" fillId="11" borderId="18" xfId="0" applyFill="1" applyBorder="1"/>
    <xf numFmtId="0" fontId="0" fillId="11" borderId="10" xfId="0" applyFill="1" applyBorder="1"/>
    <xf numFmtId="0" fontId="0" fillId="0" borderId="0" xfId="0" applyAlignment="1"/>
    <xf numFmtId="0" fontId="0" fillId="11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44" fontId="2" fillId="11" borderId="9" xfId="0" applyNumberFormat="1" applyFont="1" applyFill="1" applyBorder="1" applyAlignment="1">
      <alignment horizontal="center" vertical="center"/>
    </xf>
    <xf numFmtId="44" fontId="2" fillId="11" borderId="25" xfId="0" applyNumberFormat="1" applyFont="1" applyFill="1" applyBorder="1" applyAlignment="1">
      <alignment horizontal="center" vertical="center"/>
    </xf>
    <xf numFmtId="44" fontId="2" fillId="0" borderId="27" xfId="0" applyNumberFormat="1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44" fontId="2" fillId="11" borderId="14" xfId="0" applyNumberFormat="1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44" fontId="2" fillId="11" borderId="27" xfId="0" applyNumberFormat="1" applyFont="1" applyFill="1" applyBorder="1" applyAlignment="1">
      <alignment horizontal="center"/>
    </xf>
    <xf numFmtId="0" fontId="2" fillId="11" borderId="31" xfId="0" applyFont="1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44" fontId="0" fillId="0" borderId="27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44" fontId="0" fillId="0" borderId="29" xfId="1" applyFont="1" applyBorder="1" applyAlignment="1">
      <alignment horizontal="center"/>
    </xf>
    <xf numFmtId="44" fontId="0" fillId="0" borderId="30" xfId="1" applyFont="1" applyBorder="1" applyAlignment="1">
      <alignment horizontal="center"/>
    </xf>
    <xf numFmtId="44" fontId="0" fillId="11" borderId="28" xfId="0" applyNumberFormat="1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44" fontId="0" fillId="0" borderId="28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2" fontId="0" fillId="0" borderId="27" xfId="0" applyNumberFormat="1" applyBorder="1" applyAlignment="1">
      <alignment horizontal="center"/>
    </xf>
    <xf numFmtId="10" fontId="0" fillId="0" borderId="27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8" fontId="0" fillId="14" borderId="15" xfId="2" applyNumberFormat="1" applyFont="1" applyFill="1" applyBorder="1"/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W8"/>
  <sheetViews>
    <sheetView tabSelected="1" zoomScale="80" zoomScaleNormal="80" workbookViewId="0">
      <selection activeCell="L8" sqref="L8"/>
    </sheetView>
  </sheetViews>
  <sheetFormatPr baseColWidth="10" defaultColWidth="16.7109375" defaultRowHeight="25.5" customHeight="1" x14ac:dyDescent="0.25"/>
  <cols>
    <col min="1" max="1" width="4.42578125" customWidth="1"/>
    <col min="2" max="2" width="28" customWidth="1"/>
    <col min="3" max="3" width="17" customWidth="1"/>
    <col min="4" max="4" width="23.7109375" customWidth="1"/>
    <col min="5" max="5" width="23.28515625" customWidth="1"/>
    <col min="8" max="8" width="17.7109375" customWidth="1"/>
    <col min="9" max="9" width="23.5703125" customWidth="1"/>
    <col min="11" max="11" width="31.5703125" customWidth="1"/>
    <col min="15" max="15" width="25.7109375" customWidth="1"/>
    <col min="16" max="16" width="24.5703125" customWidth="1"/>
    <col min="19" max="19" width="24.28515625" customWidth="1"/>
    <col min="20" max="20" width="26.140625" customWidth="1"/>
    <col min="21" max="21" width="20" customWidth="1"/>
    <col min="22" max="22" width="13.28515625" customWidth="1"/>
    <col min="23" max="23" width="15.5703125" customWidth="1"/>
    <col min="24" max="24" width="14.140625" customWidth="1"/>
    <col min="25" max="25" width="26.7109375" customWidth="1"/>
    <col min="26" max="26" width="31.42578125" customWidth="1"/>
    <col min="27" max="27" width="21.140625" customWidth="1"/>
    <col min="28" max="28" width="23.7109375" customWidth="1"/>
    <col min="29" max="29" width="25.28515625" customWidth="1"/>
    <col min="30" max="30" width="24.42578125" customWidth="1"/>
    <col min="31" max="31" width="26.28515625" customWidth="1"/>
    <col min="35" max="35" width="27.42578125" customWidth="1"/>
    <col min="36" max="36" width="18.7109375" customWidth="1"/>
    <col min="40" max="41" width="22.5703125" customWidth="1"/>
  </cols>
  <sheetData>
    <row r="1" spans="2:49" ht="25.5" customHeight="1" x14ac:dyDescent="0.25">
      <c r="B1" s="152" t="s">
        <v>191</v>
      </c>
      <c r="C1" s="152"/>
      <c r="D1" s="152"/>
    </row>
    <row r="2" spans="2:49" ht="25.5" customHeight="1" x14ac:dyDescent="0.25">
      <c r="B2" s="151" t="s">
        <v>192</v>
      </c>
      <c r="C2" s="151"/>
      <c r="D2" s="151"/>
    </row>
    <row r="4" spans="2:49" ht="25.5" customHeight="1" thickBot="1" x14ac:dyDescent="0.3"/>
    <row r="5" spans="2:49" ht="25.5" customHeight="1" thickBot="1" x14ac:dyDescent="0.3">
      <c r="E5" s="153" t="s">
        <v>1</v>
      </c>
      <c r="F5" s="154"/>
      <c r="G5" s="154"/>
      <c r="H5" s="155"/>
      <c r="I5" s="153" t="s">
        <v>4</v>
      </c>
      <c r="J5" s="154"/>
      <c r="K5" s="154"/>
      <c r="L5" s="154"/>
      <c r="M5" s="154"/>
      <c r="N5" s="154"/>
      <c r="O5" s="154"/>
      <c r="P5" s="154"/>
      <c r="Q5" s="154" t="s">
        <v>22</v>
      </c>
      <c r="R5" s="154"/>
      <c r="S5" s="154"/>
      <c r="T5" s="154"/>
      <c r="U5" s="153" t="s">
        <v>26</v>
      </c>
      <c r="V5" s="154"/>
      <c r="W5" s="154"/>
      <c r="X5" s="154"/>
      <c r="Y5" s="154"/>
      <c r="Z5" s="154"/>
      <c r="AA5" s="170" t="s">
        <v>28</v>
      </c>
      <c r="AB5" s="171"/>
      <c r="AC5" s="171"/>
      <c r="AD5" s="171"/>
      <c r="AE5" s="170" t="s">
        <v>70</v>
      </c>
      <c r="AF5" s="171"/>
      <c r="AG5" s="171"/>
      <c r="AH5" s="172"/>
      <c r="AI5" s="153" t="s">
        <v>38</v>
      </c>
      <c r="AJ5" s="154"/>
      <c r="AK5" s="154"/>
      <c r="AL5" s="154"/>
      <c r="AM5" s="154"/>
      <c r="AN5" s="155"/>
      <c r="AO5" s="174" t="s">
        <v>29</v>
      </c>
      <c r="AP5" s="175"/>
      <c r="AQ5" s="175"/>
      <c r="AR5" s="175"/>
      <c r="AS5" s="175"/>
      <c r="AT5" s="175"/>
      <c r="AU5" s="176"/>
      <c r="AV5" s="38"/>
      <c r="AW5" s="38"/>
    </row>
    <row r="6" spans="2:49" ht="25.5" customHeight="1" thickBot="1" x14ac:dyDescent="0.3">
      <c r="B6" s="42" t="s">
        <v>0</v>
      </c>
      <c r="C6" s="43" t="s">
        <v>61</v>
      </c>
      <c r="D6" s="52" t="s">
        <v>63</v>
      </c>
      <c r="E6" s="39" t="s">
        <v>62</v>
      </c>
      <c r="F6" s="40" t="s">
        <v>2</v>
      </c>
      <c r="G6" s="40" t="s">
        <v>3</v>
      </c>
      <c r="H6" s="41" t="s">
        <v>17</v>
      </c>
      <c r="I6" s="92" t="s">
        <v>66</v>
      </c>
      <c r="J6" s="40" t="s">
        <v>16</v>
      </c>
      <c r="K6" s="40" t="s">
        <v>67</v>
      </c>
      <c r="L6" s="40" t="s">
        <v>16</v>
      </c>
      <c r="M6" s="40" t="s">
        <v>68</v>
      </c>
      <c r="N6" s="40" t="s">
        <v>16</v>
      </c>
      <c r="O6" s="93" t="s">
        <v>21</v>
      </c>
      <c r="P6" s="94" t="s">
        <v>24</v>
      </c>
      <c r="Q6" s="42" t="s">
        <v>15</v>
      </c>
      <c r="R6" s="43" t="s">
        <v>16</v>
      </c>
      <c r="S6" s="44" t="s">
        <v>23</v>
      </c>
      <c r="T6" s="59" t="s">
        <v>25</v>
      </c>
      <c r="U6" s="42" t="s">
        <v>66</v>
      </c>
      <c r="V6" s="43" t="s">
        <v>16</v>
      </c>
      <c r="W6" s="43" t="s">
        <v>67</v>
      </c>
      <c r="X6" s="43" t="s">
        <v>16</v>
      </c>
      <c r="Y6" s="44" t="s">
        <v>27</v>
      </c>
      <c r="Z6" s="45" t="s">
        <v>69</v>
      </c>
      <c r="AA6" s="42" t="s">
        <v>80</v>
      </c>
      <c r="AB6" s="43" t="s">
        <v>58</v>
      </c>
      <c r="AC6" s="43" t="s">
        <v>59</v>
      </c>
      <c r="AD6" s="43" t="s">
        <v>82</v>
      </c>
      <c r="AE6" s="42"/>
      <c r="AF6" s="43"/>
      <c r="AG6" s="43"/>
      <c r="AH6" s="46"/>
      <c r="AI6" s="42" t="s">
        <v>71</v>
      </c>
      <c r="AJ6" s="43" t="s">
        <v>72</v>
      </c>
      <c r="AK6" s="43" t="s">
        <v>73</v>
      </c>
      <c r="AL6" s="43" t="s">
        <v>74</v>
      </c>
      <c r="AM6" s="43" t="s">
        <v>75</v>
      </c>
      <c r="AN6" s="47" t="s">
        <v>76</v>
      </c>
      <c r="AO6" s="48" t="s">
        <v>79</v>
      </c>
      <c r="AP6" s="49" t="s">
        <v>77</v>
      </c>
      <c r="AQ6" s="50" t="s">
        <v>78</v>
      </c>
      <c r="AR6" s="173" t="s">
        <v>30</v>
      </c>
      <c r="AS6" s="173"/>
      <c r="AT6" s="50" t="s">
        <v>31</v>
      </c>
      <c r="AU6" s="51" t="s">
        <v>32</v>
      </c>
      <c r="AV6" s="35"/>
      <c r="AW6" s="35"/>
    </row>
    <row r="7" spans="2:49" ht="25.5" customHeight="1" x14ac:dyDescent="0.25">
      <c r="B7" s="156" t="s">
        <v>12</v>
      </c>
      <c r="C7" s="160">
        <v>66</v>
      </c>
      <c r="D7" s="158">
        <v>150</v>
      </c>
      <c r="E7" s="55" t="s">
        <v>64</v>
      </c>
      <c r="F7" s="89"/>
      <c r="G7" s="89"/>
      <c r="H7" s="162">
        <f>E8+F8+G8</f>
        <v>172.5</v>
      </c>
      <c r="I7" s="122" t="s">
        <v>18</v>
      </c>
      <c r="J7" s="95"/>
      <c r="K7" s="56" t="s">
        <v>13</v>
      </c>
      <c r="L7" s="95"/>
      <c r="M7" s="56" t="s">
        <v>14</v>
      </c>
      <c r="N7" s="95"/>
      <c r="O7" s="166">
        <f>I8+K8+M8</f>
        <v>37.5</v>
      </c>
      <c r="P7" s="105">
        <f>N7</f>
        <v>0</v>
      </c>
      <c r="Q7" s="87" t="s">
        <v>15</v>
      </c>
      <c r="R7" s="58"/>
      <c r="S7" s="164"/>
      <c r="T7" s="113"/>
      <c r="U7" s="53" t="s">
        <v>184</v>
      </c>
      <c r="V7" s="58"/>
      <c r="W7" s="54"/>
      <c r="X7" s="58"/>
      <c r="Y7" s="168"/>
      <c r="Z7" s="107">
        <f>V7</f>
        <v>0</v>
      </c>
      <c r="AA7" s="53" t="s">
        <v>81</v>
      </c>
      <c r="AB7" s="16"/>
      <c r="AC7" s="16"/>
      <c r="AD7" s="181">
        <f>AA8+AB8+AC8</f>
        <v>0</v>
      </c>
      <c r="AE7" s="36"/>
      <c r="AF7" s="16"/>
      <c r="AG7" s="16"/>
      <c r="AH7" s="37"/>
      <c r="AI7" s="53" t="str">
        <f>'Autres achats'!B5</f>
        <v>Barquette Jambonneau</v>
      </c>
      <c r="AJ7" s="53" t="str">
        <f>'Autres achats'!B6</f>
        <v>Agrafe</v>
      </c>
      <c r="AK7" s="54" t="str">
        <f>'Autres achats'!B7</f>
        <v>Gaine</v>
      </c>
      <c r="AL7" s="54"/>
      <c r="AM7" s="54"/>
      <c r="AN7" s="109"/>
      <c r="AO7" s="179">
        <f>AN8+H7+AD7</f>
        <v>172.5</v>
      </c>
      <c r="AP7" s="177">
        <f>O7+S7+Y7</f>
        <v>37.5</v>
      </c>
      <c r="AQ7" s="187"/>
      <c r="AR7" s="186" t="e">
        <f>J8*L8*N8*R8*V8</f>
        <v>#N/A</v>
      </c>
      <c r="AS7" s="185">
        <f>Z7</f>
        <v>0</v>
      </c>
      <c r="AT7" s="177">
        <f>AO7+AP7+AQ7</f>
        <v>210</v>
      </c>
      <c r="AU7" s="183" t="e">
        <f>AT7/AS7</f>
        <v>#DIV/0!</v>
      </c>
    </row>
    <row r="8" spans="2:49" ht="25.5" customHeight="1" thickBot="1" x14ac:dyDescent="0.3">
      <c r="B8" s="157"/>
      <c r="C8" s="161"/>
      <c r="D8" s="159"/>
      <c r="E8" s="90">
        <f>_xlfn.IFNA(VLOOKUP('Coût de revient'!E7,'Achats matière'!$B$3:$D$5,3,FALSE)*$D$7,)</f>
        <v>172.5</v>
      </c>
      <c r="F8" s="91">
        <f>_xlfn.IFNA(VLOOKUP('Coût de revient'!F7,'Achats matière'!$B$3:$D$5,3,FALSE)*$D$7,)</f>
        <v>0</v>
      </c>
      <c r="G8" s="91">
        <f>_xlfn.IFNA(VLOOKUP('Coût de revient'!G7,'Achats matière'!$B$3:$D$5,3,FALSE)*$D$7,)</f>
        <v>0</v>
      </c>
      <c r="H8" s="163"/>
      <c r="I8" s="88">
        <f>D7*'MOD - Rendements'!D3</f>
        <v>37.5</v>
      </c>
      <c r="J8" s="60"/>
      <c r="K8" s="96"/>
      <c r="L8" s="205" t="e">
        <f>INDEX('MOD - Rendements'!K10:P22,MATCH('Coût de revient'!B7:B8,'MOD - Rendements'!J10:J22,0),MATCH('Coût de revient'!K7,'MOD - Rendements'!K9:P9,0))</f>
        <v>#N/A</v>
      </c>
      <c r="M8" s="96"/>
      <c r="N8" s="60"/>
      <c r="O8" s="167"/>
      <c r="P8" s="106">
        <f>P7/D7</f>
        <v>0</v>
      </c>
      <c r="Q8" s="96"/>
      <c r="R8" s="60"/>
      <c r="S8" s="165"/>
      <c r="T8" s="114"/>
      <c r="U8" s="96"/>
      <c r="V8" s="60"/>
      <c r="W8" s="14"/>
      <c r="X8" s="57"/>
      <c r="Y8" s="169"/>
      <c r="Z8" s="108">
        <f>V8</f>
        <v>0</v>
      </c>
      <c r="AA8" s="14">
        <f>Recettes!D17*'Coût de revient'!J7</f>
        <v>0</v>
      </c>
      <c r="AB8" s="10"/>
      <c r="AC8" s="10"/>
      <c r="AD8" s="182"/>
      <c r="AE8" s="7"/>
      <c r="AF8" s="10"/>
      <c r="AG8" s="10"/>
      <c r="AH8" s="8"/>
      <c r="AI8" s="14">
        <f>VLOOKUP(AI7,'Autres achats'!$B$5:$E$6,4,FALSE)*(ROUNDUP(($Z$7/'MOD - Rendements'!$D$6)/5,0))</f>
        <v>0</v>
      </c>
      <c r="AJ8" s="14">
        <f>VLOOKUP(AJ7,'Autres achats'!$B$5:$E$6,4,FALSE)*(ROUNDUP(($Z$7/'MOD - Rendements'!$D$6)*2,0))</f>
        <v>0</v>
      </c>
      <c r="AK8" s="14">
        <f>VLOOKUP(AK7,'Autres achats'!$B$5:$E$135,4,FALSE)*(ROUNDUP(($Z$7/'MOD - Rendements'!$D$6),0))</f>
        <v>0</v>
      </c>
      <c r="AL8" s="10"/>
      <c r="AM8" s="10"/>
      <c r="AN8" s="110">
        <f>SUM(AI8:AM8)</f>
        <v>0</v>
      </c>
      <c r="AO8" s="180"/>
      <c r="AP8" s="178"/>
      <c r="AQ8" s="178"/>
      <c r="AR8" s="178"/>
      <c r="AS8" s="178"/>
      <c r="AT8" s="178"/>
      <c r="AU8" s="184"/>
    </row>
  </sheetData>
  <autoFilter ref="B6:C6"/>
  <mergeCells count="26">
    <mergeCell ref="AP7:AP8"/>
    <mergeCell ref="AO7:AO8"/>
    <mergeCell ref="AD7:AD8"/>
    <mergeCell ref="AU7:AU8"/>
    <mergeCell ref="AT7:AT8"/>
    <mergeCell ref="AS7:AS8"/>
    <mergeCell ref="AR7:AR8"/>
    <mergeCell ref="AQ7:AQ8"/>
    <mergeCell ref="AA5:AD5"/>
    <mergeCell ref="AE5:AH5"/>
    <mergeCell ref="AI5:AN5"/>
    <mergeCell ref="AR6:AS6"/>
    <mergeCell ref="AO5:AU5"/>
    <mergeCell ref="I5:P5"/>
    <mergeCell ref="Q5:T5"/>
    <mergeCell ref="U5:Z5"/>
    <mergeCell ref="S7:S8"/>
    <mergeCell ref="O7:O8"/>
    <mergeCell ref="Y7:Y8"/>
    <mergeCell ref="B2:D2"/>
    <mergeCell ref="B1:D1"/>
    <mergeCell ref="E5:H5"/>
    <mergeCell ref="B7:B8"/>
    <mergeCell ref="D7:D8"/>
    <mergeCell ref="C7:C8"/>
    <mergeCell ref="H7:H8"/>
  </mergeCells>
  <dataValidations count="2">
    <dataValidation type="list" allowBlank="1" showInputMessage="1" showErrorMessage="1" sqref="U7">
      <formula1>"Mise en barquette, ensachage"</formula1>
    </dataValidation>
    <dataValidation type="list" allowBlank="1" showInputMessage="1" showErrorMessage="1" sqref="K7 M7">
      <formula1>$D$17:$D$117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'Prix de vente'!$B$4:$B$96</xm:f>
          </x14:formula1>
          <xm:sqref>B7:B8</xm:sqref>
        </x14:dataValidation>
        <x14:dataValidation type="list" allowBlank="1" showInputMessage="1" showErrorMessage="1">
          <x14:formula1>
            <xm:f>'Achats matière'!$B$4:$B$303</xm:f>
          </x14:formula1>
          <xm:sqref>E7:G7</xm:sqref>
        </x14:dataValidation>
        <x14:dataValidation type="list" allowBlank="1" showInputMessage="1" showErrorMessage="1">
          <x14:formula1>
            <xm:f>'MOD - Rendements'!$C$51:$C$129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2"/>
  <sheetViews>
    <sheetView topLeftCell="C1" workbookViewId="0">
      <selection activeCell="P1" sqref="P1"/>
    </sheetView>
  </sheetViews>
  <sheetFormatPr baseColWidth="10" defaultRowHeight="15" x14ac:dyDescent="0.25"/>
  <cols>
    <col min="1" max="1" width="4" customWidth="1"/>
    <col min="2" max="2" width="22.5703125" customWidth="1"/>
    <col min="3" max="3" width="17.28515625" customWidth="1"/>
    <col min="4" max="4" width="14.85546875" customWidth="1"/>
    <col min="7" max="7" width="16.42578125" customWidth="1"/>
    <col min="8" max="8" width="20.28515625" customWidth="1"/>
    <col min="9" max="9" width="3.42578125" customWidth="1"/>
    <col min="10" max="10" width="24.42578125" customWidth="1"/>
    <col min="11" max="11" width="18.140625" customWidth="1"/>
    <col min="12" max="12" width="15.5703125" customWidth="1"/>
    <col min="16" max="16" width="17.42578125" customWidth="1"/>
  </cols>
  <sheetData>
    <row r="1" spans="2:16" ht="15.75" thickBot="1" x14ac:dyDescent="0.3"/>
    <row r="2" spans="2:16" ht="15.75" thickBot="1" x14ac:dyDescent="0.3">
      <c r="B2" s="189" t="s">
        <v>19</v>
      </c>
      <c r="C2" s="190"/>
      <c r="D2" s="1">
        <v>18</v>
      </c>
    </row>
    <row r="3" spans="2:16" ht="15.75" thickBot="1" x14ac:dyDescent="0.3">
      <c r="B3" s="189" t="s">
        <v>20</v>
      </c>
      <c r="C3" s="190"/>
      <c r="D3" s="2">
        <v>0.25</v>
      </c>
      <c r="J3" s="150" t="s">
        <v>216</v>
      </c>
      <c r="K3" s="150" t="s">
        <v>217</v>
      </c>
      <c r="L3" s="150"/>
      <c r="M3" s="150"/>
    </row>
    <row r="4" spans="2:16" ht="15.75" thickBot="1" x14ac:dyDescent="0.3">
      <c r="J4" s="150">
        <f>INDEX(K10:P22,MATCH(J3,J10:J22,0),MATCH(K3,K9:P9,0))</f>
        <v>0.76800000000000002</v>
      </c>
      <c r="K4" s="150"/>
      <c r="L4" s="150"/>
      <c r="M4" s="150"/>
    </row>
    <row r="5" spans="2:16" ht="15.75" thickBot="1" x14ac:dyDescent="0.3">
      <c r="B5" s="17" t="s">
        <v>0</v>
      </c>
      <c r="C5" s="18" t="s">
        <v>41</v>
      </c>
      <c r="D5" s="19" t="s">
        <v>42</v>
      </c>
    </row>
    <row r="6" spans="2:16" x14ac:dyDescent="0.25">
      <c r="B6" t="s">
        <v>11</v>
      </c>
      <c r="C6">
        <v>0.68899999999999995</v>
      </c>
      <c r="D6">
        <v>0.47899999999999998</v>
      </c>
    </row>
    <row r="8" spans="2:16" ht="15.75" thickBot="1" x14ac:dyDescent="0.3">
      <c r="B8" s="188" t="s">
        <v>214</v>
      </c>
      <c r="C8" s="188"/>
      <c r="D8" s="188"/>
      <c r="E8" s="188"/>
      <c r="F8" s="188"/>
      <c r="G8" s="188"/>
      <c r="H8" s="188"/>
      <c r="J8" s="188" t="s">
        <v>215</v>
      </c>
      <c r="K8" s="188"/>
      <c r="L8" s="188"/>
      <c r="M8" s="188"/>
      <c r="N8" s="188"/>
      <c r="O8" s="188"/>
      <c r="P8" s="188"/>
    </row>
    <row r="9" spans="2:16" x14ac:dyDescent="0.25">
      <c r="B9" s="146" t="s">
        <v>0</v>
      </c>
      <c r="C9" s="143" t="s">
        <v>200</v>
      </c>
      <c r="D9" s="143" t="s">
        <v>197</v>
      </c>
      <c r="E9" s="143" t="s">
        <v>13</v>
      </c>
      <c r="F9" s="143" t="s">
        <v>201</v>
      </c>
      <c r="G9" s="144" t="s">
        <v>15</v>
      </c>
      <c r="H9" s="144" t="s">
        <v>199</v>
      </c>
      <c r="J9" s="146" t="s">
        <v>213</v>
      </c>
      <c r="K9" s="122" t="s">
        <v>18</v>
      </c>
      <c r="L9" s="144" t="s">
        <v>197</v>
      </c>
      <c r="M9" s="144" t="s">
        <v>13</v>
      </c>
      <c r="N9" s="144" t="s">
        <v>201</v>
      </c>
      <c r="O9" s="144" t="s">
        <v>15</v>
      </c>
      <c r="P9" s="145" t="s">
        <v>199</v>
      </c>
    </row>
    <row r="10" spans="2:16" x14ac:dyDescent="0.25">
      <c r="B10" s="147" t="s">
        <v>202</v>
      </c>
      <c r="C10" s="123"/>
      <c r="D10" s="123"/>
      <c r="E10" s="16">
        <v>3150</v>
      </c>
      <c r="F10" s="16">
        <v>59.25</v>
      </c>
      <c r="G10" s="127" t="s">
        <v>203</v>
      </c>
      <c r="H10" s="16">
        <v>114.01</v>
      </c>
      <c r="J10" s="147" t="s">
        <v>12</v>
      </c>
      <c r="K10" s="124">
        <v>0.76800000000000002</v>
      </c>
      <c r="L10" s="123"/>
      <c r="M10" s="125">
        <v>1.101</v>
      </c>
      <c r="N10" s="126">
        <f>1-0.06934</f>
        <v>0.93066000000000004</v>
      </c>
      <c r="O10" s="125">
        <v>0.8</v>
      </c>
      <c r="P10" s="128"/>
    </row>
    <row r="11" spans="2:16" x14ac:dyDescent="0.25">
      <c r="B11" s="148" t="s">
        <v>204</v>
      </c>
      <c r="C11" s="129"/>
      <c r="D11" s="129"/>
      <c r="E11" s="5">
        <v>3150</v>
      </c>
      <c r="F11" s="5">
        <v>44.65</v>
      </c>
      <c r="G11" s="127" t="s">
        <v>203</v>
      </c>
      <c r="H11" s="5">
        <v>114.01</v>
      </c>
      <c r="J11" s="148" t="s">
        <v>204</v>
      </c>
      <c r="K11" s="129"/>
      <c r="L11" s="129"/>
      <c r="M11" s="130">
        <v>1.101</v>
      </c>
      <c r="N11" s="130">
        <f>0.97</f>
        <v>0.97</v>
      </c>
      <c r="O11" s="130">
        <v>0.8</v>
      </c>
      <c r="P11" s="131"/>
    </row>
    <row r="12" spans="2:16" x14ac:dyDescent="0.25">
      <c r="B12" s="148" t="s">
        <v>175</v>
      </c>
      <c r="C12" s="5">
        <v>37.049999999999997</v>
      </c>
      <c r="D12" s="129"/>
      <c r="E12" s="132"/>
      <c r="F12" s="129"/>
      <c r="G12" s="132"/>
      <c r="H12" s="5">
        <v>106.92</v>
      </c>
      <c r="J12" s="148" t="s">
        <v>175</v>
      </c>
      <c r="K12" s="130">
        <v>0.95830000000000004</v>
      </c>
      <c r="L12" s="129"/>
      <c r="M12" s="130">
        <v>1.1327</v>
      </c>
      <c r="N12" s="129"/>
      <c r="O12" s="130">
        <v>0.69</v>
      </c>
      <c r="P12" s="131"/>
    </row>
    <row r="13" spans="2:16" x14ac:dyDescent="0.25">
      <c r="B13" s="148" t="s">
        <v>205</v>
      </c>
      <c r="C13" s="5">
        <v>234.96</v>
      </c>
      <c r="D13" s="5">
        <v>1036</v>
      </c>
      <c r="E13" s="132"/>
      <c r="F13" s="132"/>
      <c r="G13" s="132"/>
      <c r="H13" s="5">
        <v>417.21</v>
      </c>
      <c r="J13" s="148" t="s">
        <v>205</v>
      </c>
      <c r="K13" s="130">
        <v>0.96799999999999997</v>
      </c>
      <c r="L13" s="120">
        <v>1.1499999999999999</v>
      </c>
      <c r="M13" s="132"/>
      <c r="N13" s="132"/>
      <c r="O13" s="132"/>
      <c r="P13" s="97">
        <v>0.63</v>
      </c>
    </row>
    <row r="14" spans="2:16" x14ac:dyDescent="0.25">
      <c r="B14" s="148" t="s">
        <v>206</v>
      </c>
      <c r="C14" s="5">
        <v>192.75</v>
      </c>
      <c r="D14" s="5">
        <v>589</v>
      </c>
      <c r="E14" s="132"/>
      <c r="F14" s="132"/>
      <c r="G14" s="132"/>
      <c r="H14" s="132"/>
      <c r="J14" s="148" t="s">
        <v>206</v>
      </c>
      <c r="K14" s="120">
        <v>0.84</v>
      </c>
      <c r="L14" s="133">
        <v>1.46</v>
      </c>
      <c r="M14" s="133">
        <v>1.38</v>
      </c>
      <c r="N14" s="132"/>
      <c r="O14" s="132"/>
      <c r="P14" s="131"/>
    </row>
    <row r="15" spans="2:16" x14ac:dyDescent="0.25">
      <c r="B15" s="148" t="s">
        <v>207</v>
      </c>
      <c r="C15" s="121">
        <v>77.150000000000006</v>
      </c>
      <c r="D15" s="129"/>
      <c r="E15" s="132"/>
      <c r="F15" s="129"/>
      <c r="G15" s="132"/>
      <c r="H15" s="5">
        <v>218.72</v>
      </c>
      <c r="J15" s="148" t="s">
        <v>207</v>
      </c>
      <c r="K15" s="134">
        <f>1-5.68%</f>
        <v>0.94320000000000004</v>
      </c>
      <c r="L15" s="120"/>
      <c r="M15" s="133">
        <v>1.1399999999999999</v>
      </c>
      <c r="N15" s="129"/>
      <c r="O15" s="120">
        <v>0.86</v>
      </c>
      <c r="P15" s="131"/>
    </row>
    <row r="16" spans="2:16" x14ac:dyDescent="0.25">
      <c r="B16" s="148" t="s">
        <v>172</v>
      </c>
      <c r="C16" s="129"/>
      <c r="D16" s="129"/>
      <c r="E16" s="132"/>
      <c r="F16" s="129"/>
      <c r="G16" s="132"/>
      <c r="H16" s="132"/>
      <c r="J16" s="148" t="s">
        <v>172</v>
      </c>
      <c r="K16" s="129"/>
      <c r="L16" s="129"/>
      <c r="M16" s="132"/>
      <c r="N16" s="129"/>
      <c r="O16" s="120">
        <v>0.7</v>
      </c>
      <c r="P16" s="131"/>
    </row>
    <row r="17" spans="2:16" x14ac:dyDescent="0.25">
      <c r="B17" s="148" t="s">
        <v>193</v>
      </c>
      <c r="C17" s="129"/>
      <c r="D17" s="61">
        <v>942</v>
      </c>
      <c r="E17" s="5">
        <v>331.65</v>
      </c>
      <c r="F17" s="129"/>
      <c r="G17" s="132"/>
      <c r="H17" s="132"/>
      <c r="J17" s="148" t="s">
        <v>193</v>
      </c>
      <c r="K17" s="129"/>
      <c r="L17" s="133">
        <v>1.1000000000000001</v>
      </c>
      <c r="M17" s="120">
        <v>0.98</v>
      </c>
      <c r="N17" s="129"/>
      <c r="O17" s="120">
        <v>0.89</v>
      </c>
      <c r="P17" s="131"/>
    </row>
    <row r="18" spans="2:16" x14ac:dyDescent="0.25">
      <c r="B18" s="148" t="s">
        <v>198</v>
      </c>
      <c r="C18" s="61" t="s">
        <v>208</v>
      </c>
      <c r="D18" s="61">
        <v>706</v>
      </c>
      <c r="E18" s="129"/>
      <c r="F18" s="129"/>
      <c r="G18" s="132"/>
      <c r="H18" s="132"/>
      <c r="J18" s="148" t="s">
        <v>198</v>
      </c>
      <c r="K18" s="119">
        <v>0.94310000000000005</v>
      </c>
      <c r="L18" s="120">
        <v>1.1100000000000001</v>
      </c>
      <c r="M18" s="129"/>
      <c r="N18" s="129"/>
      <c r="O18" s="132"/>
      <c r="P18" s="135"/>
    </row>
    <row r="19" spans="2:16" x14ac:dyDescent="0.25">
      <c r="B19" s="148" t="s">
        <v>209</v>
      </c>
      <c r="C19" s="129"/>
      <c r="D19" s="5">
        <v>791.45</v>
      </c>
      <c r="E19" s="5"/>
      <c r="F19" s="129"/>
      <c r="G19" s="132"/>
      <c r="H19" s="132"/>
      <c r="J19" s="148" t="s">
        <v>209</v>
      </c>
      <c r="K19" s="136">
        <v>0.95499999999999996</v>
      </c>
      <c r="L19" s="120">
        <v>1.1299999999999999</v>
      </c>
      <c r="M19" s="120">
        <v>0.98</v>
      </c>
      <c r="N19" s="129"/>
      <c r="O19" s="120">
        <v>0.9</v>
      </c>
      <c r="P19" s="135"/>
    </row>
    <row r="20" spans="2:16" x14ac:dyDescent="0.25">
      <c r="B20" s="148" t="s">
        <v>210</v>
      </c>
      <c r="C20" s="61" t="s">
        <v>208</v>
      </c>
      <c r="D20" s="5">
        <v>626.28</v>
      </c>
      <c r="E20" s="132"/>
      <c r="F20" s="132"/>
      <c r="G20" s="132"/>
      <c r="H20" s="132"/>
      <c r="J20" s="148" t="s">
        <v>210</v>
      </c>
      <c r="K20" s="120">
        <v>0.88</v>
      </c>
      <c r="L20" s="119">
        <v>1.1700999999999999</v>
      </c>
      <c r="M20" s="132"/>
      <c r="N20" s="132"/>
      <c r="O20" s="132"/>
      <c r="P20" s="135"/>
    </row>
    <row r="21" spans="2:16" x14ac:dyDescent="0.25">
      <c r="B21" s="148" t="s">
        <v>211</v>
      </c>
      <c r="C21" s="129"/>
      <c r="D21" s="129"/>
      <c r="E21" s="5">
        <v>419.92</v>
      </c>
      <c r="F21" s="129"/>
      <c r="G21" s="132"/>
      <c r="H21" s="132"/>
      <c r="J21" s="148" t="s">
        <v>211</v>
      </c>
      <c r="K21" s="137"/>
      <c r="L21" s="129"/>
      <c r="M21" s="120">
        <v>1.1200000000000001</v>
      </c>
      <c r="N21" s="129"/>
      <c r="O21" s="120">
        <v>0.84</v>
      </c>
      <c r="P21" s="131"/>
    </row>
    <row r="22" spans="2:16" ht="15.75" thickBot="1" x14ac:dyDescent="0.3">
      <c r="B22" s="149" t="s">
        <v>212</v>
      </c>
      <c r="C22" s="138"/>
      <c r="D22" s="138"/>
      <c r="E22" s="5">
        <v>419.92</v>
      </c>
      <c r="F22" s="138"/>
      <c r="G22" s="140"/>
      <c r="H22" s="10">
        <v>238.8</v>
      </c>
      <c r="J22" s="149" t="s">
        <v>212</v>
      </c>
      <c r="K22" s="138"/>
      <c r="L22" s="138"/>
      <c r="M22" s="139">
        <v>1.1299999999999999</v>
      </c>
      <c r="N22" s="138"/>
      <c r="O22" s="141">
        <v>0.87</v>
      </c>
      <c r="P22" s="142"/>
    </row>
  </sheetData>
  <mergeCells count="4">
    <mergeCell ref="B8:H8"/>
    <mergeCell ref="J8:P8"/>
    <mergeCell ref="B2:C2"/>
    <mergeCell ref="B3:C3"/>
  </mergeCells>
  <dataValidations count="1">
    <dataValidation type="list" allowBlank="1" showInputMessage="1" showErrorMessage="1" sqref="K9">
      <formula1>$C$51:$C$129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9"/>
  <sheetViews>
    <sheetView workbookViewId="0">
      <selection activeCell="D12" sqref="D12"/>
    </sheetView>
  </sheetViews>
  <sheetFormatPr baseColWidth="10" defaultColWidth="13.85546875" defaultRowHeight="26.25" customHeight="1" x14ac:dyDescent="0.25"/>
  <cols>
    <col min="2" max="2" width="22.7109375" customWidth="1"/>
  </cols>
  <sheetData>
    <row r="1" spans="2:4" ht="26.25" customHeight="1" thickBot="1" x14ac:dyDescent="0.3"/>
    <row r="2" spans="2:4" ht="26.25" customHeight="1" thickBot="1" x14ac:dyDescent="0.3">
      <c r="B2" s="191" t="s">
        <v>5</v>
      </c>
      <c r="C2" s="192"/>
      <c r="D2" s="193"/>
    </row>
    <row r="3" spans="2:4" ht="26.25" customHeight="1" x14ac:dyDescent="0.25">
      <c r="B3" s="72" t="s">
        <v>8</v>
      </c>
      <c r="C3" s="86" t="s">
        <v>6</v>
      </c>
      <c r="D3" s="74" t="s">
        <v>7</v>
      </c>
    </row>
    <row r="4" spans="2:4" ht="26.25" customHeight="1" x14ac:dyDescent="0.25">
      <c r="B4" s="61" t="s">
        <v>65</v>
      </c>
      <c r="C4" s="61" t="s">
        <v>10</v>
      </c>
      <c r="D4" s="116">
        <v>2.37</v>
      </c>
    </row>
    <row r="5" spans="2:4" ht="26.25" customHeight="1" x14ac:dyDescent="0.25">
      <c r="B5" s="5" t="s">
        <v>64</v>
      </c>
      <c r="C5" s="61" t="s">
        <v>9</v>
      </c>
      <c r="D5" s="116">
        <v>1.1499999999999999</v>
      </c>
    </row>
    <row r="6" spans="2:4" ht="26.25" customHeight="1" x14ac:dyDescent="0.25">
      <c r="B6" s="61" t="s">
        <v>182</v>
      </c>
      <c r="C6" s="61" t="s">
        <v>183</v>
      </c>
      <c r="D6" s="117">
        <v>3.65</v>
      </c>
    </row>
    <row r="7" spans="2:4" ht="26.25" customHeight="1" x14ac:dyDescent="0.25">
      <c r="B7" s="61" t="s">
        <v>193</v>
      </c>
      <c r="C7" s="61" t="s">
        <v>183</v>
      </c>
      <c r="D7" s="116">
        <v>2.2000000000000002</v>
      </c>
    </row>
    <row r="8" spans="2:4" ht="26.25" customHeight="1" x14ac:dyDescent="0.25">
      <c r="B8" s="61" t="s">
        <v>194</v>
      </c>
      <c r="C8" s="61" t="s">
        <v>10</v>
      </c>
      <c r="D8" s="116">
        <v>0.75</v>
      </c>
    </row>
    <row r="9" spans="2:4" ht="26.25" customHeight="1" x14ac:dyDescent="0.25">
      <c r="B9" s="115" t="s">
        <v>195</v>
      </c>
      <c r="C9" s="115" t="s">
        <v>196</v>
      </c>
      <c r="D9" s="118">
        <v>1.7</v>
      </c>
    </row>
  </sheetData>
  <autoFilter ref="B3:D3">
    <sortState ref="B4:D5">
      <sortCondition descending="1" ref="D3"/>
    </sortState>
  </autoFilter>
  <mergeCells count="1">
    <mergeCell ref="B2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66"/>
  <sheetViews>
    <sheetView workbookViewId="0">
      <selection activeCell="I7" sqref="I7"/>
    </sheetView>
  </sheetViews>
  <sheetFormatPr baseColWidth="10" defaultRowHeight="15" x14ac:dyDescent="0.25"/>
  <cols>
    <col min="2" max="2" width="30.140625" customWidth="1"/>
    <col min="3" max="3" width="23.7109375" customWidth="1"/>
    <col min="4" max="4" width="20.28515625" customWidth="1"/>
  </cols>
  <sheetData>
    <row r="1" spans="2:4" ht="15.75" thickBot="1" x14ac:dyDescent="0.3"/>
    <row r="2" spans="2:4" ht="15.75" thickBot="1" x14ac:dyDescent="0.3">
      <c r="B2" s="194" t="s">
        <v>157</v>
      </c>
      <c r="C2" s="195"/>
      <c r="D2" s="196"/>
    </row>
    <row r="3" spans="2:4" x14ac:dyDescent="0.25">
      <c r="B3" s="65" t="s">
        <v>0</v>
      </c>
      <c r="C3" s="66" t="s">
        <v>6</v>
      </c>
      <c r="D3" s="68" t="s">
        <v>158</v>
      </c>
    </row>
    <row r="4" spans="2:4" x14ac:dyDescent="0.25">
      <c r="B4" s="77" t="s">
        <v>177</v>
      </c>
      <c r="C4" s="61"/>
      <c r="D4" s="69"/>
    </row>
    <row r="5" spans="2:4" x14ac:dyDescent="0.25">
      <c r="B5" s="79" t="s">
        <v>86</v>
      </c>
      <c r="C5" s="81" t="s">
        <v>87</v>
      </c>
      <c r="D5" s="69">
        <v>3.7669999999999999</v>
      </c>
    </row>
    <row r="6" spans="2:4" x14ac:dyDescent="0.25">
      <c r="B6" s="77" t="s">
        <v>178</v>
      </c>
      <c r="C6" s="82" t="s">
        <v>87</v>
      </c>
      <c r="D6" s="69">
        <v>4.59</v>
      </c>
    </row>
    <row r="7" spans="2:4" x14ac:dyDescent="0.25">
      <c r="B7" s="77" t="s">
        <v>179</v>
      </c>
      <c r="C7" s="81" t="s">
        <v>88</v>
      </c>
      <c r="D7" s="64"/>
    </row>
    <row r="8" spans="2:4" x14ac:dyDescent="0.25">
      <c r="B8" s="79" t="s">
        <v>89</v>
      </c>
      <c r="C8" s="82" t="s">
        <v>87</v>
      </c>
      <c r="D8" s="64">
        <v>11.86</v>
      </c>
    </row>
    <row r="9" spans="2:4" x14ac:dyDescent="0.25">
      <c r="B9" s="79" t="s">
        <v>90</v>
      </c>
      <c r="C9" s="82" t="s">
        <v>91</v>
      </c>
      <c r="D9" s="69">
        <v>8.2270000000000003</v>
      </c>
    </row>
    <row r="10" spans="2:4" x14ac:dyDescent="0.25">
      <c r="B10" s="79" t="s">
        <v>92</v>
      </c>
      <c r="C10" s="82" t="s">
        <v>87</v>
      </c>
      <c r="D10" s="69">
        <v>11.22</v>
      </c>
    </row>
    <row r="11" spans="2:4" x14ac:dyDescent="0.25">
      <c r="B11" s="77" t="s">
        <v>93</v>
      </c>
      <c r="C11" s="81" t="s">
        <v>87</v>
      </c>
      <c r="D11" s="69">
        <v>29.04</v>
      </c>
    </row>
    <row r="12" spans="2:4" x14ac:dyDescent="0.25">
      <c r="B12" s="79" t="s">
        <v>94</v>
      </c>
      <c r="C12" s="82" t="s">
        <v>95</v>
      </c>
      <c r="D12" s="69">
        <v>4.76</v>
      </c>
    </row>
    <row r="13" spans="2:4" x14ac:dyDescent="0.25">
      <c r="B13" s="79" t="s">
        <v>96</v>
      </c>
      <c r="C13" s="81" t="str">
        <f>+C9</f>
        <v>LA BOVIDA</v>
      </c>
      <c r="D13" s="69"/>
    </row>
    <row r="14" spans="2:4" x14ac:dyDescent="0.25">
      <c r="B14" s="79" t="s">
        <v>97</v>
      </c>
      <c r="C14" s="81" t="s">
        <v>98</v>
      </c>
      <c r="D14" s="69">
        <f>4.58/2</f>
        <v>2.29</v>
      </c>
    </row>
    <row r="15" spans="2:4" x14ac:dyDescent="0.25">
      <c r="B15" s="79" t="s">
        <v>99</v>
      </c>
      <c r="C15" s="81"/>
      <c r="D15" s="69"/>
    </row>
    <row r="16" spans="2:4" x14ac:dyDescent="0.25">
      <c r="B16" s="79" t="s">
        <v>100</v>
      </c>
      <c r="C16" s="82" t="s">
        <v>87</v>
      </c>
      <c r="D16" s="69">
        <v>10.98</v>
      </c>
    </row>
    <row r="17" spans="2:4" x14ac:dyDescent="0.25">
      <c r="B17" s="77" t="s">
        <v>101</v>
      </c>
      <c r="C17" s="81" t="s">
        <v>87</v>
      </c>
      <c r="D17" s="69"/>
    </row>
    <row r="18" spans="2:4" x14ac:dyDescent="0.25">
      <c r="B18" s="77" t="s">
        <v>102</v>
      </c>
      <c r="C18" s="82" t="s">
        <v>95</v>
      </c>
      <c r="D18" s="69">
        <v>3.68</v>
      </c>
    </row>
    <row r="19" spans="2:4" x14ac:dyDescent="0.25">
      <c r="B19" s="77" t="s">
        <v>103</v>
      </c>
      <c r="C19" s="82"/>
      <c r="D19" s="69"/>
    </row>
    <row r="20" spans="2:4" x14ac:dyDescent="0.25">
      <c r="B20" s="78" t="s">
        <v>104</v>
      </c>
      <c r="C20" s="82"/>
      <c r="D20" s="69">
        <v>1.99</v>
      </c>
    </row>
    <row r="21" spans="2:4" x14ac:dyDescent="0.25">
      <c r="B21" s="77" t="s">
        <v>105</v>
      </c>
      <c r="C21" s="82" t="s">
        <v>95</v>
      </c>
      <c r="D21" s="69"/>
    </row>
    <row r="22" spans="2:4" x14ac:dyDescent="0.25">
      <c r="B22" s="77" t="s">
        <v>106</v>
      </c>
      <c r="C22" s="82" t="s">
        <v>95</v>
      </c>
      <c r="D22" s="69"/>
    </row>
    <row r="23" spans="2:4" x14ac:dyDescent="0.25">
      <c r="B23" s="77" t="s">
        <v>107</v>
      </c>
      <c r="C23" s="82" t="s">
        <v>95</v>
      </c>
      <c r="D23" s="69">
        <v>7.65</v>
      </c>
    </row>
    <row r="24" spans="2:4" x14ac:dyDescent="0.25">
      <c r="B24" s="77" t="s">
        <v>108</v>
      </c>
      <c r="C24" s="81" t="s">
        <v>87</v>
      </c>
      <c r="D24" s="69">
        <v>7.0679999999999996</v>
      </c>
    </row>
    <row r="25" spans="2:4" x14ac:dyDescent="0.25">
      <c r="B25" s="77" t="s">
        <v>109</v>
      </c>
      <c r="C25" s="81" t="s">
        <v>110</v>
      </c>
      <c r="D25" s="69">
        <v>1.78</v>
      </c>
    </row>
    <row r="26" spans="2:4" x14ac:dyDescent="0.25">
      <c r="B26" s="77" t="s">
        <v>111</v>
      </c>
      <c r="C26" s="82" t="s">
        <v>95</v>
      </c>
      <c r="D26" s="69">
        <v>3.65</v>
      </c>
    </row>
    <row r="27" spans="2:4" x14ac:dyDescent="0.25">
      <c r="B27" s="77" t="s">
        <v>112</v>
      </c>
      <c r="C27" s="81" t="s">
        <v>87</v>
      </c>
      <c r="D27" s="69">
        <v>7.41</v>
      </c>
    </row>
    <row r="28" spans="2:4" x14ac:dyDescent="0.25">
      <c r="B28" s="79" t="s">
        <v>113</v>
      </c>
      <c r="C28" s="81" t="s">
        <v>87</v>
      </c>
      <c r="D28" s="69">
        <v>5.13</v>
      </c>
    </row>
    <row r="29" spans="2:4" x14ac:dyDescent="0.25">
      <c r="B29" s="77" t="s">
        <v>114</v>
      </c>
      <c r="C29" s="81" t="s">
        <v>115</v>
      </c>
      <c r="D29" s="69"/>
    </row>
    <row r="30" spans="2:4" x14ac:dyDescent="0.25">
      <c r="B30" s="79" t="s">
        <v>116</v>
      </c>
      <c r="C30" s="82" t="s">
        <v>117</v>
      </c>
      <c r="D30" s="69"/>
    </row>
    <row r="31" spans="2:4" x14ac:dyDescent="0.25">
      <c r="B31" s="79" t="s">
        <v>118</v>
      </c>
      <c r="C31" s="82" t="s">
        <v>119</v>
      </c>
      <c r="D31" s="69"/>
    </row>
    <row r="32" spans="2:4" x14ac:dyDescent="0.25">
      <c r="B32" s="77" t="s">
        <v>120</v>
      </c>
      <c r="C32" s="81" t="s">
        <v>87</v>
      </c>
      <c r="D32" s="69"/>
    </row>
    <row r="33" spans="2:4" x14ac:dyDescent="0.25">
      <c r="B33" s="79" t="s">
        <v>121</v>
      </c>
      <c r="C33" s="82" t="s">
        <v>91</v>
      </c>
      <c r="D33" s="69">
        <v>19.399999999999999</v>
      </c>
    </row>
    <row r="34" spans="2:4" x14ac:dyDescent="0.25">
      <c r="B34" s="77" t="s">
        <v>122</v>
      </c>
      <c r="C34" s="82"/>
      <c r="D34" s="69">
        <v>1</v>
      </c>
    </row>
    <row r="35" spans="2:4" x14ac:dyDescent="0.25">
      <c r="B35" s="77" t="s">
        <v>123</v>
      </c>
      <c r="C35" s="82" t="s">
        <v>117</v>
      </c>
      <c r="D35" s="69">
        <v>1.99</v>
      </c>
    </row>
    <row r="36" spans="2:4" x14ac:dyDescent="0.25">
      <c r="B36" s="77" t="s">
        <v>124</v>
      </c>
      <c r="C36" s="81" t="s">
        <v>87</v>
      </c>
      <c r="D36" s="69">
        <v>2.5739999999999998</v>
      </c>
    </row>
    <row r="37" spans="2:4" x14ac:dyDescent="0.25">
      <c r="B37" s="77" t="s">
        <v>125</v>
      </c>
      <c r="C37" s="82" t="s">
        <v>87</v>
      </c>
      <c r="D37" s="69">
        <v>9.8040000000000003</v>
      </c>
    </row>
    <row r="38" spans="2:4" x14ac:dyDescent="0.25">
      <c r="B38" s="79" t="s">
        <v>126</v>
      </c>
      <c r="C38" s="82" t="s">
        <v>87</v>
      </c>
      <c r="D38" s="69">
        <v>12</v>
      </c>
    </row>
    <row r="39" spans="2:4" x14ac:dyDescent="0.25">
      <c r="B39" s="77" t="s">
        <v>127</v>
      </c>
      <c r="C39" s="81" t="s">
        <v>87</v>
      </c>
      <c r="D39" s="69">
        <v>5.81</v>
      </c>
    </row>
    <row r="40" spans="2:4" x14ac:dyDescent="0.25">
      <c r="B40" s="77" t="s">
        <v>128</v>
      </c>
      <c r="C40" s="82" t="s">
        <v>95</v>
      </c>
      <c r="D40" s="69">
        <v>12.038</v>
      </c>
    </row>
    <row r="41" spans="2:4" x14ac:dyDescent="0.25">
      <c r="B41" s="77" t="s">
        <v>129</v>
      </c>
      <c r="C41" s="81" t="s">
        <v>87</v>
      </c>
      <c r="D41" s="69">
        <v>13.75</v>
      </c>
    </row>
    <row r="42" spans="2:4" x14ac:dyDescent="0.25">
      <c r="B42" s="79" t="s">
        <v>130</v>
      </c>
      <c r="C42" s="82" t="s">
        <v>87</v>
      </c>
      <c r="D42" s="69">
        <v>7.75</v>
      </c>
    </row>
    <row r="43" spans="2:4" x14ac:dyDescent="0.25">
      <c r="B43" s="79" t="s">
        <v>131</v>
      </c>
      <c r="C43" s="81" t="s">
        <v>87</v>
      </c>
      <c r="D43" s="69">
        <v>3.4</v>
      </c>
    </row>
    <row r="44" spans="2:4" x14ac:dyDescent="0.25">
      <c r="B44" s="79" t="s">
        <v>132</v>
      </c>
      <c r="C44" s="82" t="s">
        <v>133</v>
      </c>
      <c r="D44" s="69">
        <v>4.76</v>
      </c>
    </row>
    <row r="45" spans="2:4" x14ac:dyDescent="0.25">
      <c r="B45" s="77" t="s">
        <v>134</v>
      </c>
      <c r="C45" s="82" t="s">
        <v>95</v>
      </c>
      <c r="D45" s="69"/>
    </row>
    <row r="46" spans="2:4" x14ac:dyDescent="0.25">
      <c r="B46" s="77" t="s">
        <v>135</v>
      </c>
      <c r="C46" s="81"/>
      <c r="D46" s="69"/>
    </row>
    <row r="47" spans="2:4" x14ac:dyDescent="0.25">
      <c r="B47" s="77" t="s">
        <v>136</v>
      </c>
      <c r="C47" s="81"/>
      <c r="D47" s="69"/>
    </row>
    <row r="48" spans="2:4" x14ac:dyDescent="0.25">
      <c r="B48" s="79" t="s">
        <v>50</v>
      </c>
      <c r="C48" s="82" t="s">
        <v>88</v>
      </c>
      <c r="D48" s="69">
        <v>0.19</v>
      </c>
    </row>
    <row r="49" spans="2:4" x14ac:dyDescent="0.25">
      <c r="B49" s="79" t="s">
        <v>48</v>
      </c>
      <c r="C49" s="81" t="s">
        <v>88</v>
      </c>
      <c r="D49" s="69">
        <v>0.26</v>
      </c>
    </row>
    <row r="50" spans="2:4" x14ac:dyDescent="0.25">
      <c r="B50" s="79" t="s">
        <v>137</v>
      </c>
      <c r="C50" s="81" t="s">
        <v>88</v>
      </c>
      <c r="D50" s="69">
        <v>0.37</v>
      </c>
    </row>
    <row r="51" spans="2:4" x14ac:dyDescent="0.25">
      <c r="B51" s="79" t="s">
        <v>138</v>
      </c>
      <c r="C51" s="82" t="s">
        <v>87</v>
      </c>
      <c r="D51" s="69"/>
    </row>
    <row r="52" spans="2:4" x14ac:dyDescent="0.25">
      <c r="B52" s="79" t="s">
        <v>139</v>
      </c>
      <c r="C52" s="82" t="s">
        <v>87</v>
      </c>
      <c r="D52" s="70">
        <v>13.5</v>
      </c>
    </row>
    <row r="53" spans="2:4" x14ac:dyDescent="0.25">
      <c r="B53" s="77" t="s">
        <v>140</v>
      </c>
      <c r="C53" s="82" t="s">
        <v>87</v>
      </c>
      <c r="D53" s="70"/>
    </row>
    <row r="54" spans="2:4" x14ac:dyDescent="0.25">
      <c r="B54" s="77" t="s">
        <v>141</v>
      </c>
      <c r="C54" s="81" t="s">
        <v>87</v>
      </c>
      <c r="D54" s="70">
        <v>6.81</v>
      </c>
    </row>
    <row r="55" spans="2:4" x14ac:dyDescent="0.25">
      <c r="B55" s="77" t="s">
        <v>142</v>
      </c>
      <c r="C55" s="82" t="s">
        <v>88</v>
      </c>
      <c r="D55" s="70">
        <v>1.21</v>
      </c>
    </row>
    <row r="56" spans="2:4" x14ac:dyDescent="0.25">
      <c r="B56" s="77" t="s">
        <v>143</v>
      </c>
      <c r="C56" s="82" t="s">
        <v>119</v>
      </c>
      <c r="D56" s="70">
        <v>15.62</v>
      </c>
    </row>
    <row r="57" spans="2:4" x14ac:dyDescent="0.25">
      <c r="B57" s="79" t="s">
        <v>144</v>
      </c>
      <c r="C57" s="82" t="s">
        <v>145</v>
      </c>
      <c r="D57" s="70"/>
    </row>
    <row r="58" spans="2:4" x14ac:dyDescent="0.25">
      <c r="B58" s="79" t="s">
        <v>146</v>
      </c>
      <c r="C58" s="82"/>
      <c r="D58" s="70"/>
    </row>
    <row r="59" spans="2:4" x14ac:dyDescent="0.25">
      <c r="B59" s="79" t="s">
        <v>116</v>
      </c>
      <c r="C59" s="82" t="s">
        <v>147</v>
      </c>
      <c r="D59" s="70">
        <v>4.3</v>
      </c>
    </row>
    <row r="60" spans="2:4" x14ac:dyDescent="0.25">
      <c r="B60" s="79" t="s">
        <v>148</v>
      </c>
      <c r="C60" s="82" t="s">
        <v>149</v>
      </c>
      <c r="D60" s="70">
        <v>7.55</v>
      </c>
    </row>
    <row r="61" spans="2:4" x14ac:dyDescent="0.25">
      <c r="B61" s="79" t="s">
        <v>150</v>
      </c>
      <c r="C61" s="82" t="s">
        <v>149</v>
      </c>
      <c r="D61" s="70">
        <v>9.6</v>
      </c>
    </row>
    <row r="62" spans="2:4" x14ac:dyDescent="0.25">
      <c r="B62" s="79" t="s">
        <v>151</v>
      </c>
      <c r="C62" s="82" t="s">
        <v>149</v>
      </c>
      <c r="D62" s="70">
        <v>7.78</v>
      </c>
    </row>
    <row r="63" spans="2:4" x14ac:dyDescent="0.25">
      <c r="B63" s="79" t="s">
        <v>152</v>
      </c>
      <c r="C63" s="82" t="s">
        <v>88</v>
      </c>
      <c r="D63" s="70">
        <v>1.3</v>
      </c>
    </row>
    <row r="64" spans="2:4" x14ac:dyDescent="0.25">
      <c r="B64" s="79" t="s">
        <v>153</v>
      </c>
      <c r="C64" s="82" t="s">
        <v>154</v>
      </c>
      <c r="D64" s="70">
        <v>0.78</v>
      </c>
    </row>
    <row r="65" spans="2:4" x14ac:dyDescent="0.25">
      <c r="B65" s="79" t="s">
        <v>155</v>
      </c>
      <c r="C65" s="82"/>
      <c r="D65" s="70">
        <v>5.7560000000000002</v>
      </c>
    </row>
    <row r="66" spans="2:4" ht="15.75" thickBot="1" x14ac:dyDescent="0.3">
      <c r="B66" s="80" t="s">
        <v>156</v>
      </c>
      <c r="C66" s="83"/>
      <c r="D66" s="71">
        <v>7.4029999999999996</v>
      </c>
    </row>
  </sheetData>
  <autoFilter ref="B3:C66"/>
  <mergeCells count="1">
    <mergeCell ref="B2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42"/>
  <sheetViews>
    <sheetView workbookViewId="0">
      <selection activeCell="I12" sqref="I12"/>
    </sheetView>
  </sheetViews>
  <sheetFormatPr baseColWidth="10" defaultRowHeight="15" x14ac:dyDescent="0.25"/>
  <cols>
    <col min="2" max="3" width="24" customWidth="1"/>
    <col min="5" max="5" width="16.42578125" customWidth="1"/>
  </cols>
  <sheetData>
    <row r="1" spans="2:5" ht="15.75" thickBot="1" x14ac:dyDescent="0.3"/>
    <row r="2" spans="2:5" ht="15.75" thickBot="1" x14ac:dyDescent="0.3">
      <c r="B2" s="197" t="s">
        <v>83</v>
      </c>
      <c r="C2" s="198"/>
      <c r="D2" s="198"/>
      <c r="E2" s="199"/>
    </row>
    <row r="3" spans="2:5" x14ac:dyDescent="0.25">
      <c r="B3" s="98" t="s">
        <v>34</v>
      </c>
      <c r="C3" s="99"/>
      <c r="D3" s="99"/>
      <c r="E3" s="100"/>
    </row>
    <row r="4" spans="2:5" x14ac:dyDescent="0.25">
      <c r="B4" s="101" t="s">
        <v>0</v>
      </c>
      <c r="C4" s="101" t="s">
        <v>84</v>
      </c>
      <c r="D4" s="101" t="s">
        <v>6</v>
      </c>
      <c r="E4" s="101" t="s">
        <v>37</v>
      </c>
    </row>
    <row r="5" spans="2:5" x14ac:dyDescent="0.25">
      <c r="B5" s="61" t="s">
        <v>35</v>
      </c>
      <c r="C5" s="61" t="s">
        <v>34</v>
      </c>
      <c r="D5" s="61" t="s">
        <v>36</v>
      </c>
      <c r="E5" s="102">
        <v>0.28999999999999998</v>
      </c>
    </row>
    <row r="6" spans="2:5" x14ac:dyDescent="0.25">
      <c r="B6" s="61" t="s">
        <v>39</v>
      </c>
      <c r="C6" s="61" t="s">
        <v>85</v>
      </c>
      <c r="D6" s="61"/>
      <c r="E6" s="103">
        <v>6.2199999999999998E-3</v>
      </c>
    </row>
    <row r="7" spans="2:5" x14ac:dyDescent="0.25">
      <c r="B7" s="5" t="s">
        <v>40</v>
      </c>
      <c r="C7" s="5" t="s">
        <v>85</v>
      </c>
      <c r="D7" s="5"/>
      <c r="E7" s="103">
        <v>0.1042</v>
      </c>
    </row>
    <row r="8" spans="2:5" x14ac:dyDescent="0.25">
      <c r="B8" s="61" t="s">
        <v>185</v>
      </c>
      <c r="C8" s="61" t="s">
        <v>186</v>
      </c>
      <c r="D8" s="5" t="s">
        <v>187</v>
      </c>
      <c r="E8" s="103">
        <v>0.17</v>
      </c>
    </row>
    <row r="9" spans="2:5" x14ac:dyDescent="0.25">
      <c r="B9" s="5"/>
      <c r="C9" s="5"/>
      <c r="D9" s="5"/>
      <c r="E9" s="104"/>
    </row>
    <row r="10" spans="2:5" x14ac:dyDescent="0.25">
      <c r="B10" s="5"/>
      <c r="C10" s="5"/>
      <c r="D10" s="5"/>
      <c r="E10" s="104"/>
    </row>
    <row r="11" spans="2:5" x14ac:dyDescent="0.25">
      <c r="B11" s="5"/>
      <c r="C11" s="5"/>
      <c r="D11" s="5"/>
      <c r="E11" s="104"/>
    </row>
    <row r="12" spans="2:5" x14ac:dyDescent="0.25">
      <c r="B12" s="5"/>
      <c r="C12" s="5"/>
      <c r="D12" s="5"/>
      <c r="E12" s="104"/>
    </row>
    <row r="13" spans="2:5" x14ac:dyDescent="0.25">
      <c r="B13" s="5"/>
      <c r="C13" s="5"/>
      <c r="D13" s="5"/>
      <c r="E13" s="104"/>
    </row>
    <row r="14" spans="2:5" x14ac:dyDescent="0.25">
      <c r="B14" s="5"/>
      <c r="C14" s="5"/>
      <c r="D14" s="5"/>
      <c r="E14" s="104"/>
    </row>
    <row r="15" spans="2:5" x14ac:dyDescent="0.25">
      <c r="B15" s="5"/>
      <c r="C15" s="5"/>
      <c r="D15" s="5"/>
      <c r="E15" s="104"/>
    </row>
    <row r="16" spans="2:5" x14ac:dyDescent="0.25">
      <c r="B16" s="5"/>
      <c r="C16" s="5"/>
      <c r="D16" s="5"/>
      <c r="E16" s="104"/>
    </row>
    <row r="17" spans="2:5" x14ac:dyDescent="0.25">
      <c r="B17" s="5"/>
      <c r="C17" s="5"/>
      <c r="D17" s="5"/>
      <c r="E17" s="104"/>
    </row>
    <row r="18" spans="2:5" x14ac:dyDescent="0.25">
      <c r="B18" s="5"/>
      <c r="C18" s="5"/>
      <c r="D18" s="5"/>
      <c r="E18" s="104"/>
    </row>
    <row r="19" spans="2:5" x14ac:dyDescent="0.25">
      <c r="B19" s="5"/>
      <c r="C19" s="5"/>
      <c r="D19" s="5"/>
      <c r="E19" s="104"/>
    </row>
    <row r="20" spans="2:5" x14ac:dyDescent="0.25">
      <c r="B20" s="5"/>
      <c r="C20" s="5"/>
      <c r="D20" s="5"/>
      <c r="E20" s="104"/>
    </row>
    <row r="21" spans="2:5" x14ac:dyDescent="0.25">
      <c r="B21" s="5"/>
      <c r="C21" s="5"/>
      <c r="D21" s="5"/>
      <c r="E21" s="104"/>
    </row>
    <row r="22" spans="2:5" x14ac:dyDescent="0.25">
      <c r="B22" s="5"/>
      <c r="C22" s="5"/>
      <c r="D22" s="5"/>
      <c r="E22" s="104"/>
    </row>
    <row r="23" spans="2:5" x14ac:dyDescent="0.25">
      <c r="B23" s="5"/>
      <c r="C23" s="5"/>
      <c r="D23" s="5"/>
      <c r="E23" s="104"/>
    </row>
    <row r="24" spans="2:5" x14ac:dyDescent="0.25">
      <c r="B24" s="5"/>
      <c r="C24" s="5"/>
      <c r="D24" s="5"/>
      <c r="E24" s="104"/>
    </row>
    <row r="25" spans="2:5" x14ac:dyDescent="0.25">
      <c r="B25" s="62"/>
      <c r="C25" s="62"/>
      <c r="D25" s="62"/>
      <c r="E25" s="63"/>
    </row>
    <row r="26" spans="2:5" x14ac:dyDescent="0.25">
      <c r="B26" s="62"/>
      <c r="C26" s="62"/>
      <c r="D26" s="62"/>
      <c r="E26" s="63"/>
    </row>
    <row r="27" spans="2:5" x14ac:dyDescent="0.25">
      <c r="B27" s="62"/>
      <c r="C27" s="62"/>
      <c r="D27" s="62"/>
      <c r="E27" s="63"/>
    </row>
    <row r="28" spans="2:5" x14ac:dyDescent="0.25">
      <c r="B28" s="62"/>
      <c r="C28" s="62"/>
      <c r="D28" s="62"/>
      <c r="E28" s="63"/>
    </row>
    <row r="29" spans="2:5" x14ac:dyDescent="0.25">
      <c r="B29" s="62"/>
      <c r="C29" s="62"/>
      <c r="D29" s="62"/>
      <c r="E29" s="63"/>
    </row>
    <row r="30" spans="2:5" x14ac:dyDescent="0.25">
      <c r="B30" s="62"/>
      <c r="C30" s="62"/>
      <c r="D30" s="62"/>
      <c r="E30" s="63"/>
    </row>
    <row r="31" spans="2:5" x14ac:dyDescent="0.25">
      <c r="B31" s="62"/>
      <c r="C31" s="62"/>
      <c r="D31" s="62"/>
      <c r="E31" s="63"/>
    </row>
    <row r="32" spans="2:5" x14ac:dyDescent="0.25">
      <c r="B32" s="62"/>
      <c r="C32" s="62"/>
      <c r="D32" s="62"/>
      <c r="E32" s="63"/>
    </row>
    <row r="33" spans="2:5" x14ac:dyDescent="0.25">
      <c r="B33" s="62"/>
      <c r="C33" s="62"/>
      <c r="D33" s="62"/>
      <c r="E33" s="63"/>
    </row>
    <row r="34" spans="2:5" x14ac:dyDescent="0.25">
      <c r="B34" s="62"/>
      <c r="C34" s="62"/>
      <c r="D34" s="62"/>
      <c r="E34" s="63"/>
    </row>
    <row r="35" spans="2:5" x14ac:dyDescent="0.25">
      <c r="B35" s="62"/>
      <c r="C35" s="62"/>
      <c r="D35" s="62"/>
      <c r="E35" s="63"/>
    </row>
    <row r="36" spans="2:5" x14ac:dyDescent="0.25">
      <c r="B36" s="62"/>
      <c r="C36" s="62"/>
      <c r="D36" s="62"/>
      <c r="E36" s="63"/>
    </row>
    <row r="37" spans="2:5" x14ac:dyDescent="0.25">
      <c r="B37" s="62"/>
      <c r="C37" s="62"/>
      <c r="D37" s="62"/>
      <c r="E37" s="63"/>
    </row>
    <row r="38" spans="2:5" x14ac:dyDescent="0.25">
      <c r="B38" s="62"/>
      <c r="C38" s="62"/>
      <c r="D38" s="62"/>
      <c r="E38" s="63"/>
    </row>
    <row r="39" spans="2:5" x14ac:dyDescent="0.25">
      <c r="B39" s="62"/>
      <c r="C39" s="62"/>
      <c r="D39" s="62"/>
      <c r="E39" s="63"/>
    </row>
    <row r="40" spans="2:5" x14ac:dyDescent="0.25">
      <c r="B40" s="62"/>
      <c r="C40" s="62"/>
      <c r="D40" s="62"/>
      <c r="E40" s="63"/>
    </row>
    <row r="41" spans="2:5" x14ac:dyDescent="0.25">
      <c r="B41" s="62"/>
      <c r="C41" s="62"/>
      <c r="D41" s="62"/>
      <c r="E41" s="63"/>
    </row>
    <row r="42" spans="2:5" x14ac:dyDescent="0.25">
      <c r="B42" s="62"/>
      <c r="C42" s="62"/>
      <c r="D42" s="62"/>
      <c r="E42" s="63"/>
    </row>
  </sheetData>
  <autoFilter ref="B4:E7"/>
  <mergeCells count="1">
    <mergeCell ref="B2:E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4"/>
  <sheetViews>
    <sheetView workbookViewId="0">
      <selection activeCell="C22" sqref="C22"/>
    </sheetView>
  </sheetViews>
  <sheetFormatPr baseColWidth="10" defaultColWidth="13" defaultRowHeight="21" customHeight="1" x14ac:dyDescent="0.25"/>
  <cols>
    <col min="2" max="2" width="19" customWidth="1"/>
  </cols>
  <sheetData>
    <row r="1" spans="2:5" ht="21" customHeight="1" thickBot="1" x14ac:dyDescent="0.3"/>
    <row r="2" spans="2:5" ht="21" customHeight="1" thickBot="1" x14ac:dyDescent="0.3">
      <c r="B2" s="3" t="s">
        <v>43</v>
      </c>
      <c r="C2" s="11"/>
      <c r="D2" s="11"/>
      <c r="E2" s="4"/>
    </row>
    <row r="3" spans="2:5" ht="21" customHeight="1" x14ac:dyDescent="0.25">
      <c r="B3" s="6" t="s">
        <v>44</v>
      </c>
      <c r="C3" s="9" t="s">
        <v>45</v>
      </c>
      <c r="D3" s="9" t="s">
        <v>7</v>
      </c>
      <c r="E3" s="20" t="s">
        <v>46</v>
      </c>
    </row>
    <row r="4" spans="2:5" ht="21" customHeight="1" x14ac:dyDescent="0.25">
      <c r="B4" s="21" t="s">
        <v>47</v>
      </c>
      <c r="C4" s="5">
        <v>150</v>
      </c>
      <c r="D4" s="5">
        <f>4.15/1000</f>
        <v>4.15E-3</v>
      </c>
      <c r="E4" s="15">
        <f t="shared" ref="E4:E9" si="0">C4*D4</f>
        <v>0.62250000000000005</v>
      </c>
    </row>
    <row r="5" spans="2:5" ht="21" customHeight="1" x14ac:dyDescent="0.25">
      <c r="B5" s="21" t="s">
        <v>48</v>
      </c>
      <c r="C5" s="22">
        <f>C4*0.126</f>
        <v>18.899999999999999</v>
      </c>
      <c r="D5">
        <v>0.26</v>
      </c>
      <c r="E5" s="15">
        <f t="shared" si="0"/>
        <v>4.9139999999999997</v>
      </c>
    </row>
    <row r="6" spans="2:5" ht="21" customHeight="1" x14ac:dyDescent="0.25">
      <c r="B6" s="21" t="s">
        <v>49</v>
      </c>
      <c r="C6" s="5">
        <f>C4*0.065</f>
        <v>9.75</v>
      </c>
      <c r="D6" s="5">
        <v>2.57</v>
      </c>
      <c r="E6" s="23">
        <f t="shared" si="0"/>
        <v>25.057499999999997</v>
      </c>
    </row>
    <row r="7" spans="2:5" ht="21" customHeight="1" x14ac:dyDescent="0.25">
      <c r="B7" s="21" t="s">
        <v>50</v>
      </c>
      <c r="C7" s="5">
        <f>C4*0.029</f>
        <v>4.3500000000000005</v>
      </c>
      <c r="D7" s="5">
        <v>0.19</v>
      </c>
      <c r="E7" s="15">
        <f t="shared" si="0"/>
        <v>0.82650000000000012</v>
      </c>
    </row>
    <row r="8" spans="2:5" ht="21" customHeight="1" x14ac:dyDescent="0.25">
      <c r="B8" s="21" t="s">
        <v>51</v>
      </c>
      <c r="C8" s="5">
        <f>C4*0.01</f>
        <v>1.5</v>
      </c>
      <c r="D8" s="5">
        <v>1.78</v>
      </c>
      <c r="E8" s="15">
        <f t="shared" si="0"/>
        <v>2.67</v>
      </c>
    </row>
    <row r="9" spans="2:5" ht="21" customHeight="1" thickBot="1" x14ac:dyDescent="0.3">
      <c r="B9" s="24" t="s">
        <v>52</v>
      </c>
      <c r="C9" s="25">
        <f>C4*0.0007</f>
        <v>0.105</v>
      </c>
      <c r="D9" s="25">
        <v>29.04</v>
      </c>
      <c r="E9" s="26">
        <f t="shared" si="0"/>
        <v>3.0491999999999999</v>
      </c>
    </row>
    <row r="10" spans="2:5" ht="21" customHeight="1" thickBot="1" x14ac:dyDescent="0.3">
      <c r="B10" s="27" t="s">
        <v>53</v>
      </c>
      <c r="C10" s="28">
        <f>SUM(C4:C9)</f>
        <v>184.60499999999999</v>
      </c>
      <c r="D10" s="29">
        <f>E10/C10</f>
        <v>0.20118469163890468</v>
      </c>
      <c r="E10" s="30">
        <f>SUM(E4:E9)</f>
        <v>37.139699999999998</v>
      </c>
    </row>
    <row r="11" spans="2:5" ht="21" customHeight="1" thickBot="1" x14ac:dyDescent="0.3"/>
    <row r="12" spans="2:5" ht="21" customHeight="1" thickBot="1" x14ac:dyDescent="0.3">
      <c r="B12" s="200" t="s">
        <v>57</v>
      </c>
      <c r="C12" s="201"/>
      <c r="D12" s="11" t="s">
        <v>54</v>
      </c>
      <c r="E12" s="4">
        <v>1</v>
      </c>
    </row>
    <row r="13" spans="2:5" ht="21" customHeight="1" x14ac:dyDescent="0.25">
      <c r="B13" s="6" t="s">
        <v>44</v>
      </c>
      <c r="C13" s="9" t="s">
        <v>45</v>
      </c>
      <c r="D13" s="9" t="s">
        <v>7</v>
      </c>
      <c r="E13" s="20" t="s">
        <v>46</v>
      </c>
    </row>
    <row r="14" spans="2:5" ht="21" customHeight="1" x14ac:dyDescent="0.25">
      <c r="B14" s="21" t="s">
        <v>55</v>
      </c>
      <c r="C14" s="5">
        <f>0.001*E12</f>
        <v>1E-3</v>
      </c>
      <c r="D14" s="5">
        <v>5.81</v>
      </c>
      <c r="E14" s="15">
        <f t="shared" ref="E14:E15" si="1">C14*D14</f>
        <v>5.8100000000000001E-3</v>
      </c>
    </row>
    <row r="15" spans="2:5" ht="21" customHeight="1" x14ac:dyDescent="0.25">
      <c r="B15" s="21" t="s">
        <v>56</v>
      </c>
      <c r="C15" s="31">
        <f>0.00025*E12</f>
        <v>2.5000000000000001E-4</v>
      </c>
      <c r="D15">
        <v>4.59</v>
      </c>
      <c r="E15" s="15">
        <f t="shared" si="1"/>
        <v>1.1475000000000001E-3</v>
      </c>
    </row>
    <row r="16" spans="2:5" ht="21" customHeight="1" thickBot="1" x14ac:dyDescent="0.3">
      <c r="B16" s="21" t="s">
        <v>43</v>
      </c>
      <c r="C16" s="5">
        <f>E12*0.15</f>
        <v>0.15</v>
      </c>
      <c r="D16" s="31">
        <f>D10</f>
        <v>0.20118469163890468</v>
      </c>
      <c r="E16" s="32">
        <f>C16*D16</f>
        <v>3.0177703745835699E-2</v>
      </c>
    </row>
    <row r="17" spans="2:5" ht="21" customHeight="1" thickBot="1" x14ac:dyDescent="0.3">
      <c r="B17" s="27" t="s">
        <v>53</v>
      </c>
      <c r="C17" s="28">
        <f>SUM(C14:C16)</f>
        <v>0.15125</v>
      </c>
      <c r="D17" s="33">
        <f>E17/C17</f>
        <v>0.24552200823693024</v>
      </c>
      <c r="E17" s="34">
        <f>E14+E15+E16</f>
        <v>3.7135203745835697E-2</v>
      </c>
    </row>
    <row r="18" spans="2:5" ht="21" customHeight="1" thickBot="1" x14ac:dyDescent="0.3"/>
    <row r="19" spans="2:5" ht="21" customHeight="1" thickBot="1" x14ac:dyDescent="0.3">
      <c r="B19" s="200" t="s">
        <v>190</v>
      </c>
      <c r="C19" s="201"/>
      <c r="D19" s="84">
        <v>1</v>
      </c>
      <c r="E19" s="85"/>
    </row>
    <row r="20" spans="2:5" ht="21" customHeight="1" x14ac:dyDescent="0.25">
      <c r="B20" s="6" t="s">
        <v>44</v>
      </c>
      <c r="C20" s="9" t="s">
        <v>45</v>
      </c>
      <c r="D20" s="9" t="s">
        <v>7</v>
      </c>
      <c r="E20" s="20" t="s">
        <v>46</v>
      </c>
    </row>
    <row r="21" spans="2:5" ht="21" customHeight="1" x14ac:dyDescent="0.25">
      <c r="B21" s="21" t="s">
        <v>188</v>
      </c>
      <c r="C21" s="5">
        <f>0.017*D19</f>
        <v>1.7000000000000001E-2</v>
      </c>
      <c r="D21" s="5">
        <v>1.21</v>
      </c>
      <c r="E21" s="15">
        <f t="shared" ref="E21:E23" si="2">C21*D21</f>
        <v>2.0570000000000001E-2</v>
      </c>
    </row>
    <row r="22" spans="2:5" ht="21" customHeight="1" x14ac:dyDescent="0.25">
      <c r="B22" s="21" t="s">
        <v>189</v>
      </c>
      <c r="C22" s="22">
        <f>0.02*D19</f>
        <v>0.02</v>
      </c>
      <c r="D22">
        <v>5.13</v>
      </c>
      <c r="E22" s="15">
        <f t="shared" si="2"/>
        <v>0.1026</v>
      </c>
    </row>
    <row r="23" spans="2:5" ht="21" customHeight="1" thickBot="1" x14ac:dyDescent="0.3">
      <c r="B23" s="21" t="s">
        <v>47</v>
      </c>
      <c r="C23" s="5">
        <f>D19*0.15</f>
        <v>0.15</v>
      </c>
      <c r="D23" s="5">
        <f>4.15/1000</f>
        <v>4.15E-3</v>
      </c>
      <c r="E23" s="23">
        <f t="shared" si="2"/>
        <v>6.2250000000000001E-4</v>
      </c>
    </row>
    <row r="24" spans="2:5" ht="21" customHeight="1" thickBot="1" x14ac:dyDescent="0.3">
      <c r="B24" s="27" t="s">
        <v>53</v>
      </c>
      <c r="C24" s="111">
        <f>C21+C22+C23</f>
        <v>0.187</v>
      </c>
      <c r="D24" s="112">
        <f>E24/C24</f>
        <v>0.66199197860962566</v>
      </c>
      <c r="E24" s="30">
        <f>SUM(E21:E23)</f>
        <v>0.1237925</v>
      </c>
    </row>
  </sheetData>
  <mergeCells count="2">
    <mergeCell ref="B12:C12"/>
    <mergeCell ref="B19:C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5" sqref="I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6"/>
  <sheetViews>
    <sheetView workbookViewId="0">
      <selection activeCell="C7" sqref="C7"/>
    </sheetView>
  </sheetViews>
  <sheetFormatPr baseColWidth="10" defaultRowHeight="15" x14ac:dyDescent="0.25"/>
  <cols>
    <col min="2" max="2" width="55.28515625" customWidth="1"/>
    <col min="3" max="3" width="16.42578125" customWidth="1"/>
  </cols>
  <sheetData>
    <row r="1" spans="2:4" ht="15.75" thickBot="1" x14ac:dyDescent="0.3"/>
    <row r="2" spans="2:4" ht="15.75" thickBot="1" x14ac:dyDescent="0.3">
      <c r="B2" s="202" t="s">
        <v>33</v>
      </c>
      <c r="C2" s="203"/>
      <c r="D2" s="204"/>
    </row>
    <row r="3" spans="2:4" ht="15.75" thickBot="1" x14ac:dyDescent="0.3">
      <c r="B3" s="72" t="s">
        <v>0</v>
      </c>
      <c r="C3" s="73" t="s">
        <v>61</v>
      </c>
      <c r="D3" s="74" t="s">
        <v>60</v>
      </c>
    </row>
    <row r="4" spans="2:4" x14ac:dyDescent="0.25">
      <c r="B4" s="12" t="s">
        <v>12</v>
      </c>
      <c r="C4" s="13">
        <v>66</v>
      </c>
      <c r="D4" s="75">
        <v>10.49</v>
      </c>
    </row>
    <row r="5" spans="2:4" x14ac:dyDescent="0.25">
      <c r="B5" s="76" t="s">
        <v>159</v>
      </c>
      <c r="C5" s="5">
        <v>15</v>
      </c>
      <c r="D5" s="15">
        <v>10.99</v>
      </c>
    </row>
    <row r="6" spans="2:4" x14ac:dyDescent="0.25">
      <c r="B6" s="76" t="s">
        <v>160</v>
      </c>
      <c r="C6" s="5">
        <v>40</v>
      </c>
      <c r="D6" s="15">
        <v>8.8800000000000008</v>
      </c>
    </row>
    <row r="7" spans="2:4" x14ac:dyDescent="0.25">
      <c r="B7" s="76" t="s">
        <v>198</v>
      </c>
      <c r="C7" s="5"/>
      <c r="D7" s="15"/>
    </row>
    <row r="8" spans="2:4" x14ac:dyDescent="0.25">
      <c r="B8" s="76" t="s">
        <v>161</v>
      </c>
      <c r="C8" s="5">
        <v>361</v>
      </c>
      <c r="D8" s="15">
        <v>12.92</v>
      </c>
    </row>
    <row r="9" spans="2:4" x14ac:dyDescent="0.25">
      <c r="B9" s="76" t="s">
        <v>162</v>
      </c>
      <c r="C9" s="5">
        <v>60</v>
      </c>
      <c r="D9" s="15">
        <v>11.15</v>
      </c>
    </row>
    <row r="10" spans="2:4" x14ac:dyDescent="0.25">
      <c r="B10" s="76" t="s">
        <v>163</v>
      </c>
      <c r="C10" s="5">
        <v>369</v>
      </c>
      <c r="D10" s="15">
        <v>11.55</v>
      </c>
    </row>
    <row r="11" spans="2:4" x14ac:dyDescent="0.25">
      <c r="B11" s="76" t="s">
        <v>164</v>
      </c>
      <c r="C11" s="5">
        <v>362</v>
      </c>
      <c r="D11" s="15">
        <v>12.25</v>
      </c>
    </row>
    <row r="12" spans="2:4" x14ac:dyDescent="0.25">
      <c r="B12" s="76" t="s">
        <v>165</v>
      </c>
      <c r="C12" s="5">
        <v>6100</v>
      </c>
      <c r="D12" s="15">
        <v>12.25</v>
      </c>
    </row>
    <row r="13" spans="2:4" x14ac:dyDescent="0.25">
      <c r="B13" s="76" t="s">
        <v>166</v>
      </c>
      <c r="C13" s="5">
        <v>334</v>
      </c>
      <c r="D13" s="15">
        <v>11.17</v>
      </c>
    </row>
    <row r="14" spans="2:4" x14ac:dyDescent="0.25">
      <c r="B14" s="76" t="s">
        <v>167</v>
      </c>
      <c r="C14" s="5">
        <v>39</v>
      </c>
      <c r="D14" s="15">
        <v>11.85</v>
      </c>
    </row>
    <row r="15" spans="2:4" x14ac:dyDescent="0.25">
      <c r="B15" s="76" t="s">
        <v>168</v>
      </c>
      <c r="C15" s="5">
        <v>34</v>
      </c>
      <c r="D15" s="15">
        <v>12.3</v>
      </c>
    </row>
    <row r="16" spans="2:4" x14ac:dyDescent="0.25">
      <c r="B16" s="76" t="s">
        <v>169</v>
      </c>
      <c r="C16" s="5">
        <v>310</v>
      </c>
      <c r="D16" s="15">
        <v>8.92</v>
      </c>
    </row>
    <row r="17" spans="2:4" x14ac:dyDescent="0.25">
      <c r="B17" s="76" t="s">
        <v>170</v>
      </c>
      <c r="C17" s="5">
        <v>321</v>
      </c>
      <c r="D17" s="15">
        <v>7.45</v>
      </c>
    </row>
    <row r="18" spans="2:4" x14ac:dyDescent="0.25">
      <c r="B18" s="76" t="s">
        <v>171</v>
      </c>
      <c r="C18" s="5">
        <v>300</v>
      </c>
      <c r="D18" s="15">
        <v>17.03</v>
      </c>
    </row>
    <row r="19" spans="2:4" x14ac:dyDescent="0.25">
      <c r="B19" s="76" t="s">
        <v>172</v>
      </c>
      <c r="C19" s="5">
        <v>560</v>
      </c>
      <c r="D19" s="15">
        <v>11.32</v>
      </c>
    </row>
    <row r="20" spans="2:4" x14ac:dyDescent="0.25">
      <c r="B20" s="76" t="s">
        <v>173</v>
      </c>
      <c r="C20" s="5">
        <v>320</v>
      </c>
      <c r="D20" s="15">
        <v>7.49</v>
      </c>
    </row>
    <row r="21" spans="2:4" x14ac:dyDescent="0.25">
      <c r="B21" s="76" t="s">
        <v>174</v>
      </c>
      <c r="C21" s="5">
        <v>710</v>
      </c>
      <c r="D21" s="15">
        <v>9.26</v>
      </c>
    </row>
    <row r="22" spans="2:4" x14ac:dyDescent="0.25">
      <c r="B22" s="76" t="s">
        <v>175</v>
      </c>
      <c r="C22" s="5">
        <v>98</v>
      </c>
      <c r="D22" s="15">
        <v>8.57</v>
      </c>
    </row>
    <row r="23" spans="2:4" x14ac:dyDescent="0.25">
      <c r="B23" s="76" t="s">
        <v>176</v>
      </c>
      <c r="C23" s="5">
        <v>2</v>
      </c>
      <c r="D23" s="15">
        <v>12.76</v>
      </c>
    </row>
    <row r="24" spans="2:4" x14ac:dyDescent="0.25">
      <c r="B24" s="76" t="s">
        <v>180</v>
      </c>
      <c r="C24" s="5"/>
      <c r="D24" s="15"/>
    </row>
    <row r="25" spans="2:4" ht="15.75" thickBot="1" x14ac:dyDescent="0.3">
      <c r="B25" s="7" t="s">
        <v>181</v>
      </c>
      <c r="C25" s="10"/>
      <c r="D25" s="67"/>
    </row>
    <row r="26" spans="2:4" x14ac:dyDescent="0.25">
      <c r="B26" s="62"/>
      <c r="C26" s="62"/>
      <c r="D26" s="62"/>
    </row>
  </sheetData>
  <autoFilter ref="B3:C3"/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Coût de revient</vt:lpstr>
      <vt:lpstr>Feuil1</vt:lpstr>
      <vt:lpstr>MOD - Rendements</vt:lpstr>
      <vt:lpstr>Achats matière</vt:lpstr>
      <vt:lpstr>Achats ingrédients</vt:lpstr>
      <vt:lpstr>Autres achats</vt:lpstr>
      <vt:lpstr>Recettes</vt:lpstr>
      <vt:lpstr>Coût machines</vt:lpstr>
      <vt:lpstr>Couts fixes</vt:lpstr>
      <vt:lpstr>Prix de vente</vt:lpstr>
      <vt:lpstr>Couth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Allano</dc:creator>
  <cp:lastModifiedBy>Guillaume Allano</cp:lastModifiedBy>
  <dcterms:created xsi:type="dcterms:W3CDTF">2014-04-25T09:58:35Z</dcterms:created>
  <dcterms:modified xsi:type="dcterms:W3CDTF">2014-05-22T08:56:21Z</dcterms:modified>
</cp:coreProperties>
</file>