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psf\Dropbox\3_BUSINESS\CONTRATS\CDRA\"/>
    </mc:Choice>
  </mc:AlternateContent>
  <bookViews>
    <workbookView xWindow="0" yWindow="0" windowWidth="31590" windowHeight="12360"/>
  </bookViews>
  <sheets>
    <sheet name="Listes" sheetId="2" r:id="rId1"/>
    <sheet name="BdD" sheetId="1" r:id="rId2"/>
    <sheet name="Recherche" sheetId="4" r:id="rId3"/>
    <sheet name="TCD" sheetId="5" r:id="rId4"/>
  </sheets>
  <definedNames>
    <definedName name="Adresse1">BdD!$F$2:$F$8</definedName>
    <definedName name="Adresse2">BdD!$G$2:$G$8</definedName>
    <definedName name="Année">BdD!$N$2:$N$8</definedName>
    <definedName name="ChronologieNative_Date_transaction">#N/A</definedName>
    <definedName name="Code">BdD!$O$2:$O$8</definedName>
    <definedName name="Courriel">BdD!$K$2:$K$8</definedName>
    <definedName name="CP">BdD!$I$2:$I$8</definedName>
    <definedName name="Date_transaction">BdD!$L$2:$L$8</definedName>
    <definedName name="Form_Feuil2_tbl_principal_N">2</definedName>
    <definedName name="Intérêt_payé">BdD!$R$2:$R$8</definedName>
    <definedName name="lst_annees">Listes!$D$3:$D$13</definedName>
    <definedName name="lst_codes">Listes!$B$3:$B$6</definedName>
    <definedName name="Mois">BdD!$M$2:$M$8</definedName>
    <definedName name="Montant_intérêt">BdD!$S$2:$S$8</definedName>
    <definedName name="NAS">BdD!$D$2:$D$8</definedName>
    <definedName name="NE">BdD!$E$2:$E$8</definedName>
    <definedName name="Nom">BdD!$C$2:$C$8</definedName>
    <definedName name="Part_sociale">BdD!$P$2:$P$8</definedName>
    <definedName name="Part_surplus">BdD!$Q$2:$Q$8</definedName>
    <definedName name="Retrait">BdD!$T$2:$T$8</definedName>
    <definedName name="Segment_Année">#N/A</definedName>
    <definedName name="Solde">BdD!$U$2:$U$8</definedName>
    <definedName name="Telephone">BdD!$J$2:$J$8</definedName>
    <definedName name="Ville">BdD!$H$2:$H$8</definedName>
  </definedNames>
  <calcPr calcId="152511"/>
  <pivotCaches>
    <pivotCache cacheId="7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S2" i="1" s="1"/>
  <c r="U2" i="1" s="1"/>
  <c r="M6" i="1"/>
  <c r="S6" i="1" s="1"/>
  <c r="U6" i="1" s="1"/>
  <c r="M3" i="1"/>
  <c r="S3" i="1" s="1"/>
  <c r="U3" i="1" s="1"/>
  <c r="M7" i="1"/>
  <c r="S7" i="1" s="1"/>
  <c r="U7" i="1" s="1"/>
  <c r="M5" i="1"/>
  <c r="S5" i="1" s="1"/>
  <c r="U5" i="1" s="1"/>
  <c r="M4" i="1"/>
  <c r="S4" i="1" s="1"/>
  <c r="U4" i="1" s="1"/>
  <c r="M8" i="1"/>
  <c r="S8" i="1" s="1"/>
  <c r="U8" i="1" s="1"/>
  <c r="N3" i="1"/>
  <c r="N7" i="1"/>
  <c r="N5" i="1"/>
  <c r="N4" i="1"/>
  <c r="N8" i="1"/>
  <c r="N2" i="1" l="1"/>
  <c r="N6" i="1"/>
  <c r="C9" i="4" l="1"/>
  <c r="C25" i="4"/>
  <c r="C17" i="4"/>
  <c r="C23" i="4"/>
  <c r="C6" i="4"/>
  <c r="C7" i="4"/>
  <c r="C14" i="4"/>
  <c r="C15" i="4"/>
  <c r="C22" i="4"/>
  <c r="C8" i="4"/>
  <c r="C16" i="4"/>
  <c r="C24" i="4"/>
</calcChain>
</file>

<file path=xl/sharedStrings.xml><?xml version="1.0" encoding="utf-8"?>
<sst xmlns="http://schemas.openxmlformats.org/spreadsheetml/2006/main" count="70" uniqueCount="38">
  <si>
    <t>Code</t>
  </si>
  <si>
    <t>Part sociale</t>
  </si>
  <si>
    <t>Part surplus</t>
  </si>
  <si>
    <t>Retrait</t>
  </si>
  <si>
    <t>Total général</t>
  </si>
  <si>
    <t>codes</t>
  </si>
  <si>
    <t>Année</t>
  </si>
  <si>
    <t>Parts surplus</t>
  </si>
  <si>
    <t>Années</t>
  </si>
  <si>
    <t>personne physique1</t>
  </si>
  <si>
    <t>personne physique2</t>
  </si>
  <si>
    <t>Parts sociales</t>
  </si>
  <si>
    <t>Part_surplus</t>
  </si>
  <si>
    <t>Part_sociale</t>
  </si>
  <si>
    <t>Intérêts</t>
  </si>
  <si>
    <t>Bâtisseurs</t>
  </si>
  <si>
    <t>Municipalités</t>
  </si>
  <si>
    <t>Communauté</t>
  </si>
  <si>
    <t>Employés</t>
  </si>
  <si>
    <t>Intérêt payé</t>
  </si>
  <si>
    <t>Folio</t>
  </si>
  <si>
    <t>Nom</t>
  </si>
  <si>
    <t>Adresse1</t>
  </si>
  <si>
    <t>Adresse2</t>
  </si>
  <si>
    <t>Ville</t>
  </si>
  <si>
    <t>CP</t>
  </si>
  <si>
    <t>Telephone</t>
  </si>
  <si>
    <t>Courriel</t>
  </si>
  <si>
    <t>NAS</t>
  </si>
  <si>
    <t>NE</t>
  </si>
  <si>
    <t>E1W1A1</t>
  </si>
  <si>
    <t>E1W1A2</t>
  </si>
  <si>
    <t>Date transaction</t>
  </si>
  <si>
    <t>Solde</t>
  </si>
  <si>
    <t>Montant intérêt</t>
  </si>
  <si>
    <t>Mois</t>
  </si>
  <si>
    <t>Intérêts versés</t>
  </si>
  <si>
    <t>Montant des retraits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</si>
</sst>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164" formatCode="dd/mm/yyyy"/>
    <numFmt numFmtId="165" formatCode="[&lt;=9999999]###\-####;\(###\)\ ###\-####"/>
    <numFmt numFmtId="166" formatCode="000,000,000"/>
  </numFmts>
  <fonts count="5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3" xfId="0" applyBorder="1"/>
    <xf numFmtId="44" fontId="0" fillId="0" borderId="3" xfId="1" applyFont="1" applyBorder="1"/>
    <xf numFmtId="0" fontId="2" fillId="0" borderId="0" xfId="0" applyFont="1" applyAlignment="1">
      <alignment horizontal="right"/>
    </xf>
    <xf numFmtId="0" fontId="2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left"/>
    </xf>
    <xf numFmtId="164" fontId="4" fillId="5" borderId="0" xfId="0" applyNumberFormat="1" applyFont="1" applyFill="1" applyAlignment="1">
      <alignment horizontal="right"/>
    </xf>
    <xf numFmtId="164" fontId="4" fillId="5" borderId="0" xfId="0" applyNumberFormat="1" applyFont="1" applyFill="1" applyAlignment="1">
      <alignment horizontal="center"/>
    </xf>
    <xf numFmtId="14" fontId="4" fillId="5" borderId="0" xfId="0" applyNumberFormat="1" applyFont="1" applyFill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3" xfId="0" applyNumberFormat="1" applyBorder="1"/>
    <xf numFmtId="0" fontId="0" fillId="0" borderId="3" xfId="0" applyNumberFormat="1" applyBorder="1" applyAlignment="1">
      <alignment horizontal="center"/>
    </xf>
    <xf numFmtId="165" fontId="0" fillId="0" borderId="3" xfId="0" applyNumberFormat="1" applyBorder="1"/>
    <xf numFmtId="164" fontId="0" fillId="0" borderId="3" xfId="0" applyNumberFormat="1" applyBorder="1"/>
    <xf numFmtId="0" fontId="0" fillId="0" borderId="3" xfId="0" applyBorder="1" applyAlignment="1">
      <alignment horizontal="center"/>
    </xf>
    <xf numFmtId="9" fontId="0" fillId="0" borderId="3" xfId="2" applyNumberFormat="1" applyFont="1" applyBorder="1"/>
    <xf numFmtId="44" fontId="0" fillId="0" borderId="3" xfId="1" applyNumberFormat="1" applyFont="1" applyBorder="1"/>
    <xf numFmtId="0" fontId="0" fillId="0" borderId="3" xfId="0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3" borderId="2" xfId="0" applyFont="1" applyFill="1" applyBorder="1"/>
    <xf numFmtId="0" fontId="3" fillId="4" borderId="2" xfId="0" applyFont="1" applyFill="1" applyBorder="1" applyAlignment="1">
      <alignment horizontal="left"/>
    </xf>
    <xf numFmtId="44" fontId="2" fillId="0" borderId="0" xfId="0" applyNumberFormat="1" applyFont="1"/>
    <xf numFmtId="0" fontId="3" fillId="6" borderId="2" xfId="0" applyFont="1" applyFill="1" applyBorder="1" applyAlignment="1">
      <alignment horizontal="left"/>
    </xf>
    <xf numFmtId="0" fontId="3" fillId="7" borderId="2" xfId="0" applyFont="1" applyFill="1" applyBorder="1"/>
    <xf numFmtId="0" fontId="2" fillId="0" borderId="0" xfId="0" applyFont="1" applyAlignment="1">
      <alignment horizontal="left"/>
    </xf>
  </cellXfs>
  <cellStyles count="3">
    <cellStyle name="Monétaire" xfId="1" builtinId="4"/>
    <cellStyle name="Normal" xfId="0" builtinId="0"/>
    <cellStyle name="Pourcentage" xfId="2" builtinId="5"/>
  </cellStyles>
  <dxfs count="34"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 readingOrder="0"/>
    </dxf>
    <dxf>
      <font>
        <b/>
      </font>
    </dxf>
    <dxf>
      <font>
        <sz val="10"/>
      </font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alignment horizontal="right" readingOrder="0"/>
    </dxf>
    <dxf>
      <font>
        <sz val="10"/>
      </font>
    </dxf>
    <dxf>
      <numFmt numFmtId="167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4" formatCode="_ * #,##0.00_)\ &quot;$&quot;_ ;_ * \(#,##0.00\)\ &quot;$&quot;_ ;_ * &quot;-&quot;??_)\ &quot;$&quot;_ ;_ @_ 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4" formatCode="_ * #,##0.00_)\ &quot;$&quot;_ ;_ * \(#,##0.00\)\ &quot;$&quot;_ ;_ * &quot;-&quot;??_)\ &quot;$&quot;_ ;_ @_ 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4" formatCode="_ * #,##0.00_)\ &quot;$&quot;_ ;_ * \(#,##0.00\)\ &quot;$&quot;_ ;_ * &quot;-&quot;??_)\ &quot;$&quot;_ ;_ @_ 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164" formatCode="dd/mm/yyyy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165" formatCode="[&lt;=9999999]###\-####;\(###\)\ ###\-####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0" formatCode="General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166" formatCode="000,000,000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[CINO_v1.xlsm]TCD!tcd_principal</c:name>
    <c:fmtId val="6"/>
  </c:pivotSource>
  <c:chart>
    <c:autoTitleDeleted val="0"/>
    <c:pivotFmts>
      <c:pivotFmt>
        <c:idx val="0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  <c:pivotFmt>
        <c:idx val="1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2"/>
              </a:solidFill>
              <a:round/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  <c:pivotFmt>
        <c:idx val="3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3"/>
              </a:solidFill>
              <a:round/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15228980752405946"/>
          <c:y val="0.17997739865850104"/>
          <c:w val="0.83659908136482941"/>
          <c:h val="0.60849263633712447"/>
        </c:manualLayout>
      </c:layout>
      <c:lineChart>
        <c:grouping val="standard"/>
        <c:varyColors val="0"/>
        <c:ser>
          <c:idx val="0"/>
          <c:order val="0"/>
          <c:tx>
            <c:strRef>
              <c:f>TCD!$C$6</c:f>
              <c:strCache>
                <c:ptCount val="1"/>
                <c:pt idx="0">
                  <c:v>Part_surplus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1"/>
                </a:solidFill>
                <a:round/>
              </a:ln>
              <a:effectLst/>
            </c:spPr>
          </c:marker>
          <c:cat>
            <c:strRef>
              <c:f>TCD!$B$7:$B$11</c:f>
              <c:strCache>
                <c:ptCount val="4"/>
                <c:pt idx="0">
                  <c:v>Communauté</c:v>
                </c:pt>
                <c:pt idx="1">
                  <c:v>Bâtisseurs</c:v>
                </c:pt>
                <c:pt idx="2">
                  <c:v>Municipalités</c:v>
                </c:pt>
                <c:pt idx="3">
                  <c:v>Employés</c:v>
                </c:pt>
              </c:strCache>
            </c:strRef>
          </c:cat>
          <c:val>
            <c:numRef>
              <c:f>TCD!$C$7:$C$11</c:f>
              <c:numCache>
                <c:formatCode>_("$"* #,##0.00_);_("$"* \(#,##0.00\);_("$"* "-"??_);_(@_)</c:formatCode>
                <c:ptCount val="4"/>
                <c:pt idx="0">
                  <c:v>998</c:v>
                </c:pt>
                <c:pt idx="1">
                  <c:v>2711</c:v>
                </c:pt>
                <c:pt idx="2">
                  <c:v>9858</c:v>
                </c:pt>
                <c:pt idx="3">
                  <c:v>2953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TCD!$D$6</c:f>
              <c:strCache>
                <c:ptCount val="1"/>
                <c:pt idx="0">
                  <c:v>Part_sociale</c:v>
                </c:pt>
              </c:strCache>
            </c:strRef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2"/>
                </a:solidFill>
                <a:round/>
              </a:ln>
              <a:effectLst/>
            </c:spPr>
          </c:marker>
          <c:cat>
            <c:strRef>
              <c:f>TCD!$B$7:$B$11</c:f>
              <c:strCache>
                <c:ptCount val="4"/>
                <c:pt idx="0">
                  <c:v>Communauté</c:v>
                </c:pt>
                <c:pt idx="1">
                  <c:v>Bâtisseurs</c:v>
                </c:pt>
                <c:pt idx="2">
                  <c:v>Municipalités</c:v>
                </c:pt>
                <c:pt idx="3">
                  <c:v>Employés</c:v>
                </c:pt>
              </c:strCache>
            </c:strRef>
          </c:cat>
          <c:val>
            <c:numRef>
              <c:f>TCD!$D$7:$D$11</c:f>
              <c:numCache>
                <c:formatCode>_("$"* #,##0.00_);_("$"* \(#,##0.00\);_("$"* "-"??_);_(@_)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200</c:v>
                </c:pt>
                <c:pt idx="3">
                  <c:v>200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TCD!$E$6</c:f>
              <c:strCache>
                <c:ptCount val="1"/>
                <c:pt idx="0">
                  <c:v>Intérêts</c:v>
                </c:pt>
              </c:strCache>
            </c:strRef>
          </c:tx>
          <c:spPr>
            <a:ln w="2222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3"/>
                </a:solidFill>
                <a:round/>
              </a:ln>
              <a:effectLst/>
            </c:spPr>
          </c:marker>
          <c:cat>
            <c:strRef>
              <c:f>TCD!$B$7:$B$11</c:f>
              <c:strCache>
                <c:ptCount val="4"/>
                <c:pt idx="0">
                  <c:v>Communauté</c:v>
                </c:pt>
                <c:pt idx="1">
                  <c:v>Bâtisseurs</c:v>
                </c:pt>
                <c:pt idx="2">
                  <c:v>Municipalités</c:v>
                </c:pt>
                <c:pt idx="3">
                  <c:v>Employés</c:v>
                </c:pt>
              </c:strCache>
            </c:strRef>
          </c:cat>
          <c:val>
            <c:numRef>
              <c:f>TCD!$E$7:$E$11</c:f>
              <c:numCache>
                <c:formatCode>_("$"* #,##0.00_);_("$"* \(#,##0.00\);_("$"* "-"??_);_(@_)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2.5</c:v>
                </c:pt>
                <c:pt idx="3">
                  <c:v>2.666666666666667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7719648"/>
        <c:axId val="343654112"/>
      </c:lineChart>
      <c:catAx>
        <c:axId val="3877196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654112"/>
        <c:crosses val="autoZero"/>
        <c:auto val="1"/>
        <c:lblAlgn val="ctr"/>
        <c:lblOffset val="100"/>
        <c:noMultiLvlLbl val="0"/>
      </c:catAx>
      <c:valAx>
        <c:axId val="343654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_(&quot;$&quot;* #,##0.00_);_(&quot;$&quot;* \(#,##0.00\);_(&quot;$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71964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2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4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1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2.wdp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104775</xdr:rowOff>
    </xdr:from>
    <xdr:to>
      <xdr:col>2</xdr:col>
      <xdr:colOff>95249</xdr:colOff>
      <xdr:row>0</xdr:row>
      <xdr:rowOff>858837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5" y="104775"/>
          <a:ext cx="1809749" cy="754062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66677</xdr:colOff>
      <xdr:row>0</xdr:row>
      <xdr:rowOff>76202</xdr:rowOff>
    </xdr:from>
    <xdr:to>
      <xdr:col>2</xdr:col>
      <xdr:colOff>180975</xdr:colOff>
      <xdr:row>0</xdr:row>
      <xdr:rowOff>405608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1977" y="76202"/>
          <a:ext cx="790573" cy="32940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47625</xdr:rowOff>
    </xdr:from>
    <xdr:to>
      <xdr:col>2</xdr:col>
      <xdr:colOff>466724</xdr:colOff>
      <xdr:row>0</xdr:row>
      <xdr:rowOff>801687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5" y="47625"/>
          <a:ext cx="1809749" cy="754062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561974</xdr:colOff>
      <xdr:row>0</xdr:row>
      <xdr:rowOff>742950</xdr:rowOff>
    </xdr:from>
    <xdr:to>
      <xdr:col>10</xdr:col>
      <xdr:colOff>476249</xdr:colOff>
      <xdr:row>13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9525</xdr:colOff>
      <xdr:row>0</xdr:row>
      <xdr:rowOff>47625</xdr:rowOff>
    </xdr:from>
    <xdr:to>
      <xdr:col>2</xdr:col>
      <xdr:colOff>466724</xdr:colOff>
      <xdr:row>0</xdr:row>
      <xdr:rowOff>801687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0" y="47625"/>
          <a:ext cx="1809749" cy="754062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absolute">
    <xdr:from>
      <xdr:col>3</xdr:col>
      <xdr:colOff>1419224</xdr:colOff>
      <xdr:row>0</xdr:row>
      <xdr:rowOff>485774</xdr:rowOff>
    </xdr:from>
    <xdr:to>
      <xdr:col>5</xdr:col>
      <xdr:colOff>0</xdr:colOff>
      <xdr:row>4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95824" y="485774"/>
              <a:ext cx="990601" cy="10668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257175</xdr:colOff>
      <xdr:row>15</xdr:row>
      <xdr:rowOff>0</xdr:rowOff>
    </xdr:from>
    <xdr:to>
      <xdr:col>8</xdr:col>
      <xdr:colOff>285751</xdr:colOff>
      <xdr:row>22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6" name="Date transa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transac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14550" y="3543300"/>
              <a:ext cx="6829426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veronese" refreshedDate="42149.398167939813" createdVersion="5" refreshedVersion="5" minRefreshableVersion="3" recordCount="7">
  <cacheSource type="worksheet">
    <worksheetSource name="tbl_principal"/>
  </cacheSource>
  <cacheFields count="20">
    <cacheField name="Folio" numFmtId="0">
      <sharedItems containsSemiMixedTypes="0" containsString="0" containsNumber="1" containsInteger="1" minValue="1" maxValue="7"/>
    </cacheField>
    <cacheField name="Nom" numFmtId="0">
      <sharedItems/>
    </cacheField>
    <cacheField name="NAS" numFmtId="166">
      <sharedItems containsString="0" containsBlank="1" containsNumber="1" containsInteger="1" minValue="123456789" maxValue="123456789"/>
    </cacheField>
    <cacheField name="NE" numFmtId="0">
      <sharedItems containsNonDate="0" containsString="0" containsBlank="1"/>
    </cacheField>
    <cacheField name="Adresse1" numFmtId="0">
      <sharedItems containsNonDate="0" containsString="0" containsBlank="1"/>
    </cacheField>
    <cacheField name="Adresse2" numFmtId="0">
      <sharedItems containsNonDate="0" containsString="0" containsBlank="1"/>
    </cacheField>
    <cacheField name="Ville" numFmtId="0">
      <sharedItems containsNonDate="0" containsString="0" containsBlank="1"/>
    </cacheField>
    <cacheField name="CP" numFmtId="0">
      <sharedItems containsBlank="1"/>
    </cacheField>
    <cacheField name="Telephone" numFmtId="165">
      <sharedItems containsString="0" containsBlank="1" containsNumber="1" containsInteger="1" minValue="5060529536" maxValue="5062529654"/>
    </cacheField>
    <cacheField name="Courriel" numFmtId="0">
      <sharedItems containsNonDate="0" containsString="0" containsBlank="1"/>
    </cacheField>
    <cacheField name="Date transaction" numFmtId="164">
      <sharedItems containsSemiMixedTypes="0" containsNonDate="0" containsDate="1" containsString="0" minDate="2015-01-08T00:00:00" maxDate="2016-04-15T00:00:00" count="7">
        <d v="2015-01-08T00:00:00"/>
        <d v="2015-01-10T00:00:00"/>
        <d v="2015-01-13T00:00:00"/>
        <d v="2015-04-12T00:00:00"/>
        <d v="2015-06-09T00:00:00"/>
        <d v="2015-10-11T00:00:00"/>
        <d v="2016-04-14T00:00:00"/>
      </sharedItems>
      <fieldGroup base="10">
        <rangePr groupBy="months" startDate="2015-01-08T00:00:00" endDate="2016-04-15T00:00:00"/>
        <groupItems count="14">
          <s v="&lt;08/01/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4/16"/>
        </groupItems>
      </fieldGroup>
    </cacheField>
    <cacheField name="Mois" numFmtId="0">
      <sharedItems containsSemiMixedTypes="0" containsString="0" containsNumber="1" containsInteger="1" minValue="1" maxValue="10" count="4">
        <n v="1"/>
        <n v="4"/>
        <n v="6"/>
        <n v="10"/>
      </sharedItems>
    </cacheField>
    <cacheField name="Année" numFmtId="0">
      <sharedItems containsSemiMixedTypes="0" containsString="0" containsNumber="1" containsInteger="1" minValue="2015" maxValue="2016" count="2">
        <n v="2015"/>
        <n v="2016"/>
      </sharedItems>
    </cacheField>
    <cacheField name="Code" numFmtId="0">
      <sharedItems count="4">
        <s v="Bâtisseurs"/>
        <s v="Municipalités"/>
        <s v="Communauté"/>
        <s v="Employés"/>
      </sharedItems>
    </cacheField>
    <cacheField name="Part sociale" numFmtId="44">
      <sharedItems containsSemiMixedTypes="0" containsString="0" containsNumber="1" containsInteger="1" minValue="100" maxValue="100"/>
    </cacheField>
    <cacheField name="Part surplus" numFmtId="44">
      <sharedItems containsSemiMixedTypes="0" containsString="0" containsNumber="1" containsInteger="1" minValue="998" maxValue="8654"/>
    </cacheField>
    <cacheField name="Intérêt payé" numFmtId="9">
      <sharedItems containsSemiMixedTypes="0" containsString="0" containsNumber="1" minValue="0.02" maxValue="0.02"/>
    </cacheField>
    <cacheField name="Montant intérêt" numFmtId="44">
      <sharedItems containsSemiMixedTypes="0" containsString="0" containsNumber="1" minValue="0.5" maxValue="2"/>
    </cacheField>
    <cacheField name="Retrait" numFmtId="44">
      <sharedItems containsString="0" containsBlank="1" containsNumber="1" containsInteger="1" minValue="100" maxValue="100"/>
    </cacheField>
    <cacheField name="Solde" numFmtId="44">
      <sharedItems containsSemiMixedTypes="0" containsString="0" containsNumber="1" minValue="1100" maxValue="8754.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"/>
    <s v="personne physique1"/>
    <n v="123456789"/>
    <m/>
    <m/>
    <m/>
    <m/>
    <s v="E1W1A1"/>
    <n v="5062529654"/>
    <m/>
    <x v="0"/>
    <x v="0"/>
    <x v="0"/>
    <x v="0"/>
    <n v="100"/>
    <n v="2711"/>
    <n v="0.02"/>
    <n v="2"/>
    <n v="100"/>
    <n v="2713"/>
  </r>
  <r>
    <n v="2"/>
    <s v="personne physique2"/>
    <m/>
    <m/>
    <m/>
    <m/>
    <m/>
    <m/>
    <m/>
    <m/>
    <x v="1"/>
    <x v="0"/>
    <x v="0"/>
    <x v="1"/>
    <n v="100"/>
    <n v="1204"/>
    <n v="0.02"/>
    <n v="2"/>
    <m/>
    <n v="1306"/>
  </r>
  <r>
    <n v="3"/>
    <s v="personne physique1"/>
    <m/>
    <m/>
    <m/>
    <m/>
    <m/>
    <m/>
    <n v="5060529536"/>
    <m/>
    <x v="2"/>
    <x v="0"/>
    <x v="0"/>
    <x v="2"/>
    <n v="100"/>
    <n v="998"/>
    <n v="0.02"/>
    <n v="2"/>
    <m/>
    <n v="1100"/>
  </r>
  <r>
    <n v="4"/>
    <s v="personne physique1"/>
    <m/>
    <m/>
    <m/>
    <m/>
    <m/>
    <m/>
    <m/>
    <m/>
    <x v="3"/>
    <x v="1"/>
    <x v="0"/>
    <x v="3"/>
    <n v="100"/>
    <n v="1269"/>
    <n v="0.02"/>
    <n v="1.5000000000000002"/>
    <m/>
    <n v="1370.5"/>
  </r>
  <r>
    <n v="5"/>
    <s v="personne physique1"/>
    <n v="123456789"/>
    <m/>
    <m/>
    <m/>
    <m/>
    <s v="E1W1A2"/>
    <n v="5062356548"/>
    <m/>
    <x v="4"/>
    <x v="2"/>
    <x v="0"/>
    <x v="3"/>
    <n v="100"/>
    <n v="1684"/>
    <n v="0.02"/>
    <n v="1.1666666666666667"/>
    <m/>
    <n v="1785.1666666666667"/>
  </r>
  <r>
    <n v="6"/>
    <s v="personne physique2"/>
    <m/>
    <m/>
    <m/>
    <m/>
    <m/>
    <m/>
    <m/>
    <m/>
    <x v="5"/>
    <x v="3"/>
    <x v="0"/>
    <x v="1"/>
    <n v="100"/>
    <n v="8654"/>
    <n v="0.02"/>
    <n v="0.5"/>
    <m/>
    <n v="8754.5"/>
  </r>
  <r>
    <n v="7"/>
    <s v="personne physique2"/>
    <m/>
    <m/>
    <m/>
    <m/>
    <m/>
    <m/>
    <m/>
    <m/>
    <x v="6"/>
    <x v="1"/>
    <x v="1"/>
    <x v="0"/>
    <n v="100"/>
    <n v="1874"/>
    <n v="0.02"/>
    <n v="1.5000000000000002"/>
    <m/>
    <n v="1975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principal" cacheId="7" applyNumberFormats="0" applyBorderFormats="0" applyFontFormats="0" applyPatternFormats="0" applyAlignmentFormats="0" applyWidthHeightFormats="1" dataCaption="Valeurs" updatedVersion="5" minRefreshableVersion="5" itemPrintTitles="1" createdVersion="5" indent="0" showHeaders="0" outline="1" outlineData="1" multipleFieldFilters="0" chartFormat="23">
  <location ref="B6:E11" firstHeaderRow="0" firstDataRow="1" firstDataCol="1"/>
  <pivotFields count="20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>
      <items count="4">
        <item x="0"/>
        <item x="1"/>
        <item x="2"/>
        <item x="3"/>
      </items>
    </pivotField>
    <pivotField showAll="0">
      <items count="3">
        <item x="0"/>
        <item h="1" x="1"/>
        <item t="default"/>
      </items>
    </pivotField>
    <pivotField axis="axisRow" showAll="0">
      <items count="5">
        <item x="2"/>
        <item x="0"/>
        <item x="1"/>
        <item x="3"/>
        <item t="default"/>
      </items>
    </pivotField>
    <pivotField dataField="1" numFmtId="44" showAll="0"/>
    <pivotField dataField="1" numFmtId="44" showAll="0"/>
    <pivotField showAll="0" defaultSubtotal="0"/>
    <pivotField dataField="1" numFmtId="44" showAll="0" defaultSubtotal="0"/>
    <pivotField showAll="0"/>
    <pivotField numFmtId="44" showAll="0" defaultSubtotal="0"/>
  </pivotFields>
  <rowFields count="1">
    <field x="13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art_surplus" fld="15" baseField="0" baseItem="0" numFmtId="44"/>
    <dataField name="Part_sociale" fld="14" baseField="0" baseItem="0" numFmtId="44"/>
    <dataField name="Intérêts" fld="17" baseField="10" baseItem="0" numFmtId="44"/>
  </dataFields>
  <formats count="12">
    <format dxfId="11">
      <pivotArea outline="0" collapsedLevelsAreSubtotals="1" fieldPosition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">
      <pivotArea type="all" dataOnly="0" outline="0" fieldPosition="0"/>
    </format>
    <format dxfId="2">
      <pivotArea outline="0" collapsedLevelsAreSubtotals="1" fieldPosition="0"/>
    </format>
    <format dxfId="1">
      <pivotArea dataOnly="0" labelOnly="1" grandRow="1" outline="0" fieldPosition="0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3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cd_principal"/>
  </pivotTables>
  <data>
    <tabular pivotCacheId="1" showMissing="0">
      <items count="2">
        <i x="0" s="1"/>
        <i x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rowHeight="257175"/>
</slicers>
</file>

<file path=xl/tables/table1.xml><?xml version="1.0" encoding="utf-8"?>
<table xmlns="http://schemas.openxmlformats.org/spreadsheetml/2006/main" id="3" name="tbl_codes" displayName="tbl_codes" ref="B2:B6" totalsRowShown="0">
  <autoFilter ref="B2:B6"/>
  <tableColumns count="1">
    <tableColumn id="1" name="code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bl_annees" displayName="tbl_annees" ref="D2:D13" totalsRowShown="0">
  <autoFilter ref="D2:D13"/>
  <tableColumns count="1">
    <tableColumn id="1" name="Année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bl_principal" displayName="tbl_principal" ref="B1:U8" totalsRowShown="0" headerRowDxfId="33" dataDxfId="32" dataCellStyle="Monétaire">
  <sortState ref="B2:U8">
    <sortCondition ref="L1:L8"/>
  </sortState>
  <tableColumns count="20">
    <tableColumn id="1" name="Folio" dataDxfId="31"/>
    <tableColumn id="3" name="Nom" dataDxfId="30"/>
    <tableColumn id="17" name="NAS" dataDxfId="29"/>
    <tableColumn id="16" name="NE" dataDxfId="28"/>
    <tableColumn id="12" name="Adresse1" dataDxfId="27"/>
    <tableColumn id="9" name="Adresse2" dataDxfId="26"/>
    <tableColumn id="15" name="Ville" dataDxfId="25"/>
    <tableColumn id="14" name="CP" dataDxfId="24"/>
    <tableColumn id="13" name="Telephone" dataDxfId="23"/>
    <tableColumn id="18" name="Courriel" dataDxfId="22"/>
    <tableColumn id="2" name="Date transaction" dataDxfId="21"/>
    <tableColumn id="21" name="Mois" dataDxfId="20">
      <calculatedColumnFormula>MONTH(L2)</calculatedColumnFormula>
    </tableColumn>
    <tableColumn id="11" name="Année" dataDxfId="19">
      <calculatedColumnFormula>YEAR(L2)</calculatedColumnFormula>
    </tableColumn>
    <tableColumn id="4" name="Code" dataDxfId="18">
      <calculatedColumnFormula>VLOOKUP(C2,matrice_code,2,0)</calculatedColumnFormula>
    </tableColumn>
    <tableColumn id="5" name="Part sociale" dataDxfId="17" dataCellStyle="Monétaire"/>
    <tableColumn id="6" name="Part surplus" dataDxfId="16" dataCellStyle="Monétaire"/>
    <tableColumn id="7" name="Intérêt payé" dataDxfId="15" dataCellStyle="Monétaire"/>
    <tableColumn id="20" name="Montant intérêt" dataDxfId="14" dataCellStyle="Monétaire">
      <calculatedColumnFormula>P2*(R2/12)*(13-M2)</calculatedColumnFormula>
    </tableColumn>
    <tableColumn id="10" name="Retrait" dataDxfId="13" dataCellStyle="Monétaire"/>
    <tableColumn id="19" name="Solde" dataDxfId="12" dataCellStyle="Monétaire">
      <calculatedColumnFormula>(P2+Q2+S2)-T2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transaction" sourceName="Date transaction">
  <pivotTables>
    <pivotTable tabId="5" name="tcd_principal"/>
  </pivotTables>
  <state minimalRefreshVersion="6" lastRefreshVersion="6" pivotCacheId="1" filterType="unknown">
    <bounds startDate="2015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transaction" cache="ChronologieNative_Date_transaction" caption="Date transaction" level="2" selectionLevel="2" scrollPosition="2016-01-04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3"/>
  <sheetViews>
    <sheetView showGridLines="0" tabSelected="1" workbookViewId="0">
      <selection activeCell="M14" sqref="M14"/>
    </sheetView>
  </sheetViews>
  <sheetFormatPr baseColWidth="10" defaultRowHeight="15" x14ac:dyDescent="0.2"/>
  <cols>
    <col min="2" max="2" width="20.109375" customWidth="1"/>
    <col min="3" max="3" width="3.21875" customWidth="1"/>
    <col min="5" max="5" width="3" customWidth="1"/>
  </cols>
  <sheetData>
    <row r="1" spans="2:6" ht="90" customHeight="1" x14ac:dyDescent="0.2"/>
    <row r="2" spans="2:6" x14ac:dyDescent="0.2">
      <c r="B2" t="s">
        <v>5</v>
      </c>
      <c r="D2" t="s">
        <v>8</v>
      </c>
      <c r="F2" t="s">
        <v>35</v>
      </c>
    </row>
    <row r="3" spans="2:6" x14ac:dyDescent="0.2">
      <c r="B3" t="s">
        <v>15</v>
      </c>
      <c r="D3">
        <v>2013</v>
      </c>
    </row>
    <row r="4" spans="2:6" x14ac:dyDescent="0.2">
      <c r="B4" t="s">
        <v>16</v>
      </c>
      <c r="D4">
        <v>2014</v>
      </c>
    </row>
    <row r="5" spans="2:6" x14ac:dyDescent="0.2">
      <c r="B5" t="s">
        <v>17</v>
      </c>
      <c r="D5">
        <v>2015</v>
      </c>
    </row>
    <row r="6" spans="2:6" x14ac:dyDescent="0.2">
      <c r="B6" t="s">
        <v>18</v>
      </c>
      <c r="D6">
        <v>2016</v>
      </c>
    </row>
    <row r="7" spans="2:6" x14ac:dyDescent="0.2">
      <c r="D7">
        <v>2017</v>
      </c>
    </row>
    <row r="8" spans="2:6" x14ac:dyDescent="0.2">
      <c r="D8">
        <v>2018</v>
      </c>
    </row>
    <row r="9" spans="2:6" x14ac:dyDescent="0.2">
      <c r="D9">
        <v>2019</v>
      </c>
    </row>
    <row r="10" spans="2:6" x14ac:dyDescent="0.2">
      <c r="D10">
        <v>2020</v>
      </c>
    </row>
    <row r="11" spans="2:6" x14ac:dyDescent="0.2">
      <c r="D11">
        <v>2021</v>
      </c>
    </row>
    <row r="12" spans="2:6" x14ac:dyDescent="0.2">
      <c r="D12">
        <v>2022</v>
      </c>
    </row>
    <row r="13" spans="2:6" x14ac:dyDescent="0.2">
      <c r="D13">
        <v>2023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B8"/>
  <sheetViews>
    <sheetView showGridLines="0" workbookViewId="0">
      <selection activeCell="M4" sqref="M4"/>
    </sheetView>
  </sheetViews>
  <sheetFormatPr baseColWidth="10" defaultRowHeight="15" outlineLevelCol="1" x14ac:dyDescent="0.2"/>
  <cols>
    <col min="1" max="1" width="5.77734375" customWidth="1"/>
    <col min="2" max="2" width="7.88671875" bestFit="1" customWidth="1"/>
    <col min="3" max="3" width="20.44140625" customWidth="1"/>
    <col min="4" max="4" width="12.44140625" style="3" customWidth="1"/>
    <col min="5" max="5" width="16.21875" customWidth="1"/>
    <col min="6" max="7" width="18.21875" hidden="1" customWidth="1" outlineLevel="1"/>
    <col min="8" max="8" width="21.88671875" hidden="1" customWidth="1" outlineLevel="1"/>
    <col min="9" max="9" width="12.77734375" hidden="1" customWidth="1" outlineLevel="1"/>
    <col min="10" max="10" width="16.5546875" hidden="1" customWidth="1" outlineLevel="1"/>
    <col min="11" max="11" width="26.33203125" hidden="1" customWidth="1" outlineLevel="1"/>
    <col min="12" max="12" width="12.21875" bestFit="1" customWidth="1" collapsed="1"/>
    <col min="13" max="13" width="4" style="3" bestFit="1" customWidth="1"/>
    <col min="15" max="15" width="16.88671875" customWidth="1"/>
    <col min="18" max="18" width="12" bestFit="1" customWidth="1"/>
    <col min="25" max="26" width="14.44140625" style="3" customWidth="1"/>
    <col min="27" max="27" width="17.77734375" style="1" customWidth="1"/>
    <col min="28" max="28" width="17.88671875" style="2" customWidth="1"/>
    <col min="29" max="29" width="14.21875" customWidth="1"/>
    <col min="30" max="30" width="13.88671875" customWidth="1"/>
    <col min="32" max="32" width="14.21875" customWidth="1"/>
  </cols>
  <sheetData>
    <row r="1" spans="2:28" s="9" customFormat="1" ht="50.25" customHeight="1" x14ac:dyDescent="0.2">
      <c r="B1" s="12" t="s">
        <v>20</v>
      </c>
      <c r="C1" s="12" t="s">
        <v>21</v>
      </c>
      <c r="D1" s="11" t="s">
        <v>28</v>
      </c>
      <c r="E1" s="11" t="s">
        <v>29</v>
      </c>
      <c r="F1" s="11" t="s">
        <v>22</v>
      </c>
      <c r="G1" s="11" t="s">
        <v>23</v>
      </c>
      <c r="H1" s="11" t="s">
        <v>24</v>
      </c>
      <c r="I1" s="11" t="s">
        <v>25</v>
      </c>
      <c r="J1" s="11" t="s">
        <v>26</v>
      </c>
      <c r="K1" s="11" t="s">
        <v>27</v>
      </c>
      <c r="L1" s="13" t="s">
        <v>32</v>
      </c>
      <c r="M1" s="14" t="s">
        <v>35</v>
      </c>
      <c r="N1" s="15" t="s">
        <v>6</v>
      </c>
      <c r="O1" s="11" t="s">
        <v>0</v>
      </c>
      <c r="P1" s="11" t="s">
        <v>1</v>
      </c>
      <c r="Q1" s="11" t="s">
        <v>2</v>
      </c>
      <c r="R1" s="11" t="s">
        <v>19</v>
      </c>
      <c r="S1" s="11" t="s">
        <v>34</v>
      </c>
      <c r="T1" s="11" t="s">
        <v>3</v>
      </c>
      <c r="U1" s="11" t="s">
        <v>33</v>
      </c>
    </row>
    <row r="2" spans="2:28" x14ac:dyDescent="0.2">
      <c r="B2" s="24">
        <v>1</v>
      </c>
      <c r="C2" s="5" t="s">
        <v>9</v>
      </c>
      <c r="D2" s="16">
        <v>123456789</v>
      </c>
      <c r="E2" s="17"/>
      <c r="F2" s="17"/>
      <c r="G2" s="17"/>
      <c r="H2" s="17"/>
      <c r="I2" s="18" t="s">
        <v>30</v>
      </c>
      <c r="J2" s="19">
        <v>5062529654</v>
      </c>
      <c r="K2" s="17"/>
      <c r="L2" s="20">
        <v>42012</v>
      </c>
      <c r="M2" s="18">
        <f t="shared" ref="M2:M8" si="0">MONTH(L2)</f>
        <v>1</v>
      </c>
      <c r="N2" s="18">
        <f t="shared" ref="N2:N8" si="1">YEAR(L2)</f>
        <v>2015</v>
      </c>
      <c r="O2" s="21" t="s">
        <v>15</v>
      </c>
      <c r="P2" s="6">
        <v>100</v>
      </c>
      <c r="Q2" s="6">
        <v>2711</v>
      </c>
      <c r="R2" s="22">
        <v>0.02</v>
      </c>
      <c r="S2" s="6">
        <f t="shared" ref="S2:S8" si="2">P2*(R2/12)*(13-M2)</f>
        <v>2</v>
      </c>
      <c r="T2" s="23">
        <v>100</v>
      </c>
      <c r="U2" s="6">
        <f t="shared" ref="U2:U8" si="3">(P2+Q2+S2)-T2</f>
        <v>2713</v>
      </c>
      <c r="Y2"/>
      <c r="Z2"/>
      <c r="AA2"/>
      <c r="AB2"/>
    </row>
    <row r="3" spans="2:28" x14ac:dyDescent="0.2">
      <c r="B3" s="24">
        <v>2</v>
      </c>
      <c r="C3" s="5" t="s">
        <v>10</v>
      </c>
      <c r="D3" s="16"/>
      <c r="E3" s="17"/>
      <c r="F3" s="17"/>
      <c r="G3" s="17"/>
      <c r="H3" s="17"/>
      <c r="I3" s="18"/>
      <c r="J3" s="19"/>
      <c r="K3" s="17"/>
      <c r="L3" s="20">
        <v>42014</v>
      </c>
      <c r="M3" s="18">
        <f t="shared" si="0"/>
        <v>1</v>
      </c>
      <c r="N3" s="18">
        <f t="shared" si="1"/>
        <v>2015</v>
      </c>
      <c r="O3" s="21" t="s">
        <v>16</v>
      </c>
      <c r="P3" s="6">
        <v>100</v>
      </c>
      <c r="Q3" s="6">
        <v>1204</v>
      </c>
      <c r="R3" s="22">
        <v>0.02</v>
      </c>
      <c r="S3" s="6">
        <f t="shared" si="2"/>
        <v>2</v>
      </c>
      <c r="T3" s="6"/>
      <c r="U3" s="6">
        <f t="shared" si="3"/>
        <v>1306</v>
      </c>
      <c r="Y3"/>
      <c r="Z3"/>
      <c r="AA3"/>
      <c r="AB3"/>
    </row>
    <row r="4" spans="2:28" x14ac:dyDescent="0.2">
      <c r="B4" s="24">
        <v>3</v>
      </c>
      <c r="C4" s="5" t="s">
        <v>9</v>
      </c>
      <c r="D4" s="16"/>
      <c r="E4" s="17"/>
      <c r="F4" s="17"/>
      <c r="G4" s="17"/>
      <c r="H4" s="17"/>
      <c r="I4" s="18"/>
      <c r="J4" s="19">
        <v>5060529536</v>
      </c>
      <c r="K4" s="17"/>
      <c r="L4" s="20">
        <v>42017</v>
      </c>
      <c r="M4" s="18">
        <f t="shared" si="0"/>
        <v>1</v>
      </c>
      <c r="N4" s="18">
        <f t="shared" si="1"/>
        <v>2015</v>
      </c>
      <c r="O4" s="21" t="s">
        <v>17</v>
      </c>
      <c r="P4" s="6">
        <v>100</v>
      </c>
      <c r="Q4" s="6">
        <v>998</v>
      </c>
      <c r="R4" s="22">
        <v>0.02</v>
      </c>
      <c r="S4" s="6">
        <f t="shared" si="2"/>
        <v>2</v>
      </c>
      <c r="T4" s="6"/>
      <c r="U4" s="6">
        <f t="shared" si="3"/>
        <v>1100</v>
      </c>
    </row>
    <row r="5" spans="2:28" x14ac:dyDescent="0.2">
      <c r="B5" s="24">
        <v>4</v>
      </c>
      <c r="C5" s="5" t="s">
        <v>9</v>
      </c>
      <c r="D5" s="16"/>
      <c r="E5" s="17"/>
      <c r="F5" s="17"/>
      <c r="G5" s="17"/>
      <c r="H5" s="17"/>
      <c r="I5" s="18"/>
      <c r="J5" s="19"/>
      <c r="K5" s="17"/>
      <c r="L5" s="20">
        <v>42106</v>
      </c>
      <c r="M5" s="18">
        <f t="shared" si="0"/>
        <v>4</v>
      </c>
      <c r="N5" s="18">
        <f t="shared" si="1"/>
        <v>2015</v>
      </c>
      <c r="O5" s="21" t="s">
        <v>18</v>
      </c>
      <c r="P5" s="6">
        <v>100</v>
      </c>
      <c r="Q5" s="6">
        <v>1269</v>
      </c>
      <c r="R5" s="22">
        <v>0.02</v>
      </c>
      <c r="S5" s="6">
        <f t="shared" si="2"/>
        <v>1.5000000000000002</v>
      </c>
      <c r="T5" s="6"/>
      <c r="U5" s="6">
        <f t="shared" si="3"/>
        <v>1370.5</v>
      </c>
    </row>
    <row r="6" spans="2:28" x14ac:dyDescent="0.2">
      <c r="B6" s="24">
        <v>5</v>
      </c>
      <c r="C6" s="5" t="s">
        <v>9</v>
      </c>
      <c r="D6" s="16">
        <v>123456789</v>
      </c>
      <c r="E6" s="17"/>
      <c r="F6" s="17"/>
      <c r="G6" s="17"/>
      <c r="H6" s="17"/>
      <c r="I6" s="18" t="s">
        <v>31</v>
      </c>
      <c r="J6" s="19">
        <v>5062356548</v>
      </c>
      <c r="K6" s="17"/>
      <c r="L6" s="20">
        <v>42164</v>
      </c>
      <c r="M6" s="18">
        <f t="shared" si="0"/>
        <v>6</v>
      </c>
      <c r="N6" s="18">
        <f t="shared" si="1"/>
        <v>2015</v>
      </c>
      <c r="O6" s="21" t="s">
        <v>18</v>
      </c>
      <c r="P6" s="6">
        <v>100</v>
      </c>
      <c r="Q6" s="6">
        <v>1684</v>
      </c>
      <c r="R6" s="22">
        <v>0.02</v>
      </c>
      <c r="S6" s="6">
        <f t="shared" si="2"/>
        <v>1.1666666666666667</v>
      </c>
      <c r="T6" s="6"/>
      <c r="U6" s="6">
        <f t="shared" si="3"/>
        <v>1785.1666666666667</v>
      </c>
    </row>
    <row r="7" spans="2:28" x14ac:dyDescent="0.2">
      <c r="B7" s="24">
        <v>6</v>
      </c>
      <c r="C7" s="5" t="s">
        <v>10</v>
      </c>
      <c r="D7" s="16"/>
      <c r="E7" s="17"/>
      <c r="F7" s="17"/>
      <c r="G7" s="17"/>
      <c r="H7" s="17"/>
      <c r="I7" s="18"/>
      <c r="J7" s="19"/>
      <c r="K7" s="17"/>
      <c r="L7" s="20">
        <v>42288</v>
      </c>
      <c r="M7" s="18">
        <f t="shared" si="0"/>
        <v>10</v>
      </c>
      <c r="N7" s="18">
        <f t="shared" si="1"/>
        <v>2015</v>
      </c>
      <c r="O7" s="21" t="s">
        <v>16</v>
      </c>
      <c r="P7" s="6">
        <v>100</v>
      </c>
      <c r="Q7" s="6">
        <v>8654</v>
      </c>
      <c r="R7" s="22">
        <v>0.02</v>
      </c>
      <c r="S7" s="6">
        <f t="shared" si="2"/>
        <v>0.5</v>
      </c>
      <c r="T7" s="6"/>
      <c r="U7" s="6">
        <f t="shared" si="3"/>
        <v>8754.5</v>
      </c>
    </row>
    <row r="8" spans="2:28" x14ac:dyDescent="0.2">
      <c r="B8" s="24">
        <v>7</v>
      </c>
      <c r="C8" s="5" t="s">
        <v>10</v>
      </c>
      <c r="D8" s="16"/>
      <c r="E8" s="17"/>
      <c r="F8" s="17"/>
      <c r="G8" s="17"/>
      <c r="H8" s="17"/>
      <c r="I8" s="18"/>
      <c r="J8" s="19"/>
      <c r="K8" s="17"/>
      <c r="L8" s="20">
        <v>42474</v>
      </c>
      <c r="M8" s="18">
        <f t="shared" si="0"/>
        <v>4</v>
      </c>
      <c r="N8" s="18">
        <f t="shared" si="1"/>
        <v>2016</v>
      </c>
      <c r="O8" s="21" t="s">
        <v>15</v>
      </c>
      <c r="P8" s="6">
        <v>100</v>
      </c>
      <c r="Q8" s="6">
        <v>1874</v>
      </c>
      <c r="R8" s="22">
        <v>0.02</v>
      </c>
      <c r="S8" s="6">
        <f t="shared" si="2"/>
        <v>1.5000000000000002</v>
      </c>
      <c r="T8" s="6"/>
      <c r="U8" s="6">
        <f t="shared" si="3"/>
        <v>1975.5</v>
      </c>
    </row>
  </sheetData>
  <dataValidations count="3">
    <dataValidation type="list" allowBlank="1" showInputMessage="1" showErrorMessage="1" sqref="O2:O8">
      <formula1>lst_codes</formula1>
    </dataValidation>
    <dataValidation type="date" operator="greaterThan" allowBlank="1" showInputMessage="1" showErrorMessage="1" sqref="J2:L8">
      <formula1>36526</formula1>
    </dataValidation>
    <dataValidation operator="greaterThan" allowBlank="1" showInputMessage="1" showErrorMessage="1" sqref="M1:M1048576 D2:E8"/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25"/>
  <sheetViews>
    <sheetView showGridLines="0" workbookViewId="0">
      <selection activeCell="C12" sqref="C12"/>
    </sheetView>
  </sheetViews>
  <sheetFormatPr baseColWidth="10" defaultRowHeight="15" x14ac:dyDescent="0.2"/>
  <cols>
    <col min="1" max="1" width="5.88671875" customWidth="1"/>
    <col min="2" max="2" width="15.77734375" customWidth="1"/>
    <col min="3" max="3" width="29.6640625" customWidth="1"/>
  </cols>
  <sheetData>
    <row r="1" spans="2:3" ht="69" customHeight="1" x14ac:dyDescent="0.2"/>
    <row r="5" spans="2:3" ht="15.75" x14ac:dyDescent="0.25">
      <c r="B5" s="4" t="s">
        <v>6</v>
      </c>
      <c r="C5" s="25">
        <v>2015</v>
      </c>
    </row>
    <row r="6" spans="2:3" x14ac:dyDescent="0.2">
      <c r="B6" s="5" t="s">
        <v>11</v>
      </c>
      <c r="C6" s="6">
        <f>SUMIFS(Part_sociale,Année,$C$5)</f>
        <v>600</v>
      </c>
    </row>
    <row r="7" spans="2:3" x14ac:dyDescent="0.2">
      <c r="B7" s="5" t="s">
        <v>7</v>
      </c>
      <c r="C7" s="6">
        <f>SUMIFS(Part_surplus,Année,$C$5)</f>
        <v>16520</v>
      </c>
    </row>
    <row r="8" spans="2:3" x14ac:dyDescent="0.2">
      <c r="B8" s="5" t="s">
        <v>14</v>
      </c>
      <c r="C8" s="6">
        <f>SUMIFS(Montant_intérêt,Année,$C$5)</f>
        <v>9.1666666666666661</v>
      </c>
    </row>
    <row r="9" spans="2:3" x14ac:dyDescent="0.2">
      <c r="B9" s="5" t="s">
        <v>37</v>
      </c>
      <c r="C9" s="6">
        <f>SUMIFS(Retrait,Année,$C$5)</f>
        <v>100</v>
      </c>
    </row>
    <row r="12" spans="2:3" ht="15.75" x14ac:dyDescent="0.25">
      <c r="B12" s="4" t="s">
        <v>21</v>
      </c>
      <c r="C12" s="26" t="s">
        <v>10</v>
      </c>
    </row>
    <row r="13" spans="2:3" ht="15.75" x14ac:dyDescent="0.25">
      <c r="B13" s="5" t="s">
        <v>6</v>
      </c>
      <c r="C13" s="27">
        <v>2015</v>
      </c>
    </row>
    <row r="14" spans="2:3" x14ac:dyDescent="0.2">
      <c r="B14" s="5" t="s">
        <v>11</v>
      </c>
      <c r="C14" s="6">
        <f>SUMIFS(Part_sociale,Année,$C$13,Nom,$C$12)</f>
        <v>200</v>
      </c>
    </row>
    <row r="15" spans="2:3" x14ac:dyDescent="0.2">
      <c r="B15" s="5" t="s">
        <v>7</v>
      </c>
      <c r="C15" s="6">
        <f>SUMIFS(Part_surplus,Année,$C$13,Nom,$C$12)</f>
        <v>9858</v>
      </c>
    </row>
    <row r="16" spans="2:3" x14ac:dyDescent="0.2">
      <c r="B16" s="5" t="s">
        <v>36</v>
      </c>
      <c r="C16" s="6">
        <f>SUMIFS(Montant_intérêt,Année,$C$13,Nom,$C$12)</f>
        <v>2.5</v>
      </c>
    </row>
    <row r="17" spans="2:3" x14ac:dyDescent="0.2">
      <c r="B17" s="5" t="s">
        <v>37</v>
      </c>
      <c r="C17" s="6">
        <f>SUMIFS(Retrait,Année,$C$13,Nom,$C$12)</f>
        <v>0</v>
      </c>
    </row>
    <row r="20" spans="2:3" ht="15.75" x14ac:dyDescent="0.25">
      <c r="B20" s="4" t="s">
        <v>0</v>
      </c>
      <c r="C20" s="30" t="s">
        <v>17</v>
      </c>
    </row>
    <row r="21" spans="2:3" ht="15.75" x14ac:dyDescent="0.25">
      <c r="B21" s="5" t="s">
        <v>6</v>
      </c>
      <c r="C21" s="29">
        <v>2016</v>
      </c>
    </row>
    <row r="22" spans="2:3" x14ac:dyDescent="0.2">
      <c r="B22" s="5" t="s">
        <v>11</v>
      </c>
      <c r="C22" s="6">
        <f>SUMIFS(Part_sociale,Année,$C$21,Code,$C$20)</f>
        <v>0</v>
      </c>
    </row>
    <row r="23" spans="2:3" x14ac:dyDescent="0.2">
      <c r="B23" s="5" t="s">
        <v>7</v>
      </c>
      <c r="C23" s="6">
        <f>SUMIFS(Part_surplus,Année,$C$21,Code,$C$20)</f>
        <v>0</v>
      </c>
    </row>
    <row r="24" spans="2:3" x14ac:dyDescent="0.2">
      <c r="B24" s="5" t="s">
        <v>36</v>
      </c>
      <c r="C24" s="6">
        <f>SUMIFS(Montant_intérêt,Année,$C$21,Code,$C$20)</f>
        <v>0</v>
      </c>
    </row>
    <row r="25" spans="2:3" x14ac:dyDescent="0.2">
      <c r="B25" s="5" t="s">
        <v>37</v>
      </c>
      <c r="C25" s="6">
        <f>SUMIFS(Retrait,Année,$C$21,Code,$C$20)</f>
        <v>0</v>
      </c>
    </row>
  </sheetData>
  <dataValidations count="3">
    <dataValidation type="list" allowBlank="1" showInputMessage="1" showErrorMessage="1" sqref="C13 C5 C21">
      <formula1>lst_annees</formula1>
    </dataValidation>
    <dataValidation type="list" allowBlank="1" showInputMessage="1" showErrorMessage="1" sqref="C12">
      <formula1>Nom</formula1>
    </dataValidation>
    <dataValidation type="list" allowBlank="1" showInputMessage="1" showErrorMessage="1" sqref="C20">
      <formula1>lst_codes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E11"/>
  <sheetViews>
    <sheetView showGridLines="0" workbookViewId="0">
      <selection activeCell="C10" sqref="C10"/>
    </sheetView>
  </sheetViews>
  <sheetFormatPr baseColWidth="10" defaultRowHeight="15" x14ac:dyDescent="0.2"/>
  <cols>
    <col min="1" max="1" width="5.88671875" customWidth="1"/>
    <col min="2" max="2" width="15.77734375" customWidth="1"/>
    <col min="3" max="4" width="16.5546875" customWidth="1"/>
  </cols>
  <sheetData>
    <row r="1" spans="2:5" ht="69" customHeight="1" x14ac:dyDescent="0.2"/>
    <row r="6" spans="2:5" x14ac:dyDescent="0.2">
      <c r="B6" s="8"/>
      <c r="C6" s="7" t="s">
        <v>12</v>
      </c>
      <c r="D6" s="7" t="s">
        <v>13</v>
      </c>
      <c r="E6" s="10" t="s">
        <v>14</v>
      </c>
    </row>
    <row r="7" spans="2:5" x14ac:dyDescent="0.2">
      <c r="B7" s="31" t="s">
        <v>17</v>
      </c>
      <c r="C7" s="28">
        <v>998</v>
      </c>
      <c r="D7" s="28">
        <v>100</v>
      </c>
      <c r="E7" s="28">
        <v>2</v>
      </c>
    </row>
    <row r="8" spans="2:5" x14ac:dyDescent="0.2">
      <c r="B8" s="31" t="s">
        <v>15</v>
      </c>
      <c r="C8" s="28">
        <v>2711</v>
      </c>
      <c r="D8" s="28">
        <v>100</v>
      </c>
      <c r="E8" s="28">
        <v>2</v>
      </c>
    </row>
    <row r="9" spans="2:5" x14ac:dyDescent="0.2">
      <c r="B9" s="31" t="s">
        <v>16</v>
      </c>
      <c r="C9" s="28">
        <v>9858</v>
      </c>
      <c r="D9" s="28">
        <v>200</v>
      </c>
      <c r="E9" s="28">
        <v>2.5</v>
      </c>
    </row>
    <row r="10" spans="2:5" x14ac:dyDescent="0.2">
      <c r="B10" s="31" t="s">
        <v>18</v>
      </c>
      <c r="C10" s="28">
        <v>2953</v>
      </c>
      <c r="D10" s="28">
        <v>200</v>
      </c>
      <c r="E10" s="28">
        <v>2.666666666666667</v>
      </c>
    </row>
    <row r="11" spans="2:5" x14ac:dyDescent="0.2">
      <c r="B11" s="31" t="s">
        <v>4</v>
      </c>
      <c r="C11" s="28">
        <v>16520</v>
      </c>
      <c r="D11" s="28">
        <v>600</v>
      </c>
      <c r="E11" s="28">
        <v>9.1666666666666679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Listes</vt:lpstr>
      <vt:lpstr>BdD</vt:lpstr>
      <vt:lpstr>Recherche</vt:lpstr>
      <vt:lpstr>TCD</vt:lpstr>
      <vt:lpstr>Adresse1</vt:lpstr>
      <vt:lpstr>Adresse2</vt:lpstr>
      <vt:lpstr>Année</vt:lpstr>
      <vt:lpstr>Code</vt:lpstr>
      <vt:lpstr>Courriel</vt:lpstr>
      <vt:lpstr>CP</vt:lpstr>
      <vt:lpstr>Date_transaction</vt:lpstr>
      <vt:lpstr>Intérêt_payé</vt:lpstr>
      <vt:lpstr>lst_annees</vt:lpstr>
      <vt:lpstr>lst_codes</vt:lpstr>
      <vt:lpstr>Mois</vt:lpstr>
      <vt:lpstr>Montant_intérêt</vt:lpstr>
      <vt:lpstr>NAS</vt:lpstr>
      <vt:lpstr>NE</vt:lpstr>
      <vt:lpstr>Nom</vt:lpstr>
      <vt:lpstr>Part_sociale</vt:lpstr>
      <vt:lpstr>Part_surplus</vt:lpstr>
      <vt:lpstr>Retrait</vt:lpstr>
      <vt:lpstr>Solde</vt:lpstr>
      <vt:lpstr>Telephone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christianveronese</cp:lastModifiedBy>
  <dcterms:created xsi:type="dcterms:W3CDTF">2015-03-13T11:02:35Z</dcterms:created>
  <dcterms:modified xsi:type="dcterms:W3CDTF">2015-05-25T12:56:12Z</dcterms:modified>
</cp:coreProperties>
</file>