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jpeg" ContentType="image/jpeg"/>
  <Default Extension="emf" ContentType="image/x-emf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ctrlProps/ctrlProp2.xml" ContentType="application/vnd.ms-excel.controlproperties+xml"/>
  <Override PartName="/xl/drawings/drawing2.xml" ContentType="application/vnd.openxmlformats-officedocument.drawing+xml"/>
  <Override PartName="/xl/ctrlProps/ctrlProp3.xml" ContentType="application/vnd.ms-excel.controlproperties+xml"/>
  <Override PartName="/xl/ctrlProps/ctrlProp4.xml" ContentType="application/vnd.ms-excel.controlproperties+xml"/>
  <Override PartName="/xl/drawings/drawing3.xml" ContentType="application/vnd.openxmlformats-officedocument.drawing+xml"/>
  <Override PartName="/xl/ctrlProps/ctrlProp5.xml" ContentType="application/vnd.ms-excel.controlproperties+xml"/>
  <Override PartName="/xl/drawings/drawing4.xml" ContentType="application/vnd.openxmlformats-officedocument.drawing+xml"/>
  <Override PartName="/xl/activeX/activeX1.xml" ContentType="application/vnd.ms-office.activeX+xml"/>
  <Override PartName="/xl/activeX/activeX1.bin" ContentType="application/vnd.ms-office.activeX"/>
  <Override PartName="/xl/drawings/drawing5.xml" ContentType="application/vnd.openxmlformats-officedocument.drawing+xml"/>
  <Override PartName="/xl/ctrlProps/ctrlProp6.xml" ContentType="application/vnd.ms-excel.controlpropertie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3" codeName="{8C4F1C90-05EB-6A55-5F09-09C24B55AC0B}"/>
  <workbookPr showInkAnnotation="0" updateLinks="always" codeName="ThisWorkbook" defaultThemeVersion="124226"/>
  <bookViews>
    <workbookView showHorizontalScroll="0" showVerticalScroll="0" showSheetTabs="0" xWindow="240" yWindow="30" windowWidth="18720" windowHeight="8010" activeTab="3"/>
  </bookViews>
  <sheets>
    <sheet name="FAC SEFAC" sheetId="1" r:id="rId1"/>
    <sheet name="FAC SEBAC" sheetId="2" r:id="rId2"/>
    <sheet name="Feuil3" sheetId="3" r:id="rId3"/>
    <sheet name="Menu" sheetId="4" r:id="rId4"/>
    <sheet name="Commissions" sheetId="5" r:id="rId5"/>
    <sheet name="Identification" sheetId="6" r:id="rId6"/>
  </sheets>
  <functionGroups builtInGroupCount="17"/>
  <externalReferences>
    <externalReference r:id="rId7"/>
  </externalReferences>
  <definedNames>
    <definedName name="_xlnm._FilterDatabase" localSheetId="4" hidden="1">Commissions!$B$2:$L$152</definedName>
    <definedName name="_xlnm._FilterDatabase" localSheetId="0" hidden="1">'FAC SEFAC'!$B$20:$O$28</definedName>
    <definedName name="ArMaj">Feuil3!$D$34</definedName>
    <definedName name="Buton">Feuil3!$G$4</definedName>
    <definedName name="Camions">Feuil3!$A$13:$A$25</definedName>
    <definedName name="CLangue">Menu!$V$1</definedName>
    <definedName name="Clients">'FAC SEFAC'!$E$11</definedName>
    <definedName name="Clients1">'FAC SEBAC'!$E$10</definedName>
    <definedName name="Cubage_Moyen">'FAC SEFAC'!$N$10:$N$13</definedName>
    <definedName name="DATE1">'FAC SEFAC'!$B$21:$B$65</definedName>
    <definedName name="DATE2">'FAC SEBAC'!$B$21:$B$24</definedName>
    <definedName name="DateInf">Feuil3!$J$22</definedName>
    <definedName name="DateSup">Feuil3!$J$23</definedName>
    <definedName name="Décompte">Feuil3!$E$33</definedName>
    <definedName name="DernInit">Feuil3!$F$1</definedName>
    <definedName name="Dexp">'FAC SEBAC'!$G$8</definedName>
    <definedName name="DNav">'FAC SEFAC'!$F$9</definedName>
    <definedName name="Entete_Liste">Commissions!$B$2:$L$2</definedName>
    <definedName name="Entete_Liste2" comment="En Anglais">Commissions!$P$2:$Z$2</definedName>
    <definedName name="eRange">'FAC SEFAC'!$66:$76</definedName>
    <definedName name="eRange1">'FAC SEBAC'!$25:$37</definedName>
    <definedName name="Etat">Feuil3!$D$35</definedName>
    <definedName name="ExCamion">'FAC SEBAC'!$E$21:$E$24</definedName>
    <definedName name="ExChauffeur">'FAC SEBAC'!$J$21:$J$24</definedName>
    <definedName name="ExpLV">'FAC SEBAC'!$D$21:$D$24</definedName>
    <definedName name="ExTVal">'FAC SEBAC'!$H$25</definedName>
    <definedName name="Fexport">Menu!$V$3</definedName>
    <definedName name="Fmodifier">Menu!$V$4</definedName>
    <definedName name="FNavette">Menu!$V$2</definedName>
    <definedName name="Form">Feuil3!$J$4</definedName>
    <definedName name="Form1">Feuil3!$J$5</definedName>
    <definedName name="Historique" localSheetId="2">Feuil3!$M1048574:$M1996</definedName>
    <definedName name="Langue">Feuil3!$A$1</definedName>
    <definedName name="ListeFactures" comment="Liste Dynamyque des Factures" localSheetId="4">OFFSET(Commissions!$B$3:$L$3,,,MAX(IF(Commissions!$B$2:$B$500&gt;"",ROW(Commissions!$B$2:$B$500)-2)))</definedName>
    <definedName name="LOCAL_DATE_SEPARATOR" hidden="1">INDEX(GET.WORKSPACE(37),17)</definedName>
    <definedName name="LOCAL_DAY_FORMAT" hidden="1">INDEX(GET.WORKSPACE(37),21)</definedName>
    <definedName name="LOCAL_HOUR_FORMAT" hidden="1">INDEX(GET.WORKSPACE(37),22)</definedName>
    <definedName name="LOCAL_MINUTE_FORMAT" hidden="1">INDEX(GET.WORKSPACE(37),23)</definedName>
    <definedName name="LOCAL_MONTH_FORMAT" hidden="1">INDEX(GET.WORKSPACE(37),20)</definedName>
    <definedName name="LOCAL_MYSQL_DATE_FORMAT" hidden="1">REPT(LOCAL_YEAR_FORMAT,4)&amp;LOCAL_DATE_SEPARATOR&amp;REPT(LOCAL_MONTH_FORMAT,2)&amp;LOCAL_DATE_SEPARATOR&amp;REPT(LOCAL_DAY_FORMAT,2)&amp;" "&amp;REPT(LOCAL_HOUR_FORMAT,2)&amp;LOCAL_TIME_SEPARATOR&amp;REPT(LOCAL_MINUTE_FORMAT,2)&amp;LOCAL_TIME_SEPARATOR&amp;REPT(LOCAL_SECOND_FORMAT,2)</definedName>
    <definedName name="LOCAL_SECOND_FORMAT" hidden="1">INDEX(GET.WORKSPACE(37),24)</definedName>
    <definedName name="LOCAL_TIME_SEPARATOR" hidden="1">INDEX(GET.WORKSPACE(37),18)</definedName>
    <definedName name="LOCAL_YEAR_FORMAT" hidden="1">INDEX(GET.WORKSPACE(37),19)</definedName>
    <definedName name="LVBC">'FAC SEBAC'!$D$20</definedName>
    <definedName name="Menu">Feuil3!$G$5</definedName>
    <definedName name="Mois">Feuil3!$M$2:$M$13</definedName>
    <definedName name="moiss">Feuil3!$J$2</definedName>
    <definedName name="Moiss1">Feuil3!$J$3</definedName>
    <definedName name="Motif">'FAC SEFAC'!$C$18</definedName>
    <definedName name="motifF">'FAC SEBAC'!$C$18</definedName>
    <definedName name="MyForm">Feuil3!$D$16</definedName>
    <definedName name="MyForm1">Feuil3!$D$17</definedName>
    <definedName name="MyForm2">Feuil3!$D$18</definedName>
    <definedName name="NavCam">'FAC SEFAC'!$E$21:$E$65</definedName>
    <definedName name="NavChauf">'FAC SEFAC'!$N$21:$N$65</definedName>
    <definedName name="NavLV">'FAC SEFAC'!$D$21:$D$65</definedName>
    <definedName name="NewM">Feuil3!$L$1:$L$12</definedName>
    <definedName name="Numro">Feuil3!$B$7</definedName>
    <definedName name="numro1">Feuil3!$B$8</definedName>
    <definedName name="Numro2">Feuil3!$B$9</definedName>
    <definedName name="Ouvert">Feuil3!$E$22</definedName>
    <definedName name="P_Cube">'FAC SEFAC'!$G$21:$G$65</definedName>
    <definedName name="PlageID">OFFSET(Identification!$A$2,0,0,COUNTA(Identification!$A:$A),2)</definedName>
    <definedName name="PTHT">'FAC SEFAC'!$I$21:$I$65</definedName>
    <definedName name="RefTab">Commissions!$B$2</definedName>
    <definedName name="RefTab2">Commissions!$P$2</definedName>
    <definedName name="Trajet">'FAC SEFAC'!$C$21</definedName>
    <definedName name="Trajet1">'FAC SEBAC'!$C$21</definedName>
    <definedName name="Userss">Feuil3!$D$33</definedName>
    <definedName name="Utilisateurs">OFFSET(Identification!$A$2,,,COUNTA(Identification!$A$1:$A$20,-1)-1)</definedName>
    <definedName name="Version">Menu!$A$2</definedName>
    <definedName name="Vides">'FAC SEFAC'!$B$21:$B$65</definedName>
    <definedName name="Vides1">'FAC SEBAC'!$B$21:$B$24</definedName>
    <definedName name="VTal">'FAC SEFAC'!$I$66</definedName>
    <definedName name="Z_CLT">Feuil3!$A$30:$A$32</definedName>
    <definedName name="Zone">'FAC SEFAC'!$B$21:$I$65</definedName>
    <definedName name="_xlnm.Print_Area" localSheetId="1">'FAC SEBAC'!$A$1:$H$42</definedName>
    <definedName name="_xlnm.Print_Area" localSheetId="0">'FAC SEFAC'!$A$1:$I$76</definedName>
    <definedName name="_xlnm.Print_Area" localSheetId="3">Menu!$A$1:$H$20</definedName>
    <definedName name="Zone1">'FAC SEBAC'!$B$21:$H$24</definedName>
  </definedNames>
  <calcPr calcId="145621"/>
</workbook>
</file>

<file path=xl/calcChain.xml><?xml version="1.0" encoding="utf-8"?>
<calcChain xmlns="http://schemas.openxmlformats.org/spreadsheetml/2006/main">
  <c r="C18" i="2" l="1"/>
  <c r="N12" i="1" l="1"/>
  <c r="N13" i="1" s="1"/>
  <c r="N10" i="1"/>
  <c r="N11" i="1" s="1"/>
  <c r="C21" i="1" l="1"/>
  <c r="F21" i="1" s="1"/>
  <c r="C24" i="1" l="1"/>
  <c r="F24" i="1" s="1"/>
  <c r="C22" i="1"/>
  <c r="F22" i="1" s="1"/>
  <c r="C29" i="1"/>
  <c r="F29" i="1" s="1"/>
  <c r="C25" i="1"/>
  <c r="F25" i="1" s="1"/>
  <c r="C31" i="1"/>
  <c r="F31" i="1" s="1"/>
  <c r="C27" i="1"/>
  <c r="F27" i="1" s="1"/>
  <c r="C23" i="1"/>
  <c r="F23" i="1" s="1"/>
  <c r="C30" i="1"/>
  <c r="F30" i="1" s="1"/>
  <c r="C26" i="1"/>
  <c r="F26" i="1" s="1"/>
  <c r="C28" i="1"/>
  <c r="F28" i="1" s="1"/>
  <c r="C47" i="1" l="1"/>
  <c r="F47" i="1" s="1"/>
  <c r="C48" i="1"/>
  <c r="F48" i="1" s="1"/>
  <c r="C49" i="1"/>
  <c r="F49" i="1" s="1"/>
  <c r="C50" i="1"/>
  <c r="F50" i="1" s="1"/>
  <c r="C51" i="1"/>
  <c r="F51" i="1" s="1"/>
  <c r="C52" i="1"/>
  <c r="F52" i="1" s="1"/>
  <c r="C53" i="1"/>
  <c r="F53" i="1" s="1"/>
  <c r="C54" i="1"/>
  <c r="F54" i="1" s="1"/>
  <c r="C55" i="1"/>
  <c r="F55" i="1" s="1"/>
  <c r="C56" i="1"/>
  <c r="F56" i="1" s="1"/>
  <c r="C57" i="1"/>
  <c r="F57" i="1" s="1"/>
  <c r="C58" i="1"/>
  <c r="F58" i="1" s="1"/>
  <c r="C59" i="1"/>
  <c r="F59" i="1" s="1"/>
  <c r="C60" i="1"/>
  <c r="F60" i="1" s="1"/>
  <c r="C61" i="1"/>
  <c r="F61" i="1" s="1"/>
  <c r="C62" i="1"/>
  <c r="F62" i="1" s="1"/>
  <c r="C63" i="1"/>
  <c r="F63" i="1" s="1"/>
  <c r="C64" i="1"/>
  <c r="F64" i="1" s="1"/>
  <c r="C65" i="1"/>
  <c r="F65" i="1" s="1"/>
  <c r="C46" i="1" l="1"/>
  <c r="F46" i="1" s="1"/>
  <c r="C45" i="1"/>
  <c r="F45" i="1" s="1"/>
  <c r="C44" i="1"/>
  <c r="F44" i="1" s="1"/>
  <c r="C43" i="1"/>
  <c r="F43" i="1" s="1"/>
  <c r="C40" i="1"/>
  <c r="F40" i="1" s="1"/>
  <c r="C41" i="1"/>
  <c r="F41" i="1" s="1"/>
  <c r="C42" i="1"/>
  <c r="F42" i="1" s="1"/>
  <c r="C37" i="1"/>
  <c r="F37" i="1" s="1"/>
  <c r="C36" i="1"/>
  <c r="F36" i="1" s="1"/>
  <c r="C39" i="1"/>
  <c r="F39" i="1" s="1"/>
  <c r="C35" i="1"/>
  <c r="F35" i="1" s="1"/>
  <c r="C38" i="1"/>
  <c r="F38" i="1" s="1"/>
  <c r="C34" i="1"/>
  <c r="F34" i="1" s="1"/>
  <c r="C33" i="1"/>
  <c r="F33" i="1" s="1"/>
  <c r="C32" i="1"/>
  <c r="F32" i="1" s="1"/>
  <c r="H21" i="2"/>
  <c r="K21" i="2" s="1"/>
  <c r="H22" i="2"/>
  <c r="K22" i="2" s="1"/>
  <c r="H23" i="2"/>
  <c r="K23" i="2" s="1"/>
  <c r="H24" i="2"/>
  <c r="K24" i="2" s="1"/>
  <c r="L24" i="1"/>
  <c r="L26" i="1"/>
  <c r="L29" i="1"/>
  <c r="L28" i="1"/>
  <c r="L21" i="1"/>
  <c r="L22" i="1"/>
  <c r="L23" i="1"/>
  <c r="L25" i="1"/>
  <c r="L27" i="1"/>
  <c r="L30" i="1"/>
  <c r="L31" i="1"/>
  <c r="L32" i="1"/>
  <c r="L33" i="1"/>
  <c r="L34" i="1"/>
  <c r="L35" i="1"/>
  <c r="L36" i="1"/>
  <c r="L37" i="1"/>
  <c r="L38" i="1"/>
  <c r="L39" i="1"/>
  <c r="L40" i="1"/>
  <c r="L41" i="1"/>
  <c r="L42" i="1"/>
  <c r="L43" i="1"/>
  <c r="L44" i="1"/>
  <c r="L45" i="1"/>
  <c r="L46" i="1"/>
  <c r="L47" i="1"/>
  <c r="L48" i="1"/>
  <c r="L49" i="1"/>
  <c r="L50" i="1"/>
  <c r="L51" i="1"/>
  <c r="L52" i="1"/>
  <c r="L53" i="1"/>
  <c r="L54" i="1"/>
  <c r="L55" i="1"/>
  <c r="L56" i="1"/>
  <c r="L57" i="1"/>
  <c r="L58" i="1"/>
  <c r="L59" i="1"/>
  <c r="L60" i="1"/>
  <c r="L61" i="1"/>
  <c r="L62" i="1"/>
  <c r="L63" i="1"/>
  <c r="L64" i="1"/>
  <c r="L65" i="1"/>
  <c r="K25" i="2" l="1"/>
  <c r="E1" i="2"/>
  <c r="D20" i="2" l="1"/>
  <c r="J19" i="1" l="1"/>
  <c r="U13" i="4" l="1"/>
  <c r="V9" i="4"/>
  <c r="V7" i="4"/>
  <c r="V5" i="4"/>
  <c r="V4" i="4"/>
  <c r="V2" i="4"/>
  <c r="V3" i="4"/>
  <c r="D35" i="3" l="1"/>
  <c r="F642" i="6" l="1"/>
  <c r="F641" i="6"/>
  <c r="F640" i="6"/>
  <c r="F639" i="6"/>
  <c r="F638" i="6"/>
  <c r="F637" i="6"/>
  <c r="F636" i="6"/>
  <c r="F635" i="6"/>
  <c r="F634" i="6"/>
  <c r="F633" i="6"/>
  <c r="F632" i="6"/>
  <c r="F631" i="6"/>
  <c r="F630" i="6"/>
  <c r="F629" i="6"/>
  <c r="F628" i="6"/>
  <c r="F627" i="6"/>
  <c r="F626" i="6"/>
  <c r="F625" i="6"/>
  <c r="F624" i="6"/>
  <c r="F623" i="6"/>
  <c r="F622" i="6"/>
  <c r="F621" i="6"/>
  <c r="F620" i="6"/>
  <c r="F619" i="6"/>
  <c r="F618" i="6"/>
  <c r="F617" i="6"/>
  <c r="F616" i="6"/>
  <c r="F615" i="6"/>
  <c r="F614" i="6"/>
  <c r="F613" i="6"/>
  <c r="F612" i="6"/>
  <c r="F611" i="6"/>
  <c r="F610" i="6"/>
  <c r="F609" i="6"/>
  <c r="F608" i="6"/>
  <c r="F607" i="6"/>
  <c r="F606" i="6"/>
  <c r="F605" i="6"/>
  <c r="F604" i="6"/>
  <c r="F603" i="6"/>
  <c r="F602" i="6"/>
  <c r="F601" i="6"/>
  <c r="F600" i="6"/>
  <c r="F599" i="6"/>
  <c r="F598" i="6"/>
  <c r="F597" i="6"/>
  <c r="F596" i="6"/>
  <c r="F595" i="6"/>
  <c r="F594" i="6"/>
  <c r="F593" i="6"/>
  <c r="F592" i="6"/>
  <c r="F591" i="6"/>
  <c r="F590" i="6"/>
  <c r="F589" i="6"/>
  <c r="F588" i="6"/>
  <c r="F587" i="6"/>
  <c r="F586" i="6"/>
  <c r="F585" i="6"/>
  <c r="F584" i="6"/>
  <c r="F583" i="6"/>
  <c r="F582" i="6"/>
  <c r="F581" i="6"/>
  <c r="F580" i="6"/>
  <c r="F579" i="6"/>
  <c r="F578" i="6"/>
  <c r="F577" i="6"/>
  <c r="F576" i="6"/>
  <c r="F575" i="6"/>
  <c r="F574" i="6"/>
  <c r="F573" i="6"/>
  <c r="F572" i="6"/>
  <c r="F571" i="6"/>
  <c r="F570" i="6"/>
  <c r="F569" i="6"/>
  <c r="F568" i="6"/>
  <c r="F567" i="6"/>
  <c r="F566" i="6"/>
  <c r="F565" i="6"/>
  <c r="F564" i="6"/>
  <c r="F563" i="6"/>
  <c r="F562" i="6"/>
  <c r="F561" i="6"/>
  <c r="F560" i="6"/>
  <c r="F559" i="6"/>
  <c r="F558" i="6"/>
  <c r="F557" i="6"/>
  <c r="F556" i="6"/>
  <c r="F555" i="6"/>
  <c r="F554" i="6"/>
  <c r="F553" i="6"/>
  <c r="F552" i="6"/>
  <c r="F551" i="6"/>
  <c r="F550" i="6"/>
  <c r="F549" i="6"/>
  <c r="F548" i="6"/>
  <c r="F547" i="6"/>
  <c r="F546" i="6"/>
  <c r="F545" i="6"/>
  <c r="F544" i="6"/>
  <c r="F543" i="6"/>
  <c r="F542" i="6"/>
  <c r="F541" i="6"/>
  <c r="F540" i="6"/>
  <c r="F539" i="6"/>
  <c r="F538" i="6"/>
  <c r="F537" i="6"/>
  <c r="F536" i="6"/>
  <c r="F535" i="6"/>
  <c r="F534" i="6"/>
  <c r="F533" i="6"/>
  <c r="F532" i="6"/>
  <c r="F531" i="6"/>
  <c r="F530" i="6"/>
  <c r="F529" i="6"/>
  <c r="F528" i="6"/>
  <c r="F527" i="6"/>
  <c r="F526" i="6"/>
  <c r="F525" i="6"/>
  <c r="F524" i="6"/>
  <c r="F523" i="6"/>
  <c r="F522" i="6"/>
  <c r="F521" i="6"/>
  <c r="F520" i="6"/>
  <c r="F519" i="6"/>
  <c r="F518" i="6"/>
  <c r="F517" i="6"/>
  <c r="F516" i="6"/>
  <c r="F515" i="6"/>
  <c r="F514" i="6"/>
  <c r="F513" i="6"/>
  <c r="F512" i="6"/>
  <c r="F511" i="6"/>
  <c r="F510" i="6"/>
  <c r="F509" i="6"/>
  <c r="F508" i="6"/>
  <c r="F507" i="6"/>
  <c r="F506" i="6"/>
  <c r="F505" i="6"/>
  <c r="F504" i="6"/>
  <c r="F503" i="6"/>
  <c r="F502" i="6"/>
  <c r="F501" i="6"/>
  <c r="F500" i="6"/>
  <c r="F499" i="6"/>
  <c r="F498" i="6"/>
  <c r="F497" i="6"/>
  <c r="F496" i="6"/>
  <c r="F495" i="6"/>
  <c r="F494" i="6"/>
  <c r="F493" i="6"/>
  <c r="F492" i="6"/>
  <c r="F491" i="6"/>
  <c r="F490" i="6"/>
  <c r="F489" i="6"/>
  <c r="F488" i="6"/>
  <c r="F487" i="6"/>
  <c r="F486" i="6"/>
  <c r="F485" i="6"/>
  <c r="F484" i="6"/>
  <c r="F483" i="6"/>
  <c r="F482" i="6"/>
  <c r="F481" i="6"/>
  <c r="F480" i="6"/>
  <c r="F479" i="6"/>
  <c r="F478" i="6"/>
  <c r="F477" i="6"/>
  <c r="F476" i="6"/>
  <c r="F475" i="6"/>
  <c r="F474" i="6"/>
  <c r="F473" i="6"/>
  <c r="F472" i="6"/>
  <c r="F471" i="6"/>
  <c r="F470" i="6"/>
  <c r="F469" i="6"/>
  <c r="F468" i="6"/>
  <c r="F467" i="6"/>
  <c r="F466" i="6"/>
  <c r="F465" i="6"/>
  <c r="F464" i="6"/>
  <c r="F463" i="6"/>
  <c r="F462" i="6"/>
  <c r="F461" i="6"/>
  <c r="F460" i="6"/>
  <c r="F459" i="6"/>
  <c r="F458" i="6"/>
  <c r="F457" i="6"/>
  <c r="F456" i="6"/>
  <c r="F455" i="6"/>
  <c r="F454" i="6"/>
  <c r="F453" i="6"/>
  <c r="F452" i="6"/>
  <c r="F451" i="6"/>
  <c r="F450" i="6"/>
  <c r="F449" i="6"/>
  <c r="F448" i="6"/>
  <c r="F447" i="6"/>
  <c r="F446" i="6"/>
  <c r="F445" i="6"/>
  <c r="F444" i="6"/>
  <c r="F443" i="6"/>
  <c r="F442" i="6"/>
  <c r="F441" i="6"/>
  <c r="F440" i="6"/>
  <c r="F439" i="6"/>
  <c r="F438" i="6"/>
  <c r="F437" i="6"/>
  <c r="F436" i="6"/>
  <c r="F435" i="6"/>
  <c r="F434" i="6"/>
  <c r="F433" i="6"/>
  <c r="F432" i="6"/>
  <c r="F431" i="6"/>
  <c r="F430" i="6"/>
  <c r="F429" i="6"/>
  <c r="F428" i="6"/>
  <c r="F427" i="6"/>
  <c r="F426" i="6"/>
  <c r="F425" i="6"/>
  <c r="F424" i="6"/>
  <c r="F423" i="6"/>
  <c r="F422" i="6"/>
  <c r="F421" i="6"/>
  <c r="F420" i="6"/>
  <c r="F419" i="6"/>
  <c r="F418" i="6"/>
  <c r="F417" i="6"/>
  <c r="F416" i="6"/>
  <c r="F415" i="6"/>
  <c r="F414" i="6"/>
  <c r="F413" i="6"/>
  <c r="F412" i="6"/>
  <c r="F411" i="6"/>
  <c r="F410" i="6"/>
  <c r="F409" i="6"/>
  <c r="F408" i="6"/>
  <c r="F407" i="6"/>
  <c r="F406" i="6"/>
  <c r="F405" i="6"/>
  <c r="F404" i="6"/>
  <c r="F403" i="6"/>
  <c r="F402" i="6"/>
  <c r="F401" i="6"/>
  <c r="F400" i="6"/>
  <c r="F399" i="6"/>
  <c r="F398" i="6"/>
  <c r="F397" i="6"/>
  <c r="F396" i="6"/>
  <c r="F395" i="6"/>
  <c r="F394" i="6"/>
  <c r="F393" i="6"/>
  <c r="F392" i="6"/>
  <c r="F391" i="6"/>
  <c r="F390" i="6"/>
  <c r="F389" i="6"/>
  <c r="F388" i="6"/>
  <c r="F387" i="6"/>
  <c r="F386" i="6"/>
  <c r="F385" i="6"/>
  <c r="F384" i="6"/>
  <c r="F383" i="6"/>
  <c r="F382" i="6"/>
  <c r="F381" i="6"/>
  <c r="F380" i="6"/>
  <c r="F379" i="6"/>
  <c r="F378" i="6"/>
  <c r="F377" i="6"/>
  <c r="F376" i="6"/>
  <c r="F375" i="6"/>
  <c r="F374" i="6"/>
  <c r="F373" i="6"/>
  <c r="F372" i="6"/>
  <c r="F371" i="6"/>
  <c r="F370" i="6"/>
  <c r="F369" i="6"/>
  <c r="F368" i="6"/>
  <c r="F367" i="6"/>
  <c r="F366" i="6"/>
  <c r="F365" i="6"/>
  <c r="F364" i="6"/>
  <c r="F363" i="6"/>
  <c r="F362" i="6"/>
  <c r="F361" i="6"/>
  <c r="F360" i="6"/>
  <c r="F359" i="6"/>
  <c r="F358" i="6"/>
  <c r="F357" i="6"/>
  <c r="F356" i="6"/>
  <c r="F355" i="6"/>
  <c r="F354" i="6"/>
  <c r="F353" i="6"/>
  <c r="F352" i="6"/>
  <c r="F351" i="6"/>
  <c r="F350" i="6"/>
  <c r="F349" i="6"/>
  <c r="F348" i="6"/>
  <c r="F347" i="6"/>
  <c r="F346" i="6"/>
  <c r="F345" i="6"/>
  <c r="F344" i="6"/>
  <c r="F343" i="6"/>
  <c r="F342" i="6"/>
  <c r="F341" i="6"/>
  <c r="F340" i="6"/>
  <c r="F339" i="6"/>
  <c r="F338" i="6"/>
  <c r="F337" i="6"/>
  <c r="F336" i="6"/>
  <c r="F335" i="6"/>
  <c r="F334" i="6"/>
  <c r="F333" i="6"/>
  <c r="F332" i="6"/>
  <c r="F331" i="6"/>
  <c r="F330" i="6"/>
  <c r="F329" i="6"/>
  <c r="F328" i="6"/>
  <c r="F327" i="6"/>
  <c r="F326" i="6"/>
  <c r="F325" i="6"/>
  <c r="F324" i="6"/>
  <c r="F323" i="6"/>
  <c r="F322" i="6"/>
  <c r="F321" i="6"/>
  <c r="F320" i="6"/>
  <c r="F319" i="6"/>
  <c r="F318" i="6"/>
  <c r="F317" i="6"/>
  <c r="F316" i="6"/>
  <c r="F315" i="6"/>
  <c r="F314" i="6"/>
  <c r="F313" i="6"/>
  <c r="F312" i="6"/>
  <c r="F311" i="6"/>
  <c r="F310" i="6"/>
  <c r="F309" i="6"/>
  <c r="F308" i="6"/>
  <c r="F307" i="6"/>
  <c r="F306" i="6"/>
  <c r="F305" i="6"/>
  <c r="F304" i="6"/>
  <c r="F303" i="6"/>
  <c r="F302" i="6"/>
  <c r="F301" i="6"/>
  <c r="F300" i="6"/>
  <c r="F299" i="6"/>
  <c r="F298" i="6"/>
  <c r="F297" i="6"/>
  <c r="F296" i="6"/>
  <c r="F295" i="6"/>
  <c r="F294" i="6"/>
  <c r="F293" i="6"/>
  <c r="F292" i="6"/>
  <c r="F291" i="6"/>
  <c r="F290" i="6"/>
  <c r="F289" i="6"/>
  <c r="F288" i="6"/>
  <c r="F287" i="6"/>
  <c r="F286" i="6"/>
  <c r="F285" i="6"/>
  <c r="F284" i="6"/>
  <c r="F283" i="6"/>
  <c r="F282" i="6"/>
  <c r="F281" i="6"/>
  <c r="F280" i="6"/>
  <c r="F279" i="6"/>
  <c r="F278" i="6"/>
  <c r="F277" i="6"/>
  <c r="F276" i="6"/>
  <c r="F275" i="6"/>
  <c r="F274" i="6"/>
  <c r="F273" i="6"/>
  <c r="F272" i="6"/>
  <c r="F271" i="6"/>
  <c r="F270" i="6"/>
  <c r="F269" i="6"/>
  <c r="F268" i="6"/>
  <c r="F267" i="6"/>
  <c r="F266" i="6"/>
  <c r="F265" i="6"/>
  <c r="F264" i="6"/>
  <c r="F263" i="6"/>
  <c r="F262" i="6"/>
  <c r="F261" i="6"/>
  <c r="F260" i="6"/>
  <c r="F259" i="6"/>
  <c r="F258" i="6"/>
  <c r="F257" i="6"/>
  <c r="F256" i="6"/>
  <c r="F255" i="6"/>
  <c r="F254" i="6"/>
  <c r="F253" i="6"/>
  <c r="F252" i="6"/>
  <c r="F251" i="6"/>
  <c r="F250" i="6"/>
  <c r="F249" i="6"/>
  <c r="F248" i="6"/>
  <c r="F247" i="6"/>
  <c r="F246" i="6"/>
  <c r="F245" i="6"/>
  <c r="F244" i="6"/>
  <c r="F243" i="6"/>
  <c r="F242" i="6"/>
  <c r="F241" i="6"/>
  <c r="F240" i="6"/>
  <c r="F239" i="6"/>
  <c r="F238" i="6"/>
  <c r="F237" i="6"/>
  <c r="F236" i="6"/>
  <c r="F235" i="6"/>
  <c r="F234" i="6"/>
  <c r="F233" i="6"/>
  <c r="F232" i="6"/>
  <c r="F231" i="6"/>
  <c r="F230" i="6"/>
  <c r="F229" i="6"/>
  <c r="F228" i="6"/>
  <c r="F227" i="6"/>
  <c r="F226" i="6"/>
  <c r="F225" i="6"/>
  <c r="F224" i="6"/>
  <c r="F223" i="6"/>
  <c r="F222" i="6"/>
  <c r="F221" i="6"/>
  <c r="F220" i="6"/>
  <c r="F219" i="6"/>
  <c r="F218" i="6"/>
  <c r="F217" i="6"/>
  <c r="F216" i="6"/>
  <c r="F215" i="6"/>
  <c r="F214" i="6"/>
  <c r="F213" i="6"/>
  <c r="F212" i="6"/>
  <c r="F211" i="6"/>
  <c r="F210" i="6"/>
  <c r="F209" i="6"/>
  <c r="F208" i="6"/>
  <c r="F207" i="6"/>
  <c r="F206" i="6"/>
  <c r="F205" i="6"/>
  <c r="F204" i="6"/>
  <c r="F203" i="6"/>
  <c r="F202" i="6"/>
  <c r="F201" i="6"/>
  <c r="F200" i="6"/>
  <c r="F199" i="6"/>
  <c r="F198" i="6"/>
  <c r="F197" i="6"/>
  <c r="F196" i="6"/>
  <c r="F195" i="6"/>
  <c r="F194" i="6"/>
  <c r="F193" i="6"/>
  <c r="F192" i="6"/>
  <c r="F191" i="6"/>
  <c r="F190" i="6"/>
  <c r="F189" i="6"/>
  <c r="F188" i="6"/>
  <c r="F187" i="6"/>
  <c r="F186" i="6"/>
  <c r="F185" i="6"/>
  <c r="F184" i="6"/>
  <c r="F183" i="6"/>
  <c r="F182" i="6"/>
  <c r="F181" i="6"/>
  <c r="F180" i="6"/>
  <c r="F179" i="6"/>
  <c r="F178" i="6"/>
  <c r="F177" i="6"/>
  <c r="F176" i="6"/>
  <c r="F175" i="6"/>
  <c r="F174" i="6"/>
  <c r="F173" i="6"/>
  <c r="F172" i="6"/>
  <c r="F171" i="6"/>
  <c r="F170" i="6"/>
  <c r="F169" i="6"/>
  <c r="F168" i="6"/>
  <c r="F167" i="6"/>
  <c r="F166" i="6"/>
  <c r="F165" i="6"/>
  <c r="F164" i="6"/>
  <c r="F163" i="6"/>
  <c r="F162" i="6"/>
  <c r="F161" i="6"/>
  <c r="F160" i="6"/>
  <c r="F159" i="6"/>
  <c r="F158" i="6"/>
  <c r="F157" i="6"/>
  <c r="F156" i="6"/>
  <c r="F155" i="6"/>
  <c r="F154" i="6"/>
  <c r="F153" i="6"/>
  <c r="F152" i="6"/>
  <c r="F151" i="6"/>
  <c r="F150" i="6"/>
  <c r="F149" i="6"/>
  <c r="F148" i="6"/>
  <c r="F147" i="6"/>
  <c r="F146" i="6"/>
  <c r="F145" i="6"/>
  <c r="F144" i="6"/>
  <c r="F143" i="6"/>
  <c r="F142" i="6"/>
  <c r="F141" i="6"/>
  <c r="F140" i="6"/>
  <c r="F139" i="6"/>
  <c r="F138" i="6"/>
  <c r="F137" i="6"/>
  <c r="F136" i="6"/>
  <c r="F135" i="6"/>
  <c r="F134" i="6"/>
  <c r="F133" i="6"/>
  <c r="F132" i="6"/>
  <c r="F131" i="6"/>
  <c r="F130" i="6"/>
  <c r="F129" i="6"/>
  <c r="F128" i="6"/>
  <c r="F127" i="6"/>
  <c r="F126" i="6"/>
  <c r="F125" i="6"/>
  <c r="F124" i="6"/>
  <c r="F123" i="6"/>
  <c r="F122" i="6"/>
  <c r="F121" i="6"/>
  <c r="F120" i="6"/>
  <c r="F119" i="6"/>
  <c r="F118" i="6"/>
  <c r="F117" i="6"/>
  <c r="F116" i="6"/>
  <c r="F115" i="6"/>
  <c r="F114" i="6"/>
  <c r="F113" i="6"/>
  <c r="F112" i="6"/>
  <c r="F111" i="6"/>
  <c r="F110" i="6"/>
  <c r="F109" i="6"/>
  <c r="F108" i="6"/>
  <c r="F107" i="6"/>
  <c r="F106" i="6"/>
  <c r="F105" i="6"/>
  <c r="F104" i="6"/>
  <c r="F103" i="6"/>
  <c r="F102" i="6"/>
  <c r="F101" i="6"/>
  <c r="F100" i="6"/>
  <c r="F99" i="6"/>
  <c r="F98" i="6"/>
  <c r="F97" i="6"/>
  <c r="F96" i="6"/>
  <c r="F95" i="6"/>
  <c r="F94" i="6"/>
  <c r="F93" i="6"/>
  <c r="F92" i="6"/>
  <c r="F91" i="6"/>
  <c r="F90" i="6"/>
  <c r="F89" i="6"/>
  <c r="F88" i="6"/>
  <c r="F87" i="6"/>
  <c r="F86" i="6"/>
  <c r="F85" i="6"/>
  <c r="F84" i="6"/>
  <c r="F83" i="6"/>
  <c r="F82" i="6"/>
  <c r="F81" i="6"/>
  <c r="F80" i="6"/>
  <c r="F79" i="6"/>
  <c r="F78" i="6"/>
  <c r="F77" i="6"/>
  <c r="F76" i="6"/>
  <c r="F75" i="6"/>
  <c r="F74" i="6"/>
  <c r="F73" i="6"/>
  <c r="F72" i="6"/>
  <c r="F71" i="6"/>
  <c r="F70" i="6"/>
  <c r="F69" i="6"/>
  <c r="F68" i="6"/>
  <c r="F67" i="6"/>
  <c r="F66" i="6"/>
  <c r="F65" i="6"/>
  <c r="F64" i="6"/>
  <c r="F63" i="6"/>
  <c r="F62" i="6"/>
  <c r="F61" i="6"/>
  <c r="F60" i="6"/>
  <c r="F59" i="6"/>
  <c r="F58" i="6"/>
  <c r="F57" i="6"/>
  <c r="F56" i="6"/>
  <c r="F55" i="6"/>
  <c r="F54" i="6"/>
  <c r="F53" i="6"/>
  <c r="F52" i="6"/>
  <c r="F51" i="6"/>
  <c r="F50" i="6"/>
  <c r="F49" i="6"/>
  <c r="F48" i="6"/>
  <c r="F47" i="6"/>
  <c r="F46" i="6"/>
  <c r="F45" i="6"/>
  <c r="F44" i="6"/>
  <c r="F43" i="6"/>
  <c r="F42" i="6"/>
  <c r="F41" i="6"/>
  <c r="F40" i="6"/>
  <c r="F39" i="6"/>
  <c r="F38" i="6"/>
  <c r="F37" i="6"/>
  <c r="F36" i="6"/>
  <c r="F35" i="6"/>
  <c r="F34" i="6"/>
  <c r="F33" i="6"/>
  <c r="F32" i="6"/>
  <c r="F31" i="6"/>
  <c r="F30" i="6"/>
  <c r="F29" i="6"/>
  <c r="F28" i="6"/>
  <c r="F27" i="6"/>
  <c r="F26" i="6"/>
  <c r="F25" i="6"/>
  <c r="F24" i="6"/>
  <c r="F23" i="6"/>
  <c r="F22" i="6"/>
  <c r="F21" i="6"/>
  <c r="F20" i="6"/>
  <c r="F19" i="6"/>
  <c r="F18" i="6"/>
  <c r="F17" i="6"/>
  <c r="F16" i="6"/>
  <c r="F15" i="6"/>
  <c r="F14" i="6"/>
  <c r="F13" i="6"/>
  <c r="F12" i="6"/>
  <c r="F11" i="6"/>
  <c r="F10" i="6"/>
  <c r="F9" i="6"/>
  <c r="F8" i="6"/>
  <c r="F7" i="6"/>
  <c r="F6" i="6"/>
  <c r="F5" i="6"/>
  <c r="F4" i="6"/>
  <c r="F3" i="6"/>
  <c r="F2" i="6"/>
  <c r="T98" i="5"/>
  <c r="V11" i="4"/>
  <c r="V10" i="4"/>
  <c r="Y8" i="4"/>
  <c r="V8" i="4"/>
  <c r="V6" i="4"/>
  <c r="N5" i="4"/>
  <c r="P4" i="4"/>
  <c r="O4" i="4"/>
  <c r="N4" i="4"/>
  <c r="N3" i="4" s="1"/>
  <c r="V1" i="4"/>
  <c r="S1" i="4"/>
  <c r="S2" i="4" s="1"/>
  <c r="J23" i="3"/>
  <c r="J22" i="3"/>
  <c r="D9" i="3"/>
  <c r="C9" i="3"/>
  <c r="D8" i="3"/>
  <c r="C8" i="3"/>
  <c r="E8" i="3" s="1"/>
  <c r="E7" i="3"/>
  <c r="D7" i="3"/>
  <c r="G5" i="3"/>
  <c r="G4" i="3"/>
  <c r="J24" i="2"/>
  <c r="I24" i="2"/>
  <c r="J23" i="2"/>
  <c r="I23" i="2"/>
  <c r="J22" i="2"/>
  <c r="I22" i="2"/>
  <c r="J21" i="2"/>
  <c r="I21" i="2"/>
  <c r="E12" i="2"/>
  <c r="E11" i="2"/>
  <c r="G8" i="2"/>
  <c r="O65" i="1"/>
  <c r="N65" i="1"/>
  <c r="O64" i="1"/>
  <c r="N64" i="1"/>
  <c r="H64" i="1"/>
  <c r="O63" i="1"/>
  <c r="N63" i="1"/>
  <c r="H63" i="1"/>
  <c r="O62" i="1"/>
  <c r="N62" i="1"/>
  <c r="O61" i="1"/>
  <c r="N61" i="1"/>
  <c r="O60" i="1"/>
  <c r="N60" i="1"/>
  <c r="H60" i="1"/>
  <c r="O59" i="1"/>
  <c r="N59" i="1"/>
  <c r="H59" i="1"/>
  <c r="O58" i="1"/>
  <c r="N58" i="1"/>
  <c r="O57" i="1"/>
  <c r="N57" i="1"/>
  <c r="O56" i="1"/>
  <c r="N56" i="1"/>
  <c r="H56" i="1"/>
  <c r="O55" i="1"/>
  <c r="N55" i="1"/>
  <c r="H55" i="1"/>
  <c r="O54" i="1"/>
  <c r="N54" i="1"/>
  <c r="O53" i="1"/>
  <c r="N53" i="1"/>
  <c r="O52" i="1"/>
  <c r="N52" i="1"/>
  <c r="H52" i="1"/>
  <c r="O51" i="1"/>
  <c r="N51" i="1"/>
  <c r="H51" i="1"/>
  <c r="O50" i="1"/>
  <c r="N50" i="1"/>
  <c r="O49" i="1"/>
  <c r="N49" i="1"/>
  <c r="O48" i="1"/>
  <c r="N48" i="1"/>
  <c r="O47" i="1"/>
  <c r="N47" i="1"/>
  <c r="O46" i="1"/>
  <c r="N46" i="1"/>
  <c r="O45" i="1"/>
  <c r="N45" i="1"/>
  <c r="O44" i="1"/>
  <c r="N44" i="1"/>
  <c r="O43" i="1"/>
  <c r="N43" i="1"/>
  <c r="O42" i="1"/>
  <c r="N42" i="1"/>
  <c r="O41" i="1"/>
  <c r="N41" i="1"/>
  <c r="O40" i="1"/>
  <c r="N40" i="1"/>
  <c r="O39" i="1"/>
  <c r="N39" i="1"/>
  <c r="O38" i="1"/>
  <c r="N38" i="1"/>
  <c r="O37" i="1"/>
  <c r="N37" i="1"/>
  <c r="O36" i="1"/>
  <c r="N36" i="1"/>
  <c r="O35" i="1"/>
  <c r="N35" i="1"/>
  <c r="O34" i="1"/>
  <c r="N34" i="1"/>
  <c r="O33" i="1"/>
  <c r="N33" i="1"/>
  <c r="O32" i="1"/>
  <c r="N32" i="1"/>
  <c r="O31" i="1"/>
  <c r="N31" i="1"/>
  <c r="O30" i="1"/>
  <c r="N30" i="1"/>
  <c r="O27" i="1"/>
  <c r="N27" i="1"/>
  <c r="O25" i="1"/>
  <c r="N25" i="1"/>
  <c r="O28" i="1"/>
  <c r="N28" i="1"/>
  <c r="O23" i="1"/>
  <c r="N23" i="1"/>
  <c r="O22" i="1"/>
  <c r="N22" i="1"/>
  <c r="O21" i="1"/>
  <c r="N21" i="1"/>
  <c r="O29" i="1"/>
  <c r="N29" i="1"/>
  <c r="O26" i="1"/>
  <c r="N26" i="1"/>
  <c r="O24" i="1"/>
  <c r="N24" i="1"/>
  <c r="E13" i="1"/>
  <c r="E12" i="1"/>
  <c r="F9" i="1"/>
  <c r="L2" i="1"/>
  <c r="F7" i="3" l="1"/>
  <c r="H25" i="2"/>
  <c r="H26" i="2" s="1"/>
  <c r="H27" i="2" s="1"/>
  <c r="E15" i="2"/>
  <c r="K4" i="4" s="1"/>
  <c r="E15" i="1"/>
  <c r="K3" i="4" s="1"/>
  <c r="I51" i="1"/>
  <c r="I55" i="1"/>
  <c r="I59" i="1"/>
  <c r="I63" i="1"/>
  <c r="H47" i="1"/>
  <c r="H49" i="1"/>
  <c r="H54" i="1"/>
  <c r="H62" i="1"/>
  <c r="I52" i="1"/>
  <c r="H57" i="1"/>
  <c r="I60" i="1"/>
  <c r="H65" i="1"/>
  <c r="H50" i="1"/>
  <c r="H58" i="1"/>
  <c r="H48" i="1"/>
  <c r="H53" i="1"/>
  <c r="I56" i="1"/>
  <c r="H61" i="1"/>
  <c r="I64" i="1"/>
  <c r="B11" i="3"/>
  <c r="J52" i="1" l="1"/>
  <c r="K52" i="1" s="1"/>
  <c r="J59" i="1"/>
  <c r="K59" i="1" s="1"/>
  <c r="J56" i="1"/>
  <c r="K56" i="1" s="1"/>
  <c r="J64" i="1"/>
  <c r="K64" i="1" s="1"/>
  <c r="J55" i="1"/>
  <c r="K55" i="1" s="1"/>
  <c r="J63" i="1"/>
  <c r="K63" i="1" s="1"/>
  <c r="J60" i="1"/>
  <c r="K60" i="1" s="1"/>
  <c r="J51" i="1"/>
  <c r="K51" i="1" s="1"/>
  <c r="B32" i="2"/>
  <c r="B33" i="2"/>
  <c r="G42" i="2" s="1"/>
  <c r="I54" i="1"/>
  <c r="I47" i="1"/>
  <c r="I48" i="1"/>
  <c r="I53" i="1"/>
  <c r="I58" i="1"/>
  <c r="I61" i="1"/>
  <c r="I57" i="1"/>
  <c r="I50" i="1"/>
  <c r="I65" i="1"/>
  <c r="J65" i="1" s="1"/>
  <c r="I62" i="1"/>
  <c r="I49" i="1"/>
  <c r="J49" i="1" l="1"/>
  <c r="K49" i="1" s="1"/>
  <c r="J57" i="1"/>
  <c r="K57" i="1" s="1"/>
  <c r="J58" i="1"/>
  <c r="K58" i="1" s="1"/>
  <c r="J54" i="1"/>
  <c r="K54" i="1" s="1"/>
  <c r="J53" i="1"/>
  <c r="K53" i="1" s="1"/>
  <c r="J50" i="1"/>
  <c r="K50" i="1" s="1"/>
  <c r="J62" i="1"/>
  <c r="K62" i="1" s="1"/>
  <c r="J48" i="1"/>
  <c r="K48" i="1" s="1"/>
  <c r="J61" i="1"/>
  <c r="K61" i="1" s="1"/>
  <c r="J47" i="1"/>
  <c r="K47" i="1" s="1"/>
  <c r="H32" i="1" l="1"/>
  <c r="I32" i="1" s="1"/>
  <c r="J32" i="1" s="1"/>
  <c r="K32" i="1" s="1"/>
  <c r="H33" i="1" l="1"/>
  <c r="I33" i="1" s="1"/>
  <c r="J33" i="1" l="1"/>
  <c r="K33" i="1" s="1"/>
  <c r="H34" i="1"/>
  <c r="I34" i="1" s="1"/>
  <c r="J34" i="1" l="1"/>
  <c r="K34" i="1" s="1"/>
  <c r="H35" i="1"/>
  <c r="I35" i="1" s="1"/>
  <c r="J35" i="1" l="1"/>
  <c r="K35" i="1" s="1"/>
  <c r="H37" i="1"/>
  <c r="I37" i="1" s="1"/>
  <c r="J37" i="1" s="1"/>
  <c r="K37" i="1" s="1"/>
  <c r="H36" i="1"/>
  <c r="I36" i="1" s="1"/>
  <c r="J36" i="1" l="1"/>
  <c r="K36" i="1" s="1"/>
  <c r="H38" i="1"/>
  <c r="I38" i="1" s="1"/>
  <c r="J38" i="1" s="1"/>
  <c r="K38" i="1" s="1"/>
  <c r="H39" i="1" l="1"/>
  <c r="I39" i="1" s="1"/>
  <c r="J39" i="1" s="1"/>
  <c r="K39" i="1" s="1"/>
  <c r="H40" i="1" l="1"/>
  <c r="I40" i="1" s="1"/>
  <c r="J40" i="1" s="1"/>
  <c r="K40" i="1" s="1"/>
  <c r="H41" i="1" l="1"/>
  <c r="I41" i="1" s="1"/>
  <c r="J41" i="1" s="1"/>
  <c r="K41" i="1" s="1"/>
  <c r="H42" i="1" l="1"/>
  <c r="I42" i="1" s="1"/>
  <c r="J42" i="1" s="1"/>
  <c r="K42" i="1" s="1"/>
  <c r="H43" i="1" l="1"/>
  <c r="I43" i="1" s="1"/>
  <c r="J43" i="1" s="1"/>
  <c r="K43" i="1" s="1"/>
  <c r="H44" i="1" l="1"/>
  <c r="I44" i="1" s="1"/>
  <c r="J44" i="1" s="1"/>
  <c r="K44" i="1" s="1"/>
  <c r="H45" i="1" l="1"/>
  <c r="I45" i="1" s="1"/>
  <c r="J45" i="1" s="1"/>
  <c r="K45" i="1" s="1"/>
  <c r="H46" i="1"/>
  <c r="I46" i="1" s="1"/>
  <c r="J46" i="1" l="1"/>
  <c r="K46" i="1" s="1"/>
  <c r="H29" i="1"/>
  <c r="H25" i="1"/>
  <c r="I25" i="1" s="1"/>
  <c r="H22" i="1"/>
  <c r="H26" i="1"/>
  <c r="H23" i="1"/>
  <c r="H21" i="1"/>
  <c r="I21" i="1" s="1"/>
  <c r="J21" i="1" s="1"/>
  <c r="I26" i="1" l="1"/>
  <c r="J26" i="1" s="1"/>
  <c r="K26" i="1" s="1"/>
  <c r="I29" i="1"/>
  <c r="J29" i="1" s="1"/>
  <c r="K29" i="1" s="1"/>
  <c r="H30" i="1"/>
  <c r="I30" i="1" s="1"/>
  <c r="J30" i="1" s="1"/>
  <c r="K30" i="1" s="1"/>
  <c r="K21" i="1"/>
  <c r="J25" i="1"/>
  <c r="K25" i="1" s="1"/>
  <c r="H27" i="1"/>
  <c r="I27" i="1" s="1"/>
  <c r="H31" i="1"/>
  <c r="I31" i="1" s="1"/>
  <c r="H24" i="1"/>
  <c r="I24" i="1" s="1"/>
  <c r="I23" i="1"/>
  <c r="J23" i="1" s="1"/>
  <c r="I22" i="1"/>
  <c r="J22" i="1" s="1"/>
  <c r="H28" i="1"/>
  <c r="I28" i="1" s="1"/>
  <c r="J24" i="1" l="1"/>
  <c r="K24" i="1" s="1"/>
  <c r="J31" i="1"/>
  <c r="K31" i="1" s="1"/>
  <c r="I66" i="1"/>
  <c r="J27" i="1"/>
  <c r="K27" i="1" s="1"/>
  <c r="J28" i="1"/>
  <c r="K28" i="1" s="1"/>
  <c r="K23" i="1"/>
  <c r="K22" i="1"/>
  <c r="K65" i="1" l="1"/>
  <c r="I67" i="1"/>
  <c r="I68" i="1" s="1"/>
  <c r="B10" i="3"/>
  <c r="B71" i="1" l="1"/>
  <c r="B72" i="1"/>
  <c r="I76" i="1" s="1"/>
</calcChain>
</file>

<file path=xl/sharedStrings.xml><?xml version="1.0" encoding="utf-8"?>
<sst xmlns="http://schemas.openxmlformats.org/spreadsheetml/2006/main" count="2036" uniqueCount="584">
  <si>
    <t>Douala, le</t>
  </si>
  <si>
    <t>DOIT</t>
  </si>
  <si>
    <t>FACTURE N°</t>
  </si>
  <si>
    <t>DATE</t>
  </si>
  <si>
    <t>TRAJET</t>
  </si>
  <si>
    <t>N° LETTRE VOITURE</t>
  </si>
  <si>
    <t>N° CAMION</t>
  </si>
  <si>
    <t>KM</t>
  </si>
  <si>
    <t>P.U. HT</t>
  </si>
  <si>
    <t>P.T. HT</t>
  </si>
  <si>
    <t xml:space="preserve">Coûts </t>
  </si>
  <si>
    <t>Marge</t>
  </si>
  <si>
    <t>LTTR 798 AJ</t>
  </si>
  <si>
    <t>TOTAL HT</t>
  </si>
  <si>
    <t>TVA (19,25%)</t>
  </si>
  <si>
    <t>TOTAL TTC</t>
  </si>
  <si>
    <r>
      <t xml:space="preserve">CUBAGE      </t>
    </r>
    <r>
      <rPr>
        <b/>
        <sz val="9"/>
        <color theme="1"/>
        <rFont val="Times New Roman"/>
        <family val="1"/>
      </rPr>
      <t xml:space="preserve"> </t>
    </r>
    <r>
      <rPr>
        <b/>
        <i/>
        <sz val="9"/>
        <color theme="1"/>
        <rFont val="Times New Roman"/>
        <family val="1"/>
      </rPr>
      <t>(en m³)</t>
    </r>
  </si>
  <si>
    <t>BP 942       DOUALA-CAMEROUN</t>
  </si>
  <si>
    <t xml:space="preserve">BP 942      DOUALA-CAMEROUN </t>
  </si>
  <si>
    <t>RC N°: 9562         CT N°: M 039100000359 N</t>
  </si>
  <si>
    <t>RC N°: 3266      CT N°: M 116700000360 F</t>
  </si>
  <si>
    <t>LTTR 273 AF</t>
  </si>
  <si>
    <t>LTTR 275 AF</t>
  </si>
  <si>
    <t>LTTR 483 AH</t>
  </si>
  <si>
    <t>LTTR 797 AJ</t>
  </si>
  <si>
    <t>LTTR 710 AE</t>
  </si>
  <si>
    <t>LTTR 426 AI</t>
  </si>
  <si>
    <t>LTTR 175 AL</t>
  </si>
  <si>
    <t>DOUALA - CAMEROUN</t>
  </si>
  <si>
    <t>N° Contr.:  M 119200000510 L</t>
  </si>
  <si>
    <t xml:space="preserve"> </t>
  </si>
  <si>
    <t>JV/</t>
  </si>
  <si>
    <t>FV/</t>
  </si>
  <si>
    <t>MS/</t>
  </si>
  <si>
    <t>AV/</t>
  </si>
  <si>
    <t>MA/</t>
  </si>
  <si>
    <t>JN/</t>
  </si>
  <si>
    <t>JL/</t>
  </si>
  <si>
    <t>AT/</t>
  </si>
  <si>
    <t>SP/</t>
  </si>
  <si>
    <t>OT/</t>
  </si>
  <si>
    <t>NV/</t>
  </si>
  <si>
    <t>DC/</t>
  </si>
  <si>
    <t>=SI(Clients1="SEBAC";TEXTE(Feuil3!B8;"00")&amp;Feuil3!C8&amp;Moiss1;TEXTE(Feuil3!B7;"00")&amp;Feuil3!C7&amp;moiss)</t>
  </si>
  <si>
    <t>=SI(Clients="SEFAC";TEXTE(Feuil3!B7;"00")&amp;Feuil3!C7&amp;moiss;TEXTE(Feuil3!B8;"00")&amp;Feuil3!C8&amp;Moiss1)</t>
  </si>
  <si>
    <t>LTTR 689 AM</t>
  </si>
  <si>
    <t>LTTR 690 AM</t>
  </si>
  <si>
    <t>LTTR 691 AM</t>
  </si>
  <si>
    <t>LTTR 917 AM</t>
  </si>
  <si>
    <t>=SI(B21="";"";"LIBONGO-"&amp;DROITE($C$18;NBCAR($C$18)-CHERCHE("";$C$18)))</t>
  </si>
  <si>
    <t>=SI(Clients="SEFAC";TEXTE(Feuil3!B7;"00")&amp;Feuil3!C7&amp;Feuil3!D7;=SI(Clients="SEBAC";TEXTE(Feuil3!B8;"00")&amp;Feuil3!C7&amp;Feuil3!D7;TEXTE(Feuil3!B9;"00")&amp;Feuil3!C7&amp;Feuil3!D7)</t>
  </si>
  <si>
    <t>=SI(Clients1="SEBAC";TEXTE(Feuil3!B8;"00")&amp;Feuil3!C8&amp;Feuil3!D8;SI(Clients1="SEFAC";TEXTE(Feuil3!B7;"00")&amp;Feuil3!C7&amp;Feuil3!D7;TEXTE(Feuil3!B9;"00")&amp;"/FB/"&amp;Feuil3!D7))</t>
  </si>
  <si>
    <t>SEFAC</t>
  </si>
  <si>
    <t>JN/17</t>
  </si>
  <si>
    <t>/SF/</t>
  </si>
  <si>
    <t xml:space="preserve">  </t>
  </si>
  <si>
    <t>Bonus</t>
  </si>
  <si>
    <t>CUBAGE       (m³)</t>
  </si>
  <si>
    <t>HISTORIQUE</t>
  </si>
  <si>
    <t>N° Coupon</t>
  </si>
  <si>
    <t>SEBAC</t>
  </si>
  <si>
    <t>LA FILIERE BOIS</t>
  </si>
  <si>
    <t>LTTR 905 AN</t>
  </si>
  <si>
    <t>LTTR 906 AN</t>
  </si>
  <si>
    <t>LTTR 907 AN</t>
  </si>
  <si>
    <t>OBJET</t>
  </si>
  <si>
    <t>Camion</t>
  </si>
  <si>
    <t>Chauffeur</t>
  </si>
  <si>
    <t>BEKOLO Françis</t>
  </si>
  <si>
    <t>HOUZAIFA El-Hadji</t>
  </si>
  <si>
    <t>SUNDJO Terence</t>
  </si>
  <si>
    <t>LEUDJEU Cloteur</t>
  </si>
  <si>
    <t>Date</t>
  </si>
  <si>
    <t xml:space="preserve">Depuis le </t>
  </si>
  <si>
    <t>March</t>
  </si>
  <si>
    <t>April</t>
  </si>
  <si>
    <t>May</t>
  </si>
  <si>
    <t>June</t>
  </si>
  <si>
    <t>July</t>
  </si>
  <si>
    <t>August</t>
  </si>
  <si>
    <t>January</t>
  </si>
  <si>
    <t>February</t>
  </si>
  <si>
    <t>September</t>
  </si>
  <si>
    <t>October</t>
  </si>
  <si>
    <t>November</t>
  </si>
  <si>
    <t>December</t>
  </si>
  <si>
    <t>Non app</t>
  </si>
  <si>
    <t>MA</t>
  </si>
  <si>
    <t>Export</t>
  </si>
  <si>
    <t>Navette</t>
  </si>
  <si>
    <t>ABOUBAKAR</t>
  </si>
  <si>
    <t>MT HT</t>
  </si>
  <si>
    <t>Cub. Moy.</t>
  </si>
  <si>
    <t>Mois</t>
  </si>
  <si>
    <t>N° Facture</t>
  </si>
  <si>
    <t>Type</t>
  </si>
  <si>
    <t>Forêt</t>
  </si>
  <si>
    <t>L.V. N°</t>
  </si>
  <si>
    <t>Client</t>
  </si>
  <si>
    <t>Month</t>
  </si>
  <si>
    <t>Invoice #</t>
  </si>
  <si>
    <t>Forest</t>
  </si>
  <si>
    <t>Truck</t>
  </si>
  <si>
    <t>Driver</t>
  </si>
  <si>
    <t>Amt TE</t>
  </si>
  <si>
    <t>Avge CBM</t>
  </si>
  <si>
    <t>Way Bill #</t>
  </si>
  <si>
    <t>Customer</t>
  </si>
  <si>
    <t>118/SF/JN/18</t>
  </si>
  <si>
    <t>119/SF/JN/18</t>
  </si>
  <si>
    <t>20/SB/JN/18</t>
  </si>
  <si>
    <t>UTILISATEUR</t>
  </si>
  <si>
    <t>MOT DE PASSE</t>
  </si>
  <si>
    <t xml:space="preserve">DATE DE CREATION </t>
  </si>
  <si>
    <t>DERNIERE CONNNEXION</t>
  </si>
  <si>
    <t>21/SB/JN/18</t>
  </si>
  <si>
    <t>Martial</t>
  </si>
  <si>
    <t>Dikalo</t>
  </si>
  <si>
    <t>Créé le : 05/07/2018 à : 11:47:38</t>
  </si>
  <si>
    <t>22/SB/JL/18</t>
  </si>
  <si>
    <t>23/SB/JL/18</t>
  </si>
  <si>
    <t>120/SF/JL/18</t>
  </si>
  <si>
    <t>121/SF/JL/18</t>
  </si>
  <si>
    <t>122/SF/JL/18</t>
  </si>
  <si>
    <t>123/SF/JL/18</t>
  </si>
  <si>
    <t>24/SB/JL/18</t>
  </si>
  <si>
    <t>117/SF/JN/18</t>
  </si>
  <si>
    <t>124/SF/JL/18</t>
  </si>
  <si>
    <t>125/SF/JL/18</t>
  </si>
  <si>
    <t>Chiffre d'affaires du 01/07/2018  au 20/07/2018</t>
  </si>
  <si>
    <t>joel</t>
  </si>
  <si>
    <t>intelligent</t>
  </si>
  <si>
    <t>Added on : 18/08/2018 at : 09:13:03</t>
  </si>
  <si>
    <t>NGONG Adamu YUYUN</t>
  </si>
  <si>
    <t>DZEVELA Dénis</t>
  </si>
  <si>
    <t>FOBOU Gérald</t>
  </si>
  <si>
    <t>TILANDO David</t>
  </si>
  <si>
    <t>Gms Cameroun</t>
  </si>
  <si>
    <t>GMS000</t>
  </si>
  <si>
    <t>Added on : 21/11/2018 at : 15:44:33</t>
  </si>
  <si>
    <t>1st time connected on : 21/11/2018 at : 15:44:33</t>
  </si>
  <si>
    <t>WILFRID</t>
  </si>
  <si>
    <t>DATE ET HEURE DE FERMETURE</t>
  </si>
  <si>
    <t>Version3.0</t>
  </si>
  <si>
    <t>FERMETURE</t>
  </si>
  <si>
    <t>DUREE</t>
  </si>
  <si>
    <t>TRANSPORT GRUMES UFA10010 SCIERIE LIBONGO</t>
  </si>
  <si>
    <t>MOUSSA</t>
  </si>
  <si>
    <t>OMBETHE Romuald</t>
  </si>
  <si>
    <t>LISTE DES FACTURES SEFAC, SEBAC &amp; LA FILIERE BOIS ANNEE 2019</t>
  </si>
  <si>
    <t>JV</t>
  </si>
  <si>
    <t>01/SF/JV/19</t>
  </si>
  <si>
    <t>01/SB/JV/19</t>
  </si>
  <si>
    <t>EXPORT</t>
  </si>
  <si>
    <t>DIVERS</t>
  </si>
  <si>
    <t>02/SF/JV/19</t>
  </si>
  <si>
    <t>03/SF/JV/19</t>
  </si>
  <si>
    <t>04/SF/JV/19</t>
  </si>
  <si>
    <t>NAVETTES</t>
  </si>
  <si>
    <t>LIBONGO-DOUALA</t>
  </si>
  <si>
    <t>17 Janv 2019</t>
  </si>
  <si>
    <t>02/SB/JV/19</t>
  </si>
  <si>
    <t>03/SB/JV/19</t>
  </si>
  <si>
    <t>05/SF/JV/19</t>
  </si>
  <si>
    <t>Divers</t>
  </si>
  <si>
    <t>46,505 m³</t>
  </si>
  <si>
    <t>06/SF/JV/19</t>
  </si>
  <si>
    <t>38,310 m³</t>
  </si>
  <si>
    <t>19 Janv 2019</t>
  </si>
  <si>
    <t>07/SF/JV/19</t>
  </si>
  <si>
    <t>44,630 m³</t>
  </si>
  <si>
    <t>08/SF/JV/19</t>
  </si>
  <si>
    <t>22 Janv 2019</t>
  </si>
  <si>
    <t>09/SF/JV/19</t>
  </si>
  <si>
    <t>10/SF/JV/19</t>
  </si>
  <si>
    <t>42,423 m³</t>
  </si>
  <si>
    <t>11/SF/JV/19</t>
  </si>
  <si>
    <t>43,173 m³</t>
  </si>
  <si>
    <t>12/SF/JV/19</t>
  </si>
  <si>
    <t>39,920 m³</t>
  </si>
  <si>
    <t>23 Janv 2019</t>
  </si>
  <si>
    <t>04/SB/JV/19</t>
  </si>
  <si>
    <t>30 Janv 2019</t>
  </si>
  <si>
    <t>05/SB/JV/19</t>
  </si>
  <si>
    <t>13/SF/JV/19</t>
  </si>
  <si>
    <t>14/SF/JV/19</t>
  </si>
  <si>
    <t>42,917 m³</t>
  </si>
  <si>
    <t>15/SF/JV/19</t>
  </si>
  <si>
    <t>37,723 m³</t>
  </si>
  <si>
    <t>16/SF/JV/19</t>
  </si>
  <si>
    <t>26,291 m³</t>
  </si>
  <si>
    <t>1er Févr 2019</t>
  </si>
  <si>
    <t>17/SF/JV/19</t>
  </si>
  <si>
    <t>08 Févr 2019</t>
  </si>
  <si>
    <t>36,113 m³</t>
  </si>
  <si>
    <t>18/SF/JV/19</t>
  </si>
  <si>
    <t>37,614 m³</t>
  </si>
  <si>
    <t>19/SF/JV/19</t>
  </si>
  <si>
    <t>47,198 m³</t>
  </si>
  <si>
    <t>20/SF/JV/19</t>
  </si>
  <si>
    <t>06/SB/JV/19</t>
  </si>
  <si>
    <t>FV</t>
  </si>
  <si>
    <t>09 Févr 2019</t>
  </si>
  <si>
    <t>21/SF/FV/19</t>
  </si>
  <si>
    <t>44,917 m³</t>
  </si>
  <si>
    <t>22/SF/FV/19</t>
  </si>
  <si>
    <t>51,865 m³</t>
  </si>
  <si>
    <t>23/SF/FV/19</t>
  </si>
  <si>
    <t>26,708 m³</t>
  </si>
  <si>
    <t>24/SF/FV/19</t>
  </si>
  <si>
    <t>51,451 m³</t>
  </si>
  <si>
    <t>25/SF/FV/19</t>
  </si>
  <si>
    <t>42,031 m³</t>
  </si>
  <si>
    <t>12 Févr 2019</t>
  </si>
  <si>
    <t>07/SB/FV/19</t>
  </si>
  <si>
    <t>26/SF/FV/19</t>
  </si>
  <si>
    <t>61,269 m³</t>
  </si>
  <si>
    <t>27/SF/FV/19</t>
  </si>
  <si>
    <t>43,556 m³</t>
  </si>
  <si>
    <t>28/SF/FV/19</t>
  </si>
  <si>
    <t>26,522 m³</t>
  </si>
  <si>
    <t>29/SF/FV/19</t>
  </si>
  <si>
    <t>40,755 m³</t>
  </si>
  <si>
    <t>30/SF/FV/19</t>
  </si>
  <si>
    <t>52,667 m³</t>
  </si>
  <si>
    <t>31/SF/FV/19</t>
  </si>
  <si>
    <t>46,738 m³</t>
  </si>
  <si>
    <t>14 Févr 2019</t>
  </si>
  <si>
    <t>32/SF/FV/19</t>
  </si>
  <si>
    <t>43,536 m³</t>
  </si>
  <si>
    <t>33/SF/FV/19</t>
  </si>
  <si>
    <t>34,664 m³</t>
  </si>
  <si>
    <t>34/SF/FV/19</t>
  </si>
  <si>
    <t>44,321 m³</t>
  </si>
  <si>
    <t>35/SF/FV/19</t>
  </si>
  <si>
    <t>44,620 m³</t>
  </si>
  <si>
    <t>08/SB/FV/19</t>
  </si>
  <si>
    <t>15 Févr 2019</t>
  </si>
  <si>
    <t>36/SF/FV/19</t>
  </si>
  <si>
    <t>40,514 m³</t>
  </si>
  <si>
    <t>37/SF/FV/19</t>
  </si>
  <si>
    <t>43,161 m³</t>
  </si>
  <si>
    <t>38/SF/FV/19</t>
  </si>
  <si>
    <t>22 Févr 2019</t>
  </si>
  <si>
    <t>39/SF/FV/19</t>
  </si>
  <si>
    <t>49,139 m³</t>
  </si>
  <si>
    <t>40/SF/FV/19</t>
  </si>
  <si>
    <t>44,453 m³</t>
  </si>
  <si>
    <t>41/SF/FV/19</t>
  </si>
  <si>
    <t>09/SB/FV/19</t>
  </si>
  <si>
    <t>23 Févr 2019</t>
  </si>
  <si>
    <t>10/SB/FV/19</t>
  </si>
  <si>
    <t>25 Févr 2019</t>
  </si>
  <si>
    <t>42/SF/FV/19</t>
  </si>
  <si>
    <t>50,914 m³</t>
  </si>
  <si>
    <t>1er Mars 2019</t>
  </si>
  <si>
    <t>50,601 m³</t>
  </si>
  <si>
    <t>43/SF/FV/19</t>
  </si>
  <si>
    <t>49,694 m³</t>
  </si>
  <si>
    <t>44/SF/FV/19</t>
  </si>
  <si>
    <t>02 Mars 2019</t>
  </si>
  <si>
    <t>11/SB/FV/19</t>
  </si>
  <si>
    <t>05 Mars 2019</t>
  </si>
  <si>
    <t>45/SF/FV/19</t>
  </si>
  <si>
    <t>47,226 m³</t>
  </si>
  <si>
    <t>36,518 m³</t>
  </si>
  <si>
    <t>46/SF/FV/19</t>
  </si>
  <si>
    <t>40,353 m³</t>
  </si>
  <si>
    <t>47/SF/FV/19</t>
  </si>
  <si>
    <t>MS</t>
  </si>
  <si>
    <t>07 Mars 2019</t>
  </si>
  <si>
    <t>49,877 m³</t>
  </si>
  <si>
    <t>48/SF/FV/19</t>
  </si>
  <si>
    <t>43,278 m³</t>
  </si>
  <si>
    <t>49/SF/FV/19</t>
  </si>
  <si>
    <t>50/SF/MS/19</t>
  </si>
  <si>
    <t>46,020 m³</t>
  </si>
  <si>
    <t>51/SF/MS/19</t>
  </si>
  <si>
    <t>43,949 m³</t>
  </si>
  <si>
    <t>10 Mars 2019</t>
  </si>
  <si>
    <t>12/SB/MS/19</t>
  </si>
  <si>
    <t>52/SF/MS/19</t>
  </si>
  <si>
    <t>53/SF/MS/19</t>
  </si>
  <si>
    <t>37,851 m³</t>
  </si>
  <si>
    <t>54/SF/MS/19</t>
  </si>
  <si>
    <t>46,298 m³</t>
  </si>
  <si>
    <t>55/SF/MS/19</t>
  </si>
  <si>
    <t>49,692 m³</t>
  </si>
  <si>
    <t>15 Mars 2019</t>
  </si>
  <si>
    <t>56/SF/MS/19</t>
  </si>
  <si>
    <t>46,350 m³</t>
  </si>
  <si>
    <t>57/SF/MS/19</t>
  </si>
  <si>
    <t>53,134 m³</t>
  </si>
  <si>
    <t>13/SB/MS/19</t>
  </si>
  <si>
    <t>20 Mars 2019</t>
  </si>
  <si>
    <t>58/SF/MS/19</t>
  </si>
  <si>
    <t>51,473 m³</t>
  </si>
  <si>
    <t>59/SF/MS/19</t>
  </si>
  <si>
    <t>41,254 m³</t>
  </si>
  <si>
    <t>22 Mars 2019</t>
  </si>
  <si>
    <t>60/SF/MS/19</t>
  </si>
  <si>
    <t>49,589 m³</t>
  </si>
  <si>
    <t>61/SF/MS/19</t>
  </si>
  <si>
    <t>48,895 m³</t>
  </si>
  <si>
    <t>62/SF/MS/19</t>
  </si>
  <si>
    <t>43,351 m³</t>
  </si>
  <si>
    <t>63/SF/MS/19</t>
  </si>
  <si>
    <t>Fermeture le : 25/03/2019 à : 15:52:29</t>
  </si>
  <si>
    <t>14/SB/MS/19</t>
  </si>
  <si>
    <t>64/SF/MS/19</t>
  </si>
  <si>
    <t>65/SF/MS/19</t>
  </si>
  <si>
    <t>28 Mars 2019</t>
  </si>
  <si>
    <t>47,098 m³</t>
  </si>
  <si>
    <t>37,348 m³</t>
  </si>
  <si>
    <t>30 Mars 2019</t>
  </si>
  <si>
    <t>15/SB/MS/19</t>
  </si>
  <si>
    <t>1er Avr 2019</t>
  </si>
  <si>
    <t>16/SB/MS/19</t>
  </si>
  <si>
    <t>52,298 m³</t>
  </si>
  <si>
    <t>66/SF/MS/19</t>
  </si>
  <si>
    <t>40,854 m³</t>
  </si>
  <si>
    <t>67/SF/MS/19</t>
  </si>
  <si>
    <t>05 Avr 2019</t>
  </si>
  <si>
    <t>43,763 m³</t>
  </si>
  <si>
    <t>68/SF/MS/19</t>
  </si>
  <si>
    <t>50,091 m³</t>
  </si>
  <si>
    <t>69/SF/MS/19</t>
  </si>
  <si>
    <t>06 Avr 2019</t>
  </si>
  <si>
    <t>70/SF/MS/19</t>
  </si>
  <si>
    <t>AV</t>
  </si>
  <si>
    <t>11 Avr 2019</t>
  </si>
  <si>
    <t>71/SF/AV/19</t>
  </si>
  <si>
    <t>48,693 m³</t>
  </si>
  <si>
    <t>72/SF/AV/19</t>
  </si>
  <si>
    <t>47,567 m³</t>
  </si>
  <si>
    <t>73/SF/AV/19</t>
  </si>
  <si>
    <t>45,793 m³</t>
  </si>
  <si>
    <t>INFORMATIONS</t>
  </si>
  <si>
    <t>X</t>
  </si>
  <si>
    <t>12 Avr 2019</t>
  </si>
  <si>
    <t>74/SF/AV/19</t>
  </si>
  <si>
    <t>32,633 m³</t>
  </si>
  <si>
    <t>17/SB/AV/19</t>
  </si>
  <si>
    <t>18/SB/AV/19</t>
  </si>
  <si>
    <t>13 Avr 2019</t>
  </si>
  <si>
    <t>19/SB/AV/19</t>
  </si>
  <si>
    <t>ABUBAKAR YIMGU</t>
  </si>
  <si>
    <t>VACANT</t>
  </si>
  <si>
    <t>TILANDOH David</t>
  </si>
  <si>
    <t>19 Avr 2019</t>
  </si>
  <si>
    <t>75/SF/AV/19</t>
  </si>
  <si>
    <t>41,384 m³</t>
  </si>
  <si>
    <t>76/SF/AV/19</t>
  </si>
  <si>
    <t>48,212 m³</t>
  </si>
  <si>
    <t>20 Avr 2019</t>
  </si>
  <si>
    <t>20/SB/AV/19</t>
  </si>
  <si>
    <t>Non applicable</t>
  </si>
  <si>
    <t>24 Avr 2019</t>
  </si>
  <si>
    <t>77/SF/AV/19</t>
  </si>
  <si>
    <t>45,529 m³</t>
  </si>
  <si>
    <t>78/SF/AV/19</t>
  </si>
  <si>
    <t>46,783 m³</t>
  </si>
  <si>
    <t>79/SF/AV/19</t>
  </si>
  <si>
    <t>80/SF/AV/19</t>
  </si>
  <si>
    <t>45,664 m³</t>
  </si>
  <si>
    <t>02 Mai 2019</t>
  </si>
  <si>
    <t>21/SB/AV/19</t>
  </si>
  <si>
    <t>44,728 m³</t>
  </si>
  <si>
    <t>81/SF/AV/19</t>
  </si>
  <si>
    <t>39,322 m³</t>
  </si>
  <si>
    <t>82/SF/AV/19</t>
  </si>
  <si>
    <t>04 Mai 2019</t>
  </si>
  <si>
    <t>Not applicable</t>
  </si>
  <si>
    <t>22/SB/AV/19</t>
  </si>
  <si>
    <t>07 Mai 2019</t>
  </si>
  <si>
    <t>38,462 m³</t>
  </si>
  <si>
    <t>83/SF/AV/19</t>
  </si>
  <si>
    <t>46,782 m³</t>
  </si>
  <si>
    <t>84/SF/AV/19</t>
  </si>
  <si>
    <t>23/SB/MA/19</t>
  </si>
  <si>
    <t>08 Mai 2019</t>
  </si>
  <si>
    <t>23/SB/AV/19</t>
  </si>
  <si>
    <t>09 Mai 2019</t>
  </si>
  <si>
    <t>85/SF/MA/19</t>
  </si>
  <si>
    <t>39,152 m³</t>
  </si>
  <si>
    <t>86/SF/MA/19</t>
  </si>
  <si>
    <t>16 Mai 2019</t>
  </si>
  <si>
    <t>87/SF/MA/19</t>
  </si>
  <si>
    <t>Commutes</t>
  </si>
  <si>
    <t>Misc</t>
  </si>
  <si>
    <t>30,004 m³</t>
  </si>
  <si>
    <t>88/SF/MA/19</t>
  </si>
  <si>
    <t>40,731 m³</t>
  </si>
  <si>
    <t>DONGUEU CYRILLE YANNICK</t>
  </si>
  <si>
    <t>25/SB/MA/19</t>
  </si>
  <si>
    <t>17 Mai 2019</t>
  </si>
  <si>
    <t>89/SF/MA/19</t>
  </si>
  <si>
    <t>20 Mai 2019</t>
  </si>
  <si>
    <t>90/SF/MA/19</t>
  </si>
  <si>
    <t>91/SF/MA/19</t>
  </si>
  <si>
    <t>40,862 m³</t>
  </si>
  <si>
    <t>23 Mai 2019</t>
  </si>
  <si>
    <t>92/SF/MA/19</t>
  </si>
  <si>
    <t>45,632 m³</t>
  </si>
  <si>
    <t>93/SF/MA/19</t>
  </si>
  <si>
    <t>28 Mai 2019</t>
  </si>
  <si>
    <t>94/SF/MA/19</t>
  </si>
  <si>
    <t>95/SF/MA/19</t>
  </si>
  <si>
    <t>37,934 m³</t>
  </si>
  <si>
    <t>96/SF/MA/19</t>
  </si>
  <si>
    <t>45,026 m³</t>
  </si>
  <si>
    <t>LIBONGO-ABONG-MBANG</t>
  </si>
  <si>
    <t>97/SF/MA/19</t>
  </si>
  <si>
    <t>31 Mai 2019</t>
  </si>
  <si>
    <t>98/SF/MA/19</t>
  </si>
  <si>
    <t>99/SF/MA/19</t>
  </si>
  <si>
    <t>43,372 m³</t>
  </si>
  <si>
    <t>JN</t>
  </si>
  <si>
    <t>05 Juin 2019</t>
  </si>
  <si>
    <t>37,617 m³</t>
  </si>
  <si>
    <t>100/SF/MA/19</t>
  </si>
  <si>
    <t>101/SF/JN/19</t>
  </si>
  <si>
    <t>07 Juin 2019</t>
  </si>
  <si>
    <t>102/SF/JN/19</t>
  </si>
  <si>
    <t>38,933 m³</t>
  </si>
  <si>
    <t>08 Juin 2019</t>
  </si>
  <si>
    <t>103/SF/JN/19</t>
  </si>
  <si>
    <t>26/SB/JN/19</t>
  </si>
  <si>
    <t>27/SB/JN/19</t>
  </si>
  <si>
    <t>10 Juin 2019</t>
  </si>
  <si>
    <t>104/SF/JN/19</t>
  </si>
  <si>
    <t>DZEVELA &amp;  TILANDO</t>
  </si>
  <si>
    <t>DONGUEU Yannick Cyrille</t>
  </si>
  <si>
    <t>ABUBAKA YIMGUH</t>
  </si>
  <si>
    <t>MOUSSA MOHAMADOU</t>
  </si>
  <si>
    <t>OMBETHE Romiale</t>
  </si>
  <si>
    <t>HOUZAIFA ElHadji</t>
  </si>
  <si>
    <t>LEUDJEU Cloteur Duclo</t>
  </si>
  <si>
    <t>15 Juin 2019</t>
  </si>
  <si>
    <t>105/SF/JN/19</t>
  </si>
  <si>
    <t>51,366 m³</t>
  </si>
  <si>
    <t>106/SF/JN/19</t>
  </si>
  <si>
    <t>43,087 m³</t>
  </si>
  <si>
    <t>107/SF/JN/19</t>
  </si>
  <si>
    <t>38,279 m³</t>
  </si>
  <si>
    <t>108/SF/JN/19</t>
  </si>
  <si>
    <t>17 Juin 2019</t>
  </si>
  <si>
    <t>109/SF/JN/19</t>
  </si>
  <si>
    <t>20 Juin 2019</t>
  </si>
  <si>
    <t>28/SB/JN/19</t>
  </si>
  <si>
    <t>110/SF/JN/19</t>
  </si>
  <si>
    <t>37,754 m³</t>
  </si>
  <si>
    <t>21 Juin 2019</t>
  </si>
  <si>
    <t>111/SF/JN/19</t>
  </si>
  <si>
    <t>42,796 m³</t>
  </si>
  <si>
    <t>112/SF/JN/19</t>
  </si>
  <si>
    <t>38,114 m³</t>
  </si>
  <si>
    <t>22 Juin 2019</t>
  </si>
  <si>
    <t>29/SB/JN/19</t>
  </si>
  <si>
    <t>25 Juin 2019</t>
  </si>
  <si>
    <t>113/SF/JN/19</t>
  </si>
  <si>
    <t>45,978 m³</t>
  </si>
  <si>
    <t>114/SF/JN/19</t>
  </si>
  <si>
    <t>39,698 m³</t>
  </si>
  <si>
    <t>115/SF/JN/19</t>
  </si>
  <si>
    <t>27 Juin 2019</t>
  </si>
  <si>
    <t>116/SF/JN/19</t>
  </si>
  <si>
    <t>04 Juil 2019</t>
  </si>
  <si>
    <t>46,052 m³</t>
  </si>
  <si>
    <t>117/SF/JN/19</t>
  </si>
  <si>
    <t>118/SF/JN/19</t>
  </si>
  <si>
    <t>40,100 m³</t>
  </si>
  <si>
    <t>119/SF/JN/19</t>
  </si>
  <si>
    <t>JL</t>
  </si>
  <si>
    <t>08 Juil 2019</t>
  </si>
  <si>
    <t>30/SB/JL/19</t>
  </si>
  <si>
    <t>120/SF/JL/19</t>
  </si>
  <si>
    <t>Ntenda</t>
  </si>
  <si>
    <t>GMS0000</t>
  </si>
  <si>
    <t>Créé le : 13/07/2019 à : 16:27:26</t>
  </si>
  <si>
    <t>Dernier login le : 13/07/2019 à : 16:31:57</t>
  </si>
  <si>
    <t>TRANSPORT GRUMES UFA10000 SCIERIE LIBONGO</t>
  </si>
  <si>
    <t>16 Juil 2019</t>
  </si>
  <si>
    <t>121/SF/JL/19</t>
  </si>
  <si>
    <t>41,709 m³</t>
  </si>
  <si>
    <t>122/SF/JL/19</t>
  </si>
  <si>
    <t>36,103 m³</t>
  </si>
  <si>
    <t>123/SF/JL/19</t>
  </si>
  <si>
    <t>40,371 m³</t>
  </si>
  <si>
    <t>124/SF/JL/19</t>
  </si>
  <si>
    <t>39,995 m³</t>
  </si>
  <si>
    <t>125/SF/JL/19</t>
  </si>
  <si>
    <t>20 Juil 2019</t>
  </si>
  <si>
    <t>126/SF/JL/19</t>
  </si>
  <si>
    <t>29 Juil 2019</t>
  </si>
  <si>
    <t>127/SF/JL/19</t>
  </si>
  <si>
    <t>42,318 m³</t>
  </si>
  <si>
    <t>128/SF/JL/19</t>
  </si>
  <si>
    <t>41,021 m³</t>
  </si>
  <si>
    <t>30 Juil 2019</t>
  </si>
  <si>
    <t>129/SF/JL/19</t>
  </si>
  <si>
    <t>AT</t>
  </si>
  <si>
    <t>06 Août 2019</t>
  </si>
  <si>
    <t>41,585 m³</t>
  </si>
  <si>
    <t>130/SF/JL/19</t>
  </si>
  <si>
    <t>35,039 m³</t>
  </si>
  <si>
    <t>131/SF/JL/19</t>
  </si>
  <si>
    <t>132/SF/AT/19</t>
  </si>
  <si>
    <t>37,878 m³</t>
  </si>
  <si>
    <t>133/SF/AT/19</t>
  </si>
  <si>
    <t>30,565 m³</t>
  </si>
  <si>
    <t>24 Août 2019</t>
  </si>
  <si>
    <t>134/SF/AT/19</t>
  </si>
  <si>
    <t>35,190 m³</t>
  </si>
  <si>
    <t>135/SF/AT/19</t>
  </si>
  <si>
    <t>39,917 m³</t>
  </si>
  <si>
    <t>136/SF/AT/19</t>
  </si>
  <si>
    <t>42,032 m³</t>
  </si>
  <si>
    <t>137/SF/AT/19</t>
  </si>
  <si>
    <t>40,793 m³</t>
  </si>
  <si>
    <t>138/SF/AT/19</t>
  </si>
  <si>
    <t>38,235 m³</t>
  </si>
  <si>
    <t>139/SF/AT/19</t>
  </si>
  <si>
    <t>36,538 m³</t>
  </si>
  <si>
    <t>30 Août 2019</t>
  </si>
  <si>
    <t>140/SF/AT/19</t>
  </si>
  <si>
    <t>39,964 m³</t>
  </si>
  <si>
    <t>141/SF/AT/19</t>
  </si>
  <si>
    <t>44,162 m³</t>
  </si>
  <si>
    <t>SP</t>
  </si>
  <si>
    <t>42,841 m³</t>
  </si>
  <si>
    <t>142/SF/AT/19</t>
  </si>
  <si>
    <t>42,536 m³</t>
  </si>
  <si>
    <t>143/SF/AT/19</t>
  </si>
  <si>
    <t>144/SF/SP/19</t>
  </si>
  <si>
    <t>46,314 m³</t>
  </si>
  <si>
    <t>145/SF/SP/19</t>
  </si>
  <si>
    <t>33,226 m³</t>
  </si>
  <si>
    <t>146/SF/SP/19</t>
  </si>
  <si>
    <t>45,293 m³</t>
  </si>
  <si>
    <t>147/SF/SP/19</t>
  </si>
  <si>
    <t>41,556 m³</t>
  </si>
  <si>
    <t>148/SF/SP/19</t>
  </si>
  <si>
    <t>44,017 m³</t>
  </si>
  <si>
    <t>149/SF/SP/19</t>
  </si>
  <si>
    <t>40,393 m³</t>
  </si>
  <si>
    <t>150/SF/SP/19</t>
  </si>
  <si>
    <t>41,246 m³</t>
  </si>
  <si>
    <t>151/SF/SP/19</t>
  </si>
  <si>
    <t>152/SF/SP/19</t>
  </si>
  <si>
    <t>Déconnecté le : 07/10/2019 14:51:29</t>
  </si>
  <si>
    <t>40,648 m³</t>
  </si>
  <si>
    <t>153/SF/SP/19</t>
  </si>
  <si>
    <t>39,785 m³</t>
  </si>
  <si>
    <t>154/SF/SP/19</t>
  </si>
  <si>
    <t>OT</t>
  </si>
  <si>
    <t>42,583 m³</t>
  </si>
  <si>
    <t>155/SF/SP/19</t>
  </si>
  <si>
    <t>156/SF/SP/19</t>
  </si>
  <si>
    <t>157/SF/OT/19</t>
  </si>
  <si>
    <t>31,280 m³</t>
  </si>
  <si>
    <t>158/SF/OT/19</t>
  </si>
  <si>
    <t>159/SF/OT/19</t>
  </si>
  <si>
    <t>160/SF/OT/19</t>
  </si>
  <si>
    <t>38,361 m³</t>
  </si>
  <si>
    <t>161/SF/OT/19</t>
  </si>
  <si>
    <t>162/SF/OT/19</t>
  </si>
  <si>
    <t>163/SF/OT/19</t>
  </si>
  <si>
    <t>164/SF/OT/19</t>
  </si>
  <si>
    <t>165/SF/OT/19</t>
  </si>
  <si>
    <t>166/SF/OT/19</t>
  </si>
  <si>
    <t>41,190 m³</t>
  </si>
  <si>
    <t>167/SF/OT/19</t>
  </si>
  <si>
    <t>Dernier login le : 27/10/2019 à : 12:37:14</t>
  </si>
  <si>
    <t>168/SF/OT/19</t>
  </si>
  <si>
    <t>169/SF/OT/19</t>
  </si>
  <si>
    <t>NV</t>
  </si>
  <si>
    <t>37,577 m³</t>
  </si>
  <si>
    <t>170/SF/OT/19</t>
  </si>
  <si>
    <t>171/SF/NV/19</t>
  </si>
  <si>
    <t>Dernier login le : 07/11/2019 à : 11:18:51</t>
  </si>
  <si>
    <t>172/SF/NV/19</t>
  </si>
  <si>
    <t>41,952 m³</t>
  </si>
  <si>
    <t>173/SF/NV/19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</si>
</sst>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6">
    <numFmt numFmtId="164" formatCode="_(* #,##0.00_);_(* \(#,##0.00\);_(* &quot;-&quot;??_);_(@_)"/>
    <numFmt numFmtId="165" formatCode="0000000"/>
    <numFmt numFmtId="166" formatCode="#,##0.000_ ;\-#,##0.000\ "/>
    <numFmt numFmtId="167" formatCode="_-* #,##0\ _€_-;\-* #,##0\ _€_-;_-* &quot;-&quot;??\ _€_-;_-@_-"/>
    <numFmt numFmtId="168" formatCode="00"/>
    <numFmt numFmtId="169" formatCode="00000000"/>
    <numFmt numFmtId="170" formatCode="_(* #,##0_);_(* \(#,##0\);_(* &quot;-&quot;??_);_(@_)"/>
    <numFmt numFmtId="171" formatCode="[$-40C]dd\ mmmm\ yyyy;@"/>
    <numFmt numFmtId="172" formatCode="dddd"/>
    <numFmt numFmtId="173" formatCode="d"/>
    <numFmt numFmtId="174" formatCode="mmmm"/>
    <numFmt numFmtId="175" formatCode="0.000"/>
    <numFmt numFmtId="176" formatCode="#,##0_ ;[Red]\-#,##0\ "/>
    <numFmt numFmtId="177" formatCode="[$-F400]h:mm:ss\ AM/PM"/>
    <numFmt numFmtId="178" formatCode="s"/>
    <numFmt numFmtId="179" formatCode="[=0]&quot;&quot;;#,##0"/>
  </numFmts>
  <fonts count="57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0"/>
      <color theme="1"/>
      <name val="Arial Narrow"/>
      <family val="2"/>
    </font>
    <font>
      <sz val="11"/>
      <color theme="1"/>
      <name val="Arial Narrow"/>
      <family val="2"/>
    </font>
    <font>
      <i/>
      <sz val="11"/>
      <color theme="1"/>
      <name val="Arial Narrow"/>
      <family val="2"/>
    </font>
    <font>
      <b/>
      <sz val="10"/>
      <color theme="1"/>
      <name val="Arial Narrow"/>
      <family val="2"/>
    </font>
    <font>
      <b/>
      <i/>
      <sz val="22"/>
      <color theme="1"/>
      <name val="Arial Narrow"/>
      <family val="2"/>
    </font>
    <font>
      <i/>
      <sz val="9"/>
      <color theme="1"/>
      <name val="Arial Narrow"/>
      <family val="2"/>
    </font>
    <font>
      <b/>
      <i/>
      <sz val="12"/>
      <color theme="1"/>
      <name val="Arial Narrow"/>
      <family val="2"/>
    </font>
    <font>
      <b/>
      <i/>
      <sz val="14"/>
      <color theme="1"/>
      <name val="Arial Narrow"/>
      <family val="2"/>
    </font>
    <font>
      <b/>
      <i/>
      <u/>
      <sz val="10"/>
      <color theme="1"/>
      <name val="Arial Narrow"/>
      <family val="2"/>
    </font>
    <font>
      <b/>
      <i/>
      <sz val="11"/>
      <color theme="1"/>
      <name val="Arial Narrow"/>
      <family val="2"/>
    </font>
    <font>
      <b/>
      <i/>
      <sz val="10"/>
      <color theme="1"/>
      <name val="Arial Narrow"/>
      <family val="2"/>
    </font>
    <font>
      <b/>
      <sz val="11"/>
      <color theme="1"/>
      <name val="Arial Narrow"/>
      <family val="2"/>
    </font>
    <font>
      <b/>
      <i/>
      <sz val="20"/>
      <color theme="1"/>
      <name val="Arial Narrow"/>
      <family val="2"/>
    </font>
    <font>
      <b/>
      <sz val="10"/>
      <color theme="1"/>
      <name val="Times New Roman"/>
      <family val="1"/>
    </font>
    <font>
      <b/>
      <sz val="9"/>
      <color theme="1"/>
      <name val="Times New Roman"/>
      <family val="1"/>
    </font>
    <font>
      <b/>
      <i/>
      <sz val="9"/>
      <color theme="1"/>
      <name val="Times New Roman"/>
      <family val="1"/>
    </font>
    <font>
      <b/>
      <sz val="11"/>
      <color theme="1"/>
      <name val="Calibri"/>
      <family val="2"/>
      <scheme val="minor"/>
    </font>
    <font>
      <u/>
      <sz val="10"/>
      <color theme="1"/>
      <name val="Arial Narrow"/>
      <family val="2"/>
    </font>
    <font>
      <sz val="11"/>
      <color theme="1"/>
      <name val="Perpetua"/>
      <family val="1"/>
    </font>
    <font>
      <b/>
      <sz val="10"/>
      <color theme="1"/>
      <name val="Calibri"/>
      <family val="2"/>
      <scheme val="minor"/>
    </font>
    <font>
      <u/>
      <sz val="11"/>
      <color theme="1"/>
      <name val="Times New Roman"/>
      <family val="1"/>
    </font>
    <font>
      <sz val="10"/>
      <color theme="1"/>
      <name val="Times New Roman"/>
      <family val="1"/>
    </font>
    <font>
      <sz val="9"/>
      <color theme="1"/>
      <name val="Arial Narrow"/>
      <family val="2"/>
    </font>
    <font>
      <b/>
      <i/>
      <sz val="14"/>
      <color theme="0" tint="-0.499984740745262"/>
      <name val="Arial Narrow"/>
      <family val="2"/>
    </font>
    <font>
      <sz val="11"/>
      <color theme="3" tint="0.59999389629810485"/>
      <name val="Calibri"/>
      <family val="2"/>
      <scheme val="minor"/>
    </font>
    <font>
      <b/>
      <sz val="14"/>
      <color theme="1"/>
      <name val="Arial Narrow"/>
      <family val="2"/>
    </font>
    <font>
      <sz val="9"/>
      <color theme="0"/>
      <name val="Arial Narrow"/>
      <family val="2"/>
    </font>
    <font>
      <b/>
      <sz val="9"/>
      <color theme="0"/>
      <name val="Arial Narrow"/>
      <family val="2"/>
    </font>
    <font>
      <sz val="11"/>
      <color theme="0"/>
      <name val="Calibri"/>
      <family val="2"/>
      <scheme val="minor"/>
    </font>
    <font>
      <sz val="11"/>
      <color theme="5" tint="0.79998168889431442"/>
      <name val="Calibri"/>
      <family val="2"/>
      <scheme val="minor"/>
    </font>
    <font>
      <b/>
      <sz val="11"/>
      <color theme="1"/>
      <name val="Perpetua"/>
      <family val="1"/>
    </font>
    <font>
      <b/>
      <sz val="11"/>
      <color theme="4" tint="0.39997558519241921"/>
      <name val="Calibri"/>
      <family val="2"/>
      <scheme val="minor"/>
    </font>
    <font>
      <sz val="11"/>
      <color theme="4" tint="0.39997558519241921"/>
      <name val="Calibri"/>
      <family val="2"/>
      <scheme val="minor"/>
    </font>
    <font>
      <b/>
      <sz val="12"/>
      <color theme="1"/>
      <name val="Perpetua"/>
      <family val="1"/>
    </font>
    <font>
      <b/>
      <sz val="11"/>
      <color theme="0"/>
      <name val="Perpetua"/>
      <family val="1"/>
    </font>
    <font>
      <sz val="11"/>
      <color rgb="FF000000"/>
      <name val="Berlin Sans FB"/>
      <family val="2"/>
    </font>
    <font>
      <sz val="11"/>
      <color rgb="FFFFFF00"/>
      <name val="Calibri"/>
      <family val="2"/>
      <scheme val="minor"/>
    </font>
    <font>
      <sz val="8"/>
      <color theme="1"/>
      <name val="Arial Narrow"/>
      <family val="2"/>
    </font>
    <font>
      <sz val="11"/>
      <color rgb="FFFF0000"/>
      <name val="Calibri"/>
      <family val="2"/>
      <scheme val="minor"/>
    </font>
    <font>
      <sz val="9"/>
      <color theme="1"/>
      <name val="Arial"/>
      <family val="2"/>
    </font>
    <font>
      <i/>
      <sz val="10"/>
      <color theme="1"/>
      <name val="Arial Narrow"/>
      <family val="2"/>
    </font>
    <font>
      <b/>
      <sz val="8"/>
      <color rgb="FF00B050"/>
      <name val="Arial Narrow"/>
      <family val="2"/>
    </font>
    <font>
      <b/>
      <sz val="11"/>
      <color theme="0"/>
      <name val="Calibri"/>
      <family val="2"/>
      <scheme val="minor"/>
    </font>
    <font>
      <b/>
      <sz val="11"/>
      <name val="Calibri"/>
      <family val="2"/>
      <scheme val="minor"/>
    </font>
    <font>
      <sz val="11"/>
      <name val="Calibri"/>
      <family val="2"/>
      <scheme val="minor"/>
    </font>
    <font>
      <b/>
      <sz val="12"/>
      <color theme="3" tint="0.59999389629810485"/>
      <name val="Calibri"/>
      <family val="2"/>
      <scheme val="minor"/>
    </font>
    <font>
      <b/>
      <sz val="11"/>
      <color theme="1" tint="4.9989318521683403E-2"/>
      <name val="Calibri"/>
      <family val="2"/>
      <scheme val="minor"/>
    </font>
    <font>
      <sz val="11"/>
      <color theme="1" tint="4.9989318521683403E-2"/>
      <name val="Calibri"/>
      <family val="2"/>
      <scheme val="minor"/>
    </font>
    <font>
      <sz val="10"/>
      <color theme="1"/>
      <name val="Consolas"/>
      <family val="3"/>
    </font>
    <font>
      <sz val="9"/>
      <color theme="1"/>
      <name val="Agency FB"/>
      <family val="2"/>
    </font>
    <font>
      <b/>
      <sz val="20"/>
      <color rgb="FF000000"/>
      <name val="Calibri"/>
      <family val="2"/>
    </font>
    <font>
      <b/>
      <sz val="14"/>
      <color rgb="FF000000"/>
      <name val="Calibri"/>
      <family val="2"/>
    </font>
    <font>
      <b/>
      <sz val="16"/>
      <color rgb="FF000000"/>
      <name val="Calibri"/>
      <family val="2"/>
    </font>
    <font>
      <b/>
      <sz val="18"/>
      <color rgb="FF000000"/>
      <name val="Calibri"/>
      <family val="2"/>
    </font>
    <font>
      <sz val="11"/>
      <color theme="0" tint="-0.34998626667073579"/>
      <name val="Calibri"/>
      <family val="2"/>
      <scheme val="minor"/>
    </font>
  </fonts>
  <fills count="14">
    <fill>
      <patternFill patternType="none"/>
    </fill>
    <fill>
      <patternFill patternType="gray125"/>
    </fill>
    <fill>
      <patternFill patternType="solid">
        <fgColor theme="0" tint="-0.14999847407452621"/>
        <bgColor indexed="64"/>
      </patternFill>
    </fill>
    <fill>
      <patternFill patternType="solid">
        <fgColor theme="0" tint="-0.14996795556505021"/>
        <bgColor indexed="64"/>
      </patternFill>
    </fill>
    <fill>
      <patternFill patternType="solid">
        <fgColor theme="1" tint="0.499984740745262"/>
        <bgColor indexed="64"/>
      </patternFill>
    </fill>
    <fill>
      <patternFill patternType="solid">
        <fgColor theme="4" tint="0.39997558519241921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rgb="FF00B0F0"/>
        <bgColor indexed="64"/>
      </patternFill>
    </fill>
    <fill>
      <patternFill patternType="solid">
        <fgColor theme="4" tint="-0.499984740745262"/>
        <bgColor indexed="64"/>
      </patternFill>
    </fill>
    <fill>
      <patternFill patternType="solid">
        <fgColor rgb="FF92D050"/>
        <bgColor indexed="64"/>
      </patternFill>
    </fill>
    <fill>
      <patternFill patternType="solid">
        <fgColor theme="3" tint="-0.499984740745262"/>
        <bgColor indexed="64"/>
      </patternFill>
    </fill>
    <fill>
      <patternFill patternType="solid">
        <fgColor rgb="FF002060"/>
        <bgColor indexed="64"/>
      </patternFill>
    </fill>
    <fill>
      <patternFill patternType="solid">
        <fgColor theme="3" tint="0.39997558519241921"/>
        <bgColor indexed="64"/>
      </patternFill>
    </fill>
    <fill>
      <patternFill patternType="solid">
        <fgColor theme="9" tint="0.39997558519241921"/>
        <bgColor indexed="64"/>
      </patternFill>
    </fill>
  </fills>
  <borders count="52">
    <border>
      <left/>
      <right/>
      <top/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/>
      <right style="medium">
        <color indexed="64"/>
      </right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medium">
        <color auto="1"/>
      </left>
      <right style="medium">
        <color auto="1"/>
      </right>
      <top style="medium">
        <color auto="1"/>
      </top>
      <bottom style="medium">
        <color auto="1"/>
      </bottom>
      <diagonal/>
    </border>
    <border>
      <left style="medium">
        <color auto="1"/>
      </left>
      <right/>
      <top style="thin">
        <color auto="1"/>
      </top>
      <bottom style="medium">
        <color auto="1"/>
      </bottom>
      <diagonal/>
    </border>
    <border>
      <left/>
      <right style="medium">
        <color auto="1"/>
      </right>
      <top style="thin">
        <color auto="1"/>
      </top>
      <bottom style="medium">
        <color auto="1"/>
      </bottom>
      <diagonal/>
    </border>
    <border>
      <left style="medium">
        <color auto="1"/>
      </left>
      <right/>
      <top style="medium">
        <color auto="1"/>
      </top>
      <bottom style="medium">
        <color auto="1"/>
      </bottom>
      <diagonal/>
    </border>
    <border>
      <left/>
      <right style="medium">
        <color auto="1"/>
      </right>
      <top style="medium">
        <color auto="1"/>
      </top>
      <bottom style="medium">
        <color auto="1"/>
      </bottom>
      <diagonal/>
    </border>
    <border>
      <left style="thin">
        <color auto="1"/>
      </left>
      <right style="medium">
        <color auto="1"/>
      </right>
      <top style="medium">
        <color auto="1"/>
      </top>
      <bottom style="medium">
        <color auto="1"/>
      </bottom>
      <diagonal/>
    </border>
    <border>
      <left/>
      <right style="medium">
        <color auto="1"/>
      </right>
      <top/>
      <bottom style="hair">
        <color auto="1"/>
      </bottom>
      <diagonal/>
    </border>
    <border>
      <left style="medium">
        <color auto="1"/>
      </left>
      <right/>
      <top/>
      <bottom style="thin">
        <color auto="1"/>
      </bottom>
      <diagonal/>
    </border>
    <border>
      <left/>
      <right style="medium">
        <color auto="1"/>
      </right>
      <top/>
      <bottom style="thin">
        <color auto="1"/>
      </bottom>
      <diagonal/>
    </border>
    <border>
      <left style="medium">
        <color auto="1"/>
      </left>
      <right style="medium">
        <color auto="1"/>
      </right>
      <top/>
      <bottom style="medium">
        <color auto="1"/>
      </bottom>
      <diagonal/>
    </border>
    <border>
      <left style="thin">
        <color auto="1"/>
      </left>
      <right style="medium">
        <color auto="1"/>
      </right>
      <top style="hair">
        <color auto="1"/>
      </top>
      <bottom style="medium">
        <color auto="1"/>
      </bottom>
      <diagonal/>
    </border>
    <border>
      <left style="medium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  <border>
      <left style="hair">
        <color auto="1"/>
      </left>
      <right style="hair">
        <color auto="1"/>
      </right>
      <top style="hair">
        <color auto="1"/>
      </top>
      <bottom style="hair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 style="medium">
        <color indexed="64"/>
      </bottom>
      <diagonal/>
    </border>
    <border>
      <left style="medium">
        <color auto="1"/>
      </left>
      <right style="thin">
        <color auto="1"/>
      </right>
      <top style="hair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hair">
        <color auto="1"/>
      </top>
      <bottom style="thin">
        <color auto="1"/>
      </bottom>
      <diagonal/>
    </border>
    <border>
      <left style="thin">
        <color auto="1"/>
      </left>
      <right style="medium">
        <color indexed="64"/>
      </right>
      <top style="hair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medium">
        <color auto="1"/>
      </top>
      <bottom/>
      <diagonal/>
    </border>
    <border>
      <left/>
      <right style="thin">
        <color auto="1"/>
      </right>
      <top style="hair">
        <color auto="1"/>
      </top>
      <bottom style="hair">
        <color auto="1"/>
      </bottom>
      <diagonal/>
    </border>
    <border>
      <left/>
      <right style="medium">
        <color auto="1"/>
      </right>
      <top style="hair">
        <color auto="1"/>
      </top>
      <bottom style="hair">
        <color auto="1"/>
      </bottom>
      <diagonal/>
    </border>
    <border>
      <left style="medium">
        <color auto="1"/>
      </left>
      <right style="thin">
        <color auto="1"/>
      </right>
      <top style="medium">
        <color auto="1"/>
      </top>
      <bottom/>
      <diagonal/>
    </border>
    <border>
      <left style="thin">
        <color auto="1"/>
      </left>
      <right style="medium">
        <color auto="1"/>
      </right>
      <top style="medium">
        <color auto="1"/>
      </top>
      <bottom/>
      <diagonal/>
    </border>
    <border>
      <left/>
      <right style="thin">
        <color auto="1"/>
      </right>
      <top style="medium">
        <color auto="1"/>
      </top>
      <bottom/>
      <diagonal/>
    </border>
    <border>
      <left style="thin">
        <color auto="1"/>
      </left>
      <right style="medium">
        <color auto="1"/>
      </right>
      <top style="thin">
        <color auto="1"/>
      </top>
      <bottom style="thin">
        <color auto="1"/>
      </bottom>
      <diagonal/>
    </border>
    <border>
      <left style="medium">
        <color auto="1"/>
      </left>
      <right style="medium">
        <color indexed="64"/>
      </right>
      <top style="hair">
        <color auto="1"/>
      </top>
      <bottom style="medium">
        <color auto="1"/>
      </bottom>
      <diagonal/>
    </border>
    <border>
      <left style="medium">
        <color auto="1"/>
      </left>
      <right style="medium">
        <color auto="1"/>
      </right>
      <top style="hair">
        <color auto="1"/>
      </top>
      <bottom style="hair">
        <color auto="1"/>
      </bottom>
      <diagonal/>
    </border>
    <border>
      <left style="medium">
        <color auto="1"/>
      </left>
      <right style="medium">
        <color auto="1"/>
      </right>
      <top style="medium">
        <color auto="1"/>
      </top>
      <bottom/>
      <diagonal/>
    </border>
    <border>
      <left/>
      <right style="medium">
        <color auto="1"/>
      </right>
      <top style="hair">
        <color auto="1"/>
      </top>
      <bottom/>
      <diagonal/>
    </border>
    <border>
      <left/>
      <right style="thin">
        <color auto="1"/>
      </right>
      <top style="hair">
        <color auto="1"/>
      </top>
      <bottom/>
      <diagonal/>
    </border>
    <border>
      <left/>
      <right style="thin">
        <color auto="1"/>
      </right>
      <top style="thin">
        <color auto="1"/>
      </top>
      <bottom style="medium">
        <color auto="1"/>
      </bottom>
      <diagonal/>
    </border>
    <border>
      <left/>
      <right style="medium">
        <color indexed="64"/>
      </right>
      <top style="hair">
        <color auto="1"/>
      </top>
      <bottom style="medium">
        <color auto="1"/>
      </bottom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/>
      <top style="thin">
        <color indexed="64"/>
      </top>
      <bottom/>
      <diagonal/>
    </border>
    <border>
      <left style="thin">
        <color indexed="64"/>
      </left>
      <right/>
      <top/>
      <bottom/>
      <diagonal/>
    </border>
    <border>
      <left/>
      <right style="thin">
        <color indexed="64"/>
      </right>
      <top/>
      <bottom/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/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</borders>
  <cellStyleXfs count="3">
    <xf numFmtId="0" fontId="0" fillId="0" borderId="0"/>
    <xf numFmtId="164" fontId="1" fillId="0" borderId="0" applyFont="0" applyFill="0" applyBorder="0" applyAlignment="0" applyProtection="0"/>
    <xf numFmtId="164" fontId="1" fillId="0" borderId="0" applyFont="0" applyFill="0" applyBorder="0" applyAlignment="0" applyProtection="0"/>
  </cellStyleXfs>
  <cellXfs count="296">
    <xf numFmtId="0" fontId="0" fillId="0" borderId="0" xfId="0"/>
    <xf numFmtId="0" fontId="0" fillId="4" borderId="0" xfId="0" applyFill="1"/>
    <xf numFmtId="167" fontId="20" fillId="0" borderId="24" xfId="1" applyNumberFormat="1" applyFont="1" applyFill="1" applyBorder="1" applyAlignment="1">
      <alignment horizontal="left" vertical="top"/>
    </xf>
    <xf numFmtId="1" fontId="0" fillId="0" borderId="0" xfId="1" applyNumberFormat="1" applyFont="1"/>
    <xf numFmtId="0" fontId="0" fillId="0" borderId="0" xfId="0" quotePrefix="1"/>
    <xf numFmtId="167" fontId="13" fillId="0" borderId="0" xfId="1" applyNumberFormat="1" applyFont="1" applyAlignment="1" applyProtection="1">
      <alignment horizontal="right"/>
      <protection hidden="1"/>
    </xf>
    <xf numFmtId="3" fontId="5" fillId="0" borderId="18" xfId="1" applyNumberFormat="1" applyFont="1" applyBorder="1" applyProtection="1">
      <protection hidden="1"/>
    </xf>
    <xf numFmtId="3" fontId="2" fillId="0" borderId="9" xfId="1" applyNumberFormat="1" applyFont="1" applyBorder="1" applyProtection="1">
      <protection hidden="1"/>
    </xf>
    <xf numFmtId="3" fontId="11" fillId="3" borderId="14" xfId="0" applyNumberFormat="1" applyFont="1" applyFill="1" applyBorder="1" applyProtection="1">
      <protection hidden="1"/>
    </xf>
    <xf numFmtId="170" fontId="2" fillId="0" borderId="15" xfId="1" applyNumberFormat="1" applyFont="1" applyBorder="1" applyAlignment="1" applyProtection="1">
      <alignment horizontal="center" vertical="center"/>
      <protection hidden="1"/>
    </xf>
    <xf numFmtId="170" fontId="5" fillId="0" borderId="19" xfId="1" applyNumberFormat="1" applyFont="1" applyBorder="1" applyAlignment="1" applyProtection="1">
      <alignment horizontal="center" vertical="center"/>
      <protection hidden="1"/>
    </xf>
    <xf numFmtId="0" fontId="24" fillId="0" borderId="23" xfId="0" applyFont="1" applyFill="1" applyBorder="1" applyAlignment="1" applyProtection="1">
      <alignment horizontal="center" vertical="center"/>
      <protection hidden="1"/>
    </xf>
    <xf numFmtId="14" fontId="10" fillId="0" borderId="0" xfId="0" applyNumberFormat="1" applyFont="1" applyAlignment="1" applyProtection="1">
      <alignment horizontal="right"/>
      <protection hidden="1"/>
    </xf>
    <xf numFmtId="169" fontId="25" fillId="0" borderId="0" xfId="0" applyNumberFormat="1" applyFont="1" applyAlignment="1" applyProtection="1">
      <alignment horizontal="left" vertical="top"/>
      <protection hidden="1"/>
    </xf>
    <xf numFmtId="166" fontId="15" fillId="3" borderId="29" xfId="0" applyNumberFormat="1" applyFont="1" applyFill="1" applyBorder="1" applyAlignment="1" applyProtection="1">
      <alignment horizontal="center" vertical="center" wrapText="1"/>
      <protection hidden="1"/>
    </xf>
    <xf numFmtId="14" fontId="2" fillId="0" borderId="0" xfId="0" applyNumberFormat="1" applyFont="1" applyProtection="1">
      <protection locked="0"/>
    </xf>
    <xf numFmtId="0" fontId="2" fillId="0" borderId="0" xfId="0" applyFont="1" applyAlignment="1" applyProtection="1">
      <alignment horizontal="center" vertical="center"/>
      <protection locked="0"/>
    </xf>
    <xf numFmtId="165" fontId="2" fillId="0" borderId="0" xfId="0" applyNumberFormat="1" applyFont="1" applyAlignment="1" applyProtection="1">
      <alignment horizontal="center" vertical="center"/>
      <protection locked="0"/>
    </xf>
    <xf numFmtId="166" fontId="2" fillId="0" borderId="0" xfId="0" applyNumberFormat="1" applyFont="1" applyAlignment="1" applyProtection="1">
      <alignment horizontal="center" vertical="center"/>
      <protection locked="0"/>
    </xf>
    <xf numFmtId="170" fontId="2" fillId="0" borderId="0" xfId="1" applyNumberFormat="1" applyFont="1" applyProtection="1">
      <protection locked="0"/>
    </xf>
    <xf numFmtId="0" fontId="0" fillId="0" borderId="0" xfId="0" applyProtection="1">
      <protection locked="0"/>
    </xf>
    <xf numFmtId="170" fontId="0" fillId="0" borderId="0" xfId="1" applyNumberFormat="1" applyFont="1" applyProtection="1">
      <protection locked="0"/>
    </xf>
    <xf numFmtId="165" fontId="7" fillId="0" borderId="0" xfId="0" applyNumberFormat="1" applyFont="1" applyBorder="1" applyAlignment="1" applyProtection="1">
      <alignment horizontal="center" vertical="center"/>
      <protection locked="0"/>
    </xf>
    <xf numFmtId="165" fontId="8" fillId="0" borderId="0" xfId="0" applyNumberFormat="1" applyFont="1" applyAlignment="1" applyProtection="1">
      <alignment horizontal="center" vertical="center"/>
      <protection locked="0"/>
    </xf>
    <xf numFmtId="0" fontId="11" fillId="0" borderId="0" xfId="0" applyFont="1" applyAlignment="1" applyProtection="1">
      <alignment vertical="center"/>
      <protection locked="0"/>
    </xf>
    <xf numFmtId="14" fontId="0" fillId="0" borderId="0" xfId="0" applyNumberFormat="1" applyProtection="1">
      <protection locked="0"/>
    </xf>
    <xf numFmtId="169" fontId="2" fillId="0" borderId="21" xfId="0" applyNumberFormat="1" applyFont="1" applyBorder="1" applyAlignment="1" applyProtection="1">
      <alignment horizontal="center" vertical="center"/>
      <protection locked="0"/>
    </xf>
    <xf numFmtId="14" fontId="2" fillId="0" borderId="22" xfId="0" applyNumberFormat="1" applyFont="1" applyBorder="1" applyProtection="1">
      <protection locked="0"/>
    </xf>
    <xf numFmtId="169" fontId="2" fillId="0" borderId="23" xfId="0" applyNumberFormat="1" applyFont="1" applyBorder="1" applyAlignment="1" applyProtection="1">
      <alignment horizontal="center" vertical="center"/>
      <protection locked="0"/>
    </xf>
    <xf numFmtId="167" fontId="2" fillId="0" borderId="0" xfId="1" applyNumberFormat="1" applyFont="1" applyProtection="1">
      <protection locked="0"/>
    </xf>
    <xf numFmtId="0" fontId="2" fillId="0" borderId="0" xfId="0" applyFont="1" applyProtection="1">
      <protection locked="0"/>
    </xf>
    <xf numFmtId="168" fontId="2" fillId="0" borderId="0" xfId="0" applyNumberFormat="1" applyFont="1" applyProtection="1">
      <protection locked="0"/>
    </xf>
    <xf numFmtId="14" fontId="2" fillId="0" borderId="20" xfId="0" applyNumberFormat="1" applyFont="1" applyFill="1" applyBorder="1" applyProtection="1">
      <protection locked="0"/>
    </xf>
    <xf numFmtId="14" fontId="2" fillId="0" borderId="22" xfId="0" applyNumberFormat="1" applyFont="1" applyFill="1" applyBorder="1" applyProtection="1">
      <protection locked="0"/>
    </xf>
    <xf numFmtId="165" fontId="7" fillId="0" borderId="0" xfId="0" applyNumberFormat="1" applyFont="1" applyBorder="1" applyAlignment="1" applyProtection="1">
      <alignment horizontal="center" vertical="center"/>
      <protection hidden="1"/>
    </xf>
    <xf numFmtId="166" fontId="2" fillId="0" borderId="10" xfId="0" applyNumberFormat="1" applyFont="1" applyBorder="1" applyAlignment="1" applyProtection="1">
      <alignment horizontal="left" vertical="center"/>
      <protection hidden="1"/>
    </xf>
    <xf numFmtId="166" fontId="2" fillId="0" borderId="11" xfId="0" applyNumberFormat="1" applyFont="1" applyBorder="1" applyAlignment="1" applyProtection="1">
      <alignment horizontal="left" vertical="center"/>
      <protection hidden="1"/>
    </xf>
    <xf numFmtId="165" fontId="7" fillId="0" borderId="0" xfId="0" applyNumberFormat="1" applyFont="1" applyBorder="1" applyAlignment="1" applyProtection="1">
      <alignment horizontal="center" vertical="center"/>
      <protection locked="0"/>
    </xf>
    <xf numFmtId="165" fontId="4" fillId="0" borderId="0" xfId="0" applyNumberFormat="1" applyFont="1" applyAlignment="1" applyProtection="1">
      <alignment horizontal="right" vertical="center"/>
      <protection hidden="1"/>
    </xf>
    <xf numFmtId="165" fontId="2" fillId="0" borderId="0" xfId="0" applyNumberFormat="1" applyFont="1" applyAlignment="1" applyProtection="1">
      <alignment horizontal="center" vertical="center"/>
      <protection hidden="1"/>
    </xf>
    <xf numFmtId="165" fontId="8" fillId="0" borderId="0" xfId="0" applyNumberFormat="1" applyFont="1" applyAlignment="1" applyProtection="1">
      <alignment horizontal="center" vertical="center"/>
      <protection hidden="1"/>
    </xf>
    <xf numFmtId="0" fontId="25" fillId="0" borderId="0" xfId="0" applyFont="1" applyAlignment="1" applyProtection="1">
      <alignment vertical="center"/>
      <protection hidden="1"/>
    </xf>
    <xf numFmtId="0" fontId="0" fillId="0" borderId="0" xfId="0" applyProtection="1">
      <protection hidden="1"/>
    </xf>
    <xf numFmtId="0" fontId="9" fillId="0" borderId="0" xfId="0" applyFont="1" applyAlignment="1" applyProtection="1">
      <alignment vertical="center"/>
      <protection hidden="1"/>
    </xf>
    <xf numFmtId="0" fontId="11" fillId="0" borderId="0" xfId="0" applyFont="1" applyAlignment="1" applyProtection="1">
      <alignment vertical="center"/>
      <protection hidden="1"/>
    </xf>
    <xf numFmtId="166" fontId="2" fillId="0" borderId="0" xfId="0" applyNumberFormat="1" applyFont="1" applyAlignment="1" applyProtection="1">
      <alignment horizontal="center" vertical="center"/>
      <protection hidden="1"/>
    </xf>
    <xf numFmtId="0" fontId="2" fillId="0" borderId="0" xfId="0" applyFont="1" applyAlignment="1" applyProtection="1">
      <alignment horizontal="center" vertical="center"/>
      <protection hidden="1"/>
    </xf>
    <xf numFmtId="14" fontId="2" fillId="0" borderId="0" xfId="0" applyNumberFormat="1" applyFont="1" applyProtection="1">
      <protection hidden="1"/>
    </xf>
    <xf numFmtId="166" fontId="12" fillId="2" borderId="12" xfId="0" applyNumberFormat="1" applyFont="1" applyFill="1" applyBorder="1" applyAlignment="1" applyProtection="1">
      <alignment horizontal="left" vertical="center"/>
      <protection hidden="1"/>
    </xf>
    <xf numFmtId="166" fontId="12" fillId="2" borderId="13" xfId="0" applyNumberFormat="1" applyFont="1" applyFill="1" applyBorder="1" applyAlignment="1" applyProtection="1">
      <alignment horizontal="left" vertical="center"/>
      <protection hidden="1"/>
    </xf>
    <xf numFmtId="0" fontId="22" fillId="0" borderId="0" xfId="0" applyFont="1" applyProtection="1">
      <protection hidden="1"/>
    </xf>
    <xf numFmtId="0" fontId="21" fillId="0" borderId="0" xfId="0" applyFont="1" applyProtection="1">
      <protection hidden="1"/>
    </xf>
    <xf numFmtId="0" fontId="18" fillId="0" borderId="0" xfId="0" applyFont="1" applyProtection="1">
      <protection hidden="1"/>
    </xf>
    <xf numFmtId="0" fontId="0" fillId="5" borderId="0" xfId="0" applyFill="1"/>
    <xf numFmtId="14" fontId="2" fillId="0" borderId="26" xfId="0" applyNumberFormat="1" applyFont="1" applyFill="1" applyBorder="1" applyProtection="1">
      <protection locked="0"/>
    </xf>
    <xf numFmtId="170" fontId="2" fillId="0" borderId="31" xfId="1" applyNumberFormat="1" applyFont="1" applyBorder="1" applyAlignment="1" applyProtection="1">
      <alignment horizontal="center" vertical="center"/>
      <protection hidden="1"/>
    </xf>
    <xf numFmtId="14" fontId="2" fillId="0" borderId="0" xfId="0" applyNumberFormat="1" applyFont="1" applyBorder="1" applyProtection="1">
      <protection locked="0"/>
    </xf>
    <xf numFmtId="0" fontId="2" fillId="0" borderId="0" xfId="0" applyFont="1" applyBorder="1" applyAlignment="1" applyProtection="1">
      <alignment horizontal="center" vertical="center"/>
      <protection locked="0"/>
    </xf>
    <xf numFmtId="165" fontId="2" fillId="0" borderId="0" xfId="0" applyNumberFormat="1" applyFont="1" applyBorder="1" applyAlignment="1" applyProtection="1">
      <alignment horizontal="center" vertical="center"/>
      <protection locked="0"/>
    </xf>
    <xf numFmtId="3" fontId="2" fillId="0" borderId="0" xfId="0" applyNumberFormat="1" applyFont="1" applyBorder="1" applyProtection="1">
      <protection locked="0"/>
    </xf>
    <xf numFmtId="170" fontId="5" fillId="0" borderId="0" xfId="1" applyNumberFormat="1" applyFont="1" applyBorder="1" applyProtection="1">
      <protection locked="0"/>
    </xf>
    <xf numFmtId="0" fontId="2" fillId="0" borderId="0" xfId="0" applyFont="1" applyBorder="1" applyProtection="1">
      <protection locked="0"/>
    </xf>
    <xf numFmtId="170" fontId="2" fillId="0" borderId="0" xfId="1" applyNumberFormat="1" applyFont="1" applyBorder="1" applyProtection="1">
      <protection locked="0"/>
    </xf>
    <xf numFmtId="167" fontId="2" fillId="0" borderId="0" xfId="1" applyNumberFormat="1" applyFont="1" applyBorder="1" applyProtection="1">
      <protection locked="0"/>
    </xf>
    <xf numFmtId="14" fontId="23" fillId="0" borderId="0" xfId="0" applyNumberFormat="1" applyFont="1" applyBorder="1" applyProtection="1">
      <protection locked="0"/>
    </xf>
    <xf numFmtId="14" fontId="3" fillId="0" borderId="0" xfId="0" applyNumberFormat="1" applyFont="1" applyBorder="1" applyProtection="1">
      <protection locked="0"/>
    </xf>
    <xf numFmtId="14" fontId="19" fillId="0" borderId="0" xfId="0" applyNumberFormat="1" applyFont="1" applyBorder="1" applyProtection="1">
      <protection hidden="1"/>
    </xf>
    <xf numFmtId="14" fontId="15" fillId="3" borderId="32" xfId="0" applyNumberFormat="1" applyFont="1" applyFill="1" applyBorder="1" applyAlignment="1" applyProtection="1">
      <alignment horizontal="center" vertical="center"/>
      <protection hidden="1"/>
    </xf>
    <xf numFmtId="0" fontId="15" fillId="3" borderId="29" xfId="0" applyFont="1" applyFill="1" applyBorder="1" applyAlignment="1" applyProtection="1">
      <alignment horizontal="center" vertical="center"/>
      <protection hidden="1"/>
    </xf>
    <xf numFmtId="165" fontId="15" fillId="3" borderId="29" xfId="0" applyNumberFormat="1" applyFont="1" applyFill="1" applyBorder="1" applyAlignment="1" applyProtection="1">
      <alignment horizontal="center" vertical="center" wrapText="1"/>
      <protection hidden="1"/>
    </xf>
    <xf numFmtId="167" fontId="15" fillId="3" borderId="33" xfId="1" applyNumberFormat="1" applyFont="1" applyFill="1" applyBorder="1" applyAlignment="1" applyProtection="1">
      <alignment horizontal="center" vertical="center"/>
      <protection hidden="1"/>
    </xf>
    <xf numFmtId="0" fontId="15" fillId="3" borderId="34" xfId="0" applyFont="1" applyFill="1" applyBorder="1" applyAlignment="1" applyProtection="1">
      <alignment horizontal="center" vertical="center"/>
      <protection hidden="1"/>
    </xf>
    <xf numFmtId="170" fontId="15" fillId="3" borderId="33" xfId="1" applyNumberFormat="1" applyFont="1" applyFill="1" applyBorder="1" applyAlignment="1" applyProtection="1">
      <alignment horizontal="center" vertical="center"/>
      <protection hidden="1"/>
    </xf>
    <xf numFmtId="14" fontId="21" fillId="0" borderId="0" xfId="0" applyNumberFormat="1" applyFont="1" applyBorder="1" applyProtection="1">
      <protection hidden="1"/>
    </xf>
    <xf numFmtId="0" fontId="12" fillId="0" borderId="0" xfId="0" applyFont="1" applyBorder="1" applyAlignment="1" applyProtection="1">
      <alignment horizontal="center" vertical="center"/>
      <protection locked="0"/>
    </xf>
    <xf numFmtId="14" fontId="5" fillId="0" borderId="0" xfId="0" applyNumberFormat="1" applyFont="1" applyBorder="1" applyProtection="1">
      <protection locked="0"/>
    </xf>
    <xf numFmtId="165" fontId="12" fillId="0" borderId="0" xfId="0" applyNumberFormat="1" applyFont="1" applyBorder="1" applyAlignment="1" applyProtection="1">
      <alignment horizontal="center" vertical="center"/>
      <protection locked="0"/>
    </xf>
    <xf numFmtId="167" fontId="12" fillId="0" borderId="0" xfId="1" applyNumberFormat="1" applyFont="1" applyBorder="1" applyProtection="1">
      <protection locked="0"/>
    </xf>
    <xf numFmtId="0" fontId="0" fillId="0" borderId="0" xfId="0" applyBorder="1" applyProtection="1">
      <protection locked="0"/>
    </xf>
    <xf numFmtId="0" fontId="2" fillId="0" borderId="23" xfId="0" applyFont="1" applyBorder="1" applyAlignment="1" applyProtection="1">
      <alignment horizontal="center" vertical="center"/>
      <protection hidden="1"/>
    </xf>
    <xf numFmtId="165" fontId="15" fillId="3" borderId="34" xfId="0" applyNumberFormat="1" applyFont="1" applyFill="1" applyBorder="1" applyAlignment="1" applyProtection="1">
      <alignment horizontal="center" vertical="center" wrapText="1"/>
      <protection hidden="1"/>
    </xf>
    <xf numFmtId="3" fontId="15" fillId="3" borderId="3" xfId="1" applyNumberFormat="1" applyFont="1" applyFill="1" applyBorder="1" applyAlignment="1" applyProtection="1">
      <alignment horizontal="center" vertical="center"/>
      <protection hidden="1"/>
    </xf>
    <xf numFmtId="0" fontId="2" fillId="0" borderId="27" xfId="0" applyFont="1" applyBorder="1" applyAlignment="1" applyProtection="1">
      <alignment horizontal="center" vertical="center"/>
      <protection hidden="1"/>
    </xf>
    <xf numFmtId="0" fontId="2" fillId="0" borderId="21" xfId="0" applyFont="1" applyBorder="1" applyAlignment="1" applyProtection="1">
      <alignment horizontal="center" vertical="center"/>
      <protection hidden="1"/>
    </xf>
    <xf numFmtId="0" fontId="9" fillId="0" borderId="0" xfId="0" quotePrefix="1" applyFont="1" applyAlignment="1" applyProtection="1">
      <alignment vertical="center"/>
      <protection locked="0"/>
    </xf>
    <xf numFmtId="0" fontId="0" fillId="7" borderId="0" xfId="0" quotePrefix="1" applyFill="1"/>
    <xf numFmtId="0" fontId="0" fillId="0" borderId="0" xfId="0" applyBorder="1"/>
    <xf numFmtId="0" fontId="24" fillId="0" borderId="27" xfId="0" applyFont="1" applyFill="1" applyBorder="1" applyAlignment="1" applyProtection="1">
      <alignment horizontal="center" vertical="center"/>
      <protection hidden="1"/>
    </xf>
    <xf numFmtId="21" fontId="26" fillId="5" borderId="0" xfId="0" applyNumberFormat="1" applyFont="1" applyFill="1"/>
    <xf numFmtId="166" fontId="2" fillId="0" borderId="16" xfId="0" applyNumberFormat="1" applyFont="1" applyBorder="1" applyAlignment="1" applyProtection="1">
      <alignment horizontal="left" vertical="center"/>
      <protection hidden="1"/>
    </xf>
    <xf numFmtId="166" fontId="2" fillId="0" borderId="17" xfId="0" applyNumberFormat="1" applyFont="1" applyBorder="1" applyAlignment="1" applyProtection="1">
      <alignment horizontal="left" vertical="center"/>
      <protection hidden="1"/>
    </xf>
    <xf numFmtId="14" fontId="2" fillId="0" borderId="26" xfId="0" applyNumberFormat="1" applyFont="1" applyBorder="1" applyProtection="1">
      <protection locked="0"/>
    </xf>
    <xf numFmtId="169" fontId="2" fillId="0" borderId="27" xfId="0" applyNumberFormat="1" applyFont="1" applyBorder="1" applyAlignment="1" applyProtection="1">
      <alignment horizontal="center" vertical="center"/>
      <protection locked="0"/>
    </xf>
    <xf numFmtId="3" fontId="2" fillId="0" borderId="28" xfId="1" applyNumberFormat="1" applyFont="1" applyBorder="1" applyProtection="1"/>
    <xf numFmtId="3" fontId="2" fillId="0" borderId="25" xfId="1" applyNumberFormat="1" applyFont="1" applyBorder="1" applyProtection="1"/>
    <xf numFmtId="165" fontId="16" fillId="3" borderId="34" xfId="0" applyNumberFormat="1" applyFont="1" applyFill="1" applyBorder="1" applyAlignment="1" applyProtection="1">
      <alignment horizontal="center" vertical="center" wrapText="1"/>
      <protection hidden="1"/>
    </xf>
    <xf numFmtId="0" fontId="0" fillId="0" borderId="0" xfId="1" applyNumberFormat="1" applyFont="1" applyAlignment="1" applyProtection="1">
      <alignment horizontal="center" vertical="center"/>
      <protection locked="0"/>
    </xf>
    <xf numFmtId="0" fontId="2" fillId="0" borderId="0" xfId="1" applyNumberFormat="1" applyFont="1" applyAlignment="1" applyProtection="1">
      <alignment horizontal="center" vertical="center"/>
      <protection locked="0"/>
    </xf>
    <xf numFmtId="0" fontId="5" fillId="0" borderId="0" xfId="1" applyNumberFormat="1" applyFont="1" applyBorder="1" applyAlignment="1" applyProtection="1">
      <alignment horizontal="center" vertical="center"/>
      <protection locked="0"/>
    </xf>
    <xf numFmtId="0" fontId="2" fillId="0" borderId="0" xfId="1" applyNumberFormat="1" applyFont="1" applyBorder="1" applyAlignment="1" applyProtection="1">
      <alignment horizontal="center" vertical="center"/>
      <protection locked="0"/>
    </xf>
    <xf numFmtId="20" fontId="0" fillId="0" borderId="0" xfId="0" applyNumberFormat="1" applyProtection="1">
      <protection locked="0"/>
    </xf>
    <xf numFmtId="169" fontId="27" fillId="0" borderId="0" xfId="0" applyNumberFormat="1" applyFont="1" applyAlignment="1" applyProtection="1">
      <alignment vertical="center"/>
      <protection hidden="1"/>
    </xf>
    <xf numFmtId="165" fontId="27" fillId="0" borderId="0" xfId="0" applyNumberFormat="1" applyFont="1" applyAlignment="1" applyProtection="1">
      <alignment horizontal="center" vertical="center"/>
      <protection hidden="1"/>
    </xf>
    <xf numFmtId="170" fontId="2" fillId="0" borderId="23" xfId="1" applyNumberFormat="1" applyFont="1" applyBorder="1" applyAlignment="1" applyProtection="1">
      <alignment horizontal="left" vertical="center"/>
      <protection hidden="1"/>
    </xf>
    <xf numFmtId="1" fontId="0" fillId="0" borderId="0" xfId="0" applyNumberFormat="1" applyProtection="1">
      <protection locked="0"/>
    </xf>
    <xf numFmtId="169" fontId="2" fillId="0" borderId="27" xfId="0" applyNumberFormat="1" applyFont="1" applyFill="1" applyBorder="1" applyAlignment="1" applyProtection="1">
      <alignment horizontal="center" vertical="center"/>
      <protection locked="0"/>
    </xf>
    <xf numFmtId="169" fontId="2" fillId="0" borderId="21" xfId="0" applyNumberFormat="1" applyFont="1" applyFill="1" applyBorder="1" applyAlignment="1" applyProtection="1">
      <alignment horizontal="center" vertical="center"/>
      <protection locked="0"/>
    </xf>
    <xf numFmtId="169" fontId="2" fillId="0" borderId="23" xfId="0" applyNumberFormat="1" applyFont="1" applyFill="1" applyBorder="1" applyAlignment="1" applyProtection="1">
      <alignment horizontal="center" vertical="center"/>
      <protection locked="0"/>
    </xf>
    <xf numFmtId="0" fontId="28" fillId="8" borderId="0" xfId="0" applyFont="1" applyFill="1"/>
    <xf numFmtId="0" fontId="29" fillId="8" borderId="0" xfId="0" applyFont="1" applyFill="1" applyAlignment="1">
      <alignment horizontal="center"/>
    </xf>
    <xf numFmtId="165" fontId="15" fillId="3" borderId="38" xfId="0" applyNumberFormat="1" applyFont="1" applyFill="1" applyBorder="1" applyAlignment="1" applyProtection="1">
      <alignment horizontal="center" vertical="center" wrapText="1"/>
      <protection hidden="1"/>
    </xf>
    <xf numFmtId="0" fontId="30" fillId="5" borderId="0" xfId="0" applyFont="1" applyFill="1"/>
    <xf numFmtId="0" fontId="31" fillId="5" borderId="0" xfId="0" applyFont="1" applyFill="1"/>
    <xf numFmtId="170" fontId="2" fillId="0" borderId="30" xfId="1" quotePrefix="1" applyNumberFormat="1" applyFont="1" applyBorder="1" applyAlignment="1" applyProtection="1">
      <alignment horizontal="center" vertical="center"/>
      <protection hidden="1"/>
    </xf>
    <xf numFmtId="0" fontId="20" fillId="0" borderId="0" xfId="0" applyFont="1"/>
    <xf numFmtId="0" fontId="32" fillId="0" borderId="0" xfId="0" applyFont="1"/>
    <xf numFmtId="176" fontId="20" fillId="0" borderId="0" xfId="1" applyNumberFormat="1" applyFont="1"/>
    <xf numFmtId="1" fontId="0" fillId="0" borderId="0" xfId="0" applyNumberFormat="1" applyBorder="1" applyProtection="1">
      <protection locked="0"/>
    </xf>
    <xf numFmtId="0" fontId="30" fillId="0" borderId="0" xfId="0" applyFont="1"/>
    <xf numFmtId="14" fontId="30" fillId="0" borderId="0" xfId="0" applyNumberFormat="1" applyFont="1"/>
    <xf numFmtId="0" fontId="30" fillId="0" borderId="0" xfId="0" quotePrefix="1" applyFont="1"/>
    <xf numFmtId="0" fontId="30" fillId="6" borderId="0" xfId="0" applyFont="1" applyFill="1"/>
    <xf numFmtId="170" fontId="2" fillId="0" borderId="40" xfId="1" quotePrefix="1" applyNumberFormat="1" applyFont="1" applyBorder="1" applyAlignment="1" applyProtection="1">
      <alignment horizontal="center" vertical="center"/>
      <protection hidden="1"/>
    </xf>
    <xf numFmtId="170" fontId="2" fillId="0" borderId="41" xfId="1" quotePrefix="1" applyNumberFormat="1" applyFont="1" applyBorder="1" applyAlignment="1" applyProtection="1">
      <alignment horizontal="center" vertical="center"/>
      <protection hidden="1"/>
    </xf>
    <xf numFmtId="0" fontId="5" fillId="0" borderId="31" xfId="1" applyNumberFormat="1" applyFont="1" applyBorder="1" applyAlignment="1" applyProtection="1">
      <alignment horizontal="center" vertical="center"/>
      <protection hidden="1"/>
    </xf>
    <xf numFmtId="0" fontId="5" fillId="0" borderId="36" xfId="1" applyNumberFormat="1" applyFont="1" applyBorder="1" applyAlignment="1" applyProtection="1">
      <alignment horizontal="center" vertical="center"/>
      <protection hidden="1"/>
    </xf>
    <xf numFmtId="14" fontId="0" fillId="0" borderId="0" xfId="0" applyNumberFormat="1" applyProtection="1">
      <protection locked="0"/>
    </xf>
    <xf numFmtId="0" fontId="18" fillId="0" borderId="0" xfId="1" applyNumberFormat="1" applyFont="1" applyAlignment="1" applyProtection="1">
      <alignment horizontal="center" vertical="center"/>
      <protection locked="0"/>
    </xf>
    <xf numFmtId="0" fontId="5" fillId="0" borderId="0" xfId="1" applyNumberFormat="1" applyFont="1" applyAlignment="1" applyProtection="1">
      <alignment horizontal="center" vertical="center"/>
      <protection locked="0"/>
    </xf>
    <xf numFmtId="0" fontId="5" fillId="0" borderId="37" xfId="1" applyNumberFormat="1" applyFont="1" applyBorder="1" applyAlignment="1" applyProtection="1">
      <alignment horizontal="center" vertical="center"/>
    </xf>
    <xf numFmtId="14" fontId="18" fillId="0" borderId="0" xfId="1" applyNumberFormat="1" applyFont="1" applyAlignment="1" applyProtection="1">
      <alignment horizontal="center" vertical="center"/>
      <protection locked="0"/>
    </xf>
    <xf numFmtId="14" fontId="5" fillId="0" borderId="0" xfId="1" applyNumberFormat="1" applyFont="1" applyAlignment="1" applyProtection="1">
      <alignment horizontal="center" vertical="center"/>
      <protection locked="0"/>
    </xf>
    <xf numFmtId="14" fontId="15" fillId="3" borderId="38" xfId="0" applyNumberFormat="1" applyFont="1" applyFill="1" applyBorder="1" applyAlignment="1" applyProtection="1">
      <alignment horizontal="center" vertical="center" wrapText="1"/>
      <protection hidden="1"/>
    </xf>
    <xf numFmtId="14" fontId="5" fillId="0" borderId="37" xfId="1" applyNumberFormat="1" applyFont="1" applyBorder="1" applyAlignment="1" applyProtection="1">
      <alignment horizontal="center" vertical="center"/>
    </xf>
    <xf numFmtId="14" fontId="5" fillId="0" borderId="0" xfId="1" applyNumberFormat="1" applyFont="1" applyBorder="1" applyAlignment="1" applyProtection="1">
      <alignment horizontal="center" vertical="center"/>
      <protection locked="0"/>
    </xf>
    <xf numFmtId="0" fontId="18" fillId="0" borderId="0" xfId="0" applyFont="1"/>
    <xf numFmtId="0" fontId="29" fillId="8" borderId="0" xfId="0" applyFont="1" applyFill="1"/>
    <xf numFmtId="14" fontId="0" fillId="0" borderId="0" xfId="0" applyNumberFormat="1"/>
    <xf numFmtId="14" fontId="5" fillId="0" borderId="36" xfId="1" applyNumberFormat="1" applyFont="1" applyBorder="1" applyAlignment="1" applyProtection="1">
      <alignment horizontal="center" vertical="center"/>
    </xf>
    <xf numFmtId="0" fontId="5" fillId="0" borderId="36" xfId="1" applyNumberFormat="1" applyFont="1" applyBorder="1" applyAlignment="1" applyProtection="1">
      <alignment horizontal="center" vertical="center"/>
    </xf>
    <xf numFmtId="0" fontId="0" fillId="9" borderId="0" xfId="0" applyFill="1"/>
    <xf numFmtId="14" fontId="5" fillId="0" borderId="31" xfId="1" applyNumberFormat="1" applyFont="1" applyBorder="1" applyAlignment="1" applyProtection="1">
      <alignment horizontal="center" vertical="center"/>
    </xf>
    <xf numFmtId="14" fontId="5" fillId="0" borderId="42" xfId="1" applyNumberFormat="1" applyFont="1" applyBorder="1" applyAlignment="1" applyProtection="1">
      <alignment horizontal="center" vertical="center"/>
    </xf>
    <xf numFmtId="0" fontId="5" fillId="0" borderId="0" xfId="1" applyNumberFormat="1" applyFont="1" applyAlignment="1" applyProtection="1">
      <alignment horizontal="center" vertical="center"/>
      <protection hidden="1"/>
    </xf>
    <xf numFmtId="166" fontId="30" fillId="0" borderId="0" xfId="1" applyNumberFormat="1" applyFont="1" applyAlignment="1" applyProtection="1">
      <alignment horizontal="center" vertical="center"/>
    </xf>
    <xf numFmtId="0" fontId="5" fillId="0" borderId="37" xfId="1" applyNumberFormat="1" applyFont="1" applyBorder="1" applyAlignment="1" applyProtection="1">
      <alignment horizontal="left" vertical="center"/>
    </xf>
    <xf numFmtId="0" fontId="5" fillId="0" borderId="37" xfId="1" applyNumberFormat="1" applyFont="1" applyBorder="1" applyAlignment="1" applyProtection="1">
      <alignment horizontal="left" vertical="center"/>
      <protection hidden="1"/>
    </xf>
    <xf numFmtId="0" fontId="5" fillId="0" borderId="36" xfId="1" applyNumberFormat="1" applyFont="1" applyBorder="1" applyAlignment="1" applyProtection="1">
      <alignment horizontal="left" vertical="center"/>
      <protection hidden="1"/>
    </xf>
    <xf numFmtId="170" fontId="2" fillId="0" borderId="27" xfId="1" applyNumberFormat="1" applyFont="1" applyBorder="1" applyAlignment="1" applyProtection="1">
      <alignment horizontal="left" vertical="center"/>
      <protection hidden="1"/>
    </xf>
    <xf numFmtId="0" fontId="33" fillId="5" borderId="0" xfId="0" applyFont="1" applyFill="1"/>
    <xf numFmtId="0" fontId="34" fillId="5" borderId="0" xfId="0" applyFont="1" applyFill="1"/>
    <xf numFmtId="0" fontId="35" fillId="0" borderId="0" xfId="0" applyFont="1"/>
    <xf numFmtId="14" fontId="20" fillId="0" borderId="0" xfId="0" applyNumberFormat="1" applyFont="1"/>
    <xf numFmtId="170" fontId="32" fillId="2" borderId="0" xfId="1" applyNumberFormat="1" applyFont="1" applyFill="1" applyAlignment="1">
      <alignment horizontal="right"/>
    </xf>
    <xf numFmtId="170" fontId="35" fillId="0" borderId="0" xfId="1" applyNumberFormat="1" applyFont="1" applyFill="1" applyAlignment="1">
      <alignment horizontal="right"/>
    </xf>
    <xf numFmtId="0" fontId="35" fillId="0" borderId="0" xfId="0" applyFont="1" applyAlignment="1">
      <alignment horizontal="center"/>
    </xf>
    <xf numFmtId="0" fontId="32" fillId="0" borderId="0" xfId="0" applyFont="1" applyAlignment="1">
      <alignment horizontal="center"/>
    </xf>
    <xf numFmtId="0" fontId="20" fillId="0" borderId="0" xfId="0" applyFont="1" applyAlignment="1">
      <alignment horizontal="center"/>
    </xf>
    <xf numFmtId="0" fontId="35" fillId="0" borderId="0" xfId="0" applyFont="1" applyAlignment="1">
      <alignment horizontal="center" vertical="center"/>
    </xf>
    <xf numFmtId="0" fontId="35" fillId="0" borderId="0" xfId="0" applyNumberFormat="1" applyFont="1" applyAlignment="1">
      <alignment horizontal="center" vertical="center"/>
    </xf>
    <xf numFmtId="0" fontId="20" fillId="0" borderId="0" xfId="0" applyFont="1" applyAlignment="1">
      <alignment horizontal="center" vertical="center"/>
    </xf>
    <xf numFmtId="0" fontId="20" fillId="0" borderId="0" xfId="0" applyNumberFormat="1" applyFont="1" applyAlignment="1">
      <alignment horizontal="center" vertical="center"/>
    </xf>
    <xf numFmtId="0" fontId="20" fillId="0" borderId="0" xfId="1" applyNumberFormat="1" applyFont="1" applyAlignment="1">
      <alignment horizontal="center" vertical="center"/>
    </xf>
    <xf numFmtId="176" fontId="20" fillId="0" borderId="0" xfId="1" applyNumberFormat="1" applyFont="1" applyAlignment="1">
      <alignment horizontal="center" vertical="center"/>
    </xf>
    <xf numFmtId="14" fontId="36" fillId="10" borderId="0" xfId="0" applyNumberFormat="1" applyFont="1" applyFill="1" applyAlignment="1">
      <alignment horizontal="center"/>
    </xf>
    <xf numFmtId="0" fontId="36" fillId="10" borderId="0" xfId="0" applyFont="1" applyFill="1" applyAlignment="1">
      <alignment horizontal="center"/>
    </xf>
    <xf numFmtId="170" fontId="36" fillId="10" borderId="0" xfId="1" applyNumberFormat="1" applyFont="1" applyFill="1" applyAlignment="1">
      <alignment horizontal="center"/>
    </xf>
    <xf numFmtId="0" fontId="36" fillId="10" borderId="0" xfId="0" applyFont="1" applyFill="1" applyAlignment="1">
      <alignment horizontal="center" vertical="center"/>
    </xf>
    <xf numFmtId="0" fontId="36" fillId="10" borderId="0" xfId="0" applyNumberFormat="1" applyFont="1" applyFill="1" applyAlignment="1">
      <alignment horizontal="center" vertical="center"/>
    </xf>
    <xf numFmtId="165" fontId="2" fillId="0" borderId="27" xfId="0" applyNumberFormat="1" applyFont="1" applyFill="1" applyBorder="1" applyAlignment="1" applyProtection="1">
      <alignment horizontal="left" vertical="center"/>
      <protection locked="0"/>
    </xf>
    <xf numFmtId="165" fontId="2" fillId="0" borderId="21" xfId="0" applyNumberFormat="1" applyFont="1" applyFill="1" applyBorder="1" applyAlignment="1" applyProtection="1">
      <alignment horizontal="left" vertical="center"/>
      <protection locked="0"/>
    </xf>
    <xf numFmtId="165" fontId="2" fillId="0" borderId="21" xfId="0" applyNumberFormat="1" applyFont="1" applyBorder="1" applyAlignment="1" applyProtection="1">
      <alignment horizontal="left" vertical="center"/>
      <protection locked="0"/>
    </xf>
    <xf numFmtId="165" fontId="2" fillId="0" borderId="23" xfId="0" applyNumberFormat="1" applyFont="1" applyFill="1" applyBorder="1" applyAlignment="1" applyProtection="1">
      <alignment horizontal="left" vertical="center"/>
      <protection locked="0"/>
    </xf>
    <xf numFmtId="0" fontId="38" fillId="5" borderId="0" xfId="0" applyFont="1" applyFill="1"/>
    <xf numFmtId="14" fontId="20" fillId="0" borderId="0" xfId="0" applyNumberFormat="1" applyFont="1" applyAlignment="1">
      <alignment horizontal="center" vertical="center"/>
    </xf>
    <xf numFmtId="170" fontId="20" fillId="2" borderId="0" xfId="1" applyNumberFormat="1" applyFont="1" applyFill="1" applyAlignment="1">
      <alignment horizontal="right"/>
    </xf>
    <xf numFmtId="14" fontId="35" fillId="0" borderId="0" xfId="0" applyNumberFormat="1" applyFont="1" applyAlignment="1">
      <alignment horizontal="left" vertical="center"/>
    </xf>
    <xf numFmtId="14" fontId="36" fillId="10" borderId="43" xfId="0" applyNumberFormat="1" applyFont="1" applyFill="1" applyBorder="1" applyAlignment="1">
      <alignment horizontal="center"/>
    </xf>
    <xf numFmtId="0" fontId="36" fillId="10" borderId="44" xfId="0" applyFont="1" applyFill="1" applyBorder="1" applyAlignment="1">
      <alignment horizontal="center"/>
    </xf>
    <xf numFmtId="14" fontId="20" fillId="0" borderId="45" xfId="0" applyNumberFormat="1" applyFont="1" applyBorder="1"/>
    <xf numFmtId="0" fontId="20" fillId="0" borderId="0" xfId="0" applyFont="1" applyBorder="1"/>
    <xf numFmtId="0" fontId="20" fillId="2" borderId="48" xfId="0" applyFont="1" applyFill="1" applyBorder="1"/>
    <xf numFmtId="14" fontId="20" fillId="0" borderId="43" xfId="0" applyNumberFormat="1" applyFont="1" applyBorder="1"/>
    <xf numFmtId="0" fontId="20" fillId="0" borderId="44" xfId="0" applyFont="1" applyBorder="1"/>
    <xf numFmtId="14" fontId="20" fillId="0" borderId="47" xfId="0" applyNumberFormat="1" applyFont="1" applyBorder="1"/>
    <xf numFmtId="0" fontId="20" fillId="0" borderId="48" xfId="0" applyFont="1" applyBorder="1"/>
    <xf numFmtId="0" fontId="20" fillId="2" borderId="47" xfId="0" applyFont="1" applyFill="1" applyBorder="1"/>
    <xf numFmtId="0" fontId="32" fillId="2" borderId="48" xfId="0" applyFont="1" applyFill="1" applyBorder="1"/>
    <xf numFmtId="170" fontId="36" fillId="10" borderId="49" xfId="1" applyNumberFormat="1" applyFont="1" applyFill="1" applyBorder="1" applyAlignment="1">
      <alignment horizontal="center"/>
    </xf>
    <xf numFmtId="170" fontId="32" fillId="2" borderId="49" xfId="1" applyNumberFormat="1" applyFont="1" applyFill="1" applyBorder="1" applyAlignment="1">
      <alignment horizontal="right"/>
    </xf>
    <xf numFmtId="170" fontId="32" fillId="2" borderId="50" xfId="1" applyNumberFormat="1" applyFont="1" applyFill="1" applyBorder="1" applyAlignment="1">
      <alignment horizontal="right"/>
    </xf>
    <xf numFmtId="170" fontId="32" fillId="2" borderId="51" xfId="1" applyNumberFormat="1" applyFont="1" applyFill="1" applyBorder="1" applyAlignment="1">
      <alignment horizontal="right"/>
    </xf>
    <xf numFmtId="170" fontId="32" fillId="2" borderId="51" xfId="0" applyNumberFormat="1" applyFont="1" applyFill="1" applyBorder="1"/>
    <xf numFmtId="0" fontId="20" fillId="0" borderId="49" xfId="0" applyFont="1" applyBorder="1"/>
    <xf numFmtId="0" fontId="20" fillId="0" borderId="50" xfId="0" applyFont="1" applyBorder="1"/>
    <xf numFmtId="0" fontId="20" fillId="0" borderId="51" xfId="0" applyFont="1" applyBorder="1"/>
    <xf numFmtId="20" fontId="20" fillId="0" borderId="0" xfId="0" applyNumberFormat="1" applyFont="1"/>
    <xf numFmtId="14" fontId="39" fillId="0" borderId="0" xfId="1" applyNumberFormat="1" applyFont="1" applyBorder="1" applyAlignment="1" applyProtection="1">
      <alignment horizontal="center" vertical="center"/>
      <protection locked="0"/>
    </xf>
    <xf numFmtId="165" fontId="41" fillId="0" borderId="0" xfId="0" applyNumberFormat="1" applyFont="1" applyAlignment="1" applyProtection="1">
      <alignment horizontal="right" vertical="center"/>
      <protection hidden="1"/>
    </xf>
    <xf numFmtId="0" fontId="40" fillId="0" borderId="0" xfId="0" applyFont="1"/>
    <xf numFmtId="14" fontId="40" fillId="0" borderId="0" xfId="0" applyNumberFormat="1" applyFont="1"/>
    <xf numFmtId="0" fontId="30" fillId="0" borderId="0" xfId="0" applyFont="1" applyProtection="1">
      <protection locked="0"/>
    </xf>
    <xf numFmtId="14" fontId="20" fillId="0" borderId="0" xfId="0" applyNumberFormat="1" applyFont="1" applyAlignment="1">
      <alignment horizontal="right" vertical="center"/>
    </xf>
    <xf numFmtId="14" fontId="35" fillId="0" borderId="0" xfId="0" applyNumberFormat="1" applyFont="1" applyAlignment="1">
      <alignment horizontal="right"/>
    </xf>
    <xf numFmtId="14" fontId="20" fillId="0" borderId="0" xfId="0" applyNumberFormat="1" applyFont="1" applyAlignment="1">
      <alignment horizontal="right"/>
    </xf>
    <xf numFmtId="14" fontId="36" fillId="10" borderId="0" xfId="0" applyNumberFormat="1" applyFont="1" applyFill="1" applyAlignment="1">
      <alignment horizontal="center" vertical="center"/>
    </xf>
    <xf numFmtId="0" fontId="18" fillId="0" borderId="0" xfId="0" applyFont="1" applyAlignment="1">
      <alignment horizontal="center" vertical="center"/>
    </xf>
    <xf numFmtId="0" fontId="43" fillId="0" borderId="0" xfId="0" applyFont="1" applyProtection="1">
      <protection locked="0"/>
    </xf>
    <xf numFmtId="175" fontId="2" fillId="0" borderId="21" xfId="0" applyNumberFormat="1" applyFont="1" applyFill="1" applyBorder="1" applyAlignment="1" applyProtection="1">
      <alignment horizontal="center" vertical="center"/>
      <protection locked="0"/>
    </xf>
    <xf numFmtId="175" fontId="2" fillId="0" borderId="27" xfId="0" applyNumberFormat="1" applyFont="1" applyFill="1" applyBorder="1" applyAlignment="1" applyProtection="1">
      <alignment horizontal="center" vertical="center"/>
      <protection locked="0"/>
    </xf>
    <xf numFmtId="175" fontId="2" fillId="0" borderId="23" xfId="0" applyNumberFormat="1" applyFont="1" applyFill="1" applyBorder="1" applyAlignment="1" applyProtection="1">
      <alignment horizontal="center" vertical="center"/>
      <protection locked="0"/>
    </xf>
    <xf numFmtId="175" fontId="0" fillId="0" borderId="0" xfId="0" applyNumberFormat="1" applyProtection="1">
      <protection locked="0"/>
    </xf>
    <xf numFmtId="175" fontId="2" fillId="0" borderId="0" xfId="0" applyNumberFormat="1" applyFont="1" applyAlignment="1" applyProtection="1">
      <alignment horizontal="center" vertical="center"/>
      <protection locked="0"/>
    </xf>
    <xf numFmtId="175" fontId="7" fillId="0" borderId="0" xfId="0" applyNumberFormat="1" applyFont="1" applyBorder="1" applyAlignment="1" applyProtection="1">
      <alignment horizontal="center" vertical="center"/>
      <protection locked="0"/>
    </xf>
    <xf numFmtId="175" fontId="15" fillId="3" borderId="29" xfId="0" applyNumberFormat="1" applyFont="1" applyFill="1" applyBorder="1" applyAlignment="1" applyProtection="1">
      <alignment horizontal="center" vertical="center" wrapText="1"/>
      <protection hidden="1"/>
    </xf>
    <xf numFmtId="175" fontId="2" fillId="0" borderId="0" xfId="0" applyNumberFormat="1" applyFont="1" applyBorder="1" applyAlignment="1" applyProtection="1">
      <alignment horizontal="center" vertical="center"/>
      <protection locked="0"/>
    </xf>
    <xf numFmtId="175" fontId="12" fillId="0" borderId="0" xfId="0" applyNumberFormat="1" applyFont="1" applyBorder="1" applyAlignment="1" applyProtection="1">
      <alignment horizontal="center" vertical="center"/>
      <protection locked="0"/>
    </xf>
    <xf numFmtId="0" fontId="2" fillId="0" borderId="0" xfId="0" applyNumberFormat="1" applyFont="1" applyProtection="1">
      <protection locked="0"/>
    </xf>
    <xf numFmtId="0" fontId="44" fillId="11" borderId="0" xfId="0" applyFont="1" applyFill="1"/>
    <xf numFmtId="178" fontId="30" fillId="12" borderId="0" xfId="0" applyNumberFormat="1" applyFont="1" applyFill="1"/>
    <xf numFmtId="0" fontId="46" fillId="5" borderId="0" xfId="0" applyFont="1" applyFill="1"/>
    <xf numFmtId="0" fontId="26" fillId="5" borderId="0" xfId="0" applyFont="1" applyFill="1"/>
    <xf numFmtId="0" fontId="47" fillId="5" borderId="0" xfId="0" applyFont="1" applyFill="1"/>
    <xf numFmtId="0" fontId="26" fillId="5" borderId="0" xfId="0" applyFont="1" applyFill="1" applyBorder="1"/>
    <xf numFmtId="0" fontId="18" fillId="13" borderId="0" xfId="0" applyFont="1" applyFill="1"/>
    <xf numFmtId="170" fontId="2" fillId="0" borderId="28" xfId="1" applyNumberFormat="1" applyFont="1" applyBorder="1" applyAlignment="1" applyProtection="1">
      <alignment horizontal="center" vertical="center"/>
      <protection hidden="1"/>
    </xf>
    <xf numFmtId="170" fontId="2" fillId="0" borderId="25" xfId="1" applyNumberFormat="1" applyFont="1" applyBorder="1" applyAlignment="1" applyProtection="1">
      <alignment horizontal="center" vertical="center"/>
      <protection hidden="1"/>
    </xf>
    <xf numFmtId="170" fontId="2" fillId="0" borderId="35" xfId="1" applyNumberFormat="1" applyFont="1" applyBorder="1" applyAlignment="1" applyProtection="1">
      <alignment horizontal="center" vertical="center"/>
      <protection hidden="1"/>
    </xf>
    <xf numFmtId="170" fontId="20" fillId="0" borderId="0" xfId="0" applyNumberFormat="1" applyFont="1"/>
    <xf numFmtId="0" fontId="0" fillId="4" borderId="0" xfId="0" applyFill="1" applyAlignment="1">
      <alignment horizontal="left"/>
    </xf>
    <xf numFmtId="0" fontId="48" fillId="0" borderId="0" xfId="0" applyFont="1" applyFill="1" applyAlignment="1">
      <alignment horizontal="center" vertical="center"/>
    </xf>
    <xf numFmtId="49" fontId="48" fillId="0" borderId="0" xfId="0" quotePrefix="1" applyNumberFormat="1" applyFont="1" applyFill="1" applyAlignment="1">
      <alignment horizontal="center" vertical="center"/>
    </xf>
    <xf numFmtId="177" fontId="48" fillId="0" borderId="0" xfId="0" applyNumberFormat="1" applyFont="1" applyFill="1" applyAlignment="1">
      <alignment horizontal="center" vertical="center"/>
    </xf>
    <xf numFmtId="0" fontId="45" fillId="0" borderId="0" xfId="0" applyFont="1" applyFill="1" applyAlignment="1">
      <alignment horizontal="center" vertical="center"/>
    </xf>
    <xf numFmtId="0" fontId="49" fillId="0" borderId="0" xfId="0" applyFont="1" applyFill="1"/>
    <xf numFmtId="49" fontId="49" fillId="0" borderId="0" xfId="0" applyNumberFormat="1" applyFont="1" applyFill="1"/>
    <xf numFmtId="177" fontId="49" fillId="0" borderId="0" xfId="0" applyNumberFormat="1" applyFont="1" applyFill="1"/>
    <xf numFmtId="0" fontId="46" fillId="0" borderId="0" xfId="0" applyFont="1" applyFill="1"/>
    <xf numFmtId="49" fontId="46" fillId="0" borderId="0" xfId="0" applyNumberFormat="1" applyFont="1" applyFill="1"/>
    <xf numFmtId="177" fontId="46" fillId="0" borderId="0" xfId="0" applyNumberFormat="1" applyFont="1" applyFill="1"/>
    <xf numFmtId="0" fontId="18" fillId="6" borderId="0" xfId="0" applyFont="1" applyFill="1" applyAlignment="1">
      <alignment horizontal="center" vertical="center"/>
    </xf>
    <xf numFmtId="0" fontId="50" fillId="0" borderId="37" xfId="1" applyNumberFormat="1" applyFont="1" applyBorder="1" applyAlignment="1" applyProtection="1">
      <alignment horizontal="center" vertical="center"/>
      <protection locked="0"/>
    </xf>
    <xf numFmtId="0" fontId="50" fillId="0" borderId="31" xfId="1" applyNumberFormat="1" applyFont="1" applyBorder="1" applyAlignment="1" applyProtection="1">
      <alignment horizontal="center" vertical="center"/>
      <protection locked="0"/>
    </xf>
    <xf numFmtId="0" fontId="50" fillId="0" borderId="39" xfId="1" applyNumberFormat="1" applyFont="1" applyBorder="1" applyAlignment="1" applyProtection="1">
      <alignment horizontal="center" vertical="center"/>
      <protection locked="0"/>
    </xf>
    <xf numFmtId="0" fontId="50" fillId="0" borderId="36" xfId="1" applyNumberFormat="1" applyFont="1" applyBorder="1" applyAlignment="1" applyProtection="1">
      <alignment horizontal="center" vertical="center"/>
      <protection locked="0"/>
    </xf>
    <xf numFmtId="0" fontId="44" fillId="5" borderId="0" xfId="0" applyFont="1" applyFill="1"/>
    <xf numFmtId="0" fontId="30" fillId="5" borderId="0" xfId="0" applyFont="1" applyFill="1" applyBorder="1"/>
    <xf numFmtId="172" fontId="33" fillId="5" borderId="0" xfId="0" applyNumberFormat="1" applyFont="1" applyFill="1"/>
    <xf numFmtId="173" fontId="33" fillId="5" borderId="0" xfId="0" applyNumberFormat="1" applyFont="1" applyFill="1"/>
    <xf numFmtId="174" fontId="33" fillId="5" borderId="0" xfId="0" applyNumberFormat="1" applyFont="1" applyFill="1"/>
    <xf numFmtId="0" fontId="33" fillId="5" borderId="0" xfId="0" applyFont="1" applyFill="1" applyBorder="1"/>
    <xf numFmtId="170" fontId="20" fillId="0" borderId="0" xfId="0" applyNumberFormat="1" applyFont="1" applyAlignment="1">
      <alignment horizontal="center" vertical="center"/>
    </xf>
    <xf numFmtId="14" fontId="0" fillId="0" borderId="0" xfId="0" applyNumberFormat="1" applyProtection="1">
      <protection hidden="1"/>
    </xf>
    <xf numFmtId="49" fontId="30" fillId="0" borderId="0" xfId="0" applyNumberFormat="1" applyFont="1" applyFill="1"/>
    <xf numFmtId="0" fontId="51" fillId="0" borderId="27" xfId="0" applyFont="1" applyBorder="1" applyAlignment="1" applyProtection="1">
      <alignment horizontal="center" vertical="center"/>
      <protection hidden="1"/>
    </xf>
    <xf numFmtId="0" fontId="51" fillId="0" borderId="23" xfId="0" applyFont="1" applyBorder="1" applyAlignment="1" applyProtection="1">
      <alignment horizontal="center" vertical="center"/>
      <protection hidden="1"/>
    </xf>
    <xf numFmtId="175" fontId="2" fillId="0" borderId="27" xfId="0" applyNumberFormat="1" applyFont="1" applyBorder="1" applyAlignment="1" applyProtection="1">
      <alignment horizontal="center" vertical="center"/>
      <protection hidden="1"/>
    </xf>
    <xf numFmtId="175" fontId="2" fillId="0" borderId="23" xfId="0" applyNumberFormat="1" applyFont="1" applyBorder="1" applyAlignment="1" applyProtection="1">
      <alignment horizontal="center" vertical="center"/>
      <protection hidden="1"/>
    </xf>
    <xf numFmtId="14" fontId="0" fillId="0" borderId="0" xfId="0" applyNumberFormat="1" applyProtection="1">
      <protection locked="0"/>
    </xf>
    <xf numFmtId="14" fontId="2" fillId="0" borderId="20" xfId="0" applyNumberFormat="1" applyFont="1" applyBorder="1" applyProtection="1">
      <protection locked="0"/>
    </xf>
    <xf numFmtId="0" fontId="51" fillId="0" borderId="21" xfId="0" applyFont="1" applyBorder="1" applyAlignment="1" applyProtection="1">
      <alignment horizontal="center" vertical="center"/>
      <protection hidden="1"/>
    </xf>
    <xf numFmtId="175" fontId="2" fillId="0" borderId="21" xfId="0" applyNumberFormat="1" applyFont="1" applyBorder="1" applyAlignment="1" applyProtection="1">
      <alignment horizontal="center" vertical="center"/>
      <protection hidden="1"/>
    </xf>
    <xf numFmtId="170" fontId="2" fillId="0" borderId="21" xfId="1" applyNumberFormat="1" applyFont="1" applyBorder="1" applyAlignment="1" applyProtection="1">
      <alignment horizontal="left" vertical="center"/>
      <protection hidden="1"/>
    </xf>
    <xf numFmtId="3" fontId="2" fillId="0" borderId="35" xfId="1" applyNumberFormat="1" applyFont="1" applyBorder="1" applyProtection="1"/>
    <xf numFmtId="0" fontId="24" fillId="0" borderId="21" xfId="0" applyFont="1" applyFill="1" applyBorder="1" applyAlignment="1" applyProtection="1">
      <alignment horizontal="center" vertical="center"/>
      <protection hidden="1"/>
    </xf>
    <xf numFmtId="3" fontId="2" fillId="0" borderId="37" xfId="1" applyNumberFormat="1" applyFont="1" applyBorder="1" applyProtection="1"/>
    <xf numFmtId="3" fontId="2" fillId="0" borderId="36" xfId="1" applyNumberFormat="1" applyFont="1" applyBorder="1" applyProtection="1"/>
    <xf numFmtId="179" fontId="0" fillId="0" borderId="0" xfId="0" applyNumberFormat="1" applyProtection="1">
      <protection locked="0"/>
    </xf>
    <xf numFmtId="166" fontId="2" fillId="2" borderId="12" xfId="0" applyNumberFormat="1" applyFont="1" applyFill="1" applyBorder="1" applyAlignment="1" applyProtection="1">
      <alignment horizontal="left" vertical="center"/>
      <protection hidden="1"/>
    </xf>
    <xf numFmtId="166" fontId="2" fillId="2" borderId="13" xfId="0" applyNumberFormat="1" applyFont="1" applyFill="1" applyBorder="1" applyAlignment="1" applyProtection="1">
      <alignment horizontal="left" vertical="center"/>
      <protection hidden="1"/>
    </xf>
    <xf numFmtId="165" fontId="11" fillId="0" borderId="5" xfId="0" applyNumberFormat="1" applyFont="1" applyBorder="1" applyAlignment="1" applyProtection="1">
      <alignment horizontal="center" vertical="center"/>
      <protection hidden="1"/>
    </xf>
    <xf numFmtId="171" fontId="24" fillId="0" borderId="0" xfId="0" applyNumberFormat="1" applyFont="1" applyAlignment="1" applyProtection="1">
      <alignment horizontal="left" vertical="center"/>
      <protection hidden="1"/>
    </xf>
    <xf numFmtId="165" fontId="7" fillId="0" borderId="4" xfId="0" applyNumberFormat="1" applyFont="1" applyBorder="1" applyAlignment="1" applyProtection="1">
      <alignment horizontal="center" vertical="center"/>
      <protection hidden="1"/>
    </xf>
    <xf numFmtId="165" fontId="7" fillId="0" borderId="0" xfId="0" applyNumberFormat="1" applyFont="1" applyBorder="1" applyAlignment="1" applyProtection="1">
      <alignment horizontal="center" vertical="center"/>
      <protection hidden="1"/>
    </xf>
    <xf numFmtId="165" fontId="7" fillId="0" borderId="5" xfId="0" applyNumberFormat="1" applyFont="1" applyBorder="1" applyAlignment="1" applyProtection="1">
      <alignment horizontal="center" vertical="center"/>
      <protection hidden="1"/>
    </xf>
    <xf numFmtId="165" fontId="7" fillId="0" borderId="6" xfId="0" applyNumberFormat="1" applyFont="1" applyBorder="1" applyAlignment="1" applyProtection="1">
      <alignment horizontal="center" vertical="center"/>
      <protection hidden="1"/>
    </xf>
    <xf numFmtId="165" fontId="7" fillId="0" borderId="7" xfId="0" applyNumberFormat="1" applyFont="1" applyBorder="1" applyAlignment="1" applyProtection="1">
      <alignment horizontal="center" vertical="center"/>
      <protection hidden="1"/>
    </xf>
    <xf numFmtId="165" fontId="7" fillId="0" borderId="8" xfId="0" applyNumberFormat="1" applyFont="1" applyBorder="1" applyAlignment="1" applyProtection="1">
      <alignment horizontal="center" vertical="center"/>
      <protection hidden="1"/>
    </xf>
    <xf numFmtId="166" fontId="2" fillId="0" borderId="16" xfId="0" applyNumberFormat="1" applyFont="1" applyBorder="1" applyAlignment="1" applyProtection="1">
      <alignment horizontal="left" vertical="center"/>
      <protection hidden="1"/>
    </xf>
    <xf numFmtId="166" fontId="2" fillId="0" borderId="17" xfId="0" applyNumberFormat="1" applyFont="1" applyBorder="1" applyAlignment="1" applyProtection="1">
      <alignment horizontal="left" vertical="center"/>
      <protection hidden="1"/>
    </xf>
    <xf numFmtId="166" fontId="2" fillId="0" borderId="10" xfId="0" applyNumberFormat="1" applyFont="1" applyBorder="1" applyAlignment="1" applyProtection="1">
      <alignment horizontal="left" vertical="center"/>
      <protection hidden="1"/>
    </xf>
    <xf numFmtId="166" fontId="2" fillId="0" borderId="11" xfId="0" applyNumberFormat="1" applyFont="1" applyBorder="1" applyAlignment="1" applyProtection="1">
      <alignment horizontal="left" vertical="center"/>
      <protection hidden="1"/>
    </xf>
    <xf numFmtId="165" fontId="6" fillId="0" borderId="1" xfId="0" applyNumberFormat="1" applyFont="1" applyBorder="1" applyAlignment="1" applyProtection="1">
      <alignment horizontal="center" vertical="center"/>
      <protection locked="0"/>
    </xf>
    <xf numFmtId="165" fontId="6" fillId="0" borderId="2" xfId="0" applyNumberFormat="1" applyFont="1" applyBorder="1" applyAlignment="1" applyProtection="1">
      <alignment horizontal="center" vertical="center"/>
      <protection locked="0"/>
    </xf>
    <xf numFmtId="165" fontId="6" fillId="0" borderId="3" xfId="0" applyNumberFormat="1" applyFont="1" applyBorder="1" applyAlignment="1" applyProtection="1">
      <alignment horizontal="center" vertical="center"/>
      <protection locked="0"/>
    </xf>
    <xf numFmtId="165" fontId="12" fillId="0" borderId="5" xfId="0" applyNumberFormat="1" applyFont="1" applyBorder="1" applyAlignment="1" applyProtection="1">
      <alignment horizontal="center" vertical="center"/>
      <protection hidden="1"/>
    </xf>
    <xf numFmtId="171" fontId="42" fillId="0" borderId="0" xfId="0" applyNumberFormat="1" applyFont="1" applyAlignment="1" applyProtection="1">
      <alignment horizontal="left" vertical="center"/>
      <protection hidden="1"/>
    </xf>
    <xf numFmtId="165" fontId="14" fillId="0" borderId="1" xfId="0" applyNumberFormat="1" applyFont="1" applyBorder="1" applyAlignment="1" applyProtection="1">
      <alignment horizontal="center" vertical="center"/>
      <protection locked="0"/>
    </xf>
    <xf numFmtId="165" fontId="14" fillId="0" borderId="2" xfId="0" applyNumberFormat="1" applyFont="1" applyBorder="1" applyAlignment="1" applyProtection="1">
      <alignment horizontal="center" vertical="center"/>
      <protection locked="0"/>
    </xf>
    <xf numFmtId="165" fontId="14" fillId="0" borderId="3" xfId="0" applyNumberFormat="1" applyFont="1" applyBorder="1" applyAlignment="1" applyProtection="1">
      <alignment horizontal="center" vertical="center"/>
      <protection locked="0"/>
    </xf>
    <xf numFmtId="0" fontId="0" fillId="0" borderId="0" xfId="0" applyAlignment="1">
      <alignment horizontal="center" vertical="center"/>
    </xf>
    <xf numFmtId="0" fontId="32" fillId="0" borderId="46" xfId="0" applyFont="1" applyBorder="1" applyAlignment="1">
      <alignment horizontal="center" textRotation="90"/>
    </xf>
    <xf numFmtId="0" fontId="56" fillId="0" borderId="0" xfId="0" applyFont="1" applyFill="1"/>
    <xf numFmtId="49" fontId="56" fillId="0" borderId="0" xfId="0" applyNumberFormat="1" applyFont="1" applyFill="1"/>
    <xf numFmtId="177" fontId="56" fillId="0" borderId="0" xfId="0" applyNumberFormat="1" applyFont="1" applyFill="1"/>
    <xf numFmtId="0" fontId="56" fillId="0" borderId="0" xfId="0" applyFont="1" applyFill="1" applyAlignment="1">
      <alignment horizontal="center" vertical="center"/>
    </xf>
  </cellXfs>
  <cellStyles count="3">
    <cellStyle name="Milliers" xfId="1" builtinId="3"/>
    <cellStyle name="Milliers 24" xfId="2"/>
    <cellStyle name="Normal" xfId="0" builtinId="0"/>
  </cellStyles>
  <dxfs count="56">
    <dxf>
      <font>
        <color rgb="FF9C0006"/>
      </font>
      <fill>
        <patternFill>
          <bgColor rgb="FFFFC7CE"/>
        </patternFill>
      </fill>
    </dxf>
    <dxf>
      <font>
        <color rgb="FF9C0006"/>
      </font>
    </dxf>
    <dxf>
      <font>
        <color rgb="FF9C0006"/>
      </font>
    </dxf>
    <dxf>
      <font>
        <color rgb="FF9C0006"/>
      </font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</dxf>
    <dxf>
      <font>
        <color rgb="FF9C0006"/>
      </font>
    </dxf>
    <dxf>
      <font>
        <color rgb="FF9C0006"/>
      </font>
      <fill>
        <patternFill>
          <bgColor rgb="FFFFC7CE"/>
        </patternFill>
      </fill>
    </dxf>
    <dxf>
      <font>
        <color rgb="FF9C0006"/>
      </font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</dxf>
    <dxf>
      <font>
        <color rgb="FF9C0006"/>
      </font>
      <fill>
        <patternFill>
          <bgColor rgb="FFFFC7CE"/>
        </patternFill>
      </fill>
    </dxf>
    <dxf>
      <font>
        <color rgb="FF9C0006"/>
      </font>
    </dxf>
    <dxf>
      <font>
        <color rgb="FF9C0006"/>
      </font>
      <fill>
        <patternFill>
          <bgColor rgb="FFFFC7CE"/>
        </patternFill>
      </fill>
    </dxf>
    <dxf>
      <font>
        <color rgb="FF9C0006"/>
      </font>
    </dxf>
    <dxf>
      <font>
        <b/>
        <i val="0"/>
        <color rgb="FFC00000"/>
      </font>
      <fill>
        <patternFill>
          <bgColor theme="5" tint="0.79998168889431442"/>
        </patternFill>
      </fill>
    </dxf>
    <dxf>
      <font>
        <b/>
        <i val="0"/>
        <color rgb="FF0070C0"/>
      </font>
      <fill>
        <patternFill>
          <bgColor theme="4" tint="0.59996337778862885"/>
        </patternFill>
      </fill>
    </dxf>
    <dxf>
      <font>
        <b/>
        <i val="0"/>
        <color theme="6" tint="-0.499984740745262"/>
      </font>
      <fill>
        <patternFill>
          <bgColor theme="6" tint="0.59996337778862885"/>
        </patternFill>
      </fill>
    </dxf>
    <dxf>
      <font>
        <color rgb="FF9C0006"/>
      </font>
    </dxf>
    <dxf>
      <font>
        <b/>
        <i val="0"/>
        <color rgb="FFC00000"/>
      </font>
      <fill>
        <patternFill>
          <bgColor theme="5" tint="0.79998168889431442"/>
        </patternFill>
      </fill>
    </dxf>
    <dxf>
      <font>
        <b/>
        <i val="0"/>
        <color rgb="FF0070C0"/>
      </font>
      <fill>
        <patternFill>
          <bgColor theme="4" tint="0.59996337778862885"/>
        </patternFill>
      </fill>
    </dxf>
    <dxf>
      <font>
        <b/>
        <i val="0"/>
        <color theme="6" tint="-0.499984740745262"/>
      </font>
      <fill>
        <patternFill>
          <bgColor theme="6" tint="0.59996337778862885"/>
        </patternFill>
      </fill>
    </dxf>
    <dxf>
      <fill>
        <patternFill>
          <bgColor theme="8" tint="0.79998168889431442"/>
        </patternFill>
      </fill>
      <border>
        <left style="thin">
          <color rgb="FFFF0000"/>
        </left>
        <right style="thin">
          <color rgb="FFFF0000"/>
        </right>
        <top style="thin">
          <color rgb="FFFF0000"/>
        </top>
        <bottom style="thin">
          <color rgb="FFFF0000"/>
        </bottom>
        <vertical/>
        <horizontal/>
      </border>
    </dxf>
    <dxf>
      <font>
        <color rgb="FF9C0006"/>
      </font>
    </dxf>
    <dxf>
      <font>
        <color rgb="FF9C0006"/>
      </font>
      <fill>
        <patternFill>
          <bgColor rgb="FFFFC7CE"/>
        </patternFill>
      </fill>
    </dxf>
    <dxf>
      <font>
        <color rgb="FF9C0006"/>
      </font>
    </dxf>
    <dxf>
      <font>
        <color rgb="FF9C0006"/>
      </font>
    </dxf>
    <dxf>
      <font>
        <color rgb="FF9C0006"/>
      </font>
    </dxf>
    <dxf>
      <font>
        <b/>
        <i val="0"/>
        <color rgb="FF00B050"/>
      </font>
    </dxf>
    <dxf>
      <font>
        <b/>
        <i val="0"/>
        <color rgb="FF0000FF"/>
      </font>
      <fill>
        <patternFill>
          <bgColor theme="8" tint="0.79998168889431442"/>
        </patternFill>
      </fill>
    </dxf>
    <dxf>
      <font>
        <color rgb="FF9C0006"/>
      </font>
    </dxf>
    <dxf>
      <font>
        <color rgb="FF9C0006"/>
      </font>
    </dxf>
    <dxf>
      <font>
        <color rgb="FF9C0006"/>
      </font>
      <fill>
        <patternFill>
          <bgColor rgb="FFFFC7CE"/>
        </patternFill>
      </fill>
    </dxf>
    <dxf>
      <font>
        <color rgb="FF9C0006"/>
      </font>
    </dxf>
    <dxf>
      <font>
        <color rgb="FF9C0006"/>
      </font>
    </dxf>
    <dxf>
      <font>
        <color rgb="FF9C0006"/>
      </font>
    </dxf>
    <dxf>
      <font>
        <color rgb="FF9C0006"/>
      </font>
      <fill>
        <patternFill>
          <bgColor rgb="FFFFC7CE"/>
        </patternFill>
      </fill>
    </dxf>
    <dxf>
      <font>
        <color rgb="FF9C0006"/>
      </font>
    </dxf>
    <dxf>
      <font>
        <color rgb="FF9C0006"/>
      </font>
    </dxf>
    <dxf>
      <font>
        <color rgb="FF9C0006"/>
      </font>
    </dxf>
    <dxf>
      <font>
        <color rgb="FF9C0006"/>
      </font>
    </dxf>
    <dxf>
      <font>
        <color rgb="FF9C0006"/>
      </font>
      <fill>
        <patternFill>
          <bgColor rgb="FFFFC7CE"/>
        </patternFill>
      </fill>
    </dxf>
    <dxf>
      <font>
        <color rgb="FF9C0006"/>
      </font>
    </dxf>
    <dxf>
      <font>
        <color rgb="FF9C0006"/>
      </font>
    </dxf>
    <dxf>
      <font>
        <b/>
        <i val="0"/>
      </font>
    </dxf>
    <dxf>
      <font>
        <b/>
        <i val="0"/>
      </font>
      <fill>
        <patternFill>
          <bgColor theme="0" tint="-0.14996795556505021"/>
        </patternFill>
      </fill>
      <border>
        <left style="medium">
          <color auto="1"/>
        </left>
        <right style="medium">
          <color auto="1"/>
        </right>
        <top style="medium">
          <color auto="1"/>
        </top>
        <bottom style="medium">
          <color auto="1"/>
        </bottom>
      </border>
    </dxf>
    <dxf>
      <font>
        <b/>
        <i val="0"/>
      </font>
      <fill>
        <patternFill>
          <bgColor theme="0" tint="-0.14996795556505021"/>
        </patternFill>
      </fill>
      <border>
        <horizontal style="medium">
          <color auto="1"/>
        </horizontal>
      </border>
    </dxf>
    <dxf>
      <border>
        <left style="medium">
          <color auto="1"/>
        </left>
        <right style="medium">
          <color auto="1"/>
        </right>
        <top style="medium">
          <color auto="1"/>
        </top>
        <bottom style="medium">
          <color auto="1"/>
        </bottom>
        <vertical style="thin">
          <color auto="1"/>
        </vertical>
        <horizontal style="hair">
          <color auto="1"/>
        </horizontal>
      </border>
    </dxf>
    <dxf>
      <font>
        <b/>
        <i val="0"/>
      </font>
    </dxf>
    <dxf>
      <font>
        <b/>
        <i val="0"/>
      </font>
      <fill>
        <patternFill>
          <bgColor theme="0" tint="-0.14996795556505021"/>
        </patternFill>
      </fill>
      <border>
        <left style="medium">
          <color auto="1"/>
        </left>
        <right style="medium">
          <color auto="1"/>
        </right>
        <top style="medium">
          <color auto="1"/>
        </top>
        <bottom style="medium">
          <color auto="1"/>
        </bottom>
      </border>
    </dxf>
    <dxf>
      <font>
        <b/>
        <i val="0"/>
      </font>
      <fill>
        <patternFill>
          <bgColor theme="0" tint="-0.14996795556505021"/>
        </patternFill>
      </fill>
      <border>
        <horizontal style="medium">
          <color auto="1"/>
        </horizontal>
      </border>
    </dxf>
    <dxf>
      <border>
        <left style="medium">
          <color auto="1"/>
        </left>
        <right style="medium">
          <color auto="1"/>
        </right>
        <top style="medium">
          <color auto="1"/>
        </top>
        <bottom style="medium">
          <color auto="1"/>
        </bottom>
        <vertical style="thin">
          <color auto="1"/>
        </vertical>
        <horizontal style="hair">
          <color auto="1"/>
        </horizontal>
      </border>
    </dxf>
    <dxf>
      <font>
        <b/>
        <i val="0"/>
      </font>
      <fill>
        <patternFill>
          <bgColor rgb="FFD7D7D7"/>
        </patternFill>
      </fill>
    </dxf>
    <dxf>
      <font>
        <b val="0"/>
        <i val="0"/>
      </font>
      <fill>
        <patternFill patternType="none">
          <bgColor indexed="65"/>
        </patternFill>
      </fill>
    </dxf>
  </dxfs>
  <tableStyles count="3" defaultTableStyle="TableStyleMedium9" defaultPivotStyle="PivotStyleLight16">
    <tableStyle name="MySqlDefault" pivot="0" table="0" count="2">
      <tableStyleElement type="wholeTable" dxfId="55"/>
      <tableStyleElement type="headerRow" dxfId="54"/>
    </tableStyle>
    <tableStyle name="Style de tableau 2" pivot="0" count="4">
      <tableStyleElement type="wholeTable" dxfId="53"/>
      <tableStyleElement type="headerRow" dxfId="52"/>
      <tableStyleElement type="totalRow" dxfId="51"/>
      <tableStyleElement type="lastColumn" dxfId="50"/>
    </tableStyle>
    <tableStyle name="Style de tableau 2 2" pivot="0" count="4">
      <tableStyleElement type="wholeTable" dxfId="49"/>
      <tableStyleElement type="headerRow" dxfId="48"/>
      <tableStyleElement type="totalRow" dxfId="47"/>
      <tableStyleElement type="lastColumn" dxfId="46"/>
    </tableStyle>
  </tableStyles>
  <colors>
    <mruColors>
      <color rgb="FF0000FF"/>
      <color rgb="FF4F81BD"/>
    </mruColors>
  </colors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externalLink" Target="externalLinks/externalLink1.xml"/><Relationship Id="rId12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calcChain" Target="calcChain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activeX/_rels/activeX1.xml.rels><?xml version="1.0" encoding="UTF-8" standalone="yes"?>
<Relationships xmlns="http://schemas.openxmlformats.org/package/2006/relationships"><Relationship Id="rId1" Type="http://schemas.microsoft.com/office/2006/relationships/activeXControlBinary" Target="activeX1.bin"/></Relationships>
</file>

<file path=xl/activeX/activeX1.xml><?xml version="1.0" encoding="utf-8"?>
<ax:ocx xmlns:ax="http://schemas.microsoft.com/office/2006/activeX" xmlns:r="http://schemas.openxmlformats.org/officeDocument/2006/relationships" ax:classid="{8BD21D10-EC42-11CE-9E0D-00AA006002F3}" ax:persistence="persistStreamInit" r:id="rId1"/>
</file>

<file path=xl/ctrlProps/ctrlProp1.xml><?xml version="1.0" encoding="utf-8"?>
<formControlPr xmlns="http://schemas.microsoft.com/office/spreadsheetml/2009/9/main" objectType="Button" lockText="1"/>
</file>

<file path=xl/ctrlProps/ctrlProp2.xml><?xml version="1.0" encoding="utf-8"?>
<formControlPr xmlns="http://schemas.microsoft.com/office/spreadsheetml/2009/9/main" objectType="Button" lockText="1"/>
</file>

<file path=xl/ctrlProps/ctrlProp3.xml><?xml version="1.0" encoding="utf-8"?>
<formControlPr xmlns="http://schemas.microsoft.com/office/spreadsheetml/2009/9/main" objectType="Button" lockText="1"/>
</file>

<file path=xl/ctrlProps/ctrlProp4.xml><?xml version="1.0" encoding="utf-8"?>
<formControlPr xmlns="http://schemas.microsoft.com/office/spreadsheetml/2009/9/main" objectType="Button" lockText="1"/>
</file>

<file path=xl/ctrlProps/ctrlProp5.xml><?xml version="1.0" encoding="utf-8"?>
<formControlPr xmlns="http://schemas.microsoft.com/office/spreadsheetml/2009/9/main" objectType="Button" lockText="1"/>
</file>

<file path=xl/ctrlProps/ctrlProp6.xml><?xml version="1.0" encoding="utf-8"?>
<formControlPr xmlns="http://schemas.microsoft.com/office/spreadsheetml/2009/9/main" objectType="Button" lockText="1"/>
</file>

<file path=xl/drawings/_rels/vmlDrawing2.vml.rels><?xml version="1.0" encoding="UTF-8" standalone="yes"?>
<Relationships xmlns="http://schemas.openxmlformats.org/package/2006/relationships"><Relationship Id="rId2" Type="http://schemas.openxmlformats.org/officeDocument/2006/relationships/image" Target="../media/image2.jpeg"/><Relationship Id="rId1" Type="http://schemas.openxmlformats.org/officeDocument/2006/relationships/image" Target="../media/image1.jpeg"/></Relationships>
</file>

<file path=xl/drawings/_rels/vmlDrawing4.vml.rels><?xml version="1.0" encoding="UTF-8" standalone="yes"?>
<Relationships xmlns="http://schemas.openxmlformats.org/package/2006/relationships"><Relationship Id="rId2" Type="http://schemas.openxmlformats.org/officeDocument/2006/relationships/image" Target="../media/image2.jpeg"/><Relationship Id="rId1" Type="http://schemas.openxmlformats.org/officeDocument/2006/relationships/image" Target="../media/image1.jpeg"/></Relationships>
</file>

<file path=xl/drawings/_rels/vmlDrawing6.vml.rels><?xml version="1.0" encoding="UTF-8" standalone="yes"?>
<Relationships xmlns="http://schemas.openxmlformats.org/package/2006/relationships"><Relationship Id="rId1" Type="http://schemas.openxmlformats.org/officeDocument/2006/relationships/image" Target="../media/image3.em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absolute">
    <xdr:from>
      <xdr:col>0</xdr:col>
      <xdr:colOff>133350</xdr:colOff>
      <xdr:row>0</xdr:row>
      <xdr:rowOff>38100</xdr:rowOff>
    </xdr:from>
    <xdr:to>
      <xdr:col>4</xdr:col>
      <xdr:colOff>465667</xdr:colOff>
      <xdr:row>3</xdr:row>
      <xdr:rowOff>179917</xdr:rowOff>
    </xdr:to>
    <xdr:sp macro="" textlink="">
      <xdr:nvSpPr>
        <xdr:cNvPr id="2" name="Rectangle 1"/>
        <xdr:cNvSpPr/>
      </xdr:nvSpPr>
      <xdr:spPr>
        <a:xfrm>
          <a:off x="133350" y="38100"/>
          <a:ext cx="3073400" cy="713317"/>
        </a:xfrm>
        <a:prstGeom prst="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endParaRPr lang="fr-FR" sz="1100"/>
        </a:p>
      </xdr:txBody>
    </xdr:sp>
    <xdr:clientData fPrintsWithSheet="0"/>
  </xdr:twoCellAnchor>
  <xdr:twoCellAnchor editAs="absolute">
    <xdr:from>
      <xdr:col>4</xdr:col>
      <xdr:colOff>513290</xdr:colOff>
      <xdr:row>1</xdr:row>
      <xdr:rowOff>55035</xdr:rowOff>
    </xdr:from>
    <xdr:to>
      <xdr:col>4</xdr:col>
      <xdr:colOff>800097</xdr:colOff>
      <xdr:row>3</xdr:row>
      <xdr:rowOff>12136</xdr:rowOff>
    </xdr:to>
    <xdr:sp macro="[0]!De_Protege" textlink="">
      <xdr:nvSpPr>
        <xdr:cNvPr id="1031" name="Lock"/>
        <xdr:cNvSpPr>
          <a:spLocks noChangeAspect="1" noEditPoints="1" noChangeArrowheads="1"/>
        </xdr:cNvSpPr>
      </xdr:nvSpPr>
      <xdr:spPr bwMode="auto">
        <a:xfrm>
          <a:off x="3254373" y="245535"/>
          <a:ext cx="286807" cy="338101"/>
        </a:xfrm>
        <a:custGeom>
          <a:avLst/>
          <a:gdLst>
            <a:gd name="T0" fmla="*/ 10800 w 21600"/>
            <a:gd name="T1" fmla="*/ 0 h 21600"/>
            <a:gd name="T2" fmla="*/ 21600 w 21600"/>
            <a:gd name="T3" fmla="*/ 9606 h 21600"/>
            <a:gd name="T4" fmla="*/ 10800 w 21600"/>
            <a:gd name="T5" fmla="*/ 21600 h 21600"/>
            <a:gd name="T6" fmla="*/ 0 w 21600"/>
            <a:gd name="T7" fmla="*/ 9606 h 21600"/>
            <a:gd name="T8" fmla="*/ 744 w 21600"/>
            <a:gd name="T9" fmla="*/ 9904 h 21600"/>
            <a:gd name="T10" fmla="*/ 21134 w 21600"/>
            <a:gd name="T11" fmla="*/ 15335 h 21600"/>
          </a:gdLst>
          <a:ahLst/>
          <a:cxnLst>
            <a:cxn ang="0">
              <a:pos x="T0" y="T1"/>
            </a:cxn>
            <a:cxn ang="0">
              <a:pos x="T2" y="T3"/>
            </a:cxn>
            <a:cxn ang="0">
              <a:pos x="T4" y="T5"/>
            </a:cxn>
            <a:cxn ang="0">
              <a:pos x="T6" y="T7"/>
            </a:cxn>
          </a:cxnLst>
          <a:rect l="T8" t="T9" r="T10" b="T11"/>
          <a:pathLst>
            <a:path w="21600" h="21600" extrusionOk="0">
              <a:moveTo>
                <a:pt x="93" y="9606"/>
              </a:moveTo>
              <a:lnTo>
                <a:pt x="2048" y="9606"/>
              </a:lnTo>
              <a:lnTo>
                <a:pt x="2048" y="4713"/>
              </a:lnTo>
              <a:lnTo>
                <a:pt x="2420" y="3818"/>
              </a:lnTo>
              <a:lnTo>
                <a:pt x="2979" y="3028"/>
              </a:lnTo>
              <a:lnTo>
                <a:pt x="3537" y="2446"/>
              </a:lnTo>
              <a:lnTo>
                <a:pt x="3956" y="1998"/>
              </a:lnTo>
              <a:lnTo>
                <a:pt x="4492" y="1581"/>
              </a:lnTo>
              <a:lnTo>
                <a:pt x="5143" y="1238"/>
              </a:lnTo>
              <a:lnTo>
                <a:pt x="5912" y="880"/>
              </a:lnTo>
              <a:lnTo>
                <a:pt x="6587" y="641"/>
              </a:lnTo>
              <a:lnTo>
                <a:pt x="7518" y="372"/>
              </a:lnTo>
              <a:lnTo>
                <a:pt x="8425" y="208"/>
              </a:lnTo>
              <a:lnTo>
                <a:pt x="9496" y="59"/>
              </a:lnTo>
              <a:lnTo>
                <a:pt x="10637" y="14"/>
              </a:lnTo>
              <a:lnTo>
                <a:pt x="11614" y="59"/>
              </a:lnTo>
              <a:lnTo>
                <a:pt x="12382" y="119"/>
              </a:lnTo>
              <a:lnTo>
                <a:pt x="13034" y="253"/>
              </a:lnTo>
              <a:lnTo>
                <a:pt x="13779" y="417"/>
              </a:lnTo>
              <a:lnTo>
                <a:pt x="14500" y="611"/>
              </a:lnTo>
              <a:lnTo>
                <a:pt x="14733" y="686"/>
              </a:lnTo>
              <a:lnTo>
                <a:pt x="14989" y="790"/>
              </a:lnTo>
              <a:lnTo>
                <a:pt x="15175" y="865"/>
              </a:lnTo>
              <a:lnTo>
                <a:pt x="15385" y="954"/>
              </a:lnTo>
              <a:lnTo>
                <a:pt x="15431" y="969"/>
              </a:lnTo>
              <a:lnTo>
                <a:pt x="15594" y="1059"/>
              </a:lnTo>
              <a:lnTo>
                <a:pt x="15757" y="1148"/>
              </a:lnTo>
              <a:lnTo>
                <a:pt x="15920" y="1267"/>
              </a:lnTo>
              <a:lnTo>
                <a:pt x="16106" y="1372"/>
              </a:lnTo>
              <a:lnTo>
                <a:pt x="16665" y="1730"/>
              </a:lnTo>
              <a:lnTo>
                <a:pt x="17014" y="1998"/>
              </a:lnTo>
              <a:lnTo>
                <a:pt x="17480" y="2356"/>
              </a:lnTo>
              <a:lnTo>
                <a:pt x="17852" y="2804"/>
              </a:lnTo>
              <a:lnTo>
                <a:pt x="18178" y="3192"/>
              </a:lnTo>
              <a:lnTo>
                <a:pt x="18527" y="3639"/>
              </a:lnTo>
              <a:lnTo>
                <a:pt x="18806" y="4132"/>
              </a:lnTo>
              <a:lnTo>
                <a:pt x="19086" y="4713"/>
              </a:lnTo>
              <a:lnTo>
                <a:pt x="19272" y="5191"/>
              </a:lnTo>
              <a:lnTo>
                <a:pt x="19295" y="9606"/>
              </a:lnTo>
              <a:lnTo>
                <a:pt x="21600" y="9606"/>
              </a:lnTo>
              <a:lnTo>
                <a:pt x="21600" y="16289"/>
              </a:lnTo>
              <a:lnTo>
                <a:pt x="21413" y="17184"/>
              </a:lnTo>
              <a:lnTo>
                <a:pt x="21041" y="17900"/>
              </a:lnTo>
              <a:lnTo>
                <a:pt x="20668" y="18377"/>
              </a:lnTo>
              <a:lnTo>
                <a:pt x="20343" y="18855"/>
              </a:lnTo>
              <a:lnTo>
                <a:pt x="19924" y="19332"/>
              </a:lnTo>
              <a:lnTo>
                <a:pt x="19388" y="19809"/>
              </a:lnTo>
              <a:lnTo>
                <a:pt x="18806" y="20242"/>
              </a:lnTo>
              <a:lnTo>
                <a:pt x="18062" y="20585"/>
              </a:lnTo>
              <a:lnTo>
                <a:pt x="17270" y="20883"/>
              </a:lnTo>
              <a:lnTo>
                <a:pt x="16525" y="21182"/>
              </a:lnTo>
              <a:lnTo>
                <a:pt x="15548" y="21420"/>
              </a:lnTo>
              <a:lnTo>
                <a:pt x="14803" y="21540"/>
              </a:lnTo>
              <a:lnTo>
                <a:pt x="13662" y="21674"/>
              </a:lnTo>
              <a:lnTo>
                <a:pt x="8379" y="21659"/>
              </a:lnTo>
              <a:lnTo>
                <a:pt x="7168" y="21540"/>
              </a:lnTo>
              <a:lnTo>
                <a:pt x="6098" y="21331"/>
              </a:lnTo>
              <a:lnTo>
                <a:pt x="5050" y="21092"/>
              </a:lnTo>
              <a:lnTo>
                <a:pt x="4003" y="20764"/>
              </a:lnTo>
              <a:lnTo>
                <a:pt x="3258" y="20391"/>
              </a:lnTo>
              <a:lnTo>
                <a:pt x="2769" y="20123"/>
              </a:lnTo>
              <a:lnTo>
                <a:pt x="2281" y="19720"/>
              </a:lnTo>
              <a:lnTo>
                <a:pt x="1862" y="19407"/>
              </a:lnTo>
              <a:lnTo>
                <a:pt x="1489" y="19079"/>
              </a:lnTo>
              <a:lnTo>
                <a:pt x="1070" y="18676"/>
              </a:lnTo>
              <a:lnTo>
                <a:pt x="744" y="18258"/>
              </a:lnTo>
              <a:lnTo>
                <a:pt x="325" y="17661"/>
              </a:lnTo>
              <a:lnTo>
                <a:pt x="162" y="17035"/>
              </a:lnTo>
              <a:lnTo>
                <a:pt x="93" y="16468"/>
              </a:lnTo>
              <a:lnTo>
                <a:pt x="93" y="9606"/>
              </a:lnTo>
              <a:close/>
              <a:moveTo>
                <a:pt x="6098" y="9591"/>
              </a:moveTo>
              <a:lnTo>
                <a:pt x="6098" y="5220"/>
              </a:lnTo>
              <a:lnTo>
                <a:pt x="6191" y="4907"/>
              </a:lnTo>
              <a:lnTo>
                <a:pt x="6307" y="4639"/>
              </a:lnTo>
              <a:lnTo>
                <a:pt x="6517" y="4370"/>
              </a:lnTo>
              <a:lnTo>
                <a:pt x="6680" y="4087"/>
              </a:lnTo>
              <a:lnTo>
                <a:pt x="6889" y="3878"/>
              </a:lnTo>
              <a:lnTo>
                <a:pt x="7308" y="3520"/>
              </a:lnTo>
              <a:lnTo>
                <a:pt x="7843" y="3281"/>
              </a:lnTo>
              <a:lnTo>
                <a:pt x="8402" y="3013"/>
              </a:lnTo>
              <a:lnTo>
                <a:pt x="9031" y="2834"/>
              </a:lnTo>
              <a:lnTo>
                <a:pt x="9659" y="2700"/>
              </a:lnTo>
              <a:lnTo>
                <a:pt x="10497" y="2625"/>
              </a:lnTo>
              <a:lnTo>
                <a:pt x="11125" y="2655"/>
              </a:lnTo>
              <a:lnTo>
                <a:pt x="11987" y="2789"/>
              </a:lnTo>
              <a:lnTo>
                <a:pt x="12522" y="2893"/>
              </a:lnTo>
              <a:lnTo>
                <a:pt x="13011" y="3028"/>
              </a:lnTo>
              <a:lnTo>
                <a:pt x="13290" y="3192"/>
              </a:lnTo>
              <a:lnTo>
                <a:pt x="13709" y="3371"/>
              </a:lnTo>
              <a:lnTo>
                <a:pt x="13872" y="3505"/>
              </a:lnTo>
              <a:lnTo>
                <a:pt x="14058" y="3639"/>
              </a:lnTo>
              <a:lnTo>
                <a:pt x="14291" y="3788"/>
              </a:lnTo>
              <a:lnTo>
                <a:pt x="14431" y="3953"/>
              </a:lnTo>
              <a:lnTo>
                <a:pt x="14617" y="4102"/>
              </a:lnTo>
              <a:lnTo>
                <a:pt x="14826" y="4311"/>
              </a:lnTo>
              <a:lnTo>
                <a:pt x="14919" y="4534"/>
              </a:lnTo>
              <a:lnTo>
                <a:pt x="15036" y="4773"/>
              </a:lnTo>
              <a:lnTo>
                <a:pt x="15175" y="5027"/>
              </a:lnTo>
              <a:lnTo>
                <a:pt x="15245" y="5220"/>
              </a:lnTo>
              <a:lnTo>
                <a:pt x="15245" y="9591"/>
              </a:lnTo>
              <a:lnTo>
                <a:pt x="6098" y="9591"/>
              </a:lnTo>
              <a:close/>
            </a:path>
            <a:path w="21600" h="21600" extrusionOk="0">
              <a:moveTo>
                <a:pt x="93" y="9606"/>
              </a:moveTo>
              <a:lnTo>
                <a:pt x="21600" y="9606"/>
              </a:lnTo>
              <a:close/>
            </a:path>
            <a:path w="21600" h="21600" extrusionOk="0">
              <a:moveTo>
                <a:pt x="11684" y="17109"/>
              </a:moveTo>
              <a:lnTo>
                <a:pt x="12266" y="19317"/>
              </a:lnTo>
              <a:lnTo>
                <a:pt x="9659" y="19317"/>
              </a:lnTo>
              <a:lnTo>
                <a:pt x="10287" y="17124"/>
              </a:lnTo>
              <a:lnTo>
                <a:pt x="10008" y="16975"/>
              </a:lnTo>
              <a:lnTo>
                <a:pt x="9799" y="16722"/>
              </a:lnTo>
              <a:lnTo>
                <a:pt x="9752" y="16408"/>
              </a:lnTo>
              <a:lnTo>
                <a:pt x="9822" y="16170"/>
              </a:lnTo>
              <a:lnTo>
                <a:pt x="10008" y="16006"/>
              </a:lnTo>
              <a:lnTo>
                <a:pt x="10148" y="15871"/>
              </a:lnTo>
              <a:lnTo>
                <a:pt x="10381" y="15782"/>
              </a:lnTo>
              <a:lnTo>
                <a:pt x="10660" y="15692"/>
              </a:lnTo>
              <a:lnTo>
                <a:pt x="11009" y="15677"/>
              </a:lnTo>
              <a:lnTo>
                <a:pt x="11288" y="15722"/>
              </a:lnTo>
              <a:lnTo>
                <a:pt x="11614" y="15782"/>
              </a:lnTo>
              <a:lnTo>
                <a:pt x="11893" y="15946"/>
              </a:lnTo>
              <a:lnTo>
                <a:pt x="12033" y="16080"/>
              </a:lnTo>
              <a:lnTo>
                <a:pt x="12173" y="16229"/>
              </a:lnTo>
              <a:lnTo>
                <a:pt x="12196" y="16408"/>
              </a:lnTo>
              <a:lnTo>
                <a:pt x="12103" y="16722"/>
              </a:lnTo>
              <a:lnTo>
                <a:pt x="11987" y="16856"/>
              </a:lnTo>
              <a:lnTo>
                <a:pt x="11847" y="16975"/>
              </a:lnTo>
              <a:lnTo>
                <a:pt x="11684" y="17109"/>
              </a:lnTo>
            </a:path>
          </a:pathLst>
        </a:custGeom>
        <a:solidFill>
          <a:srgbClr val="006020">
            <a:alpha val="59000"/>
          </a:srgbClr>
        </a:solidFill>
        <a:ln w="31750">
          <a:solidFill>
            <a:schemeClr val="tx1"/>
          </a:solidFill>
          <a:miter lim="800000"/>
          <a:headEnd/>
          <a:tailEnd/>
        </a:ln>
      </xdr:spPr>
    </xdr:sp>
    <xdr:clientData fPrintsWithSheet="0"/>
  </xdr:twoCellAnchor>
  <mc:AlternateContent xmlns:mc="http://schemas.openxmlformats.org/markup-compatibility/2006">
    <mc:Choice xmlns:a14="http://schemas.microsoft.com/office/drawing/2010/main" Requires="a14">
      <xdr:twoCellAnchor editAs="absolute">
        <xdr:from>
          <xdr:col>1</xdr:col>
          <xdr:colOff>85725</xdr:colOff>
          <xdr:row>0</xdr:row>
          <xdr:rowOff>123825</xdr:rowOff>
        </xdr:from>
        <xdr:to>
          <xdr:col>3</xdr:col>
          <xdr:colOff>142875</xdr:colOff>
          <xdr:row>3</xdr:row>
          <xdr:rowOff>95250</xdr:rowOff>
        </xdr:to>
        <xdr:sp macro="" textlink="">
          <xdr:nvSpPr>
            <xdr:cNvPr id="1025" name="Button 1" hidden="1">
              <a:extLst>
                <a:ext uri="{63B3BB69-23CF-44E3-9099-C40C66FF867C}">
                  <a14:compatExt spid="_x0000_s1025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45720" tIns="41148" rIns="45720" bIns="41148" anchor="ctr" upright="1"/>
            <a:lstStyle/>
            <a:p>
              <a:pPr algn="ctr" rtl="0">
                <a:defRPr sz="1000"/>
              </a:pPr>
              <a:r>
                <a:rPr lang="fr-FR" sz="2000" b="1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Enregistrer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absolute">
        <xdr:from>
          <xdr:col>3</xdr:col>
          <xdr:colOff>209550</xdr:colOff>
          <xdr:row>0</xdr:row>
          <xdr:rowOff>123825</xdr:rowOff>
        </xdr:from>
        <xdr:to>
          <xdr:col>4</xdr:col>
          <xdr:colOff>352425</xdr:colOff>
          <xdr:row>3</xdr:row>
          <xdr:rowOff>85725</xdr:rowOff>
        </xdr:to>
        <xdr:sp macro="" textlink="">
          <xdr:nvSpPr>
            <xdr:cNvPr id="1027" name="Button 3" hidden="1">
              <a:extLst>
                <a:ext uri="{63B3BB69-23CF-44E3-9099-C40C66FF867C}">
                  <a14:compatExt spid="_x0000_s1027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36576" tIns="32004" rIns="36576" bIns="32004" anchor="ctr" upright="1"/>
            <a:lstStyle/>
            <a:p>
              <a:pPr algn="ctr" rtl="0">
                <a:defRPr sz="1000"/>
              </a:pPr>
              <a:r>
                <a:rPr lang="fr-FR" sz="1400" b="1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MENU</a:t>
              </a:r>
            </a:p>
          </xdr:txBody>
        </xdr:sp>
        <xdr:clientData fPrintsWithSheet="0"/>
      </xdr:twoCellAnchor>
    </mc:Choice>
    <mc:Fallback/>
  </mc:AlternateContent>
</xdr:wsDr>
</file>

<file path=xl/drawings/drawing2.xml><?xml version="1.0" encoding="utf-8"?>
<xdr:wsDr xmlns:xdr="http://schemas.openxmlformats.org/drawingml/2006/spreadsheetDrawing" xmlns:a="http://schemas.openxmlformats.org/drawingml/2006/main">
  <xdr:twoCellAnchor editAs="absolute">
    <xdr:from>
      <xdr:col>0</xdr:col>
      <xdr:colOff>1</xdr:colOff>
      <xdr:row>0</xdr:row>
      <xdr:rowOff>0</xdr:rowOff>
    </xdr:from>
    <xdr:to>
      <xdr:col>4</xdr:col>
      <xdr:colOff>343500</xdr:colOff>
      <xdr:row>3</xdr:row>
      <xdr:rowOff>179917</xdr:rowOff>
    </xdr:to>
    <xdr:sp macro="" textlink="">
      <xdr:nvSpPr>
        <xdr:cNvPr id="2" name="Rectangle 1"/>
        <xdr:cNvSpPr>
          <a:spLocks noChangeAspect="1"/>
        </xdr:cNvSpPr>
      </xdr:nvSpPr>
      <xdr:spPr>
        <a:xfrm>
          <a:off x="1" y="0"/>
          <a:ext cx="2841166" cy="751417"/>
        </a:xfrm>
        <a:prstGeom prst="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endParaRPr lang="fr-FR" sz="1100"/>
        </a:p>
      </xdr:txBody>
    </xdr:sp>
    <xdr:clientData fPrintsWithSheet="0"/>
  </xdr:twoCellAnchor>
  <xdr:twoCellAnchor editAs="absolute">
    <xdr:from>
      <xdr:col>5</xdr:col>
      <xdr:colOff>63500</xdr:colOff>
      <xdr:row>0</xdr:row>
      <xdr:rowOff>116417</xdr:rowOff>
    </xdr:from>
    <xdr:to>
      <xdr:col>5</xdr:col>
      <xdr:colOff>444500</xdr:colOff>
      <xdr:row>3</xdr:row>
      <xdr:rowOff>10583</xdr:rowOff>
    </xdr:to>
    <xdr:sp macro="[0]!De_Protege" textlink="">
      <xdr:nvSpPr>
        <xdr:cNvPr id="5" name="Lock"/>
        <xdr:cNvSpPr>
          <a:spLocks noEditPoints="1" noChangeArrowheads="1"/>
        </xdr:cNvSpPr>
      </xdr:nvSpPr>
      <xdr:spPr bwMode="auto">
        <a:xfrm>
          <a:off x="3249083" y="116417"/>
          <a:ext cx="381000" cy="465666"/>
        </a:xfrm>
        <a:custGeom>
          <a:avLst/>
          <a:gdLst>
            <a:gd name="T0" fmla="*/ 10800 w 21600"/>
            <a:gd name="T1" fmla="*/ 0 h 21600"/>
            <a:gd name="T2" fmla="*/ 21600 w 21600"/>
            <a:gd name="T3" fmla="*/ 9606 h 21600"/>
            <a:gd name="T4" fmla="*/ 10800 w 21600"/>
            <a:gd name="T5" fmla="*/ 21600 h 21600"/>
            <a:gd name="T6" fmla="*/ 0 w 21600"/>
            <a:gd name="T7" fmla="*/ 9606 h 21600"/>
            <a:gd name="T8" fmla="*/ 744 w 21600"/>
            <a:gd name="T9" fmla="*/ 9904 h 21600"/>
            <a:gd name="T10" fmla="*/ 21134 w 21600"/>
            <a:gd name="T11" fmla="*/ 15335 h 21600"/>
          </a:gdLst>
          <a:ahLst/>
          <a:cxnLst>
            <a:cxn ang="0">
              <a:pos x="T0" y="T1"/>
            </a:cxn>
            <a:cxn ang="0">
              <a:pos x="T2" y="T3"/>
            </a:cxn>
            <a:cxn ang="0">
              <a:pos x="T4" y="T5"/>
            </a:cxn>
            <a:cxn ang="0">
              <a:pos x="T6" y="T7"/>
            </a:cxn>
          </a:cxnLst>
          <a:rect l="T8" t="T9" r="T10" b="T11"/>
          <a:pathLst>
            <a:path w="21600" h="21600" extrusionOk="0">
              <a:moveTo>
                <a:pt x="93" y="9606"/>
              </a:moveTo>
              <a:lnTo>
                <a:pt x="2048" y="9606"/>
              </a:lnTo>
              <a:lnTo>
                <a:pt x="2048" y="4713"/>
              </a:lnTo>
              <a:lnTo>
                <a:pt x="2420" y="3818"/>
              </a:lnTo>
              <a:lnTo>
                <a:pt x="2979" y="3028"/>
              </a:lnTo>
              <a:lnTo>
                <a:pt x="3537" y="2446"/>
              </a:lnTo>
              <a:lnTo>
                <a:pt x="3956" y="1998"/>
              </a:lnTo>
              <a:lnTo>
                <a:pt x="4492" y="1581"/>
              </a:lnTo>
              <a:lnTo>
                <a:pt x="5143" y="1238"/>
              </a:lnTo>
              <a:lnTo>
                <a:pt x="5912" y="880"/>
              </a:lnTo>
              <a:lnTo>
                <a:pt x="6587" y="641"/>
              </a:lnTo>
              <a:lnTo>
                <a:pt x="7518" y="372"/>
              </a:lnTo>
              <a:lnTo>
                <a:pt x="8425" y="208"/>
              </a:lnTo>
              <a:lnTo>
                <a:pt x="9496" y="59"/>
              </a:lnTo>
              <a:lnTo>
                <a:pt x="10637" y="14"/>
              </a:lnTo>
              <a:lnTo>
                <a:pt x="11614" y="59"/>
              </a:lnTo>
              <a:lnTo>
                <a:pt x="12382" y="119"/>
              </a:lnTo>
              <a:lnTo>
                <a:pt x="13034" y="253"/>
              </a:lnTo>
              <a:lnTo>
                <a:pt x="13779" y="417"/>
              </a:lnTo>
              <a:lnTo>
                <a:pt x="14500" y="611"/>
              </a:lnTo>
              <a:lnTo>
                <a:pt x="14733" y="686"/>
              </a:lnTo>
              <a:lnTo>
                <a:pt x="14989" y="790"/>
              </a:lnTo>
              <a:lnTo>
                <a:pt x="15175" y="865"/>
              </a:lnTo>
              <a:lnTo>
                <a:pt x="15385" y="954"/>
              </a:lnTo>
              <a:lnTo>
                <a:pt x="15431" y="969"/>
              </a:lnTo>
              <a:lnTo>
                <a:pt x="15594" y="1059"/>
              </a:lnTo>
              <a:lnTo>
                <a:pt x="15757" y="1148"/>
              </a:lnTo>
              <a:lnTo>
                <a:pt x="15920" y="1267"/>
              </a:lnTo>
              <a:lnTo>
                <a:pt x="16106" y="1372"/>
              </a:lnTo>
              <a:lnTo>
                <a:pt x="16665" y="1730"/>
              </a:lnTo>
              <a:lnTo>
                <a:pt x="17014" y="1998"/>
              </a:lnTo>
              <a:lnTo>
                <a:pt x="17480" y="2356"/>
              </a:lnTo>
              <a:lnTo>
                <a:pt x="17852" y="2804"/>
              </a:lnTo>
              <a:lnTo>
                <a:pt x="18178" y="3192"/>
              </a:lnTo>
              <a:lnTo>
                <a:pt x="18527" y="3639"/>
              </a:lnTo>
              <a:lnTo>
                <a:pt x="18806" y="4132"/>
              </a:lnTo>
              <a:lnTo>
                <a:pt x="19086" y="4713"/>
              </a:lnTo>
              <a:lnTo>
                <a:pt x="19272" y="5191"/>
              </a:lnTo>
              <a:lnTo>
                <a:pt x="19295" y="9606"/>
              </a:lnTo>
              <a:lnTo>
                <a:pt x="21600" y="9606"/>
              </a:lnTo>
              <a:lnTo>
                <a:pt x="21600" y="16289"/>
              </a:lnTo>
              <a:lnTo>
                <a:pt x="21413" y="17184"/>
              </a:lnTo>
              <a:lnTo>
                <a:pt x="21041" y="17900"/>
              </a:lnTo>
              <a:lnTo>
                <a:pt x="20668" y="18377"/>
              </a:lnTo>
              <a:lnTo>
                <a:pt x="20343" y="18855"/>
              </a:lnTo>
              <a:lnTo>
                <a:pt x="19924" y="19332"/>
              </a:lnTo>
              <a:lnTo>
                <a:pt x="19388" y="19809"/>
              </a:lnTo>
              <a:lnTo>
                <a:pt x="18806" y="20242"/>
              </a:lnTo>
              <a:lnTo>
                <a:pt x="18062" y="20585"/>
              </a:lnTo>
              <a:lnTo>
                <a:pt x="17270" y="20883"/>
              </a:lnTo>
              <a:lnTo>
                <a:pt x="16525" y="21182"/>
              </a:lnTo>
              <a:lnTo>
                <a:pt x="15548" y="21420"/>
              </a:lnTo>
              <a:lnTo>
                <a:pt x="14803" y="21540"/>
              </a:lnTo>
              <a:lnTo>
                <a:pt x="13662" y="21674"/>
              </a:lnTo>
              <a:lnTo>
                <a:pt x="8379" y="21659"/>
              </a:lnTo>
              <a:lnTo>
                <a:pt x="7168" y="21540"/>
              </a:lnTo>
              <a:lnTo>
                <a:pt x="6098" y="21331"/>
              </a:lnTo>
              <a:lnTo>
                <a:pt x="5050" y="21092"/>
              </a:lnTo>
              <a:lnTo>
                <a:pt x="4003" y="20764"/>
              </a:lnTo>
              <a:lnTo>
                <a:pt x="3258" y="20391"/>
              </a:lnTo>
              <a:lnTo>
                <a:pt x="2769" y="20123"/>
              </a:lnTo>
              <a:lnTo>
                <a:pt x="2281" y="19720"/>
              </a:lnTo>
              <a:lnTo>
                <a:pt x="1862" y="19407"/>
              </a:lnTo>
              <a:lnTo>
                <a:pt x="1489" y="19079"/>
              </a:lnTo>
              <a:lnTo>
                <a:pt x="1070" y="18676"/>
              </a:lnTo>
              <a:lnTo>
                <a:pt x="744" y="18258"/>
              </a:lnTo>
              <a:lnTo>
                <a:pt x="325" y="17661"/>
              </a:lnTo>
              <a:lnTo>
                <a:pt x="162" y="17035"/>
              </a:lnTo>
              <a:lnTo>
                <a:pt x="93" y="16468"/>
              </a:lnTo>
              <a:lnTo>
                <a:pt x="93" y="9606"/>
              </a:lnTo>
              <a:close/>
              <a:moveTo>
                <a:pt x="6098" y="9591"/>
              </a:moveTo>
              <a:lnTo>
                <a:pt x="6098" y="5220"/>
              </a:lnTo>
              <a:lnTo>
                <a:pt x="6191" y="4907"/>
              </a:lnTo>
              <a:lnTo>
                <a:pt x="6307" y="4639"/>
              </a:lnTo>
              <a:lnTo>
                <a:pt x="6517" y="4370"/>
              </a:lnTo>
              <a:lnTo>
                <a:pt x="6680" y="4087"/>
              </a:lnTo>
              <a:lnTo>
                <a:pt x="6889" y="3878"/>
              </a:lnTo>
              <a:lnTo>
                <a:pt x="7308" y="3520"/>
              </a:lnTo>
              <a:lnTo>
                <a:pt x="7843" y="3281"/>
              </a:lnTo>
              <a:lnTo>
                <a:pt x="8402" y="3013"/>
              </a:lnTo>
              <a:lnTo>
                <a:pt x="9031" y="2834"/>
              </a:lnTo>
              <a:lnTo>
                <a:pt x="9659" y="2700"/>
              </a:lnTo>
              <a:lnTo>
                <a:pt x="10497" y="2625"/>
              </a:lnTo>
              <a:lnTo>
                <a:pt x="11125" y="2655"/>
              </a:lnTo>
              <a:lnTo>
                <a:pt x="11987" y="2789"/>
              </a:lnTo>
              <a:lnTo>
                <a:pt x="12522" y="2893"/>
              </a:lnTo>
              <a:lnTo>
                <a:pt x="13011" y="3028"/>
              </a:lnTo>
              <a:lnTo>
                <a:pt x="13290" y="3192"/>
              </a:lnTo>
              <a:lnTo>
                <a:pt x="13709" y="3371"/>
              </a:lnTo>
              <a:lnTo>
                <a:pt x="13872" y="3505"/>
              </a:lnTo>
              <a:lnTo>
                <a:pt x="14058" y="3639"/>
              </a:lnTo>
              <a:lnTo>
                <a:pt x="14291" y="3788"/>
              </a:lnTo>
              <a:lnTo>
                <a:pt x="14431" y="3953"/>
              </a:lnTo>
              <a:lnTo>
                <a:pt x="14617" y="4102"/>
              </a:lnTo>
              <a:lnTo>
                <a:pt x="14826" y="4311"/>
              </a:lnTo>
              <a:lnTo>
                <a:pt x="14919" y="4534"/>
              </a:lnTo>
              <a:lnTo>
                <a:pt x="15036" y="4773"/>
              </a:lnTo>
              <a:lnTo>
                <a:pt x="15175" y="5027"/>
              </a:lnTo>
              <a:lnTo>
                <a:pt x="15245" y="5220"/>
              </a:lnTo>
              <a:lnTo>
                <a:pt x="15245" y="9591"/>
              </a:lnTo>
              <a:lnTo>
                <a:pt x="6098" y="9591"/>
              </a:lnTo>
              <a:close/>
            </a:path>
            <a:path w="21600" h="21600" extrusionOk="0">
              <a:moveTo>
                <a:pt x="93" y="9606"/>
              </a:moveTo>
              <a:lnTo>
                <a:pt x="21600" y="9606"/>
              </a:lnTo>
              <a:close/>
            </a:path>
            <a:path w="21600" h="21600" extrusionOk="0">
              <a:moveTo>
                <a:pt x="11684" y="17109"/>
              </a:moveTo>
              <a:lnTo>
                <a:pt x="12266" y="19317"/>
              </a:lnTo>
              <a:lnTo>
                <a:pt x="9659" y="19317"/>
              </a:lnTo>
              <a:lnTo>
                <a:pt x="10287" y="17124"/>
              </a:lnTo>
              <a:lnTo>
                <a:pt x="10008" y="16975"/>
              </a:lnTo>
              <a:lnTo>
                <a:pt x="9799" y="16722"/>
              </a:lnTo>
              <a:lnTo>
                <a:pt x="9752" y="16408"/>
              </a:lnTo>
              <a:lnTo>
                <a:pt x="9822" y="16170"/>
              </a:lnTo>
              <a:lnTo>
                <a:pt x="10008" y="16006"/>
              </a:lnTo>
              <a:lnTo>
                <a:pt x="10148" y="15871"/>
              </a:lnTo>
              <a:lnTo>
                <a:pt x="10381" y="15782"/>
              </a:lnTo>
              <a:lnTo>
                <a:pt x="10660" y="15692"/>
              </a:lnTo>
              <a:lnTo>
                <a:pt x="11009" y="15677"/>
              </a:lnTo>
              <a:lnTo>
                <a:pt x="11288" y="15722"/>
              </a:lnTo>
              <a:lnTo>
                <a:pt x="11614" y="15782"/>
              </a:lnTo>
              <a:lnTo>
                <a:pt x="11893" y="15946"/>
              </a:lnTo>
              <a:lnTo>
                <a:pt x="12033" y="16080"/>
              </a:lnTo>
              <a:lnTo>
                <a:pt x="12173" y="16229"/>
              </a:lnTo>
              <a:lnTo>
                <a:pt x="12196" y="16408"/>
              </a:lnTo>
              <a:lnTo>
                <a:pt x="12103" y="16722"/>
              </a:lnTo>
              <a:lnTo>
                <a:pt x="11987" y="16856"/>
              </a:lnTo>
              <a:lnTo>
                <a:pt x="11847" y="16975"/>
              </a:lnTo>
              <a:lnTo>
                <a:pt x="11684" y="17109"/>
              </a:lnTo>
            </a:path>
          </a:pathLst>
        </a:custGeom>
        <a:solidFill>
          <a:srgbClr val="006020">
            <a:alpha val="59000"/>
          </a:srgbClr>
        </a:solidFill>
        <a:ln w="38100">
          <a:solidFill>
            <a:srgbClr val="000000"/>
          </a:solidFill>
          <a:miter lim="800000"/>
          <a:headEnd/>
          <a:tailEnd/>
        </a:ln>
      </xdr:spPr>
    </xdr:sp>
    <xdr:clientData fPrintsWithSheet="0"/>
  </xdr:twoCellAnchor>
  <mc:AlternateContent xmlns:mc="http://schemas.openxmlformats.org/markup-compatibility/2006">
    <mc:Choice xmlns:a14="http://schemas.microsoft.com/office/drawing/2010/main" Requires="a14">
      <xdr:twoCellAnchor editAs="absolute">
        <xdr:from>
          <xdr:col>0</xdr:col>
          <xdr:colOff>66675</xdr:colOff>
          <xdr:row>0</xdr:row>
          <xdr:rowOff>171450</xdr:rowOff>
        </xdr:from>
        <xdr:to>
          <xdr:col>2</xdr:col>
          <xdr:colOff>742950</xdr:colOff>
          <xdr:row>3</xdr:row>
          <xdr:rowOff>66675</xdr:rowOff>
        </xdr:to>
        <xdr:sp macro="" textlink="">
          <xdr:nvSpPr>
            <xdr:cNvPr id="3073" name="Button 1" hidden="1">
              <a:extLst>
                <a:ext uri="{63B3BB69-23CF-44E3-9099-C40C66FF867C}">
                  <a14:compatExt spid="_x0000_s3073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36576" tIns="36576" rIns="36576" bIns="36576" anchor="ctr" upright="1"/>
            <a:lstStyle/>
            <a:p>
              <a:pPr algn="ctr" rtl="0">
                <a:defRPr sz="1000"/>
              </a:pPr>
              <a:r>
                <a:rPr lang="fr-FR" sz="1600" b="1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Enregistrer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2</xdr:col>
          <xdr:colOff>781050</xdr:colOff>
          <xdr:row>0</xdr:row>
          <xdr:rowOff>171450</xdr:rowOff>
        </xdr:from>
        <xdr:to>
          <xdr:col>4</xdr:col>
          <xdr:colOff>19050</xdr:colOff>
          <xdr:row>3</xdr:row>
          <xdr:rowOff>76200</xdr:rowOff>
        </xdr:to>
        <xdr:sp macro="" textlink="">
          <xdr:nvSpPr>
            <xdr:cNvPr id="3074" name="Button 2" hidden="1">
              <a:extLst>
                <a:ext uri="{63B3BB69-23CF-44E3-9099-C40C66FF867C}">
                  <a14:compatExt spid="_x0000_s3074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36576" tIns="36576" rIns="36576" bIns="36576" anchor="ctr" upright="1"/>
            <a:lstStyle/>
            <a:p>
              <a:pPr algn="ctr" rtl="0">
                <a:defRPr sz="1000"/>
              </a:pPr>
              <a:r>
                <a:rPr lang="fr-FR" sz="1800" b="1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MENU</a:t>
              </a:r>
            </a:p>
          </xdr:txBody>
        </xdr:sp>
        <xdr:clientData fPrintsWithSheet="0"/>
      </xdr:twoCellAnchor>
    </mc:Choice>
    <mc:Fallback/>
  </mc:AlternateContent>
</xdr:wsDr>
</file>

<file path=xl/drawings/drawing3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0</xdr:col>
          <xdr:colOff>76200</xdr:colOff>
          <xdr:row>0</xdr:row>
          <xdr:rowOff>66675</xdr:rowOff>
        </xdr:from>
        <xdr:to>
          <xdr:col>0</xdr:col>
          <xdr:colOff>781050</xdr:colOff>
          <xdr:row>2</xdr:row>
          <xdr:rowOff>161925</xdr:rowOff>
        </xdr:to>
        <xdr:sp macro="" textlink="">
          <xdr:nvSpPr>
            <xdr:cNvPr id="4097" name="Button 1" hidden="1">
              <a:extLst>
                <a:ext uri="{63B3BB69-23CF-44E3-9099-C40C66FF867C}">
                  <a14:compatExt spid="_x0000_s4097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36576" tIns="36576" rIns="36576" bIns="36576" anchor="ctr" upright="1"/>
            <a:lstStyle/>
            <a:p>
              <a:pPr algn="ctr" rtl="0">
                <a:defRPr sz="1000"/>
              </a:pPr>
              <a:r>
                <a:rPr lang="fr-FR" sz="1600" b="1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MENU</a:t>
              </a:r>
            </a:p>
          </xdr:txBody>
        </xdr:sp>
        <xdr:clientData fPrintsWithSheet="0"/>
      </xdr:twoCellAnchor>
    </mc:Choice>
    <mc:Fallback/>
  </mc:AlternateContent>
</xdr:wsDr>
</file>

<file path=xl/drawings/drawing4.xml><?xml version="1.0" encoding="utf-8"?>
<xdr:wsDr xmlns:xdr="http://schemas.openxmlformats.org/drawingml/2006/spreadsheetDrawing" xmlns:a="http://schemas.openxmlformats.org/drawingml/2006/main">
  <xdr:twoCellAnchor>
    <xdr:from>
      <xdr:col>1</xdr:col>
      <xdr:colOff>118627</xdr:colOff>
      <xdr:row>24</xdr:row>
      <xdr:rowOff>93491</xdr:rowOff>
    </xdr:from>
    <xdr:to>
      <xdr:col>22</xdr:col>
      <xdr:colOff>309564</xdr:colOff>
      <xdr:row>44</xdr:row>
      <xdr:rowOff>132669</xdr:rowOff>
    </xdr:to>
    <xdr:sp macro="[0]!Rien" textlink="$A$1">
      <xdr:nvSpPr>
        <xdr:cNvPr id="10" name="Rectangle 9"/>
        <xdr:cNvSpPr/>
      </xdr:nvSpPr>
      <xdr:spPr>
        <a:xfrm>
          <a:off x="880627" y="4653585"/>
          <a:ext cx="14418906" cy="3849178"/>
        </a:xfrm>
        <a:prstGeom prst="rect">
          <a:avLst/>
        </a:prstGeom>
        <a:ln w="34925">
          <a:solidFill>
            <a:srgbClr val="FFFFFF"/>
          </a:solidFill>
        </a:ln>
        <a:effectLst>
          <a:outerShdw blurRad="317500" dir="2700000" algn="ctr">
            <a:srgbClr val="000000">
              <a:alpha val="43000"/>
            </a:srgbClr>
          </a:outerShdw>
        </a:effectLst>
        <a:scene3d>
          <a:camera prst="perspectiveFront" fov="2700000">
            <a:rot lat="19086000" lon="19067999" rev="3108000"/>
          </a:camera>
          <a:lightRig rig="threePt" dir="t">
            <a:rot lat="0" lon="0" rev="0"/>
          </a:lightRig>
        </a:scene3d>
        <a:sp3d extrusionH="38100" prstMaterial="clear">
          <a:bevelT w="260350" h="50800" prst="softRound"/>
          <a:bevelB prst="softRound"/>
        </a:sp3d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fld id="{39C53F27-ADAB-48F8-BB3C-953F46C04EA4}" type="TxLink">
            <a:rPr lang="en-US" sz="8800" b="1" i="0" u="none" strike="noStrike" cap="none" spc="0">
              <a:ln w="12700">
                <a:solidFill>
                  <a:schemeClr val="tx2">
                    <a:satMod val="155000"/>
                  </a:schemeClr>
                </a:solidFill>
                <a:prstDash val="solid"/>
              </a:ln>
              <a:solidFill>
                <a:schemeClr val="bg2">
                  <a:tint val="85000"/>
                  <a:satMod val="155000"/>
                </a:schemeClr>
              </a:solidFill>
              <a:effectLst>
                <a:outerShdw blurRad="41275" dist="20320" dir="1800000" algn="tl" rotWithShape="0">
                  <a:srgbClr val="000000">
                    <a:alpha val="40000"/>
                  </a:srgbClr>
                </a:outerShdw>
              </a:effectLst>
              <a:latin typeface="Jokerman" panose="04090605060D06020702" pitchFamily="82" charset="0"/>
              <a:cs typeface="Calibri"/>
            </a:rPr>
            <a:pPr algn="ctr"/>
            <a:t>11:49:39</a:t>
          </a:fld>
          <a:endParaRPr lang="fr-FR" sz="8800" b="1" cap="none" spc="0">
            <a:ln w="12700">
              <a:solidFill>
                <a:schemeClr val="tx2">
                  <a:satMod val="155000"/>
                </a:schemeClr>
              </a:solidFill>
              <a:prstDash val="solid"/>
            </a:ln>
            <a:solidFill>
              <a:schemeClr val="bg2">
                <a:tint val="85000"/>
                <a:satMod val="155000"/>
              </a:schemeClr>
            </a:solidFill>
            <a:effectLst>
              <a:outerShdw blurRad="41275" dist="20320" dir="1800000" algn="tl" rotWithShape="0">
                <a:srgbClr val="000000">
                  <a:alpha val="40000"/>
                </a:srgbClr>
              </a:outerShdw>
            </a:effectLst>
            <a:latin typeface="Jokerman" panose="04090605060D06020702" pitchFamily="82" charset="0"/>
          </a:endParaRPr>
        </a:p>
      </xdr:txBody>
    </xdr:sp>
    <xdr:clientData/>
  </xdr:twoCellAnchor>
  <xdr:twoCellAnchor>
    <xdr:from>
      <xdr:col>4</xdr:col>
      <xdr:colOff>11359</xdr:colOff>
      <xdr:row>4</xdr:row>
      <xdr:rowOff>110716</xdr:rowOff>
    </xdr:from>
    <xdr:to>
      <xdr:col>8</xdr:col>
      <xdr:colOff>724165</xdr:colOff>
      <xdr:row>30</xdr:row>
      <xdr:rowOff>164779</xdr:rowOff>
    </xdr:to>
    <xdr:grpSp>
      <xdr:nvGrpSpPr>
        <xdr:cNvPr id="12" name="Menu_Icon"/>
        <xdr:cNvGrpSpPr/>
      </xdr:nvGrpSpPr>
      <xdr:grpSpPr>
        <a:xfrm>
          <a:off x="3059359" y="884622"/>
          <a:ext cx="3036641" cy="4983251"/>
          <a:chOff x="3724275" y="228600"/>
          <a:chExt cx="2933700" cy="4570987"/>
        </a:xfrm>
        <a:effectLst>
          <a:glow rad="114300">
            <a:schemeClr val="accent1"/>
          </a:glow>
          <a:reflection stA="6000" endPos="65000" dist="50800" dir="5400000" sy="-100000" algn="bl" rotWithShape="0"/>
        </a:effectLst>
      </xdr:grpSpPr>
      <xdr:sp macro="[0]!Rien" textlink="">
        <xdr:nvSpPr>
          <xdr:cNvPr id="2" name="IcoMenu"/>
          <xdr:cNvSpPr/>
        </xdr:nvSpPr>
        <xdr:spPr>
          <a:xfrm>
            <a:off x="3724275" y="228600"/>
            <a:ext cx="2933700" cy="4476750"/>
          </a:xfrm>
          <a:prstGeom prst="roundRect">
            <a:avLst/>
          </a:prstGeom>
          <a:ln>
            <a:noFill/>
          </a:ln>
          <a:effectLst>
            <a:outerShdw blurRad="184150" dist="241300" dir="11520000" sx="110000" sy="110000" algn="ctr">
              <a:srgbClr val="000000">
                <a:alpha val="18000"/>
              </a:srgbClr>
            </a:outerShdw>
          </a:effectLst>
          <a:scene3d>
            <a:camera prst="perspectiveFront" fov="5100000">
              <a:rot lat="0" lon="2100000" rev="0"/>
            </a:camera>
            <a:lightRig rig="flood" dir="t">
              <a:rot lat="0" lon="0" rev="13800000"/>
            </a:lightRig>
          </a:scene3d>
          <a:sp3d extrusionH="107950" prstMaterial="plastic">
            <a:bevelT w="82550" h="63500" prst="artDeco"/>
            <a:bevelB/>
          </a:sp3d>
        </xdr:spPr>
        <xdr:style>
          <a:lnRef idx="2">
            <a:schemeClr val="accent1">
              <a:shade val="50000"/>
            </a:schemeClr>
          </a:lnRef>
          <a:fillRef idx="1">
            <a:schemeClr val="accent1"/>
          </a:fillRef>
          <a:effectRef idx="0">
            <a:schemeClr val="accent1"/>
          </a:effectRef>
          <a:fontRef idx="minor">
            <a:schemeClr val="lt1"/>
          </a:fontRef>
        </xdr:style>
        <xdr:txBody>
          <a:bodyPr vertOverflow="clip" horzOverflow="clip" rtlCol="0" anchor="t"/>
          <a:lstStyle/>
          <a:p>
            <a:pPr algn="l"/>
            <a:endParaRPr lang="fr-FR" sz="1100"/>
          </a:p>
        </xdr:txBody>
      </xdr:sp>
      <xdr:sp macro="[0]!Rien" textlink="">
        <xdr:nvSpPr>
          <xdr:cNvPr id="9" name="Menu_Text"/>
          <xdr:cNvSpPr/>
        </xdr:nvSpPr>
        <xdr:spPr>
          <a:xfrm>
            <a:off x="5776271" y="578935"/>
            <a:ext cx="824553" cy="4220652"/>
          </a:xfrm>
          <a:prstGeom prst="rect">
            <a:avLst/>
          </a:prstGeom>
          <a:noFill/>
          <a:scene3d>
            <a:camera prst="orthographicFront"/>
            <a:lightRig rig="threePt" dir="t"/>
          </a:scene3d>
          <a:sp3d>
            <a:bevelT w="114300" prst="artDeco"/>
          </a:sp3d>
        </xdr:spPr>
        <xdr:txBody>
          <a:bodyPr wrap="square" lIns="91440" tIns="45720" rIns="91440" bIns="45720">
            <a:noAutofit/>
          </a:bodyPr>
          <a:lstStyle/>
          <a:p>
            <a:pPr algn="ctr"/>
            <a:r>
              <a:rPr lang="fr-FR" sz="5400" b="0" cap="none" spc="0">
                <a:ln w="18415" cmpd="sng">
                  <a:solidFill>
                    <a:srgbClr val="FFFFFF"/>
                  </a:solidFill>
                  <a:prstDash val="solid"/>
                </a:ln>
                <a:solidFill>
                  <a:srgbClr val="FFFFFF"/>
                </a:solidFill>
                <a:effectLst>
                  <a:outerShdw blurRad="63500" dir="3600000" algn="tl" rotWithShape="0">
                    <a:srgbClr val="000000">
                      <a:alpha val="70000"/>
                    </a:srgbClr>
                  </a:outerShdw>
                </a:effectLst>
                <a:latin typeface="Bodoni MT" panose="02070603080606020203" pitchFamily="18" charset="0"/>
              </a:rPr>
              <a:t>MENU</a:t>
            </a:r>
          </a:p>
        </xdr:txBody>
      </xdr:sp>
    </xdr:grpSp>
    <xdr:clientData/>
  </xdr:twoCellAnchor>
  <xdr:twoCellAnchor>
    <xdr:from>
      <xdr:col>1</xdr:col>
      <xdr:colOff>561359</xdr:colOff>
      <xdr:row>7</xdr:row>
      <xdr:rowOff>175070</xdr:rowOff>
    </xdr:from>
    <xdr:to>
      <xdr:col>7</xdr:col>
      <xdr:colOff>383185</xdr:colOff>
      <xdr:row>10</xdr:row>
      <xdr:rowOff>28445</xdr:rowOff>
    </xdr:to>
    <xdr:sp macro="[0]!Fnav_Cliquer" textlink="$V$2">
      <xdr:nvSpPr>
        <xdr:cNvPr id="3" name="Fnav"/>
        <xdr:cNvSpPr/>
      </xdr:nvSpPr>
      <xdr:spPr>
        <a:xfrm>
          <a:off x="1323359" y="1484758"/>
          <a:ext cx="4393826" cy="424875"/>
        </a:xfrm>
        <a:prstGeom prst="roundRect">
          <a:avLst/>
        </a:prstGeom>
        <a:ln>
          <a:noFill/>
        </a:ln>
        <a:effectLst>
          <a:outerShdw blurRad="190500" dist="228600" dir="2700000" algn="ctr">
            <a:srgbClr val="000000">
              <a:alpha val="30000"/>
            </a:srgbClr>
          </a:outerShdw>
        </a:effectLst>
        <a:scene3d>
          <a:camera prst="orthographicFront">
            <a:rot lat="0" lon="0" rev="0"/>
          </a:camera>
          <a:lightRig rig="glow" dir="t">
            <a:rot lat="0" lon="0" rev="4800000"/>
          </a:lightRig>
        </a:scene3d>
        <a:sp3d prstMaterial="matte">
          <a:bevelT w="127000" h="63500"/>
        </a:sp3d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>
          <a:scene3d>
            <a:camera prst="orthographicFront"/>
            <a:lightRig rig="soft" dir="t">
              <a:rot lat="0" lon="0" rev="10800000"/>
            </a:lightRig>
          </a:scene3d>
          <a:sp3d>
            <a:bevelT w="27940" h="12700"/>
            <a:contourClr>
              <a:srgbClr val="DDDDDD"/>
            </a:contourClr>
          </a:sp3d>
        </a:bodyPr>
        <a:lstStyle/>
        <a:p>
          <a:pPr algn="ctr"/>
          <a:fld id="{08B670D8-B498-44EA-A72C-3477F4003102}" type="TxLink">
            <a:rPr lang="en-US" sz="1800" b="1" i="0" u="none" strike="noStrike" cap="none" spc="150">
              <a:ln w="11430"/>
              <a:solidFill>
                <a:srgbClr val="F8F8F8"/>
              </a:solidFill>
              <a:effectLst>
                <a:outerShdw blurRad="25400" algn="tl" rotWithShape="0">
                  <a:srgbClr val="000000">
                    <a:alpha val="43000"/>
                  </a:srgbClr>
                </a:outerShdw>
              </a:effectLst>
              <a:latin typeface="Comic Sans MS" panose="030F0702030302020204" pitchFamily="66" charset="0"/>
              <a:cs typeface="Calibri"/>
            </a:rPr>
            <a:pPr algn="ctr"/>
            <a:t>Facturer Navettes</a:t>
          </a:fld>
          <a:endParaRPr lang="fr-FR" sz="2800" b="1" cap="none" spc="150">
            <a:ln w="11430"/>
            <a:solidFill>
              <a:srgbClr val="F8F8F8"/>
            </a:solidFill>
            <a:effectLst>
              <a:outerShdw blurRad="25400" algn="tl" rotWithShape="0">
                <a:srgbClr val="000000">
                  <a:alpha val="43000"/>
                </a:srgbClr>
              </a:outerShdw>
            </a:effectLst>
            <a:latin typeface="Comic Sans MS" panose="030F0702030302020204" pitchFamily="66" charset="0"/>
          </a:endParaRPr>
        </a:p>
      </xdr:txBody>
    </xdr:sp>
    <xdr:clientData/>
  </xdr:twoCellAnchor>
  <xdr:twoCellAnchor>
    <xdr:from>
      <xdr:col>1</xdr:col>
      <xdr:colOff>561359</xdr:colOff>
      <xdr:row>10</xdr:row>
      <xdr:rowOff>87253</xdr:rowOff>
    </xdr:from>
    <xdr:to>
      <xdr:col>7</xdr:col>
      <xdr:colOff>383185</xdr:colOff>
      <xdr:row>12</xdr:row>
      <xdr:rowOff>166554</xdr:rowOff>
    </xdr:to>
    <xdr:sp macro="[0]!Fexp_Cliquer" textlink="$V$3">
      <xdr:nvSpPr>
        <xdr:cNvPr id="4" name="Fexp"/>
        <xdr:cNvSpPr/>
      </xdr:nvSpPr>
      <xdr:spPr>
        <a:xfrm>
          <a:off x="1323359" y="1968441"/>
          <a:ext cx="4393826" cy="460301"/>
        </a:xfrm>
        <a:prstGeom prst="roundRect">
          <a:avLst/>
        </a:prstGeom>
        <a:ln>
          <a:noFill/>
        </a:ln>
        <a:effectLst>
          <a:outerShdw blurRad="190500" dist="228600" dir="2700000" algn="ctr">
            <a:srgbClr val="000000">
              <a:alpha val="30000"/>
            </a:srgbClr>
          </a:outerShdw>
        </a:effectLst>
        <a:scene3d>
          <a:camera prst="orthographicFront">
            <a:rot lat="0" lon="0" rev="0"/>
          </a:camera>
          <a:lightRig rig="glow" dir="t">
            <a:rot lat="0" lon="0" rev="4800000"/>
          </a:lightRig>
        </a:scene3d>
        <a:sp3d prstMaterial="matte">
          <a:bevelT w="127000" h="63500"/>
        </a:sp3d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rot="0" spcFirstLastPara="0" vertOverflow="clip" horzOverflow="clip" vert="horz" wrap="square" lIns="91440" tIns="45720" rIns="91440" bIns="45720" numCol="1" spcCol="0" rtlCol="0" fromWordArt="0" anchor="ctr" anchorCtr="0" forceAA="0" compatLnSpc="1">
          <a:prstTxWarp prst="textNoShape">
            <a:avLst/>
          </a:prstTxWarp>
          <a:noAutofit/>
          <a:scene3d>
            <a:camera prst="orthographicFront"/>
            <a:lightRig rig="soft" dir="t">
              <a:rot lat="0" lon="0" rev="10800000"/>
            </a:lightRig>
          </a:scene3d>
          <a:sp3d>
            <a:bevelT w="27940" h="12700"/>
            <a:contourClr>
              <a:srgbClr val="DDDDDD"/>
            </a:contourClr>
          </a:sp3d>
        </a:bodyPr>
        <a:lstStyle/>
        <a:p>
          <a:pPr marL="0" indent="0" algn="ctr"/>
          <a:fld id="{031C2520-587F-4A7A-8A2D-B84E0A5064FA}" type="TxLink">
            <a:rPr lang="en-US" sz="1800" b="1" i="0" u="none" strike="noStrike" cap="none" spc="150">
              <a:ln w="11430"/>
              <a:solidFill>
                <a:srgbClr val="F8F8F8"/>
              </a:solidFill>
              <a:effectLst>
                <a:outerShdw blurRad="25400" algn="tl" rotWithShape="0">
                  <a:srgbClr val="000000">
                    <a:alpha val="43000"/>
                  </a:srgbClr>
                </a:outerShdw>
              </a:effectLst>
              <a:latin typeface="Comic Sans MS" panose="030F0702030302020204" pitchFamily="66" charset="0"/>
              <a:ea typeface="+mn-ea"/>
              <a:cs typeface="Calibri"/>
            </a:rPr>
            <a:pPr marL="0" indent="0" algn="ctr"/>
            <a:t>Facturer Exports</a:t>
          </a:fld>
          <a:endParaRPr lang="fr-FR" sz="2800" b="1" cap="none" spc="150">
            <a:ln w="11430"/>
            <a:solidFill>
              <a:srgbClr val="F8F8F8"/>
            </a:solidFill>
            <a:effectLst>
              <a:outerShdw blurRad="25400" algn="tl" rotWithShape="0">
                <a:srgbClr val="000000">
                  <a:alpha val="43000"/>
                </a:srgbClr>
              </a:outerShdw>
            </a:effectLst>
            <a:latin typeface="Comic Sans MS" panose="030F0702030302020204" pitchFamily="66" charset="0"/>
            <a:ea typeface="+mn-ea"/>
            <a:cs typeface="+mn-cs"/>
          </a:endParaRPr>
        </a:p>
      </xdr:txBody>
    </xdr:sp>
    <xdr:clientData/>
  </xdr:twoCellAnchor>
  <xdr:twoCellAnchor>
    <xdr:from>
      <xdr:col>1</xdr:col>
      <xdr:colOff>551089</xdr:colOff>
      <xdr:row>13</xdr:row>
      <xdr:rowOff>49386</xdr:rowOff>
    </xdr:from>
    <xdr:to>
      <xdr:col>7</xdr:col>
      <xdr:colOff>372915</xdr:colOff>
      <xdr:row>15</xdr:row>
      <xdr:rowOff>128686</xdr:rowOff>
    </xdr:to>
    <xdr:sp macro="[0]!EditF_Cliquer" textlink="$V$4">
      <xdr:nvSpPr>
        <xdr:cNvPr id="5" name="EditF"/>
        <xdr:cNvSpPr/>
      </xdr:nvSpPr>
      <xdr:spPr>
        <a:xfrm>
          <a:off x="1313089" y="2502074"/>
          <a:ext cx="4393826" cy="460300"/>
        </a:xfrm>
        <a:prstGeom prst="roundRect">
          <a:avLst/>
        </a:prstGeom>
        <a:ln>
          <a:noFill/>
        </a:ln>
        <a:effectLst>
          <a:outerShdw blurRad="190500" dist="228600" dir="2700000" algn="ctr">
            <a:srgbClr val="000000">
              <a:alpha val="30000"/>
            </a:srgbClr>
          </a:outerShdw>
        </a:effectLst>
        <a:scene3d>
          <a:camera prst="orthographicFront">
            <a:rot lat="0" lon="0" rev="0"/>
          </a:camera>
          <a:lightRig rig="glow" dir="t">
            <a:rot lat="0" lon="0" rev="4800000"/>
          </a:lightRig>
        </a:scene3d>
        <a:sp3d prstMaterial="matte">
          <a:bevelT w="127000" h="63500"/>
        </a:sp3d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rot="0" spcFirstLastPara="0" vertOverflow="clip" horzOverflow="clip" vert="horz" wrap="square" lIns="91440" tIns="45720" rIns="91440" bIns="45720" numCol="1" spcCol="0" rtlCol="0" fromWordArt="0" anchor="ctr" anchorCtr="0" forceAA="0" compatLnSpc="1">
          <a:prstTxWarp prst="textNoShape">
            <a:avLst/>
          </a:prstTxWarp>
          <a:noAutofit/>
          <a:scene3d>
            <a:camera prst="orthographicFront"/>
            <a:lightRig rig="soft" dir="t">
              <a:rot lat="0" lon="0" rev="10800000"/>
            </a:lightRig>
          </a:scene3d>
          <a:sp3d>
            <a:bevelT w="27940" h="12700"/>
            <a:contourClr>
              <a:srgbClr val="DDDDDD"/>
            </a:contourClr>
          </a:sp3d>
        </a:bodyPr>
        <a:lstStyle/>
        <a:p>
          <a:pPr marL="0" indent="0" algn="ctr"/>
          <a:fld id="{36F0A01A-A210-48BC-BF87-1CED65DDD978}" type="TxLink">
            <a:rPr lang="en-US" sz="1800" b="1" i="0" u="none" strike="noStrike" cap="none" spc="150">
              <a:ln w="11430"/>
              <a:solidFill>
                <a:srgbClr val="F8F8F8"/>
              </a:solidFill>
              <a:effectLst>
                <a:outerShdw blurRad="25400" algn="tl" rotWithShape="0">
                  <a:srgbClr val="000000">
                    <a:alpha val="43000"/>
                  </a:srgbClr>
                </a:outerShdw>
              </a:effectLst>
              <a:latin typeface="Comic Sans MS" panose="030F0702030302020204" pitchFamily="66" charset="0"/>
              <a:ea typeface="+mn-ea"/>
              <a:cs typeface="Calibri"/>
            </a:rPr>
            <a:pPr marL="0" indent="0" algn="ctr"/>
            <a:t>Modifier/Imprimer Facture</a:t>
          </a:fld>
          <a:endParaRPr lang="fr-FR" sz="2800" b="1" cap="none" spc="150">
            <a:ln w="11430"/>
            <a:solidFill>
              <a:srgbClr val="F8F8F8"/>
            </a:solidFill>
            <a:effectLst>
              <a:outerShdw blurRad="25400" algn="tl" rotWithShape="0">
                <a:srgbClr val="000000">
                  <a:alpha val="43000"/>
                </a:srgbClr>
              </a:outerShdw>
            </a:effectLst>
            <a:latin typeface="Comic Sans MS" panose="030F0702030302020204" pitchFamily="66" charset="0"/>
            <a:ea typeface="+mn-ea"/>
            <a:cs typeface="+mn-cs"/>
          </a:endParaRPr>
        </a:p>
      </xdr:txBody>
    </xdr:sp>
    <xdr:clientData/>
  </xdr:twoCellAnchor>
  <xdr:twoCellAnchor>
    <xdr:from>
      <xdr:col>1</xdr:col>
      <xdr:colOff>551089</xdr:colOff>
      <xdr:row>15</xdr:row>
      <xdr:rowOff>187494</xdr:rowOff>
    </xdr:from>
    <xdr:to>
      <xdr:col>7</xdr:col>
      <xdr:colOff>372915</xdr:colOff>
      <xdr:row>18</xdr:row>
      <xdr:rowOff>81019</xdr:rowOff>
    </xdr:to>
    <xdr:sp macro="[0]!Rien" textlink="$V$5">
      <xdr:nvSpPr>
        <xdr:cNvPr id="6" name="EditM"/>
        <xdr:cNvSpPr/>
      </xdr:nvSpPr>
      <xdr:spPr>
        <a:xfrm>
          <a:off x="1313089" y="3021182"/>
          <a:ext cx="4393826" cy="465025"/>
        </a:xfrm>
        <a:prstGeom prst="roundRect">
          <a:avLst/>
        </a:prstGeom>
        <a:ln>
          <a:noFill/>
        </a:ln>
        <a:effectLst>
          <a:outerShdw blurRad="190500" dist="228600" dir="2700000" algn="ctr">
            <a:srgbClr val="000000">
              <a:alpha val="30000"/>
            </a:srgbClr>
          </a:outerShdw>
        </a:effectLst>
        <a:scene3d>
          <a:camera prst="orthographicFront">
            <a:rot lat="0" lon="0" rev="0"/>
          </a:camera>
          <a:lightRig rig="glow" dir="t">
            <a:rot lat="0" lon="0" rev="4800000"/>
          </a:lightRig>
        </a:scene3d>
        <a:sp3d prstMaterial="matte">
          <a:bevelT w="127000" h="63500"/>
        </a:sp3d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rot="0" spcFirstLastPara="0" vertOverflow="clip" horzOverflow="clip" vert="horz" wrap="square" lIns="91440" tIns="45720" rIns="91440" bIns="45720" numCol="1" spcCol="0" rtlCol="0" fromWordArt="0" anchor="ctr" anchorCtr="0" forceAA="0" compatLnSpc="1">
          <a:prstTxWarp prst="textNoShape">
            <a:avLst/>
          </a:prstTxWarp>
          <a:noAutofit/>
          <a:scene3d>
            <a:camera prst="orthographicFront"/>
            <a:lightRig rig="soft" dir="t">
              <a:rot lat="0" lon="0" rev="10800000"/>
            </a:lightRig>
          </a:scene3d>
          <a:sp3d>
            <a:bevelT w="27940" h="12700"/>
            <a:contourClr>
              <a:srgbClr val="DDDDDD"/>
            </a:contourClr>
          </a:sp3d>
        </a:bodyPr>
        <a:lstStyle/>
        <a:p>
          <a:pPr marL="0" indent="0" algn="ctr"/>
          <a:fld id="{4FF212B2-1C88-449A-A6AE-D7EABA7C3E55}" type="TxLink">
            <a:rPr lang="en-US" sz="1800" b="1" i="0" u="none" strike="noStrike" cap="none" spc="150">
              <a:ln w="11430"/>
              <a:solidFill>
                <a:srgbClr val="F8F8F8"/>
              </a:solidFill>
              <a:effectLst>
                <a:outerShdw blurRad="25400" algn="tl" rotWithShape="0">
                  <a:srgbClr val="000000">
                    <a:alpha val="43000"/>
                  </a:srgbClr>
                </a:outerShdw>
              </a:effectLst>
              <a:latin typeface="Comic Sans MS" panose="030F0702030302020204" pitchFamily="66" charset="0"/>
              <a:ea typeface="+mn-ea"/>
              <a:cs typeface="Calibri"/>
            </a:rPr>
            <a:pPr marL="0" indent="0" algn="ctr"/>
            <a:t>Modifier N° Mois Courant</a:t>
          </a:fld>
          <a:endParaRPr lang="fr-FR" sz="2800" b="1" cap="none" spc="150">
            <a:ln w="11430"/>
            <a:solidFill>
              <a:srgbClr val="F8F8F8"/>
            </a:solidFill>
            <a:effectLst>
              <a:outerShdw blurRad="25400" algn="tl" rotWithShape="0">
                <a:srgbClr val="000000">
                  <a:alpha val="43000"/>
                </a:srgbClr>
              </a:outerShdw>
            </a:effectLst>
            <a:latin typeface="Comic Sans MS" panose="030F0702030302020204" pitchFamily="66" charset="0"/>
            <a:ea typeface="+mn-ea"/>
            <a:cs typeface="+mn-cs"/>
          </a:endParaRPr>
        </a:p>
      </xdr:txBody>
    </xdr:sp>
    <xdr:clientData/>
  </xdr:twoCellAnchor>
  <xdr:twoCellAnchor>
    <xdr:from>
      <xdr:col>1</xdr:col>
      <xdr:colOff>551087</xdr:colOff>
      <xdr:row>21</xdr:row>
      <xdr:rowOff>180368</xdr:rowOff>
    </xdr:from>
    <xdr:to>
      <xdr:col>4</xdr:col>
      <xdr:colOff>350674</xdr:colOff>
      <xdr:row>24</xdr:row>
      <xdr:rowOff>69169</xdr:rowOff>
    </xdr:to>
    <xdr:sp macro="[0]!Rien" textlink="$V$7">
      <xdr:nvSpPr>
        <xdr:cNvPr id="7" name="RNNav"/>
        <xdr:cNvSpPr/>
      </xdr:nvSpPr>
      <xdr:spPr>
        <a:xfrm>
          <a:off x="1313087" y="4157056"/>
          <a:ext cx="2085587" cy="460301"/>
        </a:xfrm>
        <a:prstGeom prst="roundRect">
          <a:avLst/>
        </a:prstGeom>
        <a:ln>
          <a:noFill/>
        </a:ln>
        <a:effectLst>
          <a:outerShdw blurRad="190500" dist="228600" dir="2700000" algn="ctr">
            <a:srgbClr val="000000">
              <a:alpha val="30000"/>
            </a:srgbClr>
          </a:outerShdw>
        </a:effectLst>
        <a:scene3d>
          <a:camera prst="orthographicFront">
            <a:rot lat="0" lon="0" rev="0"/>
          </a:camera>
          <a:lightRig rig="glow" dir="t">
            <a:rot lat="0" lon="0" rev="4800000"/>
          </a:lightRig>
        </a:scene3d>
        <a:sp3d prstMaterial="matte">
          <a:bevelT w="127000" h="63500"/>
        </a:sp3d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rot="0" spcFirstLastPara="0" vertOverflow="clip" horzOverflow="clip" vert="horz" wrap="square" lIns="91440" tIns="45720" rIns="91440" bIns="45720" numCol="1" spcCol="0" rtlCol="0" fromWordArt="0" anchor="ctr" anchorCtr="0" forceAA="0" compatLnSpc="1">
          <a:prstTxWarp prst="textNoShape">
            <a:avLst/>
          </a:prstTxWarp>
          <a:noAutofit/>
          <a:scene3d>
            <a:camera prst="orthographicFront"/>
            <a:lightRig rig="soft" dir="t">
              <a:rot lat="0" lon="0" rev="10800000"/>
            </a:lightRig>
          </a:scene3d>
          <a:sp3d>
            <a:bevelT w="27940" h="12700"/>
            <a:contourClr>
              <a:srgbClr val="DDDDDD"/>
            </a:contourClr>
          </a:sp3d>
        </a:bodyPr>
        <a:lstStyle/>
        <a:p>
          <a:pPr marL="0" indent="0" algn="ctr"/>
          <a:fld id="{90FC3BCC-54DA-4DBA-A9F6-25A1475E4991}" type="TxLink">
            <a:rPr lang="en-US" sz="1600" b="1" i="0" u="none" strike="noStrike" cap="none" spc="150">
              <a:ln w="11430"/>
              <a:solidFill>
                <a:srgbClr val="F8F8F8"/>
              </a:solidFill>
              <a:effectLst>
                <a:outerShdw blurRad="25400" algn="tl" rotWithShape="0">
                  <a:srgbClr val="000000">
                    <a:alpha val="43000"/>
                  </a:srgbClr>
                </a:outerShdw>
              </a:effectLst>
              <a:latin typeface="Comic Sans MS" panose="030F0702030302020204" pitchFamily="66" charset="0"/>
              <a:ea typeface="+mn-ea"/>
              <a:cs typeface="Calibri"/>
            </a:rPr>
            <a:pPr marL="0" indent="0" algn="ctr"/>
            <a:t>Nbre Navettes</a:t>
          </a:fld>
          <a:endParaRPr lang="fr-FR" sz="1600" b="1" cap="none" spc="150">
            <a:ln w="11430"/>
            <a:solidFill>
              <a:srgbClr val="F8F8F8"/>
            </a:solidFill>
            <a:effectLst>
              <a:outerShdw blurRad="25400" algn="tl" rotWithShape="0">
                <a:srgbClr val="000000">
                  <a:alpha val="43000"/>
                </a:srgbClr>
              </a:outerShdw>
            </a:effectLst>
            <a:latin typeface="Comic Sans MS" panose="030F0702030302020204" pitchFamily="66" charset="0"/>
            <a:ea typeface="+mn-ea"/>
            <a:cs typeface="+mn-cs"/>
          </a:endParaRPr>
        </a:p>
      </xdr:txBody>
    </xdr:sp>
    <xdr:clientData/>
  </xdr:twoCellAnchor>
  <xdr:twoCellAnchor>
    <xdr:from>
      <xdr:col>1</xdr:col>
      <xdr:colOff>551089</xdr:colOff>
      <xdr:row>18</xdr:row>
      <xdr:rowOff>169229</xdr:rowOff>
    </xdr:from>
    <xdr:to>
      <xdr:col>7</xdr:col>
      <xdr:colOff>372915</xdr:colOff>
      <xdr:row>21</xdr:row>
      <xdr:rowOff>58030</xdr:rowOff>
    </xdr:to>
    <xdr:sp macro="[0]!Rien" textlink="$V$6">
      <xdr:nvSpPr>
        <xdr:cNvPr id="8" name="InitN"/>
        <xdr:cNvSpPr/>
      </xdr:nvSpPr>
      <xdr:spPr>
        <a:xfrm>
          <a:off x="1313089" y="3574417"/>
          <a:ext cx="4393826" cy="460301"/>
        </a:xfrm>
        <a:prstGeom prst="roundRect">
          <a:avLst/>
        </a:prstGeom>
        <a:ln>
          <a:noFill/>
        </a:ln>
        <a:effectLst>
          <a:outerShdw blurRad="190500" dist="228600" dir="2700000" algn="ctr">
            <a:srgbClr val="000000">
              <a:alpha val="30000"/>
            </a:srgbClr>
          </a:outerShdw>
        </a:effectLst>
        <a:scene3d>
          <a:camera prst="orthographicFront">
            <a:rot lat="0" lon="0" rev="0"/>
          </a:camera>
          <a:lightRig rig="glow" dir="t">
            <a:rot lat="0" lon="0" rev="4800000"/>
          </a:lightRig>
        </a:scene3d>
        <a:sp3d prstMaterial="matte">
          <a:bevelT w="127000" h="63500"/>
        </a:sp3d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rot="0" spcFirstLastPara="0" vertOverflow="clip" horzOverflow="clip" vert="horz" wrap="square" lIns="91440" tIns="45720" rIns="91440" bIns="45720" numCol="1" spcCol="0" rtlCol="0" fromWordArt="0" anchor="ctr" anchorCtr="0" forceAA="0" compatLnSpc="1">
          <a:prstTxWarp prst="textNoShape">
            <a:avLst/>
          </a:prstTxWarp>
          <a:noAutofit/>
          <a:scene3d>
            <a:camera prst="orthographicFront"/>
            <a:lightRig rig="soft" dir="t">
              <a:rot lat="0" lon="0" rev="10800000"/>
            </a:lightRig>
          </a:scene3d>
          <a:sp3d>
            <a:bevelT w="27940" h="12700"/>
            <a:contourClr>
              <a:srgbClr val="DDDDDD"/>
            </a:contourClr>
          </a:sp3d>
        </a:bodyPr>
        <a:lstStyle/>
        <a:p>
          <a:pPr marL="0" indent="0" algn="ctr"/>
          <a:fld id="{6F58EE09-CF83-4BE5-B7B5-EF37C7359127}" type="TxLink">
            <a:rPr lang="en-US" sz="1800" b="1" i="0" u="none" strike="noStrike" cap="none" spc="150">
              <a:ln w="11430"/>
              <a:solidFill>
                <a:srgbClr val="F8F8F8"/>
              </a:solidFill>
              <a:effectLst>
                <a:outerShdw blurRad="25400" algn="tl" rotWithShape="0">
                  <a:srgbClr val="000000">
                    <a:alpha val="43000"/>
                  </a:srgbClr>
                </a:outerShdw>
              </a:effectLst>
              <a:latin typeface="Comic Sans MS" panose="030F0702030302020204" pitchFamily="66" charset="0"/>
              <a:ea typeface="+mn-ea"/>
              <a:cs typeface="Calibri"/>
            </a:rPr>
            <a:pPr marL="0" indent="0" algn="ctr"/>
            <a:t>Initialiser Numérotation</a:t>
          </a:fld>
          <a:endParaRPr lang="fr-FR" sz="2800" b="1" cap="none" spc="150">
            <a:ln w="11430"/>
            <a:solidFill>
              <a:srgbClr val="F8F8F8"/>
            </a:solidFill>
            <a:effectLst>
              <a:outerShdw blurRad="25400" algn="tl" rotWithShape="0">
                <a:srgbClr val="000000">
                  <a:alpha val="43000"/>
                </a:srgbClr>
              </a:outerShdw>
            </a:effectLst>
            <a:latin typeface="Comic Sans MS" panose="030F0702030302020204" pitchFamily="66" charset="0"/>
            <a:ea typeface="+mn-ea"/>
            <a:cs typeface="+mn-cs"/>
          </a:endParaRPr>
        </a:p>
      </xdr:txBody>
    </xdr:sp>
    <xdr:clientData/>
  </xdr:twoCellAnchor>
  <xdr:twoCellAnchor>
    <xdr:from>
      <xdr:col>1</xdr:col>
      <xdr:colOff>551087</xdr:colOff>
      <xdr:row>24</xdr:row>
      <xdr:rowOff>171905</xdr:rowOff>
    </xdr:from>
    <xdr:to>
      <xdr:col>4</xdr:col>
      <xdr:colOff>395086</xdr:colOff>
      <xdr:row>27</xdr:row>
      <xdr:rowOff>60705</xdr:rowOff>
    </xdr:to>
    <xdr:sp macro="[0]!Rien" textlink="$V$8">
      <xdr:nvSpPr>
        <xdr:cNvPr id="11" name="RecNexeee"/>
        <xdr:cNvSpPr/>
      </xdr:nvSpPr>
      <xdr:spPr>
        <a:xfrm>
          <a:off x="1313087" y="4720093"/>
          <a:ext cx="2129999" cy="460300"/>
        </a:xfrm>
        <a:prstGeom prst="roundRect">
          <a:avLst/>
        </a:prstGeom>
        <a:ln>
          <a:noFill/>
        </a:ln>
        <a:effectLst>
          <a:outerShdw blurRad="190500" dist="228600" dir="2700000" algn="ctr">
            <a:srgbClr val="000000">
              <a:alpha val="30000"/>
            </a:srgbClr>
          </a:outerShdw>
        </a:effectLst>
        <a:scene3d>
          <a:camera prst="orthographicFront">
            <a:rot lat="0" lon="0" rev="0"/>
          </a:camera>
          <a:lightRig rig="glow" dir="t">
            <a:rot lat="0" lon="0" rev="4800000"/>
          </a:lightRig>
        </a:scene3d>
        <a:sp3d prstMaterial="matte">
          <a:bevelT w="127000" h="63500"/>
        </a:sp3d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rot="0" spcFirstLastPara="0" vertOverflow="clip" horzOverflow="clip" vert="horz" wrap="square" lIns="91440" tIns="45720" rIns="91440" bIns="45720" numCol="1" spcCol="0" rtlCol="0" fromWordArt="0" anchor="ctr" anchorCtr="0" forceAA="0" compatLnSpc="1">
          <a:prstTxWarp prst="textNoShape">
            <a:avLst/>
          </a:prstTxWarp>
          <a:noAutofit/>
          <a:scene3d>
            <a:camera prst="orthographicFront"/>
            <a:lightRig rig="soft" dir="t">
              <a:rot lat="0" lon="0" rev="10800000"/>
            </a:lightRig>
          </a:scene3d>
          <a:sp3d>
            <a:bevelT w="27940" h="12700"/>
            <a:contourClr>
              <a:srgbClr val="DDDDDD"/>
            </a:contourClr>
          </a:sp3d>
        </a:bodyPr>
        <a:lstStyle/>
        <a:p>
          <a:pPr marL="0" indent="0" algn="ctr"/>
          <a:fld id="{6E3A3074-5F7D-4636-B99F-FEFC5957378B}" type="TxLink">
            <a:rPr lang="en-US" sz="1800" b="1" i="0" u="none" strike="noStrike" cap="none" spc="150">
              <a:ln w="11430"/>
              <a:solidFill>
                <a:srgbClr val="F8F8F8"/>
              </a:solidFill>
              <a:effectLst>
                <a:outerShdw blurRad="25400" algn="tl" rotWithShape="0">
                  <a:srgbClr val="000000">
                    <a:alpha val="43000"/>
                  </a:srgbClr>
                </a:outerShdw>
              </a:effectLst>
              <a:latin typeface="Comic Sans MS" panose="030F0702030302020204" pitchFamily="66" charset="0"/>
              <a:ea typeface="+mn-ea"/>
              <a:cs typeface="Calibri"/>
            </a:rPr>
            <a:pPr marL="0" indent="0" algn="ctr"/>
            <a:t>Nbre Exports</a:t>
          </a:fld>
          <a:endParaRPr lang="fr-FR" sz="1800" b="1" i="0" u="none" strike="noStrike" cap="none" spc="150">
            <a:ln w="11430"/>
            <a:solidFill>
              <a:srgbClr val="F8F8F8"/>
            </a:solidFill>
            <a:effectLst>
              <a:outerShdw blurRad="25400" algn="tl" rotWithShape="0">
                <a:srgbClr val="000000">
                  <a:alpha val="43000"/>
                </a:srgbClr>
              </a:outerShdw>
            </a:effectLst>
            <a:latin typeface="Comic Sans MS" panose="030F0702030302020204" pitchFamily="66" charset="0"/>
            <a:ea typeface="+mn-ea"/>
            <a:cs typeface="Calibri"/>
          </a:endParaRPr>
        </a:p>
      </xdr:txBody>
    </xdr:sp>
    <xdr:clientData/>
  </xdr:twoCellAnchor>
  <xdr:twoCellAnchor>
    <xdr:from>
      <xdr:col>4</xdr:col>
      <xdr:colOff>498749</xdr:colOff>
      <xdr:row>21</xdr:row>
      <xdr:rowOff>178361</xdr:rowOff>
    </xdr:from>
    <xdr:to>
      <xdr:col>7</xdr:col>
      <xdr:colOff>379461</xdr:colOff>
      <xdr:row>24</xdr:row>
      <xdr:rowOff>79680</xdr:rowOff>
    </xdr:to>
    <xdr:sp macro="[0]!Rien" textlink="$K$3">
      <xdr:nvSpPr>
        <xdr:cNvPr id="13" name="Nnavt"/>
        <xdr:cNvSpPr/>
      </xdr:nvSpPr>
      <xdr:spPr>
        <a:xfrm>
          <a:off x="3546749" y="4155049"/>
          <a:ext cx="2166712" cy="472819"/>
        </a:xfrm>
        <a:prstGeom prst="roundRect">
          <a:avLst/>
        </a:prstGeom>
        <a:ln/>
      </xdr:spPr>
      <xdr:style>
        <a:lnRef idx="0">
          <a:schemeClr val="accent4"/>
        </a:lnRef>
        <a:fillRef idx="3">
          <a:schemeClr val="accent4"/>
        </a:fillRef>
        <a:effectRef idx="3">
          <a:schemeClr val="accent4"/>
        </a:effectRef>
        <a:fontRef idx="minor">
          <a:schemeClr val="lt1"/>
        </a:fontRef>
      </xdr:style>
      <xdr:txBody>
        <a:bodyPr rot="0" spcFirstLastPara="0" vertOverflow="clip" horzOverflow="clip" vert="horz" wrap="square" lIns="91440" tIns="45720" rIns="91440" bIns="45720" numCol="1" spcCol="0" rtlCol="0" fromWordArt="0" anchor="ctr" anchorCtr="0" forceAA="0" compatLnSpc="1">
          <a:prstTxWarp prst="textNoShape">
            <a:avLst/>
          </a:prstTxWarp>
          <a:noAutofit/>
        </a:bodyPr>
        <a:lstStyle/>
        <a:p>
          <a:pPr marL="0" indent="0" algn="ctr"/>
          <a:fld id="{E9DDEF80-DF49-42D8-8F40-6139032A0B67}" type="TxLink">
            <a:rPr lang="en-US" sz="1800" b="0" i="0" u="none" strike="noStrike" cap="none" spc="0">
              <a:ln w="18415" cmpd="sng">
                <a:solidFill>
                  <a:srgbClr val="FFFFFF"/>
                </a:solidFill>
                <a:prstDash val="solid"/>
              </a:ln>
              <a:solidFill>
                <a:srgbClr val="FFFFFF"/>
              </a:solidFill>
              <a:effectLst>
                <a:outerShdw blurRad="63500" dir="3600000" algn="tl" rotWithShape="0">
                  <a:srgbClr val="000000">
                    <a:alpha val="70000"/>
                  </a:srgbClr>
                </a:outerShdw>
              </a:effectLst>
              <a:latin typeface="Calibri"/>
              <a:ea typeface="+mn-ea"/>
              <a:cs typeface="Calibri"/>
            </a:rPr>
            <a:pPr marL="0" indent="0" algn="ctr"/>
            <a:t>174/SF/NV/19</a:t>
          </a:fld>
          <a:endParaRPr lang="fr-FR" sz="1800" b="0" i="0" u="none" strike="noStrike" cap="none" spc="0">
            <a:ln w="18415" cmpd="sng">
              <a:solidFill>
                <a:srgbClr val="FFFFFF"/>
              </a:solidFill>
              <a:prstDash val="solid"/>
            </a:ln>
            <a:solidFill>
              <a:srgbClr val="FFFFFF"/>
            </a:solidFill>
            <a:effectLst>
              <a:outerShdw blurRad="63500" dir="3600000" algn="tl" rotWithShape="0">
                <a:srgbClr val="000000">
                  <a:alpha val="70000"/>
                </a:srgbClr>
              </a:outerShdw>
            </a:effectLst>
            <a:latin typeface="Calibri"/>
            <a:ea typeface="+mn-ea"/>
            <a:cs typeface="Calibri"/>
          </a:endParaRPr>
        </a:p>
      </xdr:txBody>
    </xdr:sp>
    <xdr:clientData/>
  </xdr:twoCellAnchor>
  <xdr:twoCellAnchor>
    <xdr:from>
      <xdr:col>4</xdr:col>
      <xdr:colOff>478458</xdr:colOff>
      <xdr:row>25</xdr:row>
      <xdr:rowOff>7266</xdr:rowOff>
    </xdr:from>
    <xdr:to>
      <xdr:col>7</xdr:col>
      <xdr:colOff>397332</xdr:colOff>
      <xdr:row>27</xdr:row>
      <xdr:rowOff>51378</xdr:rowOff>
    </xdr:to>
    <xdr:sp macro="[0]!Rien" textlink="$K$4">
      <xdr:nvSpPr>
        <xdr:cNvPr id="14" name="Nexpt"/>
        <xdr:cNvSpPr/>
      </xdr:nvSpPr>
      <xdr:spPr>
        <a:xfrm>
          <a:off x="3526458" y="4745954"/>
          <a:ext cx="2204874" cy="425112"/>
        </a:xfrm>
        <a:prstGeom prst="roundRect">
          <a:avLst/>
        </a:prstGeom>
        <a:ln/>
      </xdr:spPr>
      <xdr:style>
        <a:lnRef idx="0">
          <a:schemeClr val="accent4"/>
        </a:lnRef>
        <a:fillRef idx="3">
          <a:schemeClr val="accent4"/>
        </a:fillRef>
        <a:effectRef idx="3">
          <a:schemeClr val="accent4"/>
        </a:effectRef>
        <a:fontRef idx="minor">
          <a:schemeClr val="lt1"/>
        </a:fontRef>
      </xdr:style>
      <xdr:txBody>
        <a:bodyPr rot="0" spcFirstLastPara="0" vertOverflow="clip" horzOverflow="clip" vert="horz" wrap="square" lIns="91440" tIns="45720" rIns="91440" bIns="45720" numCol="1" spcCol="0" rtlCol="0" fromWordArt="0" anchor="ctr" anchorCtr="0" forceAA="0" compatLnSpc="1">
          <a:prstTxWarp prst="textNoShape">
            <a:avLst/>
          </a:prstTxWarp>
          <a:noAutofit/>
        </a:bodyPr>
        <a:lstStyle/>
        <a:p>
          <a:pPr marL="0" indent="0" algn="ctr"/>
          <a:fld id="{DE301617-D72C-47AA-A8AA-AE195458D853}" type="TxLink">
            <a:rPr lang="en-US" sz="1800" b="0" i="0" u="none" strike="noStrike" cap="none" spc="0">
              <a:ln w="18415" cmpd="sng">
                <a:solidFill>
                  <a:srgbClr val="FFFFFF"/>
                </a:solidFill>
                <a:prstDash val="solid"/>
              </a:ln>
              <a:solidFill>
                <a:srgbClr val="FFFFFF"/>
              </a:solidFill>
              <a:effectLst>
                <a:outerShdw blurRad="63500" dir="3600000" algn="tl" rotWithShape="0">
                  <a:srgbClr val="000000">
                    <a:alpha val="70000"/>
                  </a:srgbClr>
                </a:outerShdw>
              </a:effectLst>
              <a:latin typeface="Calibri"/>
              <a:ea typeface="+mn-ea"/>
              <a:cs typeface="Calibri"/>
            </a:rPr>
            <a:pPr marL="0" indent="0" algn="ctr"/>
            <a:t>174/SF/NV/19</a:t>
          </a:fld>
          <a:endParaRPr lang="fr-FR" sz="1800" b="0" i="0" u="none" strike="noStrike" cap="none" spc="0">
            <a:ln w="18415" cmpd="sng">
              <a:solidFill>
                <a:srgbClr val="FFFFFF"/>
              </a:solidFill>
              <a:prstDash val="solid"/>
            </a:ln>
            <a:solidFill>
              <a:srgbClr val="FFFFFF"/>
            </a:solidFill>
            <a:effectLst>
              <a:outerShdw blurRad="63500" dir="3600000" algn="tl" rotWithShape="0">
                <a:srgbClr val="000000">
                  <a:alpha val="70000"/>
                </a:srgbClr>
              </a:outerShdw>
            </a:effectLst>
            <a:latin typeface="Calibri"/>
            <a:ea typeface="+mn-ea"/>
            <a:cs typeface="Calibri"/>
          </a:endParaRPr>
        </a:p>
      </xdr:txBody>
    </xdr:sp>
    <xdr:clientData/>
  </xdr:twoCellAnchor>
  <xdr:twoCellAnchor>
    <xdr:from>
      <xdr:col>1</xdr:col>
      <xdr:colOff>552169</xdr:colOff>
      <xdr:row>30</xdr:row>
      <xdr:rowOff>131096</xdr:rowOff>
    </xdr:from>
    <xdr:to>
      <xdr:col>7</xdr:col>
      <xdr:colOff>373885</xdr:colOff>
      <xdr:row>33</xdr:row>
      <xdr:rowOff>89244</xdr:rowOff>
    </xdr:to>
    <xdr:sp macro="[0]!RecNex_Cliquer" textlink="$V$10">
      <xdr:nvSpPr>
        <xdr:cNvPr id="22" name="RecNex"/>
        <xdr:cNvSpPr/>
      </xdr:nvSpPr>
      <xdr:spPr>
        <a:xfrm>
          <a:off x="1314169" y="5822284"/>
          <a:ext cx="4393716" cy="529648"/>
        </a:xfrm>
        <a:prstGeom prst="roundRect">
          <a:avLst/>
        </a:prstGeom>
        <a:ln/>
      </xdr:spPr>
      <xdr:style>
        <a:lnRef idx="0">
          <a:schemeClr val="accent4"/>
        </a:lnRef>
        <a:fillRef idx="3">
          <a:schemeClr val="accent4"/>
        </a:fillRef>
        <a:effectRef idx="3">
          <a:schemeClr val="accent4"/>
        </a:effectRef>
        <a:fontRef idx="minor">
          <a:schemeClr val="lt1"/>
        </a:fontRef>
      </xdr:style>
      <xdr:txBody>
        <a:bodyPr rot="0" spcFirstLastPara="0" vertOverflow="clip" horzOverflow="clip" vert="horz" wrap="square" lIns="91440" tIns="45720" rIns="91440" bIns="45720" numCol="1" spcCol="0" rtlCol="0" fromWordArt="0" anchor="ctr" anchorCtr="0" forceAA="0" compatLnSpc="1">
          <a:prstTxWarp prst="textNoShape">
            <a:avLst/>
          </a:prstTxWarp>
          <a:noAutofit/>
        </a:bodyPr>
        <a:lstStyle/>
        <a:p>
          <a:pPr marL="0" indent="0" algn="ctr"/>
          <a:fld id="{EB2C06DF-A9C9-4E12-B845-BF4DCD77D214}" type="TxLink">
            <a:rPr lang="en-US" sz="2800" b="0" i="0" u="none" strike="noStrike" cap="none" spc="0">
              <a:ln w="18415" cmpd="sng">
                <a:solidFill>
                  <a:srgbClr val="FFFFFF"/>
                </a:solidFill>
                <a:prstDash val="solid"/>
              </a:ln>
              <a:solidFill>
                <a:srgbClr val="FFFFFF"/>
              </a:solidFill>
              <a:effectLst>
                <a:outerShdw blurRad="63500" dir="3600000" algn="tl" rotWithShape="0">
                  <a:srgbClr val="000000">
                    <a:alpha val="70000"/>
                  </a:srgbClr>
                </a:outerShdw>
              </a:effectLst>
              <a:latin typeface="Calibri"/>
              <a:ea typeface="+mn-ea"/>
              <a:cs typeface="Calibri"/>
            </a:rPr>
            <a:pPr marL="0" indent="0" algn="ctr"/>
            <a:t>Base de Données</a:t>
          </a:fld>
          <a:endParaRPr lang="fr-FR" sz="6000" b="0" i="0" cap="none" spc="0">
            <a:ln w="18415" cmpd="sng">
              <a:solidFill>
                <a:srgbClr val="FFFFFF"/>
              </a:solidFill>
              <a:prstDash val="solid"/>
            </a:ln>
            <a:solidFill>
              <a:srgbClr val="FFFFFF"/>
            </a:solidFill>
            <a:effectLst>
              <a:outerShdw blurRad="63500" dir="3600000" algn="tl" rotWithShape="0">
                <a:srgbClr val="000000">
                  <a:alpha val="70000"/>
                </a:srgbClr>
              </a:outerShdw>
            </a:effectLst>
            <a:latin typeface="Arial Narrow" panose="020B0606020202030204" pitchFamily="34" charset="0"/>
            <a:ea typeface="+mn-ea"/>
            <a:cs typeface="+mn-cs"/>
          </a:endParaRPr>
        </a:p>
      </xdr:txBody>
    </xdr:sp>
    <xdr:clientData/>
  </xdr:twoCellAnchor>
  <xdr:twoCellAnchor>
    <xdr:from>
      <xdr:col>9</xdr:col>
      <xdr:colOff>589545</xdr:colOff>
      <xdr:row>6</xdr:row>
      <xdr:rowOff>107156</xdr:rowOff>
    </xdr:from>
    <xdr:to>
      <xdr:col>20</xdr:col>
      <xdr:colOff>208</xdr:colOff>
      <xdr:row>26</xdr:row>
      <xdr:rowOff>169784</xdr:rowOff>
    </xdr:to>
    <xdr:grpSp>
      <xdr:nvGrpSpPr>
        <xdr:cNvPr id="26" name="Groupe 25"/>
        <xdr:cNvGrpSpPr/>
      </xdr:nvGrpSpPr>
      <xdr:grpSpPr>
        <a:xfrm>
          <a:off x="6096000" y="1238250"/>
          <a:ext cx="5119896" cy="3872628"/>
          <a:chOff x="7447545" y="1530919"/>
          <a:chExt cx="6146199" cy="3578258"/>
        </a:xfrm>
      </xdr:grpSpPr>
      <xdr:grpSp>
        <xdr:nvGrpSpPr>
          <xdr:cNvPr id="17" name="Groupe 16"/>
          <xdr:cNvGrpSpPr/>
        </xdr:nvGrpSpPr>
        <xdr:grpSpPr>
          <a:xfrm>
            <a:off x="7447545" y="1530919"/>
            <a:ext cx="6146199" cy="3578258"/>
            <a:chOff x="7189009" y="860768"/>
            <a:chExt cx="6644561" cy="3578258"/>
          </a:xfrm>
        </xdr:grpSpPr>
        <xdr:sp macro="[0]!Rien" textlink="">
          <xdr:nvSpPr>
            <xdr:cNvPr id="19" name="Rectangle 18"/>
            <xdr:cNvSpPr/>
          </xdr:nvSpPr>
          <xdr:spPr>
            <a:xfrm>
              <a:off x="7189009" y="860768"/>
              <a:ext cx="6644561" cy="3578258"/>
            </a:xfrm>
            <a:prstGeom prst="rect">
              <a:avLst/>
            </a:prstGeom>
          </xdr:spPr>
          <xdr:style>
            <a:lnRef idx="0">
              <a:schemeClr val="accent5"/>
            </a:lnRef>
            <a:fillRef idx="3">
              <a:schemeClr val="accent5"/>
            </a:fillRef>
            <a:effectRef idx="3">
              <a:schemeClr val="accent5"/>
            </a:effectRef>
            <a:fontRef idx="minor">
              <a:schemeClr val="lt1"/>
            </a:fontRef>
          </xdr:style>
          <xdr:txBody>
            <a:bodyPr vertOverflow="clip" horzOverflow="clip" rtlCol="0" anchor="t"/>
            <a:lstStyle/>
            <a:p>
              <a:pPr algn="l"/>
              <a:endParaRPr lang="fr-FR" sz="1100"/>
            </a:p>
          </xdr:txBody>
        </xdr:sp>
        <xdr:sp macro="[0]!Rien" textlink="$N$3">
          <xdr:nvSpPr>
            <xdr:cNvPr id="18" name="Rectangle 17"/>
            <xdr:cNvSpPr/>
          </xdr:nvSpPr>
          <xdr:spPr>
            <a:xfrm>
              <a:off x="7424107" y="1214112"/>
              <a:ext cx="5493828" cy="780524"/>
            </a:xfrm>
            <a:prstGeom prst="rect">
              <a:avLst/>
            </a:prstGeom>
            <a:noFill/>
            <a:ln/>
          </xdr:spPr>
          <xdr:style>
            <a:lnRef idx="0">
              <a:schemeClr val="accent5"/>
            </a:lnRef>
            <a:fillRef idx="3">
              <a:schemeClr val="accent5"/>
            </a:fillRef>
            <a:effectRef idx="3">
              <a:schemeClr val="accent5"/>
            </a:effectRef>
            <a:fontRef idx="minor">
              <a:schemeClr val="lt1"/>
            </a:fontRef>
          </xdr:style>
          <xdr:txBody>
            <a:bodyPr vertOverflow="clip" horzOverflow="clip" rtlCol="0" anchor="ctr"/>
            <a:lstStyle/>
            <a:p>
              <a:pPr algn="ctr"/>
              <a:fld id="{8AE960E8-1915-4889-9E70-648164D62E85}" type="TxLink">
                <a:rPr lang="en-US" sz="6600" b="0" i="0" u="none" strike="noStrike" cap="none" spc="0">
                  <a:ln w="18415" cmpd="sng">
                    <a:solidFill>
                      <a:srgbClr val="FFFFFF"/>
                    </a:solidFill>
                    <a:prstDash val="solid"/>
                  </a:ln>
                  <a:solidFill>
                    <a:srgbClr val="FFFFFF"/>
                  </a:solidFill>
                  <a:effectLst>
                    <a:outerShdw blurRad="63500" dir="3600000" algn="tl" rotWithShape="0">
                      <a:srgbClr val="000000">
                        <a:alpha val="70000"/>
                      </a:srgbClr>
                    </a:outerShdw>
                  </a:effectLst>
                  <a:latin typeface="Calibri"/>
                  <a:cs typeface="Calibri"/>
                </a:rPr>
                <a:pPr algn="ctr"/>
                <a:t>Jeudi</a:t>
              </a:fld>
              <a:endParaRPr lang="fr-FR" sz="13800" b="0" cap="none" spc="0">
                <a:ln w="18415" cmpd="sng">
                  <a:solidFill>
                    <a:srgbClr val="FFFFFF"/>
                  </a:solidFill>
                  <a:prstDash val="solid"/>
                </a:ln>
                <a:solidFill>
                  <a:srgbClr val="FFFFFF"/>
                </a:solidFill>
                <a:effectLst>
                  <a:outerShdw blurRad="63500" dir="3600000" algn="tl" rotWithShape="0">
                    <a:srgbClr val="000000">
                      <a:alpha val="70000"/>
                    </a:srgbClr>
                  </a:outerShdw>
                </a:effectLst>
                <a:latin typeface="High Tower Text" panose="02040502050506030303" pitchFamily="18" charset="0"/>
              </a:endParaRPr>
            </a:p>
          </xdr:txBody>
        </xdr:sp>
        <xdr:sp macro="[0]!Rien" textlink="$O$4">
          <xdr:nvSpPr>
            <xdr:cNvPr id="20" name="Rectangle 19"/>
            <xdr:cNvSpPr/>
          </xdr:nvSpPr>
          <xdr:spPr>
            <a:xfrm>
              <a:off x="8398133" y="1779421"/>
              <a:ext cx="3457342" cy="1952129"/>
            </a:xfrm>
            <a:prstGeom prst="rect">
              <a:avLst/>
            </a:prstGeom>
            <a:noFill/>
            <a:ln/>
          </xdr:spPr>
          <xdr:style>
            <a:lnRef idx="0">
              <a:schemeClr val="accent5"/>
            </a:lnRef>
            <a:fillRef idx="3">
              <a:schemeClr val="accent5"/>
            </a:fillRef>
            <a:effectRef idx="3">
              <a:schemeClr val="accent5"/>
            </a:effectRef>
            <a:fontRef idx="minor">
              <a:schemeClr val="lt1"/>
            </a:fontRef>
          </xdr:style>
          <xdr:txBody>
            <a:bodyPr vertOverflow="clip" horzOverflow="clip" rtlCol="0" anchor="ctr"/>
            <a:lstStyle/>
            <a:p>
              <a:pPr algn="ctr"/>
              <a:fld id="{35FAE194-C4DD-4A5C-BE26-2725D1F35320}" type="TxLink">
                <a:rPr lang="en-US" sz="9600" b="1" i="0" u="none" strike="noStrike" cap="none" spc="0">
                  <a:ln w="900" cmpd="sng">
                    <a:solidFill>
                      <a:schemeClr val="accent1">
                        <a:satMod val="190000"/>
                        <a:alpha val="55000"/>
                      </a:schemeClr>
                    </a:solidFill>
                    <a:prstDash val="solid"/>
                  </a:ln>
                  <a:solidFill>
                    <a:schemeClr val="accent1">
                      <a:satMod val="200000"/>
                      <a:tint val="3000"/>
                    </a:schemeClr>
                  </a:solidFill>
                  <a:effectLst>
                    <a:innerShdw blurRad="101600" dist="76200" dir="5400000">
                      <a:schemeClr val="accent1">
                        <a:satMod val="190000"/>
                        <a:tint val="100000"/>
                        <a:alpha val="74000"/>
                      </a:schemeClr>
                    </a:innerShdw>
                  </a:effectLst>
                  <a:latin typeface="Bodoni MT Black" panose="02070A03080606020203" pitchFamily="18" charset="0"/>
                  <a:cs typeface="Calibri"/>
                </a:rPr>
                <a:pPr algn="ctr"/>
                <a:t>7</a:t>
              </a:fld>
              <a:endParaRPr lang="fr-FR" sz="9600" b="1" cap="none" spc="0">
                <a:ln w="900" cmpd="sng">
                  <a:solidFill>
                    <a:schemeClr val="accent1">
                      <a:satMod val="190000"/>
                      <a:alpha val="55000"/>
                    </a:schemeClr>
                  </a:solidFill>
                  <a:prstDash val="solid"/>
                </a:ln>
                <a:solidFill>
                  <a:schemeClr val="accent1">
                    <a:satMod val="200000"/>
                    <a:tint val="3000"/>
                  </a:schemeClr>
                </a:solidFill>
                <a:effectLst>
                  <a:innerShdw blurRad="101600" dist="76200" dir="5400000">
                    <a:schemeClr val="accent1">
                      <a:satMod val="190000"/>
                      <a:tint val="100000"/>
                      <a:alpha val="74000"/>
                    </a:schemeClr>
                  </a:innerShdw>
                </a:effectLst>
                <a:latin typeface="Bodoni MT Black" panose="02070A03080606020203" pitchFamily="18" charset="0"/>
              </a:endParaRPr>
            </a:p>
          </xdr:txBody>
        </xdr:sp>
        <xdr:sp macro="[0]!Rien" textlink="$S$2">
          <xdr:nvSpPr>
            <xdr:cNvPr id="21" name="Rectangle 20"/>
            <xdr:cNvSpPr/>
          </xdr:nvSpPr>
          <xdr:spPr>
            <a:xfrm>
              <a:off x="7523096" y="3376247"/>
              <a:ext cx="5370092" cy="873840"/>
            </a:xfrm>
            <a:prstGeom prst="rect">
              <a:avLst/>
            </a:prstGeom>
            <a:noFill/>
            <a:ln/>
          </xdr:spPr>
          <xdr:style>
            <a:lnRef idx="0">
              <a:schemeClr val="accent5"/>
            </a:lnRef>
            <a:fillRef idx="3">
              <a:schemeClr val="accent5"/>
            </a:fillRef>
            <a:effectRef idx="3">
              <a:schemeClr val="accent5"/>
            </a:effectRef>
            <a:fontRef idx="minor">
              <a:schemeClr val="lt1"/>
            </a:fontRef>
          </xdr:style>
          <xdr:txBody>
            <a:bodyPr rot="0" spcFirstLastPara="0" vertOverflow="clip" horzOverflow="clip" vert="horz" wrap="square" lIns="91440" tIns="45720" rIns="91440" bIns="45720" numCol="1" spcCol="0" rtlCol="0" fromWordArt="0" anchor="ctr" anchorCtr="0" forceAA="0" compatLnSpc="1">
              <a:prstTxWarp prst="textNoShape">
                <a:avLst/>
              </a:prstTxWarp>
              <a:noAutofit/>
            </a:bodyPr>
            <a:lstStyle/>
            <a:p>
              <a:pPr marL="0" indent="0" algn="ctr"/>
              <a:fld id="{71E7BBE2-0D87-448C-A646-EE701D446DA4}" type="TxLink">
                <a:rPr lang="en-US" sz="4800" b="0" i="0" u="none" strike="noStrike" cap="none" spc="0">
                  <a:ln w="18415" cmpd="sng">
                    <a:solidFill>
                      <a:srgbClr val="FFFFFF"/>
                    </a:solidFill>
                    <a:prstDash val="solid"/>
                  </a:ln>
                  <a:solidFill>
                    <a:srgbClr val="FFFFFF"/>
                  </a:solidFill>
                  <a:effectLst>
                    <a:outerShdw blurRad="63500" dir="3600000" algn="tl" rotWithShape="0">
                      <a:srgbClr val="000000">
                        <a:alpha val="70000"/>
                      </a:srgbClr>
                    </a:outerShdw>
                  </a:effectLst>
                  <a:latin typeface="Calibri"/>
                  <a:ea typeface="+mn-ea"/>
                  <a:cs typeface="Calibri"/>
                </a:rPr>
                <a:pPr marL="0" indent="0" algn="ctr"/>
                <a:t>Novembre</a:t>
              </a:fld>
              <a:endParaRPr lang="fr-FR" sz="8800" b="0" i="0" u="none" strike="noStrike" cap="none" spc="0">
                <a:ln w="18415" cmpd="sng">
                  <a:solidFill>
                    <a:srgbClr val="FFFFFF"/>
                  </a:solidFill>
                  <a:prstDash val="solid"/>
                </a:ln>
                <a:solidFill>
                  <a:srgbClr val="FFFFFF"/>
                </a:solidFill>
                <a:effectLst>
                  <a:outerShdw blurRad="63500" dir="3600000" algn="tl" rotWithShape="0">
                    <a:srgbClr val="000000">
                      <a:alpha val="70000"/>
                    </a:srgbClr>
                  </a:outerShdw>
                </a:effectLst>
                <a:latin typeface="Bookman Old Style" panose="02050604050505020204" pitchFamily="18" charset="0"/>
                <a:ea typeface="+mn-ea"/>
                <a:cs typeface="+mn-cs"/>
              </a:endParaRPr>
            </a:p>
          </xdr:txBody>
        </xdr:sp>
      </xdr:grpSp>
      <xdr:sp macro="[0]!Rien" textlink="$N$5">
        <xdr:nvSpPr>
          <xdr:cNvPr id="15" name="Rectangle 14"/>
          <xdr:cNvSpPr/>
        </xdr:nvSpPr>
        <xdr:spPr>
          <a:xfrm>
            <a:off x="12736496" y="1861016"/>
            <a:ext cx="536958" cy="2881312"/>
          </a:xfrm>
          <a:prstGeom prst="rect">
            <a:avLst/>
          </a:prstGeom>
          <a:noFill/>
          <a:ln>
            <a:noFill/>
          </a:ln>
        </xdr:spPr>
        <xdr:txBody>
          <a:bodyPr wrap="square" lIns="91440" tIns="45720" rIns="91440" bIns="45720">
            <a:noAutofit/>
            <a:scene3d>
              <a:camera prst="orthographicFront"/>
              <a:lightRig rig="soft" dir="t">
                <a:rot lat="0" lon="0" rev="10800000"/>
              </a:lightRig>
            </a:scene3d>
            <a:sp3d>
              <a:bevelT w="27940" h="12700"/>
              <a:contourClr>
                <a:srgbClr val="DDDDDD"/>
              </a:contourClr>
            </a:sp3d>
          </a:bodyPr>
          <a:lstStyle/>
          <a:p>
            <a:pPr algn="ctr"/>
            <a:fld id="{8C392C61-7CEC-4895-B7CD-83A687D76374}" type="TxLink">
              <a:rPr lang="en-US" sz="4400" b="1" i="0" u="none" strike="noStrike" cap="none" spc="150">
                <a:ln w="11430"/>
                <a:solidFill>
                  <a:srgbClr val="F8F8F8"/>
                </a:solidFill>
                <a:effectLst>
                  <a:outerShdw blurRad="25400" algn="tl" rotWithShape="0">
                    <a:srgbClr val="000000">
                      <a:alpha val="43000"/>
                    </a:srgbClr>
                  </a:outerShdw>
                </a:effectLst>
                <a:latin typeface="Calibri"/>
                <a:cs typeface="Calibri"/>
              </a:rPr>
              <a:pPr algn="ctr"/>
              <a:t>2019</a:t>
            </a:fld>
            <a:endParaRPr lang="fr-FR" sz="4400" b="1" cap="none" spc="150">
              <a:ln w="11430"/>
              <a:solidFill>
                <a:srgbClr val="F8F8F8"/>
              </a:solidFill>
              <a:effectLst>
                <a:outerShdw blurRad="25400" algn="tl" rotWithShape="0">
                  <a:srgbClr val="000000">
                    <a:alpha val="43000"/>
                  </a:srgbClr>
                </a:outerShdw>
              </a:effectLst>
            </a:endParaRPr>
          </a:p>
        </xdr:txBody>
      </xdr:sp>
    </xdr:grpSp>
    <xdr:clientData/>
  </xdr:twoCellAnchor>
  <xdr:twoCellAnchor>
    <xdr:from>
      <xdr:col>1</xdr:col>
      <xdr:colOff>537229</xdr:colOff>
      <xdr:row>27</xdr:row>
      <xdr:rowOff>155412</xdr:rowOff>
    </xdr:from>
    <xdr:to>
      <xdr:col>7</xdr:col>
      <xdr:colOff>404812</xdr:colOff>
      <xdr:row>30</xdr:row>
      <xdr:rowOff>44212</xdr:rowOff>
    </xdr:to>
    <xdr:sp macro="[0]!RecNexeee_Cliquer" textlink="$V$1">
      <xdr:nvSpPr>
        <xdr:cNvPr id="23" name="RecNexeee"/>
        <xdr:cNvSpPr/>
      </xdr:nvSpPr>
      <xdr:spPr>
        <a:xfrm>
          <a:off x="1299229" y="5287006"/>
          <a:ext cx="4439583" cy="460300"/>
        </a:xfrm>
        <a:prstGeom prst="roundRect">
          <a:avLst/>
        </a:prstGeom>
        <a:solidFill>
          <a:srgbClr val="0000FF"/>
        </a:solidFill>
        <a:ln>
          <a:noFill/>
        </a:ln>
        <a:effectLst>
          <a:glow rad="228600">
            <a:schemeClr val="accent3">
              <a:satMod val="175000"/>
              <a:alpha val="40000"/>
            </a:schemeClr>
          </a:glow>
          <a:outerShdw blurRad="44450" dist="27940" dir="5400000" algn="ctr">
            <a:srgbClr val="000000">
              <a:alpha val="32000"/>
            </a:srgbClr>
          </a:outerShdw>
        </a:effectLst>
        <a:scene3d>
          <a:camera prst="orthographicFront">
            <a:rot lat="0" lon="0" rev="0"/>
          </a:camera>
          <a:lightRig rig="balanced" dir="t">
            <a:rot lat="0" lon="0" rev="8700000"/>
          </a:lightRig>
        </a:scene3d>
        <a:sp3d>
          <a:bevelT w="190500" h="38100"/>
        </a:sp3d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rot="0" spcFirstLastPara="0" vertOverflow="clip" horzOverflow="clip" vert="horz" wrap="square" lIns="91440" tIns="45720" rIns="91440" bIns="45720" numCol="1" spcCol="0" rtlCol="0" fromWordArt="0" anchor="ctr" anchorCtr="0" forceAA="0" compatLnSpc="1">
          <a:prstTxWarp prst="textNoShape">
            <a:avLst/>
          </a:prstTxWarp>
          <a:noAutofit/>
          <a:scene3d>
            <a:camera prst="orthographicFront"/>
            <a:lightRig rig="soft" dir="t">
              <a:rot lat="0" lon="0" rev="10800000"/>
            </a:lightRig>
          </a:scene3d>
          <a:sp3d>
            <a:bevelT w="27940" h="12700"/>
            <a:contourClr>
              <a:srgbClr val="DDDDDD"/>
            </a:contourClr>
          </a:sp3d>
        </a:bodyPr>
        <a:lstStyle/>
        <a:p>
          <a:pPr marL="0" indent="0" algn="ctr"/>
          <a:fld id="{8CB74CCE-287C-4104-BC6D-C6798D2852A5}" type="TxLink">
            <a:rPr lang="en-US" sz="2400" b="1" i="0" u="none" strike="noStrike" cap="none" spc="150">
              <a:ln w="11430"/>
              <a:solidFill>
                <a:srgbClr val="F8F8F8"/>
              </a:solidFill>
              <a:effectLst>
                <a:outerShdw blurRad="25400" algn="tl" rotWithShape="0">
                  <a:srgbClr val="000000">
                    <a:alpha val="43000"/>
                  </a:srgbClr>
                </a:outerShdw>
              </a:effectLst>
              <a:latin typeface="Calibri"/>
              <a:ea typeface="+mn-ea"/>
              <a:cs typeface="Calibri"/>
            </a:rPr>
            <a:pPr marL="0" indent="0" algn="ctr"/>
            <a:t>Changer la Langue</a:t>
          </a:fld>
          <a:endParaRPr lang="fr-FR" sz="2400" b="1" i="0" u="none" strike="noStrike" cap="none" spc="150">
            <a:ln w="11430"/>
            <a:solidFill>
              <a:srgbClr val="F8F8F8"/>
            </a:solidFill>
            <a:effectLst>
              <a:outerShdw blurRad="25400" algn="tl" rotWithShape="0">
                <a:srgbClr val="000000">
                  <a:alpha val="43000"/>
                </a:srgbClr>
              </a:outerShdw>
            </a:effectLst>
            <a:latin typeface="Calibri"/>
            <a:ea typeface="+mn-ea"/>
            <a:cs typeface="Calibri"/>
          </a:endParaRPr>
        </a:p>
      </xdr:txBody>
    </xdr:sp>
    <xdr:clientData/>
  </xdr:twoCellAnchor>
  <xdr:twoCellAnchor>
    <xdr:from>
      <xdr:col>20</xdr:col>
      <xdr:colOff>0</xdr:colOff>
      <xdr:row>6</xdr:row>
      <xdr:rowOff>119062</xdr:rowOff>
    </xdr:from>
    <xdr:to>
      <xdr:col>21</xdr:col>
      <xdr:colOff>190500</xdr:colOff>
      <xdr:row>26</xdr:row>
      <xdr:rowOff>169783</xdr:rowOff>
    </xdr:to>
    <xdr:sp macro="[0]!Nexpt2_Cliquer" textlink="$Y$8">
      <xdr:nvSpPr>
        <xdr:cNvPr id="24" name="Nexpt2"/>
        <xdr:cNvSpPr/>
      </xdr:nvSpPr>
      <xdr:spPr>
        <a:xfrm>
          <a:off x="13596938" y="1250156"/>
          <a:ext cx="500062" cy="3860721"/>
        </a:xfrm>
        <a:prstGeom prst="roundRect">
          <a:avLst/>
        </a:prstGeom>
        <a:ln/>
      </xdr:spPr>
      <xdr:style>
        <a:lnRef idx="0">
          <a:schemeClr val="accent6"/>
        </a:lnRef>
        <a:fillRef idx="3">
          <a:schemeClr val="accent6"/>
        </a:fillRef>
        <a:effectRef idx="3">
          <a:schemeClr val="accent6"/>
        </a:effectRef>
        <a:fontRef idx="minor">
          <a:schemeClr val="lt1"/>
        </a:fontRef>
      </xdr:style>
      <xdr:txBody>
        <a:bodyPr rot="0" spcFirstLastPara="0" vertOverflow="clip" horzOverflow="clip" vert="horz" wrap="square" lIns="91440" tIns="45720" rIns="91440" bIns="45720" numCol="1" spcCol="0" rtlCol="0" fromWordArt="0" anchor="ctr" anchorCtr="0" forceAA="0" compatLnSpc="1">
          <a:prstTxWarp prst="textNoShape">
            <a:avLst/>
          </a:prstTxWarp>
          <a:noAutofit/>
        </a:bodyPr>
        <a:lstStyle/>
        <a:p>
          <a:pPr marL="0" indent="0" algn="ctr"/>
          <a:fld id="{910684D8-035B-4E4E-ABD2-309B50090870}" type="TxLink">
            <a:rPr lang="en-US" sz="3200" b="1" i="0" u="none" strike="noStrike" cap="none" spc="0">
              <a:ln w="12700">
                <a:solidFill>
                  <a:schemeClr val="tx2">
                    <a:satMod val="155000"/>
                  </a:schemeClr>
                </a:solidFill>
                <a:prstDash val="solid"/>
              </a:ln>
              <a:solidFill>
                <a:schemeClr val="bg2">
                  <a:tint val="85000"/>
                  <a:satMod val="155000"/>
                </a:schemeClr>
              </a:solidFill>
              <a:effectLst>
                <a:outerShdw blurRad="41275" dist="20320" dir="1800000" algn="tl" rotWithShape="0">
                  <a:srgbClr val="000000">
                    <a:alpha val="40000"/>
                  </a:srgbClr>
                </a:outerShdw>
              </a:effectLst>
              <a:latin typeface="Calibri"/>
              <a:ea typeface="+mn-ea"/>
              <a:cs typeface="Calibri"/>
            </a:rPr>
            <a:pPr marL="0" indent="0" algn="ctr"/>
            <a:t>FERMER</a:t>
          </a:fld>
          <a:endParaRPr lang="fr-FR" sz="4800" b="1" i="0" u="none" strike="noStrike" cap="none" spc="0">
            <a:ln w="12700">
              <a:solidFill>
                <a:schemeClr val="tx2">
                  <a:satMod val="155000"/>
                </a:schemeClr>
              </a:solidFill>
              <a:prstDash val="solid"/>
            </a:ln>
            <a:solidFill>
              <a:schemeClr val="bg2">
                <a:tint val="85000"/>
                <a:satMod val="155000"/>
              </a:schemeClr>
            </a:solidFill>
            <a:effectLst>
              <a:outerShdw blurRad="41275" dist="20320" dir="1800000" algn="tl" rotWithShape="0">
                <a:srgbClr val="000000">
                  <a:alpha val="40000"/>
                </a:srgbClr>
              </a:outerShdw>
            </a:effectLst>
            <a:latin typeface="Calibri"/>
            <a:ea typeface="+mn-ea"/>
            <a:cs typeface="Calibri"/>
          </a:endParaRPr>
        </a:p>
      </xdr:txBody>
    </xdr:sp>
    <xdr:clientData fPrintsWithSheet="0"/>
  </xdr:twoCellAnchor>
  <xdr:twoCellAnchor>
    <xdr:from>
      <xdr:col>1</xdr:col>
      <xdr:colOff>514008</xdr:colOff>
      <xdr:row>34</xdr:row>
      <xdr:rowOff>71437</xdr:rowOff>
    </xdr:from>
    <xdr:to>
      <xdr:col>7</xdr:col>
      <xdr:colOff>381000</xdr:colOff>
      <xdr:row>36</xdr:row>
      <xdr:rowOff>178594</xdr:rowOff>
    </xdr:to>
    <xdr:sp macro="[0]!MontrerFormulaire" textlink="$U$13">
      <xdr:nvSpPr>
        <xdr:cNvPr id="16" name="Rectangle à coins arrondis 15"/>
        <xdr:cNvSpPr/>
      </xdr:nvSpPr>
      <xdr:spPr>
        <a:xfrm>
          <a:off x="1276008" y="6536531"/>
          <a:ext cx="4438992" cy="488157"/>
        </a:xfrm>
        <a:prstGeom prst="roundRect">
          <a:avLst/>
        </a:prstGeom>
        <a:solidFill>
          <a:srgbClr val="002060"/>
        </a:solidFill>
        <a:ln>
          <a:noFill/>
        </a:ln>
        <a:effectLst>
          <a:outerShdw blurRad="190500" dist="228600" dir="2700000" algn="ctr">
            <a:srgbClr val="000000">
              <a:alpha val="30000"/>
            </a:srgbClr>
          </a:outerShdw>
        </a:effectLst>
        <a:scene3d>
          <a:camera prst="orthographicFront">
            <a:rot lat="0" lon="0" rev="0"/>
          </a:camera>
          <a:lightRig rig="glow" dir="t">
            <a:rot lat="0" lon="0" rev="4800000"/>
          </a:lightRig>
        </a:scene3d>
        <a:sp3d prstMaterial="matte">
          <a:bevelT w="127000" h="63500"/>
        </a:sp3d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rot="0" spcFirstLastPara="0" vertOverflow="clip" horzOverflow="clip" vert="horz" wrap="square" lIns="91440" tIns="45720" rIns="91440" bIns="45720" numCol="1" spcCol="0" rtlCol="0" fromWordArt="0" anchor="ctr" anchorCtr="0" forceAA="0" compatLnSpc="1">
          <a:prstTxWarp prst="textNoShape">
            <a:avLst/>
          </a:prstTxWarp>
          <a:noAutofit/>
          <a:scene3d>
            <a:camera prst="orthographicFront"/>
            <a:lightRig rig="soft" dir="t">
              <a:rot lat="0" lon="0" rev="10800000"/>
            </a:lightRig>
          </a:scene3d>
          <a:sp3d>
            <a:bevelT w="27940" h="12700"/>
            <a:contourClr>
              <a:srgbClr val="DDDDDD"/>
            </a:contourClr>
          </a:sp3d>
        </a:bodyPr>
        <a:lstStyle/>
        <a:p>
          <a:pPr marL="0" indent="0" algn="ctr"/>
          <a:fld id="{7F7F4E39-4CF6-42D8-9835-7FE67166691C}" type="TxLink">
            <a:rPr lang="en-US" sz="2000" b="0" i="0" u="none" strike="noStrike" cap="none" spc="150">
              <a:ln w="11430"/>
              <a:solidFill>
                <a:srgbClr val="FFFFFF"/>
              </a:solidFill>
              <a:effectLst>
                <a:outerShdw blurRad="25400" algn="tl" rotWithShape="0">
                  <a:srgbClr val="000000">
                    <a:alpha val="43000"/>
                  </a:srgbClr>
                </a:outerShdw>
              </a:effectLst>
              <a:latin typeface="Calibri"/>
              <a:ea typeface="+mn-ea"/>
              <a:cs typeface="Calibri"/>
            </a:rPr>
            <a:pPr marL="0" indent="0" algn="ctr"/>
            <a:t>AFFICHER LA LISTE DES FACTURES</a:t>
          </a:fld>
          <a:endParaRPr lang="fr-FR" sz="3600" b="1" i="0" u="none" strike="noStrike" cap="none" spc="150">
            <a:ln w="11430"/>
            <a:solidFill>
              <a:srgbClr val="F8F8F8"/>
            </a:solidFill>
            <a:effectLst>
              <a:outerShdw blurRad="25400" algn="tl" rotWithShape="0">
                <a:srgbClr val="000000">
                  <a:alpha val="43000"/>
                </a:srgbClr>
              </a:outerShdw>
            </a:effectLst>
            <a:latin typeface="Calibri"/>
            <a:ea typeface="+mn-ea"/>
            <a:cs typeface="Calibri"/>
          </a:endParaRPr>
        </a:p>
      </xdr:txBody>
    </xdr:sp>
    <xdr:clientData/>
  </xdr:twoCellAnchor>
  <xdr:twoCellAnchor>
    <xdr:from>
      <xdr:col>14</xdr:col>
      <xdr:colOff>515369</xdr:colOff>
      <xdr:row>46</xdr:row>
      <xdr:rowOff>52843</xdr:rowOff>
    </xdr:from>
    <xdr:to>
      <xdr:col>17</xdr:col>
      <xdr:colOff>573680</xdr:colOff>
      <xdr:row>48</xdr:row>
      <xdr:rowOff>132143</xdr:rowOff>
    </xdr:to>
    <xdr:sp macro="[0]!AffVersion" textlink="$V$11">
      <xdr:nvSpPr>
        <xdr:cNvPr id="25" name="RecNexeee"/>
        <xdr:cNvSpPr/>
      </xdr:nvSpPr>
      <xdr:spPr>
        <a:xfrm>
          <a:off x="10516619" y="8803937"/>
          <a:ext cx="2129999" cy="460300"/>
        </a:xfrm>
        <a:prstGeom prst="roundRect">
          <a:avLst/>
        </a:prstGeom>
        <a:ln>
          <a:noFill/>
        </a:ln>
        <a:effectLst>
          <a:outerShdw blurRad="190500" dist="228600" dir="2700000" algn="ctr">
            <a:srgbClr val="000000">
              <a:alpha val="30000"/>
            </a:srgbClr>
          </a:outerShdw>
        </a:effectLst>
        <a:scene3d>
          <a:camera prst="orthographicFront">
            <a:rot lat="0" lon="0" rev="0"/>
          </a:camera>
          <a:lightRig rig="glow" dir="t">
            <a:rot lat="0" lon="0" rev="4800000"/>
          </a:lightRig>
        </a:scene3d>
        <a:sp3d prstMaterial="matte">
          <a:bevelT w="127000" h="63500"/>
        </a:sp3d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rot="0" spcFirstLastPara="0" vertOverflow="clip" horzOverflow="clip" vert="horz" wrap="square" lIns="91440" tIns="45720" rIns="91440" bIns="45720" numCol="1" spcCol="0" rtlCol="0" fromWordArt="0" anchor="ctr" anchorCtr="0" forceAA="0" compatLnSpc="1">
          <a:prstTxWarp prst="textNoShape">
            <a:avLst/>
          </a:prstTxWarp>
          <a:noAutofit/>
          <a:scene3d>
            <a:camera prst="orthographicFront"/>
            <a:lightRig rig="soft" dir="t">
              <a:rot lat="0" lon="0" rev="10800000"/>
            </a:lightRig>
          </a:scene3d>
          <a:sp3d>
            <a:bevelT w="27940" h="12700"/>
            <a:contourClr>
              <a:srgbClr val="DDDDDD"/>
            </a:contourClr>
          </a:sp3d>
        </a:bodyPr>
        <a:lstStyle/>
        <a:p>
          <a:pPr marL="0" indent="0" algn="ctr"/>
          <a:fld id="{ED2050BE-F01F-4690-A441-2ACCE3BD8DA5}" type="TxLink">
            <a:rPr lang="en-US" sz="2400" b="1" i="0" u="none" strike="noStrike" cap="none" spc="150">
              <a:ln w="11430"/>
              <a:solidFill>
                <a:srgbClr val="FFFFFF"/>
              </a:solidFill>
              <a:effectLst>
                <a:outerShdw blurRad="25400" algn="tl" rotWithShape="0">
                  <a:srgbClr val="000000">
                    <a:alpha val="43000"/>
                  </a:srgbClr>
                </a:outerShdw>
              </a:effectLst>
              <a:latin typeface="Consolas" panose="020B0609020204030204" pitchFamily="49" charset="0"/>
              <a:ea typeface="+mn-ea"/>
              <a:cs typeface="Calibri"/>
            </a:rPr>
            <a:pPr marL="0" indent="0" algn="ctr"/>
            <a:t>Version</a:t>
          </a:fld>
          <a:endParaRPr lang="fr-FR" sz="3200" b="1" cap="none" spc="150">
            <a:ln w="11430"/>
            <a:solidFill>
              <a:srgbClr val="F8F8F8"/>
            </a:solidFill>
            <a:effectLst>
              <a:outerShdw blurRad="25400" algn="tl" rotWithShape="0">
                <a:srgbClr val="000000">
                  <a:alpha val="43000"/>
                </a:srgbClr>
              </a:outerShdw>
            </a:effectLst>
            <a:latin typeface="Consolas" panose="020B0609020204030204" pitchFamily="49" charset="0"/>
            <a:ea typeface="+mn-ea"/>
            <a:cs typeface="+mn-cs"/>
          </a:endParaRPr>
        </a:p>
      </xdr:txBody>
    </xdr:sp>
    <xdr:clientData/>
  </xdr:twoCellAnchor>
  <mc:AlternateContent xmlns:mc="http://schemas.openxmlformats.org/markup-compatibility/2006">
    <mc:Choice xmlns:a14="http://schemas.microsoft.com/office/drawing/2010/main" Requires="a14">
      <xdr:twoCellAnchor editAs="oneCell">
        <xdr:from>
          <xdr:col>14</xdr:col>
          <xdr:colOff>219075</xdr:colOff>
          <xdr:row>27</xdr:row>
          <xdr:rowOff>123825</xdr:rowOff>
        </xdr:from>
        <xdr:to>
          <xdr:col>15</xdr:col>
          <xdr:colOff>809625</xdr:colOff>
          <xdr:row>29</xdr:row>
          <xdr:rowOff>28575</xdr:rowOff>
        </xdr:to>
        <xdr:sp macro="" textlink="">
          <xdr:nvSpPr>
            <xdr:cNvPr id="5121" name="Version" hidden="1">
              <a:extLst>
                <a:ext uri="{63B3BB69-23CF-44E3-9099-C40C66FF867C}">
                  <a14:compatExt spid="_x0000_s5121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</xdr:wsDr>
</file>

<file path=xl/drawings/drawing5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absolute">
        <xdr:from>
          <xdr:col>12</xdr:col>
          <xdr:colOff>114300</xdr:colOff>
          <xdr:row>0</xdr:row>
          <xdr:rowOff>66675</xdr:rowOff>
        </xdr:from>
        <xdr:to>
          <xdr:col>14</xdr:col>
          <xdr:colOff>161925</xdr:colOff>
          <xdr:row>2</xdr:row>
          <xdr:rowOff>19050</xdr:rowOff>
        </xdr:to>
        <xdr:sp macro="" textlink="">
          <xdr:nvSpPr>
            <xdr:cNvPr id="6145" name="Button 1" hidden="1">
              <a:extLst>
                <a:ext uri="{63B3BB69-23CF-44E3-9099-C40C66FF867C}">
                  <a14:compatExt spid="_x0000_s6145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36576" tIns="22860" rIns="36576" bIns="22860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Berlin Sans FB"/>
                </a:rPr>
                <a:t>Retourner au Menu</a:t>
              </a:r>
            </a:p>
          </xdr:txBody>
        </xdr:sp>
        <xdr:clientData fPrintsWithSheet="0"/>
      </xdr:twoCellAnchor>
    </mc:Choice>
    <mc:Fallback/>
  </mc:AlternateContent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Ntenda%20Kuete/AppData/Roaming/Microsoft/AddIns/NbLettre.xla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Feuil1"/>
    </sheetNames>
    <definedNames>
      <definedName name="ConvNumberLetter"/>
    </definedNames>
    <sheetDataSet>
      <sheetData sheetId="0"/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6" Type="http://schemas.openxmlformats.org/officeDocument/2006/relationships/ctrlProp" Target="../ctrlProps/ctrlProp2.xml"/><Relationship Id="rId5" Type="http://schemas.openxmlformats.org/officeDocument/2006/relationships/ctrlProp" Target="../ctrlProps/ctrlProp1.xml"/><Relationship Id="rId4" Type="http://schemas.openxmlformats.org/officeDocument/2006/relationships/vmlDrawing" Target="../drawings/vmlDrawing2.vml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3.vml"/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2.bin"/><Relationship Id="rId6" Type="http://schemas.openxmlformats.org/officeDocument/2006/relationships/ctrlProp" Target="../ctrlProps/ctrlProp4.xml"/><Relationship Id="rId5" Type="http://schemas.openxmlformats.org/officeDocument/2006/relationships/ctrlProp" Target="../ctrlProps/ctrlProp3.xml"/><Relationship Id="rId4" Type="http://schemas.openxmlformats.org/officeDocument/2006/relationships/vmlDrawing" Target="../drawings/vmlDrawing4.vml"/></Relationships>
</file>

<file path=xl/worksheets/_rels/sheet3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5.vml"/><Relationship Id="rId2" Type="http://schemas.openxmlformats.org/officeDocument/2006/relationships/drawing" Target="../drawings/drawing3.xml"/><Relationship Id="rId1" Type="http://schemas.openxmlformats.org/officeDocument/2006/relationships/printerSettings" Target="../printerSettings/printerSettings3.bin"/><Relationship Id="rId4" Type="http://schemas.openxmlformats.org/officeDocument/2006/relationships/ctrlProp" Target="../ctrlProps/ctrlProp5.xml"/></Relationships>
</file>

<file path=xl/worksheets/_rels/sheet4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6.vml"/><Relationship Id="rId2" Type="http://schemas.openxmlformats.org/officeDocument/2006/relationships/drawing" Target="../drawings/drawing4.xml"/><Relationship Id="rId1" Type="http://schemas.openxmlformats.org/officeDocument/2006/relationships/printerSettings" Target="../printerSettings/printerSettings4.bin"/><Relationship Id="rId5" Type="http://schemas.openxmlformats.org/officeDocument/2006/relationships/image" Target="../media/image3.emf"/><Relationship Id="rId4" Type="http://schemas.openxmlformats.org/officeDocument/2006/relationships/control" Target="../activeX/activeX1.xml"/></Relationships>
</file>

<file path=xl/worksheets/_rels/sheet5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7.vml"/><Relationship Id="rId2" Type="http://schemas.openxmlformats.org/officeDocument/2006/relationships/drawing" Target="../drawings/drawing5.xml"/><Relationship Id="rId1" Type="http://schemas.openxmlformats.org/officeDocument/2006/relationships/printerSettings" Target="../printerSettings/printerSettings5.bin"/><Relationship Id="rId4" Type="http://schemas.openxmlformats.org/officeDocument/2006/relationships/ctrlProp" Target="../ctrlProps/ctrlProp6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">
    <tabColor theme="3" tint="0.39997558519241921"/>
  </sheetPr>
  <dimension ref="A1:XFC84"/>
  <sheetViews>
    <sheetView showGridLines="0" showRowColHeaders="0" showZeros="0" zoomScaleNormal="100" workbookViewId="0">
      <selection activeCell="B21" sqref="B21"/>
    </sheetView>
  </sheetViews>
  <sheetFormatPr baseColWidth="10" defaultColWidth="0" defaultRowHeight="15" zeroHeight="1" x14ac:dyDescent="0.25"/>
  <cols>
    <col min="1" max="1" width="2.42578125" style="20" customWidth="1"/>
    <col min="2" max="2" width="8.5703125" style="20" customWidth="1"/>
    <col min="3" max="3" width="15.28515625" style="20" customWidth="1"/>
    <col min="4" max="4" width="14.85546875" style="20" customWidth="1"/>
    <col min="5" max="5" width="12.5703125" style="20" customWidth="1"/>
    <col min="6" max="6" width="5.5703125" style="20" customWidth="1"/>
    <col min="7" max="7" width="9.5703125" style="211" customWidth="1"/>
    <col min="8" max="8" width="7.5703125" style="20" bestFit="1" customWidth="1"/>
    <col min="9" max="9" width="10.7109375" style="20" customWidth="1"/>
    <col min="10" max="10" width="9" style="20" customWidth="1"/>
    <col min="11" max="11" width="9" style="21" customWidth="1"/>
    <col min="12" max="12" width="7" style="96" customWidth="1"/>
    <col min="13" max="13" width="8.28515625" style="96" customWidth="1"/>
    <col min="14" max="14" width="20.42578125" style="127" customWidth="1"/>
    <col min="15" max="15" width="8.7109375" style="130" customWidth="1"/>
    <col min="16" max="16" width="11.42578125" style="20" customWidth="1"/>
    <col min="17" max="20" width="0.28515625" style="20" hidden="1"/>
    <col min="21" max="21" width="0.28515625" style="104" hidden="1"/>
    <col min="22" max="27" width="0.28515625" style="20" hidden="1"/>
    <col min="28" max="28" width="0" style="20" hidden="1"/>
    <col min="29" max="16383" width="11.42578125" style="20" hidden="1"/>
    <col min="16384" max="16384" width="0.28515625" style="20" hidden="1"/>
  </cols>
  <sheetData>
    <row r="1" spans="2:28" x14ac:dyDescent="0.25">
      <c r="B1" s="201"/>
      <c r="E1" s="201">
        <v>1</v>
      </c>
      <c r="AB1" s="20" t="s">
        <v>23</v>
      </c>
    </row>
    <row r="2" spans="2:28" x14ac:dyDescent="0.25">
      <c r="L2" s="144" t="e">
        <f>AVERAGE($G$21:$G$65)</f>
        <v>#DIV/0!</v>
      </c>
      <c r="AB2" s="20" t="s">
        <v>22</v>
      </c>
    </row>
    <row r="3" spans="2:28" x14ac:dyDescent="0.25">
      <c r="AB3" s="20" t="s">
        <v>21</v>
      </c>
    </row>
    <row r="4" spans="2:28" x14ac:dyDescent="0.25">
      <c r="AB4" s="20" t="s">
        <v>24</v>
      </c>
    </row>
    <row r="5" spans="2:28" x14ac:dyDescent="0.25">
      <c r="AB5" s="20" t="s">
        <v>12</v>
      </c>
    </row>
    <row r="6" spans="2:28" x14ac:dyDescent="0.25">
      <c r="AB6" s="20" t="s">
        <v>26</v>
      </c>
    </row>
    <row r="7" spans="2:28" x14ac:dyDescent="0.25">
      <c r="B7" s="15"/>
      <c r="C7" s="16"/>
      <c r="D7" s="17"/>
      <c r="E7" s="17"/>
      <c r="F7" s="16"/>
      <c r="G7" s="212"/>
      <c r="H7" s="16"/>
      <c r="I7" s="29"/>
      <c r="J7" s="30"/>
      <c r="AB7" s="20" t="s">
        <v>27</v>
      </c>
    </row>
    <row r="8" spans="2:28" x14ac:dyDescent="0.25">
      <c r="B8" s="15"/>
      <c r="C8" s="16"/>
      <c r="D8" s="17"/>
      <c r="E8" s="17"/>
      <c r="F8" s="16"/>
      <c r="G8" s="212"/>
      <c r="H8" s="16"/>
      <c r="I8" s="29"/>
      <c r="J8" s="31"/>
      <c r="K8" s="19"/>
      <c r="L8" s="97"/>
      <c r="M8" s="97"/>
      <c r="N8" s="128"/>
      <c r="O8" s="131"/>
      <c r="AB8" s="20" t="s">
        <v>25</v>
      </c>
    </row>
    <row r="9" spans="2:28" x14ac:dyDescent="0.25">
      <c r="B9" s="15"/>
      <c r="C9" s="16"/>
      <c r="D9" s="17"/>
      <c r="E9" s="198" t="s">
        <v>0</v>
      </c>
      <c r="F9" s="271" t="str">
        <f ca="1">IF(DAY(TODAY())=1,(TEXT(TODAY(),"j\er ")&amp;PROPER(TEXT(TODAY(),"mmm aaaa"))),PROPER(TEXT(TODAY(),"jj mmm aaaa")))</f>
        <v>07 Nov 2019</v>
      </c>
      <c r="G9" s="271"/>
      <c r="H9" s="16"/>
      <c r="I9" s="29"/>
      <c r="J9" s="30"/>
    </row>
    <row r="10" spans="2:28" ht="12.75" customHeight="1" thickBot="1" x14ac:dyDescent="0.3">
      <c r="B10" s="15"/>
      <c r="C10" s="16"/>
      <c r="D10" s="17"/>
      <c r="E10" s="17"/>
      <c r="F10" s="16"/>
      <c r="G10" s="212"/>
      <c r="H10" s="16"/>
      <c r="I10" s="29"/>
      <c r="J10" s="30"/>
      <c r="K10" s="19"/>
      <c r="L10" s="97"/>
      <c r="M10" s="97"/>
      <c r="N10" s="143" t="str">
        <f>IF(G21="","","Cubage Moyen")</f>
        <v/>
      </c>
      <c r="O10" s="131"/>
    </row>
    <row r="11" spans="2:28" ht="24" customHeight="1" x14ac:dyDescent="0.25">
      <c r="B11" s="15"/>
      <c r="C11" s="16"/>
      <c r="D11" s="270" t="s">
        <v>1</v>
      </c>
      <c r="E11" s="282" t="s">
        <v>52</v>
      </c>
      <c r="F11" s="283"/>
      <c r="G11" s="283"/>
      <c r="H11" s="284"/>
      <c r="I11" s="29"/>
      <c r="J11" s="30"/>
      <c r="K11" s="19"/>
      <c r="L11" s="97"/>
      <c r="M11" s="97"/>
      <c r="N11" s="143" t="str">
        <f>IF(N10="","",TEXT(AVERAGE($G$21:$G$65),"00,000")&amp;" m³")</f>
        <v/>
      </c>
      <c r="O11" s="131"/>
    </row>
    <row r="12" spans="2:28" x14ac:dyDescent="0.25">
      <c r="B12" s="15"/>
      <c r="C12" s="16"/>
      <c r="D12" s="270"/>
      <c r="E12" s="272" t="str">
        <f>IF(E11="SEFAC",Feuil3!B2,Feuil3!B5)</f>
        <v xml:space="preserve">BP 942      DOUALA-CAMEROUN </v>
      </c>
      <c r="F12" s="273"/>
      <c r="G12" s="273"/>
      <c r="H12" s="274"/>
      <c r="I12" s="29"/>
      <c r="J12" s="30"/>
      <c r="K12" s="19"/>
      <c r="L12" s="97"/>
      <c r="M12" s="97"/>
      <c r="N12" s="143" t="str">
        <f>IF($G$21="","","Nbre de LV")</f>
        <v/>
      </c>
      <c r="O12" s="131"/>
      <c r="U12" s="20"/>
    </row>
    <row r="13" spans="2:28" ht="15.75" thickBot="1" x14ac:dyDescent="0.3">
      <c r="B13" s="15"/>
      <c r="C13" s="16"/>
      <c r="D13" s="270"/>
      <c r="E13" s="275" t="str">
        <f>IF(E11="SEFAC",Feuil3!B1,Feuil3!B4)</f>
        <v>RC N°: 3266      CT N°: M 116700000360 F</v>
      </c>
      <c r="F13" s="276"/>
      <c r="G13" s="276"/>
      <c r="H13" s="277"/>
      <c r="I13" s="29"/>
      <c r="J13" s="30"/>
      <c r="K13" s="19"/>
      <c r="L13" s="97"/>
      <c r="M13" s="97"/>
      <c r="N13" s="143" t="str">
        <f>IF(N12="","",SUBTOTAL(2,P_Cube))</f>
        <v/>
      </c>
      <c r="O13" s="131"/>
      <c r="U13" s="20"/>
    </row>
    <row r="14" spans="2:28" x14ac:dyDescent="0.25">
      <c r="B14" s="15"/>
      <c r="C14" s="16"/>
      <c r="D14" s="17"/>
      <c r="E14" s="22"/>
      <c r="F14" s="22"/>
      <c r="G14" s="213"/>
      <c r="H14" s="22"/>
      <c r="I14" s="29"/>
      <c r="J14" s="217"/>
      <c r="K14" s="19"/>
      <c r="L14" s="97"/>
      <c r="M14" s="97"/>
      <c r="N14" s="143"/>
      <c r="O14" s="131"/>
      <c r="U14" s="20"/>
    </row>
    <row r="15" spans="2:28" ht="18" x14ac:dyDescent="0.25">
      <c r="B15" s="15"/>
      <c r="C15" s="16"/>
      <c r="D15" s="101" t="s">
        <v>2</v>
      </c>
      <c r="E15" s="13" t="str">
        <f ca="1">IF(Clients="SEFAC",TEXT(Feuil3!B7,"00")&amp;Feuil3!C7&amp;Feuil3!D7,"")</f>
        <v>174/SF/NV/19</v>
      </c>
      <c r="F15" s="16"/>
      <c r="G15" s="212"/>
      <c r="H15" s="16"/>
      <c r="I15" s="29"/>
      <c r="J15" s="30"/>
      <c r="K15" s="19"/>
      <c r="L15" s="97"/>
      <c r="M15" s="97"/>
      <c r="N15" s="128"/>
      <c r="O15" s="131"/>
      <c r="U15" s="20"/>
    </row>
    <row r="16" spans="2:28" ht="18" x14ac:dyDescent="0.25">
      <c r="B16" s="15"/>
      <c r="C16" s="16"/>
      <c r="D16" s="23"/>
      <c r="E16" s="84"/>
      <c r="F16" s="16"/>
      <c r="G16" s="212"/>
      <c r="H16" s="16"/>
      <c r="I16" s="29"/>
      <c r="J16" s="30"/>
      <c r="K16" s="19"/>
      <c r="L16" s="97"/>
      <c r="M16" s="97"/>
      <c r="N16" s="131"/>
      <c r="O16" s="131"/>
      <c r="U16" s="20"/>
    </row>
    <row r="17" spans="1:21" x14ac:dyDescent="0.25">
      <c r="B17" s="15"/>
      <c r="C17" s="16"/>
      <c r="D17" s="17"/>
      <c r="E17" s="17"/>
      <c r="F17" s="16"/>
      <c r="G17" s="212"/>
      <c r="H17" s="16"/>
      <c r="I17" s="29"/>
      <c r="J17" s="30"/>
      <c r="K17" s="19"/>
      <c r="L17" s="97"/>
      <c r="M17" s="97"/>
      <c r="N17" s="128"/>
      <c r="O17" s="131"/>
      <c r="U17" s="20"/>
    </row>
    <row r="18" spans="1:21" ht="16.5" x14ac:dyDescent="0.25">
      <c r="B18" s="12" t="s">
        <v>65</v>
      </c>
      <c r="C18" s="24" t="s">
        <v>481</v>
      </c>
      <c r="D18" s="24"/>
      <c r="E18" s="17"/>
      <c r="F18" s="16"/>
      <c r="G18" s="212"/>
      <c r="H18" s="16"/>
      <c r="I18" s="29"/>
      <c r="J18" s="30"/>
      <c r="K18" s="19"/>
      <c r="L18" s="97"/>
      <c r="M18" s="97"/>
      <c r="N18" s="128"/>
      <c r="O18" s="131"/>
      <c r="U18" s="20"/>
    </row>
    <row r="19" spans="1:21" ht="15.75" thickBot="1" x14ac:dyDescent="0.3">
      <c r="B19" s="15"/>
      <c r="C19" s="16"/>
      <c r="D19" s="17"/>
      <c r="E19" s="17"/>
      <c r="F19" s="16"/>
      <c r="G19" s="212"/>
      <c r="H19" s="16"/>
      <c r="I19" s="29"/>
      <c r="J19" s="207" t="str">
        <f>IF(G21="","","DONNEES INTERNES D'ANALYSES")</f>
        <v/>
      </c>
      <c r="K19" s="19"/>
      <c r="L19" s="97"/>
      <c r="M19" s="97"/>
      <c r="N19" s="128"/>
      <c r="O19" s="131"/>
      <c r="U19" s="20"/>
    </row>
    <row r="20" spans="1:21" ht="30.75" customHeight="1" x14ac:dyDescent="0.25">
      <c r="B20" s="67" t="s">
        <v>3</v>
      </c>
      <c r="C20" s="68" t="s">
        <v>4</v>
      </c>
      <c r="D20" s="69" t="s">
        <v>5</v>
      </c>
      <c r="E20" s="69" t="s">
        <v>6</v>
      </c>
      <c r="F20" s="68" t="s">
        <v>7</v>
      </c>
      <c r="G20" s="214" t="s">
        <v>57</v>
      </c>
      <c r="H20" s="68" t="s">
        <v>8</v>
      </c>
      <c r="I20" s="70" t="s">
        <v>9</v>
      </c>
      <c r="J20" s="71" t="s">
        <v>10</v>
      </c>
      <c r="K20" s="72" t="s">
        <v>11</v>
      </c>
      <c r="L20" s="72" t="s">
        <v>56</v>
      </c>
      <c r="M20" s="110" t="s">
        <v>59</v>
      </c>
      <c r="N20" s="110" t="s">
        <v>67</v>
      </c>
      <c r="O20" s="132" t="s">
        <v>73</v>
      </c>
      <c r="U20" s="20"/>
    </row>
    <row r="21" spans="1:21" x14ac:dyDescent="0.25">
      <c r="A21" s="258"/>
      <c r="B21" s="54"/>
      <c r="C21" s="87" t="str">
        <f>IF(MID(Motif,18,8)="UFA10000","",MID(Motif,18,8)&amp;"-LIBONGO")</f>
        <v/>
      </c>
      <c r="D21" s="105"/>
      <c r="E21" s="169"/>
      <c r="F21" s="82" t="str">
        <f t="shared" ref="F21:F65" si="0">IF(AND(C21="",D21=""),"",IF(MID(C21,4,5)="10009",70,IF(MID(C21,4,5)="10010",70,IF(MID(C21,4,5)="10008",115,IF(MID(C21,4,5)="10012",30,IF(MID(C21,4,5)="10064","",IF(MID(C21,4,5)="10000","")))))))</f>
        <v/>
      </c>
      <c r="G21" s="209"/>
      <c r="H21" s="82" t="str">
        <f t="shared" ref="H21:H31" si="1">IF(AND(F21="",MID(C21,4,5)&lt;&gt;"10064"),"",IF(MID(C21,4,5)="10012",125,IF(OR(MID(C21,4,5)="10008",MID(C21,4,5)="10009",MID(C21,4,5)="10010"),85,IF(MID(C21,4,5)="10064",13500))))</f>
        <v/>
      </c>
      <c r="I21" s="225" t="str">
        <f t="shared" ref="I21:I31" si="2">IFERROR(IF(F21="",G21*H21,F21*G21*H21),"")</f>
        <v/>
      </c>
      <c r="J21" s="113" t="str">
        <f t="shared" ref="J21:J23" si="3">IFERROR(IF(I21="","",IF(I21="","",IF(MID(C21,4,5)="10012",((24*677.76)+IF(L21="",0,IF(L21="N",1000,IF(L21="R",2500,IF(L21="S",3500))))),IF(MID(C21,4,5)="10008",((140*677.76)+IF(L21="",0,IF(L21="N",3500,IF(L21="R",7000,IF(L21="S",10500))))),IF(OR(MID(C21,4,5)="10009",MID(C21,4,5)="10010"),((95*677.76)+IF(L21="",0,IF(L21="N",3500,IF(L21="R",7000,IF(L21="S",10500))))),IF(MID(C21,4,5)="10064",((330*677.76)+IF(L21="",0,IF(L21="N",5000,IF(L21="R",10000,IF(L21="S",12500))))))))))),"")</f>
        <v/>
      </c>
      <c r="K21" s="55" t="str">
        <f t="shared" ref="K21:K31" si="4">IFERROR(IF(I21=0,"",I21-J21),"")</f>
        <v/>
      </c>
      <c r="L21" s="124" t="str">
        <f t="shared" ref="L21:L31" si="5">IF(G21="","",IF(G21&lt;40,"N",IF(G21&gt;=50,"S",IF(AND(G21&gt;=40,G21&lt;50),"R"))))</f>
        <v/>
      </c>
      <c r="M21" s="241"/>
      <c r="N21" s="146" t="str">
        <f>IF(ISBLANK(E21),"",VLOOKUP(E21,Feuil3!$A$35:$B$47,2,FALSE))</f>
        <v/>
      </c>
      <c r="O21" s="133" t="str">
        <f>IF(ISBLANK(E21),"",VLOOKUP(E21,Feuil3!$A$35:$C$47,3,FALSE))</f>
        <v/>
      </c>
      <c r="P21" s="78"/>
      <c r="Q21" s="78"/>
      <c r="R21" s="78"/>
      <c r="S21" s="78"/>
      <c r="T21" s="78"/>
      <c r="U21" s="78"/>
    </row>
    <row r="22" spans="1:21" x14ac:dyDescent="0.25">
      <c r="A22" s="258"/>
      <c r="B22" s="32"/>
      <c r="C22" s="264" t="str">
        <f>IF(B22="","",Trajet)</f>
        <v/>
      </c>
      <c r="D22" s="106"/>
      <c r="E22" s="170"/>
      <c r="F22" s="83" t="str">
        <f t="shared" si="0"/>
        <v/>
      </c>
      <c r="G22" s="208"/>
      <c r="H22" s="83" t="str">
        <f t="shared" si="1"/>
        <v/>
      </c>
      <c r="I22" s="227" t="str">
        <f t="shared" si="2"/>
        <v/>
      </c>
      <c r="J22" s="113" t="str">
        <f t="shared" si="3"/>
        <v/>
      </c>
      <c r="K22" s="9" t="str">
        <f t="shared" si="4"/>
        <v/>
      </c>
      <c r="L22" s="124" t="str">
        <f t="shared" si="5"/>
        <v/>
      </c>
      <c r="M22" s="241"/>
      <c r="N22" s="146" t="str">
        <f>IF(ISBLANK(E22),"",VLOOKUP(E22,Feuil3!$A$35:$B$47,2,FALSE))</f>
        <v/>
      </c>
      <c r="O22" s="133" t="str">
        <f>IF(ISBLANK(E22),"",VLOOKUP(E22,Feuil3!$A$35:$C$47,3,FALSE))</f>
        <v/>
      </c>
      <c r="P22" s="78"/>
      <c r="Q22" s="78"/>
      <c r="R22" s="78"/>
      <c r="S22" s="78"/>
      <c r="T22" s="78"/>
      <c r="U22" s="78"/>
    </row>
    <row r="23" spans="1:21" x14ac:dyDescent="0.25">
      <c r="A23" s="258"/>
      <c r="B23" s="32"/>
      <c r="C23" s="264" t="str">
        <f t="shared" ref="C23:C31" si="6">IF(B23="","",Trajet)</f>
        <v/>
      </c>
      <c r="D23" s="106"/>
      <c r="E23" s="170"/>
      <c r="F23" s="83" t="str">
        <f t="shared" si="0"/>
        <v/>
      </c>
      <c r="G23" s="208"/>
      <c r="H23" s="83" t="str">
        <f t="shared" si="1"/>
        <v/>
      </c>
      <c r="I23" s="227" t="str">
        <f t="shared" si="2"/>
        <v/>
      </c>
      <c r="J23" s="113" t="str">
        <f t="shared" si="3"/>
        <v/>
      </c>
      <c r="K23" s="9" t="str">
        <f t="shared" si="4"/>
        <v/>
      </c>
      <c r="L23" s="124" t="str">
        <f t="shared" si="5"/>
        <v/>
      </c>
      <c r="M23" s="241"/>
      <c r="N23" s="146" t="str">
        <f>IF(ISBLANK(E23),"",VLOOKUP(E23,Feuil3!$A$35:$B$47,2,FALSE))</f>
        <v/>
      </c>
      <c r="O23" s="133" t="str">
        <f>IF(ISBLANK(E23),"",VLOOKUP(E23,Feuil3!$A$35:$C$47,3,FALSE))</f>
        <v/>
      </c>
      <c r="P23" s="78"/>
      <c r="Q23" s="78"/>
      <c r="R23" s="78"/>
      <c r="S23" s="78"/>
      <c r="T23" s="78"/>
      <c r="U23" s="78"/>
    </row>
    <row r="24" spans="1:21" x14ac:dyDescent="0.25">
      <c r="A24" s="258"/>
      <c r="B24" s="32"/>
      <c r="C24" s="264" t="str">
        <f t="shared" si="6"/>
        <v/>
      </c>
      <c r="D24" s="106"/>
      <c r="E24" s="170"/>
      <c r="F24" s="83" t="str">
        <f t="shared" si="0"/>
        <v/>
      </c>
      <c r="G24" s="208"/>
      <c r="H24" s="83" t="str">
        <f t="shared" si="1"/>
        <v/>
      </c>
      <c r="I24" s="227" t="str">
        <f t="shared" si="2"/>
        <v/>
      </c>
      <c r="J24" s="113" t="str">
        <f>IFERROR(IF(I24="","",IF(I24="","",IF(MID(C24,4,5)="10012",((24*677.76)+IF(L24="",0,IF(L24="N",1000,IF(L24="R",2500,IF(L24="S",3500))))),IF(MID(C24,4,5)="10008",((140*677.76)+IF(L24="",0,IF(L24="N",3500,IF(L24="R",7000,IF(L24="S",10500))))),IF(OR(MID(C24,4,5)="10009",MID(C24,4,5)="10010"),((95*677.76)+IF(L24="",0,IF(L24="N",3500,IF(L24="R",7000,IF(L24="S",10500))))),IF(MID(C24,4,5)="10064",((330*677.76)+IF(L24="",0,IF(L24="N",5000,IF(L24="R",10000,IF(L24="S",12500))))))))))),"")</f>
        <v/>
      </c>
      <c r="K24" s="9" t="str">
        <f t="shared" si="4"/>
        <v/>
      </c>
      <c r="L24" s="124" t="str">
        <f t="shared" si="5"/>
        <v/>
      </c>
      <c r="M24" s="241"/>
      <c r="N24" s="145" t="str">
        <f>IF(ISBLANK(E24),"",VLOOKUP(E24,Feuil3!$A$35:$B$47,2,FALSE))</f>
        <v/>
      </c>
      <c r="O24" s="133" t="str">
        <f>IF(ISBLANK(E24),"",VLOOKUP(E24,Feuil3!$A$35:$C$47,3,FALSE))</f>
        <v/>
      </c>
      <c r="P24" s="78"/>
      <c r="Q24" s="78"/>
      <c r="R24" s="78"/>
      <c r="S24" s="78"/>
      <c r="T24" s="78"/>
      <c r="U24" s="78"/>
    </row>
    <row r="25" spans="1:21" x14ac:dyDescent="0.25">
      <c r="A25" s="258"/>
      <c r="B25" s="32"/>
      <c r="C25" s="264" t="str">
        <f t="shared" si="6"/>
        <v/>
      </c>
      <c r="D25" s="106"/>
      <c r="E25" s="170"/>
      <c r="F25" s="83" t="str">
        <f t="shared" si="0"/>
        <v/>
      </c>
      <c r="G25" s="208"/>
      <c r="H25" s="83" t="str">
        <f t="shared" si="1"/>
        <v/>
      </c>
      <c r="I25" s="227" t="str">
        <f t="shared" si="2"/>
        <v/>
      </c>
      <c r="J25" s="113" t="str">
        <f t="shared" ref="J25:J31" si="7">IFERROR(IF(I25="","",IF(MID(C25,4,5)="10012",((24*677.76)+IF(L25="",0,IF(L25="N",1000,IF(L25="R",2500,IF(L25="S",3500))))),IF(MID(C25,4,5)="10008",((140*677.76)+IF(L25="",0,IF(L25="N",3500,IF(L25="R",7000,IF(L25="S",10500))))),IF(OR(MID(C25,4,5)="10009",MID(C25,4,5)="10010"),((95*677.76)+IF(L25="",0,IF(L25="N",3500,IF(L25="R",7000,IF(L25="S",10500))))),IF(MID(C25,4,5)="10064",((330*677.76)+IF(L25="",0,IF(L25="N",5000,IF(L25="R",10000,IF(L25="S",12500)))))))))),"")</f>
        <v/>
      </c>
      <c r="K25" s="9" t="str">
        <f t="shared" si="4"/>
        <v/>
      </c>
      <c r="L25" s="124" t="str">
        <f t="shared" si="5"/>
        <v/>
      </c>
      <c r="M25" s="241"/>
      <c r="N25" s="146" t="str">
        <f>IF(ISBLANK(E25),"",VLOOKUP(E25,Feuil3!$A$35:$B$47,2,FALSE))</f>
        <v/>
      </c>
      <c r="O25" s="133" t="str">
        <f>IF(ISBLANK(E25),"",VLOOKUP(E25,Feuil3!$A$35:$C$47,3,FALSE))</f>
        <v/>
      </c>
      <c r="P25" s="78"/>
      <c r="Q25" s="78"/>
      <c r="R25" s="78"/>
      <c r="S25" s="78"/>
      <c r="T25" s="78"/>
      <c r="U25" s="78"/>
    </row>
    <row r="26" spans="1:21" x14ac:dyDescent="0.25">
      <c r="A26" s="258"/>
      <c r="B26" s="32"/>
      <c r="C26" s="264" t="str">
        <f t="shared" si="6"/>
        <v/>
      </c>
      <c r="D26" s="106"/>
      <c r="E26" s="170"/>
      <c r="F26" s="83" t="str">
        <f t="shared" si="0"/>
        <v/>
      </c>
      <c r="G26" s="208"/>
      <c r="H26" s="83" t="str">
        <f t="shared" si="1"/>
        <v/>
      </c>
      <c r="I26" s="227" t="str">
        <f t="shared" si="2"/>
        <v/>
      </c>
      <c r="J26" s="113" t="str">
        <f t="shared" si="7"/>
        <v/>
      </c>
      <c r="K26" s="9" t="str">
        <f t="shared" si="4"/>
        <v/>
      </c>
      <c r="L26" s="124" t="str">
        <f t="shared" si="5"/>
        <v/>
      </c>
      <c r="M26" s="241"/>
      <c r="N26" s="146" t="str">
        <f>IF(ISBLANK(E26),"",VLOOKUP(E26,Feuil3!$A$35:$B$47,2,FALSE))</f>
        <v/>
      </c>
      <c r="O26" s="133" t="str">
        <f>IF(ISBLANK(E26),"",VLOOKUP(E26,Feuil3!$A$35:$C$47,3,FALSE))</f>
        <v/>
      </c>
      <c r="P26" s="78"/>
      <c r="Q26" s="78"/>
      <c r="R26" s="78"/>
      <c r="S26" s="78"/>
      <c r="T26" s="78"/>
      <c r="U26" s="78"/>
    </row>
    <row r="27" spans="1:21" x14ac:dyDescent="0.25">
      <c r="A27" s="258"/>
      <c r="B27" s="32"/>
      <c r="C27" s="264" t="str">
        <f t="shared" si="6"/>
        <v/>
      </c>
      <c r="D27" s="106"/>
      <c r="E27" s="170"/>
      <c r="F27" s="83" t="str">
        <f t="shared" si="0"/>
        <v/>
      </c>
      <c r="G27" s="208"/>
      <c r="H27" s="83" t="str">
        <f t="shared" si="1"/>
        <v/>
      </c>
      <c r="I27" s="227" t="str">
        <f t="shared" si="2"/>
        <v/>
      </c>
      <c r="J27" s="113" t="str">
        <f t="shared" si="7"/>
        <v/>
      </c>
      <c r="K27" s="9" t="str">
        <f t="shared" si="4"/>
        <v/>
      </c>
      <c r="L27" s="124" t="str">
        <f t="shared" si="5"/>
        <v/>
      </c>
      <c r="M27" s="241"/>
      <c r="N27" s="146" t="str">
        <f>IF(ISBLANK(E27),"",VLOOKUP(E27,Feuil3!$A$35:$B$47,2,FALSE))</f>
        <v/>
      </c>
      <c r="O27" s="133" t="str">
        <f>IF(ISBLANK(E27),"",VLOOKUP(E27,Feuil3!$A$35:$C$47,3,FALSE))</f>
        <v/>
      </c>
      <c r="P27" s="78"/>
      <c r="Q27" s="78"/>
      <c r="R27" s="78"/>
      <c r="S27" s="78"/>
      <c r="T27" s="78"/>
      <c r="U27" s="78"/>
    </row>
    <row r="28" spans="1:21" x14ac:dyDescent="0.25">
      <c r="A28" s="258"/>
      <c r="B28" s="32"/>
      <c r="C28" s="264" t="str">
        <f t="shared" si="6"/>
        <v/>
      </c>
      <c r="D28" s="106"/>
      <c r="E28" s="170"/>
      <c r="F28" s="83" t="str">
        <f t="shared" si="0"/>
        <v/>
      </c>
      <c r="G28" s="208"/>
      <c r="H28" s="83" t="str">
        <f t="shared" si="1"/>
        <v/>
      </c>
      <c r="I28" s="227" t="str">
        <f t="shared" si="2"/>
        <v/>
      </c>
      <c r="J28" s="113" t="str">
        <f t="shared" si="7"/>
        <v/>
      </c>
      <c r="K28" s="9" t="str">
        <f t="shared" si="4"/>
        <v/>
      </c>
      <c r="L28" s="124" t="str">
        <f t="shared" si="5"/>
        <v/>
      </c>
      <c r="M28" s="241"/>
      <c r="N28" s="146" t="str">
        <f>IF(ISBLANK(E28),"",VLOOKUP(E28,Feuil3!$A$35:$B$47,2,FALSE))</f>
        <v/>
      </c>
      <c r="O28" s="133" t="str">
        <f>IF(ISBLANK(E28),"",VLOOKUP(E28,Feuil3!$A$35:$C$47,3,FALSE))</f>
        <v/>
      </c>
      <c r="P28" s="78"/>
      <c r="Q28" s="78"/>
      <c r="R28" s="78"/>
      <c r="S28" s="78"/>
      <c r="T28" s="78"/>
      <c r="U28" s="78"/>
    </row>
    <row r="29" spans="1:21" x14ac:dyDescent="0.25">
      <c r="A29" s="258"/>
      <c r="B29" s="32"/>
      <c r="C29" s="264" t="str">
        <f t="shared" si="6"/>
        <v/>
      </c>
      <c r="D29" s="106"/>
      <c r="E29" s="170"/>
      <c r="F29" s="83" t="str">
        <f t="shared" si="0"/>
        <v/>
      </c>
      <c r="G29" s="208"/>
      <c r="H29" s="83" t="str">
        <f t="shared" si="1"/>
        <v/>
      </c>
      <c r="I29" s="227" t="str">
        <f t="shared" si="2"/>
        <v/>
      </c>
      <c r="J29" s="113" t="str">
        <f t="shared" si="7"/>
        <v/>
      </c>
      <c r="K29" s="9" t="str">
        <f t="shared" si="4"/>
        <v/>
      </c>
      <c r="L29" s="124" t="str">
        <f t="shared" si="5"/>
        <v/>
      </c>
      <c r="M29" s="241"/>
      <c r="N29" s="146" t="str">
        <f>IF(ISBLANK(E29),"",VLOOKUP(E29,Feuil3!$A$35:$B$47,2,FALSE))</f>
        <v/>
      </c>
      <c r="O29" s="133" t="str">
        <f>IF(ISBLANK(E29),"",VLOOKUP(E29,Feuil3!$A$35:$C$47,3,FALSE))</f>
        <v/>
      </c>
      <c r="P29" s="78"/>
      <c r="Q29" s="78"/>
      <c r="R29" s="78"/>
      <c r="S29" s="78"/>
      <c r="T29" s="78"/>
      <c r="U29" s="78"/>
    </row>
    <row r="30" spans="1:21" x14ac:dyDescent="0.25">
      <c r="A30" s="258"/>
      <c r="B30" s="32"/>
      <c r="C30" s="264" t="str">
        <f t="shared" si="6"/>
        <v/>
      </c>
      <c r="D30" s="106"/>
      <c r="E30" s="170"/>
      <c r="F30" s="83" t="str">
        <f t="shared" si="0"/>
        <v/>
      </c>
      <c r="G30" s="208"/>
      <c r="H30" s="83" t="str">
        <f t="shared" si="1"/>
        <v/>
      </c>
      <c r="I30" s="227" t="str">
        <f t="shared" si="2"/>
        <v/>
      </c>
      <c r="J30" s="113" t="str">
        <f t="shared" si="7"/>
        <v/>
      </c>
      <c r="K30" s="9" t="str">
        <f t="shared" si="4"/>
        <v/>
      </c>
      <c r="L30" s="124" t="str">
        <f t="shared" si="5"/>
        <v/>
      </c>
      <c r="M30" s="242"/>
      <c r="N30" s="146" t="str">
        <f>IF(ISBLANK(E30),"",VLOOKUP(E30,Feuil3!$A$35:$B$47,2,FALSE))</f>
        <v/>
      </c>
      <c r="O30" s="133" t="str">
        <f>IF(ISBLANK(E30),"",VLOOKUP(E30,Feuil3!$A$35:$C$47,3,FALSE))</f>
        <v/>
      </c>
      <c r="P30" s="78"/>
      <c r="Q30" s="78"/>
      <c r="R30" s="78"/>
      <c r="S30" s="78"/>
      <c r="T30" s="78"/>
      <c r="U30" s="117"/>
    </row>
    <row r="31" spans="1:21" x14ac:dyDescent="0.25">
      <c r="A31" s="258"/>
      <c r="B31" s="32"/>
      <c r="C31" s="264" t="str">
        <f t="shared" si="6"/>
        <v/>
      </c>
      <c r="D31" s="106"/>
      <c r="E31" s="170"/>
      <c r="F31" s="83" t="str">
        <f t="shared" si="0"/>
        <v/>
      </c>
      <c r="G31" s="208"/>
      <c r="H31" s="83" t="str">
        <f t="shared" si="1"/>
        <v/>
      </c>
      <c r="I31" s="227" t="str">
        <f t="shared" si="2"/>
        <v/>
      </c>
      <c r="J31" s="113" t="str">
        <f t="shared" si="7"/>
        <v/>
      </c>
      <c r="K31" s="9" t="str">
        <f t="shared" si="4"/>
        <v/>
      </c>
      <c r="L31" s="124" t="str">
        <f t="shared" si="5"/>
        <v/>
      </c>
      <c r="M31" s="242"/>
      <c r="N31" s="146" t="str">
        <f>IF(ISBLANK(E31),"",VLOOKUP(E31,Feuil3!$A$35:$B$47,2,FALSE))</f>
        <v/>
      </c>
      <c r="O31" s="133" t="str">
        <f>IF(ISBLANK(E31),"",VLOOKUP(E31,Feuil3!$A$35:$C$47,3,FALSE))</f>
        <v/>
      </c>
      <c r="P31" s="78"/>
      <c r="Q31" s="78"/>
      <c r="R31" s="78"/>
      <c r="S31" s="78"/>
      <c r="T31" s="78"/>
      <c r="U31" s="117"/>
    </row>
    <row r="32" spans="1:21" x14ac:dyDescent="0.25">
      <c r="A32" s="258"/>
      <c r="B32" s="32"/>
      <c r="C32" s="264" t="str">
        <f t="shared" ref="C32:C65" si="8">IF(B32="","",Trajet)</f>
        <v/>
      </c>
      <c r="D32" s="106"/>
      <c r="E32" s="170"/>
      <c r="F32" s="83" t="str">
        <f t="shared" si="0"/>
        <v/>
      </c>
      <c r="G32" s="208"/>
      <c r="H32" s="83" t="str">
        <f t="shared" ref="H32" si="9">IF(AND(F32="",MID(C32,4,5)&lt;&gt;"10064"),"",IF(MID(C32,4,5)="10012",125,IF(OR(MID(C32,4,5)="10008",MID(C32,4,5)="10009",MID(C32,4,5)="10010"),85,IF(MID(C32,4,5)="10064",13500))))</f>
        <v/>
      </c>
      <c r="I32" s="227" t="str">
        <f t="shared" ref="I32" si="10">IFERROR(IF(F32="",G32*H32,F32*G32*H32),"")</f>
        <v/>
      </c>
      <c r="J32" s="113" t="str">
        <f t="shared" ref="J32" si="11">IFERROR(IF(I32="","",IF(MID(C32,4,5)="10012",((24*677.76)+IF(L32="",0,IF(L32="N",1000,IF(L32="R",2500,IF(L32="S",3500))))),IF(MID(C32,4,5)="10008",((140*677.76)+IF(L32="",0,IF(L32="N",3500,IF(L32="R",7000,IF(L32="S",10500))))),IF(OR(MID(C32,4,5)="10009",MID(C32,4,5)="10010"),((95*677.76)+IF(L32="",0,IF(L32="N",3500,IF(L32="R",7000,IF(L32="S",10500))))),IF(MID(C32,4,5)="10064",((330*677.76)+IF(L32="",0,IF(L32="N",5000,IF(L32="R",10000,IF(L32="S",12500)))))))))),"")</f>
        <v/>
      </c>
      <c r="K32" s="9" t="str">
        <f t="shared" ref="K32" si="12">IFERROR(IF(I32=0,"",I32-J32),"")</f>
        <v/>
      </c>
      <c r="L32" s="124" t="str">
        <f t="shared" ref="L32:L65" si="13">IF(G32="","",IF(G32&lt;40,"N",IF(G32&gt;=50,"S",IF(AND(G32&gt;=40,G32&lt;50),"R"))))</f>
        <v/>
      </c>
      <c r="M32" s="242"/>
      <c r="N32" s="146" t="str">
        <f>IF(ISBLANK(E32),"",VLOOKUP(E32,Feuil3!$A$35:$B$47,2,FALSE))</f>
        <v/>
      </c>
      <c r="O32" s="133" t="str">
        <f>IF(ISBLANK(E32),"",VLOOKUP(E32,Feuil3!$A$35:$C$47,3,FALSE))</f>
        <v/>
      </c>
      <c r="P32" s="78"/>
      <c r="Q32" s="78"/>
      <c r="R32" s="78"/>
      <c r="S32" s="78"/>
      <c r="T32" s="78"/>
      <c r="U32" s="117"/>
    </row>
    <row r="33" spans="1:34" x14ac:dyDescent="0.25">
      <c r="A33" s="258"/>
      <c r="B33" s="32"/>
      <c r="C33" s="264" t="str">
        <f t="shared" si="8"/>
        <v/>
      </c>
      <c r="D33" s="106"/>
      <c r="E33" s="170"/>
      <c r="F33" s="83" t="str">
        <f t="shared" si="0"/>
        <v/>
      </c>
      <c r="G33" s="208"/>
      <c r="H33" s="83" t="str">
        <f t="shared" ref="H33:H65" si="14">IF(AND(F33="",MID(C33,4,5)&lt;&gt;"10064"),"",IF(MID(C33,4,5)="10012",125,IF(OR(MID(C33,4,5)="10008",MID(C33,4,5)="10009",MID(C33,4,5)="10010"),85,IF(MID(C33,4,5)="10064",13500))))</f>
        <v/>
      </c>
      <c r="I33" s="227" t="str">
        <f t="shared" ref="I33:I65" si="15">IFERROR(IF(F33="",G33*H33,F33*G33*H33),"")</f>
        <v/>
      </c>
      <c r="J33" s="113" t="str">
        <f t="shared" ref="J33:J65" si="16">IFERROR(IF(I33="","",IF(MID(C33,4,5)="10012",((24*677.76)+IF(L33="",0,IF(L33="N",1000,IF(L33="R",2500,IF(L33="S",3500))))),IF(MID(C33,4,5)="10008",((140*677.76)+IF(L33="",0,IF(L33="N",3500,IF(L33="R",7000,IF(L33="S",10500))))),IF(OR(MID(C33,4,5)="10009",MID(C33,4,5)="10010"),((95*677.76)+IF(L33="",0,IF(L33="N",3500,IF(L33="R",7000,IF(L33="S",10500))))),IF(MID(C33,4,5)="10064",((330*677.76)+IF(L33="",0,IF(L33="N",5000,IF(L33="R",10000,IF(L33="S",12500)))))))))),"")</f>
        <v/>
      </c>
      <c r="K33" s="9" t="str">
        <f t="shared" ref="K33:K64" si="17">IFERROR(IF(I33=0,"",I33-J33),"")</f>
        <v/>
      </c>
      <c r="L33" s="124" t="str">
        <f t="shared" si="13"/>
        <v/>
      </c>
      <c r="M33" s="242"/>
      <c r="N33" s="146" t="str">
        <f>IF(ISBLANK(E33),"",VLOOKUP(E33,Feuil3!$A$35:$B$47,2,FALSE))</f>
        <v/>
      </c>
      <c r="O33" s="133" t="str">
        <f>IF(ISBLANK(E33),"",VLOOKUP(E33,Feuil3!$A$35:$C$47,3,FALSE))</f>
        <v/>
      </c>
      <c r="P33" s="78"/>
      <c r="Q33" s="78"/>
      <c r="R33" s="78"/>
      <c r="S33" s="78"/>
      <c r="T33" s="78"/>
      <c r="U33" s="117"/>
    </row>
    <row r="34" spans="1:34" x14ac:dyDescent="0.25">
      <c r="A34" s="258"/>
      <c r="B34" s="32"/>
      <c r="C34" s="264" t="str">
        <f t="shared" si="8"/>
        <v/>
      </c>
      <c r="D34" s="106"/>
      <c r="E34" s="170"/>
      <c r="F34" s="83" t="str">
        <f t="shared" si="0"/>
        <v/>
      </c>
      <c r="G34" s="208"/>
      <c r="H34" s="83" t="str">
        <f t="shared" si="14"/>
        <v/>
      </c>
      <c r="I34" s="227" t="str">
        <f t="shared" si="15"/>
        <v/>
      </c>
      <c r="J34" s="113" t="str">
        <f t="shared" si="16"/>
        <v/>
      </c>
      <c r="K34" s="9" t="str">
        <f t="shared" si="17"/>
        <v/>
      </c>
      <c r="L34" s="124" t="str">
        <f t="shared" si="13"/>
        <v/>
      </c>
      <c r="M34" s="242"/>
      <c r="N34" s="146" t="str">
        <f>IF(ISBLANK(E34),"",VLOOKUP(E34,Feuil3!$A$35:$B$47,2,FALSE))</f>
        <v/>
      </c>
      <c r="O34" s="133" t="str">
        <f>IF(ISBLANK(E34),"",VLOOKUP(E34,Feuil3!$A$35:$C$47,3,FALSE))</f>
        <v/>
      </c>
      <c r="P34" s="78"/>
      <c r="Q34" s="78"/>
      <c r="R34" s="78"/>
      <c r="S34" s="78"/>
      <c r="T34" s="78"/>
      <c r="U34" s="117"/>
    </row>
    <row r="35" spans="1:34" x14ac:dyDescent="0.25">
      <c r="A35" s="258"/>
      <c r="B35" s="32"/>
      <c r="C35" s="264" t="str">
        <f t="shared" si="8"/>
        <v/>
      </c>
      <c r="D35" s="106"/>
      <c r="E35" s="170"/>
      <c r="F35" s="83" t="str">
        <f t="shared" si="0"/>
        <v/>
      </c>
      <c r="G35" s="208"/>
      <c r="H35" s="83" t="str">
        <f t="shared" si="14"/>
        <v/>
      </c>
      <c r="I35" s="227" t="str">
        <f t="shared" si="15"/>
        <v/>
      </c>
      <c r="J35" s="113" t="str">
        <f t="shared" si="16"/>
        <v/>
      </c>
      <c r="K35" s="9" t="str">
        <f t="shared" si="17"/>
        <v/>
      </c>
      <c r="L35" s="124" t="str">
        <f t="shared" si="13"/>
        <v/>
      </c>
      <c r="M35" s="242"/>
      <c r="N35" s="146" t="str">
        <f>IF(ISBLANK(E35),"",VLOOKUP(E35,Feuil3!$A$35:$B$47,2,FALSE))</f>
        <v/>
      </c>
      <c r="O35" s="133" t="str">
        <f>IF(ISBLANK(E35),"",VLOOKUP(E35,Feuil3!$A$35:$C$47,3,FALSE))</f>
        <v/>
      </c>
      <c r="P35" s="78"/>
      <c r="Q35" s="78"/>
      <c r="R35" s="78"/>
      <c r="S35" s="78"/>
      <c r="T35" s="78"/>
      <c r="U35" s="117"/>
      <c r="V35" s="78"/>
      <c r="W35" s="78"/>
      <c r="X35" s="78"/>
      <c r="Y35" s="78"/>
      <c r="Z35" s="78"/>
      <c r="AA35" s="78"/>
      <c r="AB35" s="78"/>
      <c r="AC35" s="78"/>
      <c r="AD35" s="78"/>
      <c r="AE35" s="78"/>
      <c r="AF35" s="78"/>
      <c r="AG35" s="78"/>
      <c r="AH35" s="78"/>
    </row>
    <row r="36" spans="1:34" x14ac:dyDescent="0.25">
      <c r="A36" s="258"/>
      <c r="B36" s="32"/>
      <c r="C36" s="264" t="str">
        <f t="shared" si="8"/>
        <v/>
      </c>
      <c r="D36" s="106"/>
      <c r="E36" s="170"/>
      <c r="F36" s="83" t="str">
        <f t="shared" si="0"/>
        <v/>
      </c>
      <c r="G36" s="208"/>
      <c r="H36" s="83" t="str">
        <f t="shared" si="14"/>
        <v/>
      </c>
      <c r="I36" s="227" t="str">
        <f t="shared" si="15"/>
        <v/>
      </c>
      <c r="J36" s="113" t="str">
        <f t="shared" si="16"/>
        <v/>
      </c>
      <c r="K36" s="9" t="str">
        <f t="shared" si="17"/>
        <v/>
      </c>
      <c r="L36" s="124" t="str">
        <f t="shared" si="13"/>
        <v/>
      </c>
      <c r="M36" s="242"/>
      <c r="N36" s="146" t="str">
        <f>IF(ISBLANK(E36),"",VLOOKUP(E36,Feuil3!$A$35:$B$47,2,FALSE))</f>
        <v/>
      </c>
      <c r="O36" s="133" t="str">
        <f>IF(ISBLANK(E36),"",VLOOKUP(E36,Feuil3!$A$35:$C$47,3,FALSE))</f>
        <v/>
      </c>
      <c r="P36" s="78"/>
      <c r="Q36" s="78"/>
      <c r="R36" s="78"/>
      <c r="S36" s="78"/>
      <c r="T36" s="78"/>
      <c r="U36" s="117"/>
      <c r="V36" s="78"/>
      <c r="W36" s="78"/>
      <c r="X36" s="78"/>
      <c r="Y36" s="78"/>
      <c r="Z36" s="78"/>
      <c r="AA36" s="78"/>
      <c r="AB36" s="78"/>
      <c r="AC36" s="78"/>
      <c r="AD36" s="78"/>
      <c r="AE36" s="78"/>
      <c r="AF36" s="78"/>
      <c r="AG36" s="78"/>
      <c r="AH36" s="78"/>
    </row>
    <row r="37" spans="1:34" x14ac:dyDescent="0.25">
      <c r="A37" s="258"/>
      <c r="B37" s="32"/>
      <c r="C37" s="264" t="str">
        <f t="shared" si="8"/>
        <v/>
      </c>
      <c r="D37" s="106"/>
      <c r="E37" s="170"/>
      <c r="F37" s="83" t="str">
        <f t="shared" si="0"/>
        <v/>
      </c>
      <c r="G37" s="208"/>
      <c r="H37" s="83" t="str">
        <f t="shared" si="14"/>
        <v/>
      </c>
      <c r="I37" s="227" t="str">
        <f t="shared" si="15"/>
        <v/>
      </c>
      <c r="J37" s="113" t="str">
        <f t="shared" si="16"/>
        <v/>
      </c>
      <c r="K37" s="9" t="str">
        <f t="shared" si="17"/>
        <v/>
      </c>
      <c r="L37" s="124" t="str">
        <f t="shared" si="13"/>
        <v/>
      </c>
      <c r="M37" s="242"/>
      <c r="N37" s="146" t="str">
        <f>IF(ISBLANK(E37),"",VLOOKUP(E37,Feuil3!$A$35:$B$47,2,FALSE))</f>
        <v/>
      </c>
      <c r="O37" s="133" t="str">
        <f>IF(ISBLANK(E37),"",VLOOKUP(E37,Feuil3!$A$35:$C$47,3,FALSE))</f>
        <v/>
      </c>
      <c r="P37" s="78"/>
      <c r="Q37" s="78"/>
      <c r="R37" s="78"/>
      <c r="S37" s="78"/>
      <c r="T37" s="78"/>
      <c r="U37" s="117"/>
      <c r="V37" s="78"/>
      <c r="W37" s="78"/>
      <c r="X37" s="78"/>
      <c r="Y37" s="78"/>
      <c r="Z37" s="78"/>
      <c r="AA37" s="78"/>
      <c r="AB37" s="78"/>
      <c r="AC37" s="78"/>
      <c r="AD37" s="78"/>
      <c r="AE37" s="78"/>
      <c r="AF37" s="78"/>
      <c r="AG37" s="78"/>
      <c r="AH37" s="78"/>
    </row>
    <row r="38" spans="1:34" x14ac:dyDescent="0.25">
      <c r="A38" s="258"/>
      <c r="B38" s="32"/>
      <c r="C38" s="264" t="str">
        <f t="shared" si="8"/>
        <v/>
      </c>
      <c r="D38" s="106"/>
      <c r="E38" s="170"/>
      <c r="F38" s="83" t="str">
        <f t="shared" si="0"/>
        <v/>
      </c>
      <c r="G38" s="208"/>
      <c r="H38" s="83" t="str">
        <f t="shared" si="14"/>
        <v/>
      </c>
      <c r="I38" s="227" t="str">
        <f t="shared" si="15"/>
        <v/>
      </c>
      <c r="J38" s="113" t="str">
        <f t="shared" si="16"/>
        <v/>
      </c>
      <c r="K38" s="9" t="str">
        <f t="shared" si="17"/>
        <v/>
      </c>
      <c r="L38" s="124" t="str">
        <f t="shared" si="13"/>
        <v/>
      </c>
      <c r="M38" s="242"/>
      <c r="N38" s="146" t="str">
        <f>IF(ISBLANK(E38),"",VLOOKUP(E38,Feuil3!$A$35:$B$47,2,FALSE))</f>
        <v/>
      </c>
      <c r="O38" s="133" t="str">
        <f>IF(ISBLANK(E38),"",VLOOKUP(E38,Feuil3!$A$35:$C$47,3,FALSE))</f>
        <v/>
      </c>
      <c r="P38" s="78"/>
      <c r="Q38" s="78"/>
      <c r="R38" s="78"/>
      <c r="S38" s="78"/>
      <c r="T38" s="78"/>
      <c r="U38" s="117"/>
      <c r="V38" s="78"/>
      <c r="W38" s="78"/>
      <c r="X38" s="78"/>
      <c r="Y38" s="78"/>
      <c r="Z38" s="78"/>
      <c r="AA38" s="78"/>
      <c r="AB38" s="78"/>
      <c r="AC38" s="78"/>
      <c r="AD38" s="78"/>
      <c r="AE38" s="78"/>
      <c r="AF38" s="78"/>
      <c r="AG38" s="78"/>
      <c r="AH38" s="78"/>
    </row>
    <row r="39" spans="1:34" x14ac:dyDescent="0.25">
      <c r="A39" s="258"/>
      <c r="B39" s="32"/>
      <c r="C39" s="264" t="str">
        <f t="shared" si="8"/>
        <v/>
      </c>
      <c r="D39" s="106"/>
      <c r="E39" s="170"/>
      <c r="F39" s="83" t="str">
        <f t="shared" si="0"/>
        <v/>
      </c>
      <c r="G39" s="208"/>
      <c r="H39" s="83" t="str">
        <f t="shared" si="14"/>
        <v/>
      </c>
      <c r="I39" s="227" t="str">
        <f t="shared" si="15"/>
        <v/>
      </c>
      <c r="J39" s="113" t="str">
        <f t="shared" si="16"/>
        <v/>
      </c>
      <c r="K39" s="9" t="str">
        <f t="shared" si="17"/>
        <v/>
      </c>
      <c r="L39" s="124" t="str">
        <f t="shared" si="13"/>
        <v/>
      </c>
      <c r="M39" s="242"/>
      <c r="N39" s="146" t="str">
        <f>IF(ISBLANK(E39),"",VLOOKUP(E39,Feuil3!$A$35:$B$47,2,FALSE))</f>
        <v/>
      </c>
      <c r="O39" s="133" t="str">
        <f>IF(ISBLANK(E39),"",VLOOKUP(E39,Feuil3!$A$35:$C$47,3,FALSE))</f>
        <v/>
      </c>
      <c r="P39" s="78"/>
      <c r="Q39" s="78"/>
      <c r="R39" s="78"/>
      <c r="S39" s="78"/>
      <c r="T39" s="117"/>
      <c r="U39" s="78"/>
      <c r="V39" s="78"/>
      <c r="W39" s="78"/>
      <c r="X39" s="78"/>
      <c r="Y39" s="78"/>
      <c r="Z39" s="78"/>
      <c r="AA39" s="78"/>
      <c r="AB39" s="78"/>
      <c r="AC39" s="78"/>
      <c r="AD39" s="78"/>
      <c r="AE39" s="78"/>
      <c r="AF39" s="78"/>
      <c r="AG39" s="78"/>
      <c r="AH39" s="78"/>
    </row>
    <row r="40" spans="1:34" x14ac:dyDescent="0.25">
      <c r="A40" s="258"/>
      <c r="B40" s="32"/>
      <c r="C40" s="264" t="str">
        <f t="shared" si="8"/>
        <v/>
      </c>
      <c r="D40" s="106"/>
      <c r="E40" s="170"/>
      <c r="F40" s="83" t="str">
        <f t="shared" si="0"/>
        <v/>
      </c>
      <c r="G40" s="208"/>
      <c r="H40" s="83" t="str">
        <f t="shared" si="14"/>
        <v/>
      </c>
      <c r="I40" s="227" t="str">
        <f t="shared" si="15"/>
        <v/>
      </c>
      <c r="J40" s="113" t="str">
        <f t="shared" si="16"/>
        <v/>
      </c>
      <c r="K40" s="9" t="str">
        <f t="shared" si="17"/>
        <v/>
      </c>
      <c r="L40" s="124" t="str">
        <f t="shared" si="13"/>
        <v/>
      </c>
      <c r="M40" s="242"/>
      <c r="N40" s="146" t="str">
        <f>IF(ISBLANK(E40),"",VLOOKUP(E40,Feuil3!$A$35:$B$47,2,FALSE))</f>
        <v/>
      </c>
      <c r="O40" s="133" t="str">
        <f>IF(ISBLANK(E40),"",VLOOKUP(E40,Feuil3!$A$35:$C$47,3,FALSE))</f>
        <v/>
      </c>
      <c r="P40" s="78"/>
      <c r="Q40" s="78"/>
      <c r="R40" s="78"/>
      <c r="S40" s="78"/>
      <c r="T40" s="78"/>
      <c r="U40" s="117"/>
      <c r="V40" s="78"/>
      <c r="W40" s="78"/>
      <c r="X40" s="78"/>
      <c r="Y40" s="78"/>
      <c r="Z40" s="78"/>
      <c r="AA40" s="78"/>
      <c r="AB40" s="78"/>
      <c r="AC40" s="78"/>
      <c r="AD40" s="78"/>
      <c r="AE40" s="78"/>
      <c r="AF40" s="78"/>
      <c r="AG40" s="78"/>
      <c r="AH40" s="78"/>
    </row>
    <row r="41" spans="1:34" x14ac:dyDescent="0.25">
      <c r="A41" s="258"/>
      <c r="B41" s="32"/>
      <c r="C41" s="264" t="str">
        <f t="shared" si="8"/>
        <v/>
      </c>
      <c r="D41" s="106"/>
      <c r="E41" s="170"/>
      <c r="F41" s="83" t="str">
        <f t="shared" si="0"/>
        <v/>
      </c>
      <c r="G41" s="208"/>
      <c r="H41" s="83" t="str">
        <f t="shared" si="14"/>
        <v/>
      </c>
      <c r="I41" s="227" t="str">
        <f t="shared" si="15"/>
        <v/>
      </c>
      <c r="J41" s="113" t="str">
        <f t="shared" si="16"/>
        <v/>
      </c>
      <c r="K41" s="9" t="str">
        <f t="shared" si="17"/>
        <v/>
      </c>
      <c r="L41" s="124" t="str">
        <f t="shared" si="13"/>
        <v/>
      </c>
      <c r="M41" s="242"/>
      <c r="N41" s="146" t="str">
        <f>IF(ISBLANK(E41),"",VLOOKUP(E41,Feuil3!$A$35:$B$47,2,FALSE))</f>
        <v/>
      </c>
      <c r="O41" s="133" t="str">
        <f>IF(ISBLANK(E41),"",VLOOKUP(E41,Feuil3!$A$35:$C$47,3,FALSE))</f>
        <v/>
      </c>
      <c r="P41" s="78"/>
      <c r="Q41" s="78"/>
      <c r="R41" s="78"/>
      <c r="S41" s="78"/>
      <c r="T41" s="78"/>
      <c r="U41" s="78"/>
      <c r="V41" s="78"/>
      <c r="W41" s="78"/>
      <c r="X41" s="78"/>
      <c r="Y41" s="78"/>
      <c r="Z41" s="78"/>
      <c r="AA41" s="78"/>
      <c r="AB41" s="78"/>
      <c r="AC41" s="78"/>
      <c r="AD41" s="78"/>
      <c r="AE41" s="78"/>
      <c r="AF41" s="78"/>
      <c r="AG41" s="78"/>
      <c r="AH41" s="78"/>
    </row>
    <row r="42" spans="1:34" x14ac:dyDescent="0.25">
      <c r="A42" s="258"/>
      <c r="B42" s="32"/>
      <c r="C42" s="264" t="str">
        <f t="shared" si="8"/>
        <v/>
      </c>
      <c r="D42" s="106"/>
      <c r="E42" s="170"/>
      <c r="F42" s="83" t="str">
        <f t="shared" si="0"/>
        <v/>
      </c>
      <c r="G42" s="208"/>
      <c r="H42" s="83" t="str">
        <f t="shared" si="14"/>
        <v/>
      </c>
      <c r="I42" s="227" t="str">
        <f t="shared" si="15"/>
        <v/>
      </c>
      <c r="J42" s="113" t="str">
        <f t="shared" si="16"/>
        <v/>
      </c>
      <c r="K42" s="9" t="str">
        <f t="shared" si="17"/>
        <v/>
      </c>
      <c r="L42" s="124" t="str">
        <f t="shared" si="13"/>
        <v/>
      </c>
      <c r="M42" s="242"/>
      <c r="N42" s="146" t="str">
        <f>IF(ISBLANK(E42),"",VLOOKUP(E42,Feuil3!$A$35:$B$47,2,FALSE))</f>
        <v/>
      </c>
      <c r="O42" s="133" t="str">
        <f>IF(ISBLANK(E42),"",VLOOKUP(E42,Feuil3!$A$35:$C$47,3,FALSE))</f>
        <v/>
      </c>
      <c r="P42" s="78"/>
      <c r="Q42" s="78"/>
      <c r="R42" s="78"/>
      <c r="S42" s="78"/>
      <c r="T42" s="78"/>
      <c r="U42" s="78"/>
      <c r="V42" s="78"/>
      <c r="W42" s="78"/>
      <c r="X42" s="78"/>
      <c r="Y42" s="78"/>
      <c r="Z42" s="78"/>
      <c r="AA42" s="78"/>
      <c r="AB42" s="78"/>
      <c r="AC42" s="78"/>
      <c r="AD42" s="78"/>
      <c r="AE42" s="78"/>
      <c r="AF42" s="78"/>
      <c r="AG42" s="78"/>
      <c r="AH42" s="78"/>
    </row>
    <row r="43" spans="1:34" x14ac:dyDescent="0.25">
      <c r="A43" s="258"/>
      <c r="B43" s="32"/>
      <c r="C43" s="264" t="str">
        <f t="shared" si="8"/>
        <v/>
      </c>
      <c r="D43" s="106"/>
      <c r="E43" s="170"/>
      <c r="F43" s="83" t="str">
        <f t="shared" si="0"/>
        <v/>
      </c>
      <c r="G43" s="208"/>
      <c r="H43" s="83" t="str">
        <f t="shared" si="14"/>
        <v/>
      </c>
      <c r="I43" s="227" t="str">
        <f t="shared" si="15"/>
        <v/>
      </c>
      <c r="J43" s="113" t="str">
        <f t="shared" si="16"/>
        <v/>
      </c>
      <c r="K43" s="9" t="str">
        <f t="shared" si="17"/>
        <v/>
      </c>
      <c r="L43" s="124" t="str">
        <f t="shared" si="13"/>
        <v/>
      </c>
      <c r="M43" s="242"/>
      <c r="N43" s="146" t="str">
        <f>IF(ISBLANK(E43),"",VLOOKUP(E43,Feuil3!$A$35:$B$47,2,FALSE))</f>
        <v/>
      </c>
      <c r="O43" s="133" t="str">
        <f>IF(ISBLANK(E43),"",VLOOKUP(E43,Feuil3!$A$35:$C$47,3,FALSE))</f>
        <v/>
      </c>
      <c r="P43" s="78"/>
      <c r="Q43" s="78"/>
      <c r="R43" s="78"/>
      <c r="S43" s="78"/>
      <c r="T43" s="78"/>
      <c r="U43" s="78"/>
      <c r="V43" s="78"/>
      <c r="W43" s="78"/>
      <c r="X43" s="78"/>
      <c r="Y43" s="78"/>
      <c r="Z43" s="78"/>
      <c r="AA43" s="78"/>
      <c r="AB43" s="78"/>
      <c r="AC43" s="78"/>
      <c r="AD43" s="78"/>
      <c r="AE43" s="78"/>
      <c r="AF43" s="78"/>
      <c r="AG43" s="78"/>
      <c r="AH43" s="78"/>
    </row>
    <row r="44" spans="1:34" x14ac:dyDescent="0.25">
      <c r="A44" s="258"/>
      <c r="B44" s="32"/>
      <c r="C44" s="264" t="str">
        <f t="shared" si="8"/>
        <v/>
      </c>
      <c r="D44" s="106"/>
      <c r="E44" s="170"/>
      <c r="F44" s="83" t="str">
        <f t="shared" si="0"/>
        <v/>
      </c>
      <c r="G44" s="208"/>
      <c r="H44" s="83" t="str">
        <f t="shared" si="14"/>
        <v/>
      </c>
      <c r="I44" s="227" t="str">
        <f t="shared" si="15"/>
        <v/>
      </c>
      <c r="J44" s="113" t="str">
        <f t="shared" si="16"/>
        <v/>
      </c>
      <c r="K44" s="9" t="str">
        <f t="shared" si="17"/>
        <v/>
      </c>
      <c r="L44" s="124" t="str">
        <f t="shared" si="13"/>
        <v/>
      </c>
      <c r="M44" s="242"/>
      <c r="N44" s="146" t="str">
        <f>IF(ISBLANK(E44),"",VLOOKUP(E44,Feuil3!$A$35:$B$47,2,FALSE))</f>
        <v/>
      </c>
      <c r="O44" s="133" t="str">
        <f>IF(ISBLANK(E44),"",VLOOKUP(E44,Feuil3!$A$35:$C$47,3,FALSE))</f>
        <v/>
      </c>
    </row>
    <row r="45" spans="1:34" x14ac:dyDescent="0.25">
      <c r="A45" s="258"/>
      <c r="B45" s="32"/>
      <c r="C45" s="264" t="str">
        <f t="shared" si="8"/>
        <v/>
      </c>
      <c r="D45" s="106"/>
      <c r="E45" s="170"/>
      <c r="F45" s="83" t="str">
        <f t="shared" si="0"/>
        <v/>
      </c>
      <c r="G45" s="208"/>
      <c r="H45" s="83" t="str">
        <f t="shared" si="14"/>
        <v/>
      </c>
      <c r="I45" s="227" t="str">
        <f t="shared" si="15"/>
        <v/>
      </c>
      <c r="J45" s="113" t="str">
        <f t="shared" si="16"/>
        <v/>
      </c>
      <c r="K45" s="9" t="str">
        <f t="shared" si="17"/>
        <v/>
      </c>
      <c r="L45" s="124" t="str">
        <f t="shared" si="13"/>
        <v/>
      </c>
      <c r="M45" s="242"/>
      <c r="N45" s="146" t="str">
        <f>IF(ISBLANK(E45),"",VLOOKUP(E45,Feuil3!$A$35:$B$47,2,FALSE))</f>
        <v/>
      </c>
      <c r="O45" s="133" t="str">
        <f>IF(ISBLANK(E45),"",VLOOKUP(E45,Feuil3!$A$35:$C$47,3,FALSE))</f>
        <v/>
      </c>
    </row>
    <row r="46" spans="1:34" x14ac:dyDescent="0.25">
      <c r="A46" s="258"/>
      <c r="B46" s="32"/>
      <c r="C46" s="264" t="str">
        <f t="shared" si="8"/>
        <v/>
      </c>
      <c r="D46" s="26"/>
      <c r="E46" s="171"/>
      <c r="F46" s="83" t="str">
        <f t="shared" si="0"/>
        <v/>
      </c>
      <c r="G46" s="208"/>
      <c r="H46" s="83" t="str">
        <f t="shared" si="14"/>
        <v/>
      </c>
      <c r="I46" s="227" t="str">
        <f t="shared" si="15"/>
        <v/>
      </c>
      <c r="J46" s="113" t="str">
        <f t="shared" si="16"/>
        <v/>
      </c>
      <c r="K46" s="9" t="str">
        <f t="shared" si="17"/>
        <v/>
      </c>
      <c r="L46" s="124" t="str">
        <f t="shared" si="13"/>
        <v/>
      </c>
      <c r="M46" s="242"/>
      <c r="N46" s="146" t="str">
        <f>IF(ISBLANK(E46),"",VLOOKUP(E46,Feuil3!$A$35:$B$47,2,FALSE))</f>
        <v/>
      </c>
      <c r="O46" s="133" t="str">
        <f>IF(ISBLANK(E46),"",VLOOKUP(E46,Feuil3!$A$35:$C$47,3,FALSE))</f>
        <v/>
      </c>
    </row>
    <row r="47" spans="1:34" x14ac:dyDescent="0.25">
      <c r="A47" s="258"/>
      <c r="B47" s="32"/>
      <c r="C47" s="264" t="str">
        <f t="shared" si="8"/>
        <v/>
      </c>
      <c r="D47" s="26"/>
      <c r="E47" s="171"/>
      <c r="F47" s="83" t="str">
        <f t="shared" si="0"/>
        <v/>
      </c>
      <c r="G47" s="208"/>
      <c r="H47" s="83" t="str">
        <f t="shared" si="14"/>
        <v/>
      </c>
      <c r="I47" s="227" t="str">
        <f t="shared" si="15"/>
        <v/>
      </c>
      <c r="J47" s="113" t="str">
        <f t="shared" si="16"/>
        <v/>
      </c>
      <c r="K47" s="9" t="str">
        <f t="shared" si="17"/>
        <v/>
      </c>
      <c r="L47" s="124" t="str">
        <f t="shared" si="13"/>
        <v/>
      </c>
      <c r="M47" s="242"/>
      <c r="N47" s="146" t="str">
        <f>IF(ISBLANK(E47),"",VLOOKUP(E47,Feuil3!$A$35:$B$47,2,FALSE))</f>
        <v/>
      </c>
      <c r="O47" s="133" t="str">
        <f>IF(ISBLANK(E47),"",VLOOKUP(E47,Feuil3!$A$35:$C$47,3,FALSE))</f>
        <v/>
      </c>
    </row>
    <row r="48" spans="1:34" x14ac:dyDescent="0.25">
      <c r="A48" s="258"/>
      <c r="B48" s="32"/>
      <c r="C48" s="264" t="str">
        <f t="shared" si="8"/>
        <v/>
      </c>
      <c r="D48" s="26"/>
      <c r="E48" s="171"/>
      <c r="F48" s="83" t="str">
        <f t="shared" si="0"/>
        <v/>
      </c>
      <c r="G48" s="208"/>
      <c r="H48" s="83" t="str">
        <f t="shared" si="14"/>
        <v/>
      </c>
      <c r="I48" s="227" t="str">
        <f t="shared" si="15"/>
        <v/>
      </c>
      <c r="J48" s="113" t="str">
        <f t="shared" si="16"/>
        <v/>
      </c>
      <c r="K48" s="9" t="str">
        <f t="shared" si="17"/>
        <v/>
      </c>
      <c r="L48" s="124" t="str">
        <f t="shared" si="13"/>
        <v/>
      </c>
      <c r="M48" s="242"/>
      <c r="N48" s="146" t="str">
        <f>IF(ISBLANK(E48),"",VLOOKUP(E48,Feuil3!$A$35:$B$47,2,FALSE))</f>
        <v/>
      </c>
      <c r="O48" s="133" t="str">
        <f>IF(ISBLANK(E48),"",VLOOKUP(E48,Feuil3!$A$35:$C$47,3,FALSE))</f>
        <v/>
      </c>
    </row>
    <row r="49" spans="1:15" x14ac:dyDescent="0.25">
      <c r="A49" s="258"/>
      <c r="B49" s="32"/>
      <c r="C49" s="264" t="str">
        <f t="shared" si="8"/>
        <v/>
      </c>
      <c r="D49" s="26"/>
      <c r="E49" s="171"/>
      <c r="F49" s="83" t="str">
        <f t="shared" si="0"/>
        <v/>
      </c>
      <c r="G49" s="208"/>
      <c r="H49" s="83" t="str">
        <f t="shared" si="14"/>
        <v/>
      </c>
      <c r="I49" s="227" t="str">
        <f t="shared" si="15"/>
        <v/>
      </c>
      <c r="J49" s="113" t="str">
        <f t="shared" si="16"/>
        <v/>
      </c>
      <c r="K49" s="9" t="str">
        <f t="shared" si="17"/>
        <v/>
      </c>
      <c r="L49" s="124" t="str">
        <f t="shared" si="13"/>
        <v/>
      </c>
      <c r="M49" s="242"/>
      <c r="N49" s="146" t="str">
        <f>IF(ISBLANK(E49),"",VLOOKUP(E49,Feuil3!$A$35:$B$47,2,FALSE))</f>
        <v/>
      </c>
      <c r="O49" s="133" t="str">
        <f>IF(ISBLANK(E49),"",VLOOKUP(E49,Feuil3!$A$35:$C$47,3,FALSE))</f>
        <v/>
      </c>
    </row>
    <row r="50" spans="1:15" x14ac:dyDescent="0.25">
      <c r="A50" s="258"/>
      <c r="B50" s="32"/>
      <c r="C50" s="264" t="str">
        <f t="shared" si="8"/>
        <v/>
      </c>
      <c r="D50" s="26"/>
      <c r="E50" s="171"/>
      <c r="F50" s="83" t="str">
        <f t="shared" si="0"/>
        <v/>
      </c>
      <c r="G50" s="208"/>
      <c r="H50" s="83" t="str">
        <f t="shared" si="14"/>
        <v/>
      </c>
      <c r="I50" s="227" t="str">
        <f t="shared" si="15"/>
        <v/>
      </c>
      <c r="J50" s="113" t="str">
        <f t="shared" si="16"/>
        <v/>
      </c>
      <c r="K50" s="9" t="str">
        <f t="shared" si="17"/>
        <v/>
      </c>
      <c r="L50" s="124" t="str">
        <f t="shared" si="13"/>
        <v/>
      </c>
      <c r="M50" s="242"/>
      <c r="N50" s="146" t="str">
        <f>IF(ISBLANK(E50),"",VLOOKUP(E50,Feuil3!$A$35:$B$47,2,FALSE))</f>
        <v/>
      </c>
      <c r="O50" s="133" t="str">
        <f>IF(ISBLANK(E50),"",VLOOKUP(E50,Feuil3!$A$35:$C$47,3,FALSE))</f>
        <v/>
      </c>
    </row>
    <row r="51" spans="1:15" x14ac:dyDescent="0.25">
      <c r="A51" s="258"/>
      <c r="B51" s="32"/>
      <c r="C51" s="264" t="str">
        <f t="shared" si="8"/>
        <v/>
      </c>
      <c r="D51" s="26"/>
      <c r="E51" s="171"/>
      <c r="F51" s="83" t="str">
        <f t="shared" si="0"/>
        <v/>
      </c>
      <c r="G51" s="208"/>
      <c r="H51" s="83" t="str">
        <f t="shared" si="14"/>
        <v/>
      </c>
      <c r="I51" s="227" t="str">
        <f t="shared" si="15"/>
        <v/>
      </c>
      <c r="J51" s="113" t="str">
        <f t="shared" si="16"/>
        <v/>
      </c>
      <c r="K51" s="9" t="str">
        <f t="shared" si="17"/>
        <v/>
      </c>
      <c r="L51" s="124" t="str">
        <f t="shared" si="13"/>
        <v/>
      </c>
      <c r="M51" s="242"/>
      <c r="N51" s="146" t="str">
        <f>IF(ISBLANK(E51),"",VLOOKUP(E51,Feuil3!$A$35:$B$47,2,FALSE))</f>
        <v/>
      </c>
      <c r="O51" s="133" t="str">
        <f>IF(ISBLANK(E51),"",VLOOKUP(E51,Feuil3!$A$35:$C$47,3,FALSE))</f>
        <v/>
      </c>
    </row>
    <row r="52" spans="1:15" x14ac:dyDescent="0.25">
      <c r="A52" s="258"/>
      <c r="B52" s="32"/>
      <c r="C52" s="264" t="str">
        <f t="shared" si="8"/>
        <v/>
      </c>
      <c r="D52" s="26"/>
      <c r="E52" s="171"/>
      <c r="F52" s="83" t="str">
        <f t="shared" si="0"/>
        <v/>
      </c>
      <c r="G52" s="208"/>
      <c r="H52" s="83" t="str">
        <f t="shared" si="14"/>
        <v/>
      </c>
      <c r="I52" s="227" t="str">
        <f t="shared" si="15"/>
        <v/>
      </c>
      <c r="J52" s="113" t="str">
        <f t="shared" si="16"/>
        <v/>
      </c>
      <c r="K52" s="9" t="str">
        <f t="shared" si="17"/>
        <v/>
      </c>
      <c r="L52" s="124" t="str">
        <f t="shared" si="13"/>
        <v/>
      </c>
      <c r="M52" s="242"/>
      <c r="N52" s="146" t="str">
        <f>IF(ISBLANK(E52),"",VLOOKUP(E52,Feuil3!$A$35:$B$47,2,FALSE))</f>
        <v/>
      </c>
      <c r="O52" s="133" t="str">
        <f>IF(ISBLANK(E52),"",VLOOKUP(E52,Feuil3!$A$35:$C$47,3,FALSE))</f>
        <v/>
      </c>
    </row>
    <row r="53" spans="1:15" x14ac:dyDescent="0.25">
      <c r="A53" s="258"/>
      <c r="B53" s="32"/>
      <c r="C53" s="264" t="str">
        <f t="shared" si="8"/>
        <v/>
      </c>
      <c r="D53" s="26"/>
      <c r="E53" s="171"/>
      <c r="F53" s="83" t="str">
        <f t="shared" si="0"/>
        <v/>
      </c>
      <c r="G53" s="208"/>
      <c r="H53" s="83" t="str">
        <f t="shared" si="14"/>
        <v/>
      </c>
      <c r="I53" s="227" t="str">
        <f t="shared" si="15"/>
        <v/>
      </c>
      <c r="J53" s="113" t="str">
        <f t="shared" si="16"/>
        <v/>
      </c>
      <c r="K53" s="9" t="str">
        <f t="shared" si="17"/>
        <v/>
      </c>
      <c r="L53" s="124" t="str">
        <f t="shared" si="13"/>
        <v/>
      </c>
      <c r="M53" s="242"/>
      <c r="N53" s="146" t="str">
        <f>IF(ISBLANK(E53),"",VLOOKUP(E53,Feuil3!$A$35:$B$47,2,FALSE))</f>
        <v/>
      </c>
      <c r="O53" s="133" t="str">
        <f>IF(ISBLANK(E53),"",VLOOKUP(E53,Feuil3!$A$35:$C$47,3,FALSE))</f>
        <v/>
      </c>
    </row>
    <row r="54" spans="1:15" x14ac:dyDescent="0.25">
      <c r="A54" s="258"/>
      <c r="B54" s="32"/>
      <c r="C54" s="264" t="str">
        <f t="shared" si="8"/>
        <v/>
      </c>
      <c r="D54" s="26"/>
      <c r="E54" s="171"/>
      <c r="F54" s="83" t="str">
        <f t="shared" si="0"/>
        <v/>
      </c>
      <c r="G54" s="208"/>
      <c r="H54" s="83" t="str">
        <f t="shared" si="14"/>
        <v/>
      </c>
      <c r="I54" s="227" t="str">
        <f t="shared" si="15"/>
        <v/>
      </c>
      <c r="J54" s="113" t="str">
        <f t="shared" si="16"/>
        <v/>
      </c>
      <c r="K54" s="9" t="str">
        <f t="shared" si="17"/>
        <v/>
      </c>
      <c r="L54" s="124" t="str">
        <f t="shared" si="13"/>
        <v/>
      </c>
      <c r="M54" s="242"/>
      <c r="N54" s="146" t="str">
        <f>IF(ISBLANK(E54),"",VLOOKUP(E54,Feuil3!$A$35:$B$47,2,FALSE))</f>
        <v/>
      </c>
      <c r="O54" s="133" t="str">
        <f>IF(ISBLANK(E54),"",VLOOKUP(E54,Feuil3!$A$35:$C$47,3,FALSE))</f>
        <v/>
      </c>
    </row>
    <row r="55" spans="1:15" x14ac:dyDescent="0.25">
      <c r="A55" s="258"/>
      <c r="B55" s="32"/>
      <c r="C55" s="264" t="str">
        <f t="shared" si="8"/>
        <v/>
      </c>
      <c r="D55" s="26"/>
      <c r="E55" s="171"/>
      <c r="F55" s="83" t="str">
        <f t="shared" si="0"/>
        <v/>
      </c>
      <c r="G55" s="208"/>
      <c r="H55" s="83" t="str">
        <f t="shared" si="14"/>
        <v/>
      </c>
      <c r="I55" s="227" t="str">
        <f t="shared" si="15"/>
        <v/>
      </c>
      <c r="J55" s="113" t="str">
        <f t="shared" si="16"/>
        <v/>
      </c>
      <c r="K55" s="9" t="str">
        <f t="shared" si="17"/>
        <v/>
      </c>
      <c r="L55" s="124" t="str">
        <f t="shared" si="13"/>
        <v/>
      </c>
      <c r="M55" s="242"/>
      <c r="N55" s="146" t="str">
        <f>IF(ISBLANK(E55),"",VLOOKUP(E55,Feuil3!$A$35:$B$47,2,FALSE))</f>
        <v/>
      </c>
      <c r="O55" s="133" t="str">
        <f>IF(ISBLANK(E55),"",VLOOKUP(E55,Feuil3!$A$35:$C$47,3,FALSE))</f>
        <v/>
      </c>
    </row>
    <row r="56" spans="1:15" x14ac:dyDescent="0.25">
      <c r="A56" s="258"/>
      <c r="B56" s="32"/>
      <c r="C56" s="264" t="str">
        <f t="shared" si="8"/>
        <v/>
      </c>
      <c r="D56" s="26"/>
      <c r="E56" s="171"/>
      <c r="F56" s="83" t="str">
        <f t="shared" si="0"/>
        <v/>
      </c>
      <c r="G56" s="208"/>
      <c r="H56" s="83" t="str">
        <f t="shared" si="14"/>
        <v/>
      </c>
      <c r="I56" s="227" t="str">
        <f t="shared" si="15"/>
        <v/>
      </c>
      <c r="J56" s="113" t="str">
        <f t="shared" si="16"/>
        <v/>
      </c>
      <c r="K56" s="9" t="str">
        <f t="shared" si="17"/>
        <v/>
      </c>
      <c r="L56" s="124" t="str">
        <f t="shared" si="13"/>
        <v/>
      </c>
      <c r="M56" s="242"/>
      <c r="N56" s="146" t="str">
        <f>IF(ISBLANK(E56),"",VLOOKUP(E56,Feuil3!$A$35:$B$47,2,FALSE))</f>
        <v/>
      </c>
      <c r="O56" s="133" t="str">
        <f>IF(ISBLANK(E56),"",VLOOKUP(E56,Feuil3!$A$35:$C$47,3,FALSE))</f>
        <v/>
      </c>
    </row>
    <row r="57" spans="1:15" x14ac:dyDescent="0.25">
      <c r="A57" s="258"/>
      <c r="B57" s="32"/>
      <c r="C57" s="264" t="str">
        <f t="shared" si="8"/>
        <v/>
      </c>
      <c r="D57" s="26"/>
      <c r="E57" s="171"/>
      <c r="F57" s="83" t="str">
        <f t="shared" si="0"/>
        <v/>
      </c>
      <c r="G57" s="208"/>
      <c r="H57" s="83" t="str">
        <f t="shared" si="14"/>
        <v/>
      </c>
      <c r="I57" s="227" t="str">
        <f t="shared" si="15"/>
        <v/>
      </c>
      <c r="J57" s="113" t="str">
        <f t="shared" si="16"/>
        <v/>
      </c>
      <c r="K57" s="9" t="str">
        <f t="shared" si="17"/>
        <v/>
      </c>
      <c r="L57" s="124" t="str">
        <f t="shared" si="13"/>
        <v/>
      </c>
      <c r="M57" s="242"/>
      <c r="N57" s="146" t="str">
        <f>IF(ISBLANK(E57),"",VLOOKUP(E57,Feuil3!$A$35:$B$47,2,FALSE))</f>
        <v/>
      </c>
      <c r="O57" s="133" t="str">
        <f>IF(ISBLANK(E57),"",VLOOKUP(E57,Feuil3!$A$35:$C$47,3,FALSE))</f>
        <v/>
      </c>
    </row>
    <row r="58" spans="1:15" x14ac:dyDescent="0.25">
      <c r="A58" s="258"/>
      <c r="B58" s="32"/>
      <c r="C58" s="264" t="str">
        <f t="shared" si="8"/>
        <v/>
      </c>
      <c r="D58" s="106"/>
      <c r="E58" s="170"/>
      <c r="F58" s="83" t="str">
        <f t="shared" si="0"/>
        <v/>
      </c>
      <c r="G58" s="208"/>
      <c r="H58" s="83" t="str">
        <f t="shared" si="14"/>
        <v/>
      </c>
      <c r="I58" s="227" t="str">
        <f t="shared" si="15"/>
        <v/>
      </c>
      <c r="J58" s="113" t="str">
        <f t="shared" si="16"/>
        <v/>
      </c>
      <c r="K58" s="9" t="str">
        <f t="shared" si="17"/>
        <v/>
      </c>
      <c r="L58" s="124" t="str">
        <f t="shared" si="13"/>
        <v/>
      </c>
      <c r="M58" s="242"/>
      <c r="N58" s="146" t="str">
        <f>IF(ISBLANK(E58),"",VLOOKUP(E58,Feuil3!$A$35:$B$47,2,FALSE))</f>
        <v/>
      </c>
      <c r="O58" s="133" t="str">
        <f>IF(ISBLANK(E58),"",VLOOKUP(E58,Feuil3!$A$35:$C$47,3,FALSE))</f>
        <v/>
      </c>
    </row>
    <row r="59" spans="1:15" x14ac:dyDescent="0.25">
      <c r="A59" s="258"/>
      <c r="B59" s="32"/>
      <c r="C59" s="264" t="str">
        <f t="shared" si="8"/>
        <v/>
      </c>
      <c r="D59" s="106"/>
      <c r="E59" s="170"/>
      <c r="F59" s="83" t="str">
        <f t="shared" si="0"/>
        <v/>
      </c>
      <c r="G59" s="208"/>
      <c r="H59" s="83" t="str">
        <f t="shared" si="14"/>
        <v/>
      </c>
      <c r="I59" s="227" t="str">
        <f t="shared" si="15"/>
        <v/>
      </c>
      <c r="J59" s="113" t="str">
        <f t="shared" si="16"/>
        <v/>
      </c>
      <c r="K59" s="9" t="str">
        <f t="shared" si="17"/>
        <v/>
      </c>
      <c r="L59" s="124" t="str">
        <f t="shared" si="13"/>
        <v/>
      </c>
      <c r="M59" s="242"/>
      <c r="N59" s="146" t="str">
        <f>IF(ISBLANK(E59),"",VLOOKUP(E59,Feuil3!$A$35:$B$47,2,FALSE))</f>
        <v/>
      </c>
      <c r="O59" s="133" t="str">
        <f>IF(ISBLANK(E59),"",VLOOKUP(E59,Feuil3!$A$35:$C$47,3,FALSE))</f>
        <v/>
      </c>
    </row>
    <row r="60" spans="1:15" x14ac:dyDescent="0.25">
      <c r="A60" s="258"/>
      <c r="B60" s="32"/>
      <c r="C60" s="264" t="str">
        <f t="shared" si="8"/>
        <v/>
      </c>
      <c r="D60" s="106"/>
      <c r="E60" s="170"/>
      <c r="F60" s="83" t="str">
        <f t="shared" si="0"/>
        <v/>
      </c>
      <c r="G60" s="208"/>
      <c r="H60" s="83" t="str">
        <f t="shared" si="14"/>
        <v/>
      </c>
      <c r="I60" s="227" t="str">
        <f t="shared" si="15"/>
        <v/>
      </c>
      <c r="J60" s="113" t="str">
        <f t="shared" si="16"/>
        <v/>
      </c>
      <c r="K60" s="9" t="str">
        <f t="shared" si="17"/>
        <v/>
      </c>
      <c r="L60" s="124" t="str">
        <f t="shared" si="13"/>
        <v/>
      </c>
      <c r="M60" s="242"/>
      <c r="N60" s="146" t="str">
        <f>IF(ISBLANK(E60),"",VLOOKUP(E60,Feuil3!$A$35:$B$47,2,FALSE))</f>
        <v/>
      </c>
      <c r="O60" s="133" t="str">
        <f>IF(ISBLANK(E60),"",VLOOKUP(E60,Feuil3!$A$35:$C$47,3,FALSE))</f>
        <v/>
      </c>
    </row>
    <row r="61" spans="1:15" x14ac:dyDescent="0.25">
      <c r="A61" s="258"/>
      <c r="B61" s="32"/>
      <c r="C61" s="264" t="str">
        <f t="shared" si="8"/>
        <v/>
      </c>
      <c r="D61" s="106"/>
      <c r="E61" s="170"/>
      <c r="F61" s="83" t="str">
        <f t="shared" si="0"/>
        <v/>
      </c>
      <c r="G61" s="208"/>
      <c r="H61" s="83" t="str">
        <f t="shared" si="14"/>
        <v/>
      </c>
      <c r="I61" s="227" t="str">
        <f t="shared" si="15"/>
        <v/>
      </c>
      <c r="J61" s="113" t="str">
        <f t="shared" si="16"/>
        <v/>
      </c>
      <c r="K61" s="9" t="str">
        <f t="shared" si="17"/>
        <v/>
      </c>
      <c r="L61" s="124" t="str">
        <f t="shared" si="13"/>
        <v/>
      </c>
      <c r="M61" s="242"/>
      <c r="N61" s="146" t="str">
        <f>IF(ISBLANK(E61),"",VLOOKUP(E61,Feuil3!$A$35:$B$47,2,FALSE))</f>
        <v/>
      </c>
      <c r="O61" s="133" t="str">
        <f>IF(ISBLANK(E61),"",VLOOKUP(E61,Feuil3!$A$35:$C$47,3,FALSE))</f>
        <v/>
      </c>
    </row>
    <row r="62" spans="1:15" x14ac:dyDescent="0.25">
      <c r="A62" s="258"/>
      <c r="B62" s="32"/>
      <c r="C62" s="264" t="str">
        <f t="shared" si="8"/>
        <v/>
      </c>
      <c r="D62" s="106"/>
      <c r="E62" s="170"/>
      <c r="F62" s="83" t="str">
        <f t="shared" si="0"/>
        <v/>
      </c>
      <c r="G62" s="208"/>
      <c r="H62" s="83" t="str">
        <f t="shared" si="14"/>
        <v/>
      </c>
      <c r="I62" s="227" t="str">
        <f t="shared" si="15"/>
        <v/>
      </c>
      <c r="J62" s="113" t="str">
        <f t="shared" si="16"/>
        <v/>
      </c>
      <c r="K62" s="9" t="str">
        <f t="shared" si="17"/>
        <v/>
      </c>
      <c r="L62" s="124" t="str">
        <f t="shared" si="13"/>
        <v/>
      </c>
      <c r="M62" s="242"/>
      <c r="N62" s="146" t="str">
        <f>IF(ISBLANK(E62),"",VLOOKUP(E62,Feuil3!$A$35:$B$47,2,FALSE))</f>
        <v/>
      </c>
      <c r="O62" s="133" t="str">
        <f>IF(ISBLANK(E62),"",VLOOKUP(E62,Feuil3!$A$35:$C$47,3,FALSE))</f>
        <v/>
      </c>
    </row>
    <row r="63" spans="1:15" x14ac:dyDescent="0.25">
      <c r="A63" s="258"/>
      <c r="B63" s="32"/>
      <c r="C63" s="264" t="str">
        <f t="shared" si="8"/>
        <v/>
      </c>
      <c r="D63" s="106"/>
      <c r="E63" s="170"/>
      <c r="F63" s="83" t="str">
        <f t="shared" si="0"/>
        <v/>
      </c>
      <c r="G63" s="208"/>
      <c r="H63" s="83" t="str">
        <f t="shared" si="14"/>
        <v/>
      </c>
      <c r="I63" s="227" t="str">
        <f t="shared" si="15"/>
        <v/>
      </c>
      <c r="J63" s="113" t="str">
        <f t="shared" si="16"/>
        <v/>
      </c>
      <c r="K63" s="9" t="str">
        <f t="shared" si="17"/>
        <v/>
      </c>
      <c r="L63" s="124" t="str">
        <f t="shared" si="13"/>
        <v/>
      </c>
      <c r="M63" s="242"/>
      <c r="N63" s="146" t="str">
        <f>IF(ISBLANK(E63),"",VLOOKUP(E63,Feuil3!$A$35:$B$47,2,FALSE))</f>
        <v/>
      </c>
      <c r="O63" s="133" t="str">
        <f>IF(ISBLANK(E63),"",VLOOKUP(E63,Feuil3!$A$35:$C$47,3,FALSE))</f>
        <v/>
      </c>
    </row>
    <row r="64" spans="1:15" x14ac:dyDescent="0.25">
      <c r="A64" s="258"/>
      <c r="B64" s="32"/>
      <c r="C64" s="264" t="str">
        <f t="shared" si="8"/>
        <v/>
      </c>
      <c r="D64" s="106"/>
      <c r="E64" s="170"/>
      <c r="F64" s="83" t="str">
        <f t="shared" si="0"/>
        <v/>
      </c>
      <c r="G64" s="208"/>
      <c r="H64" s="83" t="str">
        <f t="shared" si="14"/>
        <v/>
      </c>
      <c r="I64" s="227" t="str">
        <f t="shared" si="15"/>
        <v/>
      </c>
      <c r="J64" s="122" t="str">
        <f t="shared" si="16"/>
        <v/>
      </c>
      <c r="K64" s="9" t="str">
        <f t="shared" si="17"/>
        <v/>
      </c>
      <c r="L64" s="124" t="str">
        <f t="shared" si="13"/>
        <v/>
      </c>
      <c r="M64" s="243"/>
      <c r="N64" s="146" t="str">
        <f>IF(ISBLANK(E64),"",VLOOKUP(E64,Feuil3!$A$35:$B$47,2,FALSE))</f>
        <v/>
      </c>
      <c r="O64" s="133" t="str">
        <f>IF(ISBLANK(E64),"",VLOOKUP(E64,Feuil3!$A$35:$C$47,3,FALSE))</f>
        <v/>
      </c>
    </row>
    <row r="65" spans="1:15" ht="15.75" thickBot="1" x14ac:dyDescent="0.3">
      <c r="A65" s="258"/>
      <c r="B65" s="33"/>
      <c r="C65" s="11" t="str">
        <f t="shared" si="8"/>
        <v/>
      </c>
      <c r="D65" s="107"/>
      <c r="E65" s="172"/>
      <c r="F65" s="79" t="str">
        <f t="shared" si="0"/>
        <v/>
      </c>
      <c r="G65" s="210"/>
      <c r="H65" s="79" t="str">
        <f t="shared" si="14"/>
        <v/>
      </c>
      <c r="I65" s="226" t="str">
        <f t="shared" si="15"/>
        <v/>
      </c>
      <c r="J65" s="123" t="str">
        <f t="shared" si="16"/>
        <v/>
      </c>
      <c r="K65" s="10">
        <f>SUM(K21:K64)+50000</f>
        <v>50000</v>
      </c>
      <c r="L65" s="125" t="str">
        <f t="shared" si="13"/>
        <v/>
      </c>
      <c r="M65" s="244"/>
      <c r="N65" s="147" t="str">
        <f>IF(ISBLANK(E65),"",VLOOKUP(E65,Feuil3!$A$35:$B$47,2,FALSE))</f>
        <v/>
      </c>
      <c r="O65" s="138" t="str">
        <f>IF(ISBLANK(E65),"",VLOOKUP(E65,Feuil3!$A$35:$C$47,3,FALSE))</f>
        <v/>
      </c>
    </row>
    <row r="66" spans="1:15" ht="15.75" thickBot="1" x14ac:dyDescent="0.3">
      <c r="B66" s="56"/>
      <c r="C66" s="57"/>
      <c r="D66" s="58"/>
      <c r="E66" s="58"/>
      <c r="F66" s="57"/>
      <c r="G66" s="278" t="s">
        <v>13</v>
      </c>
      <c r="H66" s="279"/>
      <c r="I66" s="6">
        <f>IFERROR(SUBTOTAL(9,I21:I65),"")</f>
        <v>0</v>
      </c>
      <c r="J66" s="59"/>
      <c r="K66" s="60"/>
      <c r="L66" s="98"/>
      <c r="M66" s="98"/>
      <c r="N66" s="98"/>
      <c r="O66" s="134"/>
    </row>
    <row r="67" spans="1:15" ht="15.75" thickBot="1" x14ac:dyDescent="0.3">
      <c r="B67" s="56"/>
      <c r="C67" s="57"/>
      <c r="D67" s="58"/>
      <c r="E67" s="58"/>
      <c r="F67" s="57"/>
      <c r="G67" s="280" t="s">
        <v>14</v>
      </c>
      <c r="H67" s="281"/>
      <c r="I67" s="7">
        <f>IFERROR(ROUND(I66*0.1925,0),"")</f>
        <v>0</v>
      </c>
      <c r="J67" s="61"/>
      <c r="K67" s="60"/>
      <c r="L67" s="98"/>
      <c r="M67" s="98"/>
      <c r="N67" s="98"/>
      <c r="O67" s="134"/>
    </row>
    <row r="68" spans="1:15" ht="17.25" thickBot="1" x14ac:dyDescent="0.35">
      <c r="B68" s="56"/>
      <c r="C68" s="57"/>
      <c r="D68" s="58"/>
      <c r="E68" s="58"/>
      <c r="F68" s="57"/>
      <c r="G68" s="268" t="s">
        <v>15</v>
      </c>
      <c r="H68" s="269"/>
      <c r="I68" s="8">
        <f>IF(I66="","",ROUND(I67,0)+ROUND(I66,0))</f>
        <v>0</v>
      </c>
      <c r="J68" s="61"/>
      <c r="K68" s="62"/>
      <c r="L68" s="99"/>
      <c r="M68" s="99"/>
      <c r="N68" s="98"/>
      <c r="O68" s="134"/>
    </row>
    <row r="69" spans="1:15" x14ac:dyDescent="0.25">
      <c r="B69" s="56"/>
      <c r="C69" s="57"/>
      <c r="D69" s="58"/>
      <c r="E69" s="58"/>
      <c r="F69" s="57"/>
      <c r="G69" s="215"/>
      <c r="H69" s="57"/>
      <c r="I69" s="63"/>
      <c r="J69" s="61"/>
      <c r="K69" s="62"/>
      <c r="L69" s="99"/>
      <c r="M69" s="99"/>
      <c r="N69" s="98"/>
      <c r="O69" s="134"/>
    </row>
    <row r="70" spans="1:15" ht="16.5" x14ac:dyDescent="0.3">
      <c r="B70" s="64"/>
      <c r="C70" s="65"/>
      <c r="D70" s="58"/>
      <c r="E70" s="58"/>
      <c r="F70" s="57"/>
      <c r="G70" s="215"/>
      <c r="H70" s="57"/>
      <c r="I70" s="63"/>
      <c r="J70" s="61"/>
      <c r="K70" s="62"/>
      <c r="L70" s="99"/>
      <c r="M70" s="197"/>
      <c r="N70" s="98"/>
      <c r="O70" s="134"/>
    </row>
    <row r="71" spans="1:15" x14ac:dyDescent="0.25">
      <c r="B71" s="66" t="str">
        <f>IFERROR(IF(Feuil3!B10&lt;&gt;"ZÉRO","Arrêtée la présente Facture à: ",IF(OR(Feuil3!B10=0,Feuil3!B10="",Feuil3!B10="ZÉRO"),"",)),"")</f>
        <v xml:space="preserve">Arrêtée la présente Facture à: </v>
      </c>
      <c r="C71" s="57"/>
      <c r="D71" s="58"/>
      <c r="E71" s="58"/>
      <c r="F71" s="57"/>
      <c r="G71" s="215"/>
      <c r="H71" s="57"/>
      <c r="I71" s="63"/>
      <c r="J71" s="61"/>
      <c r="K71" s="62"/>
      <c r="L71" s="99"/>
      <c r="M71" s="99"/>
      <c r="N71" s="98"/>
      <c r="O71" s="134"/>
    </row>
    <row r="72" spans="1:15" x14ac:dyDescent="0.25">
      <c r="B72" s="73" t="str">
        <f>IFERROR(IF(Feuil3!B10="Zéro","",Feuil3!B10&amp;IF(OR(I68=1000000,I68=2000000,I68=3000000,I68=4000000,I68=5000000)," DE FRANCS CFA"," FRANCS CFA")),"")</f>
        <v xml:space="preserve"> FRANCS CFA</v>
      </c>
      <c r="C72" s="74"/>
      <c r="D72" s="75"/>
      <c r="E72" s="76"/>
      <c r="F72" s="74"/>
      <c r="G72" s="216"/>
      <c r="H72" s="74"/>
      <c r="I72" s="77"/>
      <c r="J72" s="61"/>
      <c r="K72" s="62"/>
      <c r="L72" s="99"/>
      <c r="M72" s="99"/>
      <c r="N72" s="98"/>
      <c r="O72" s="134"/>
    </row>
    <row r="73" spans="1:15" x14ac:dyDescent="0.25">
      <c r="B73" s="78"/>
      <c r="C73" s="57"/>
      <c r="D73" s="58"/>
      <c r="E73" s="58"/>
      <c r="F73" s="57"/>
      <c r="G73" s="215"/>
      <c r="H73" s="57"/>
      <c r="I73" s="63"/>
      <c r="J73" s="61"/>
      <c r="K73" s="62"/>
      <c r="L73" s="99"/>
      <c r="M73" s="99"/>
      <c r="N73" s="98"/>
      <c r="O73" s="134"/>
    </row>
    <row r="74" spans="1:15" x14ac:dyDescent="0.25">
      <c r="B74" s="15"/>
      <c r="C74" s="16"/>
      <c r="D74" s="17"/>
      <c r="E74" s="17"/>
      <c r="F74" s="16"/>
      <c r="G74" s="212"/>
      <c r="H74" s="16"/>
      <c r="I74" s="29"/>
      <c r="J74" s="30"/>
      <c r="K74" s="19"/>
      <c r="L74" s="97"/>
      <c r="M74" s="97"/>
      <c r="N74" s="128"/>
      <c r="O74" s="131"/>
    </row>
    <row r="75" spans="1:15" x14ac:dyDescent="0.25">
      <c r="B75" s="15"/>
      <c r="C75" s="16"/>
      <c r="D75" s="17"/>
      <c r="E75" s="17"/>
      <c r="F75" s="16"/>
      <c r="G75" s="212"/>
      <c r="H75" s="16"/>
      <c r="I75" s="29"/>
      <c r="J75" s="30"/>
      <c r="K75" s="19"/>
      <c r="L75" s="97"/>
      <c r="M75" s="97"/>
      <c r="N75" s="128"/>
      <c r="O75" s="131"/>
    </row>
    <row r="76" spans="1:15" ht="16.5" x14ac:dyDescent="0.3">
      <c r="B76" s="15"/>
      <c r="C76" s="16"/>
      <c r="D76" s="17"/>
      <c r="E76" s="17"/>
      <c r="F76" s="16"/>
      <c r="G76" s="212"/>
      <c r="H76" s="16"/>
      <c r="I76" s="5" t="str">
        <f>IF(B72="","","LA DIRECTION")</f>
        <v>LA DIRECTION</v>
      </c>
      <c r="J76" s="30"/>
      <c r="K76" s="19"/>
      <c r="L76" s="97"/>
      <c r="M76" s="97"/>
      <c r="N76" s="128"/>
      <c r="O76" s="131"/>
    </row>
    <row r="77" spans="1:15" hidden="1" x14ac:dyDescent="0.25">
      <c r="B77" s="15"/>
      <c r="C77" s="16"/>
      <c r="D77" s="17"/>
      <c r="E77" s="17"/>
      <c r="F77" s="16"/>
      <c r="G77" s="212"/>
      <c r="H77" s="16"/>
      <c r="I77" s="29"/>
      <c r="J77" s="30"/>
      <c r="K77" s="19"/>
      <c r="L77" s="97"/>
      <c r="M77" s="97"/>
      <c r="N77" s="128"/>
      <c r="O77" s="131"/>
    </row>
    <row r="78" spans="1:15" hidden="1" x14ac:dyDescent="0.25">
      <c r="B78" s="15"/>
      <c r="C78" s="16"/>
      <c r="D78" s="17"/>
      <c r="E78" s="17"/>
      <c r="F78" s="16"/>
      <c r="G78" s="212"/>
      <c r="H78" s="16"/>
      <c r="I78" s="29"/>
      <c r="J78" s="30"/>
      <c r="K78" s="19"/>
      <c r="L78" s="97"/>
      <c r="M78" s="97"/>
      <c r="N78" s="128"/>
      <c r="O78" s="131"/>
    </row>
    <row r="79" spans="1:15" hidden="1" x14ac:dyDescent="0.25">
      <c r="B79" s="15"/>
      <c r="C79" s="16"/>
      <c r="D79" s="17"/>
      <c r="E79" s="17"/>
      <c r="F79" s="16"/>
      <c r="G79" s="212"/>
      <c r="H79" s="16"/>
      <c r="I79" s="29"/>
      <c r="J79" s="30"/>
      <c r="K79" s="19"/>
      <c r="L79" s="97"/>
      <c r="M79" s="97"/>
      <c r="N79" s="128"/>
      <c r="O79" s="131"/>
    </row>
    <row r="80" spans="1:15" hidden="1" x14ac:dyDescent="0.25">
      <c r="B80" s="15"/>
      <c r="C80" s="16"/>
      <c r="D80" s="17"/>
      <c r="E80" s="17"/>
      <c r="F80" s="16"/>
      <c r="G80" s="212"/>
      <c r="H80" s="16"/>
      <c r="I80" s="29"/>
      <c r="J80" s="30"/>
      <c r="K80" s="19"/>
      <c r="L80" s="97"/>
      <c r="M80" s="97"/>
      <c r="N80" s="128"/>
      <c r="O80" s="131"/>
    </row>
    <row r="81" spans="2:15" hidden="1" x14ac:dyDescent="0.25">
      <c r="B81" s="15"/>
      <c r="C81" s="16"/>
      <c r="D81" s="17"/>
      <c r="E81" s="17"/>
      <c r="F81" s="16"/>
      <c r="G81" s="212"/>
      <c r="H81" s="16"/>
      <c r="I81" s="29"/>
      <c r="J81" s="30"/>
      <c r="K81" s="19"/>
      <c r="L81" s="97"/>
      <c r="M81" s="97"/>
      <c r="N81" s="128"/>
      <c r="O81" s="131"/>
    </row>
    <row r="82" spans="2:15" hidden="1" x14ac:dyDescent="0.25">
      <c r="B82" s="15"/>
      <c r="C82" s="16"/>
      <c r="D82" s="17"/>
      <c r="E82" s="17"/>
      <c r="F82" s="16"/>
      <c r="G82" s="212"/>
      <c r="H82" s="16"/>
      <c r="I82" s="29"/>
      <c r="J82" s="30"/>
      <c r="K82" s="19"/>
      <c r="L82" s="97"/>
      <c r="M82" s="97"/>
      <c r="N82" s="128"/>
      <c r="O82" s="131"/>
    </row>
    <row r="83" spans="2:15" hidden="1" x14ac:dyDescent="0.25">
      <c r="B83" s="15"/>
      <c r="C83" s="16"/>
      <c r="D83" s="17"/>
      <c r="E83" s="17"/>
      <c r="F83" s="16"/>
      <c r="G83" s="212"/>
      <c r="H83" s="16"/>
      <c r="I83" s="29"/>
      <c r="J83" s="30"/>
      <c r="K83" s="19"/>
      <c r="L83" s="97"/>
      <c r="M83" s="97"/>
      <c r="N83" s="128"/>
      <c r="O83" s="131"/>
    </row>
    <row r="84" spans="2:15" hidden="1" x14ac:dyDescent="0.25">
      <c r="B84" s="15"/>
      <c r="C84" s="16"/>
      <c r="D84" s="17"/>
      <c r="E84" s="17"/>
      <c r="F84" s="16"/>
      <c r="G84" s="212"/>
      <c r="H84" s="16"/>
      <c r="I84" s="29"/>
      <c r="J84" s="30"/>
      <c r="K84" s="19"/>
      <c r="L84" s="97"/>
      <c r="M84" s="97"/>
      <c r="N84" s="128"/>
      <c r="O84" s="131"/>
    </row>
  </sheetData>
  <sheetProtection formatCells="0" selectLockedCells="1"/>
  <sortState ref="B21:O31">
    <sortCondition ref="B21:B31"/>
    <sortCondition ref="D21:D31"/>
  </sortState>
  <mergeCells count="8">
    <mergeCell ref="G68:H68"/>
    <mergeCell ref="D11:D13"/>
    <mergeCell ref="F9:G9"/>
    <mergeCell ref="E12:H12"/>
    <mergeCell ref="E13:H13"/>
    <mergeCell ref="G66:H66"/>
    <mergeCell ref="G67:H67"/>
    <mergeCell ref="E11:H11"/>
  </mergeCells>
  <conditionalFormatting sqref="D31:D34 D1:D20 D41:D1048576">
    <cfRule type="duplicateValues" dxfId="45" priority="90" stopIfTrue="1"/>
  </conditionalFormatting>
  <conditionalFormatting sqref="M1:M1048576">
    <cfRule type="duplicateValues" dxfId="44" priority="83" stopIfTrue="1"/>
  </conditionalFormatting>
  <conditionalFormatting sqref="D1:D20 D31:D34 D41:D1048576">
    <cfRule type="duplicateValues" dxfId="43" priority="78"/>
  </conditionalFormatting>
  <conditionalFormatting sqref="D21:D27">
    <cfRule type="duplicateValues" dxfId="42" priority="61" stopIfTrue="1"/>
  </conditionalFormatting>
  <conditionalFormatting sqref="D27">
    <cfRule type="duplicateValues" dxfId="41" priority="60" stopIfTrue="1"/>
  </conditionalFormatting>
  <conditionalFormatting sqref="D24">
    <cfRule type="duplicateValues" dxfId="40" priority="59" stopIfTrue="1"/>
  </conditionalFormatting>
  <conditionalFormatting sqref="D22">
    <cfRule type="duplicateValues" dxfId="39" priority="58" stopIfTrue="1"/>
  </conditionalFormatting>
  <conditionalFormatting sqref="D21:D27">
    <cfRule type="duplicateValues" dxfId="38" priority="57"/>
  </conditionalFormatting>
  <conditionalFormatting sqref="D25">
    <cfRule type="duplicateValues" dxfId="37" priority="56" stopIfTrue="1"/>
  </conditionalFormatting>
  <conditionalFormatting sqref="D23">
    <cfRule type="duplicateValues" dxfId="36" priority="55" stopIfTrue="1"/>
  </conditionalFormatting>
  <conditionalFormatting sqref="D28:D30">
    <cfRule type="duplicateValues" dxfId="35" priority="54" stopIfTrue="1"/>
  </conditionalFormatting>
  <conditionalFormatting sqref="D28:D30">
    <cfRule type="duplicateValues" dxfId="34" priority="53"/>
  </conditionalFormatting>
  <conditionalFormatting sqref="D28:D30">
    <cfRule type="duplicateValues" dxfId="33" priority="52" stopIfTrue="1"/>
  </conditionalFormatting>
  <conditionalFormatting sqref="D23">
    <cfRule type="duplicateValues" dxfId="32" priority="45" stopIfTrue="1"/>
  </conditionalFormatting>
  <conditionalFormatting sqref="L21:L65">
    <cfRule type="containsText" dxfId="31" priority="41" operator="containsText" text="s">
      <formula>NOT(ISERROR(SEARCH("s",L21)))</formula>
    </cfRule>
    <cfRule type="containsText" dxfId="30" priority="42" operator="containsText" text="R">
      <formula>NOT(ISERROR(SEARCH("R",L21)))</formula>
    </cfRule>
    <cfRule type="containsText" dxfId="29" priority="43" operator="containsText" text="N">
      <formula>NOT(ISERROR(SEARCH("N",L21)))</formula>
    </cfRule>
  </conditionalFormatting>
  <conditionalFormatting sqref="N66:N1048576 N1:N11 N15:N20">
    <cfRule type="duplicateValues" dxfId="28" priority="40" stopIfTrue="1"/>
  </conditionalFormatting>
  <conditionalFormatting sqref="O1:O20 O66:O1048576">
    <cfRule type="duplicateValues" dxfId="27" priority="39" stopIfTrue="1"/>
  </conditionalFormatting>
  <conditionalFormatting sqref="D21:D34 D41:D65">
    <cfRule type="duplicateValues" dxfId="26" priority="33"/>
  </conditionalFormatting>
  <conditionalFormatting sqref="N12:N13">
    <cfRule type="duplicateValues" dxfId="25" priority="29" stopIfTrue="1"/>
  </conditionalFormatting>
  <conditionalFormatting sqref="N10:N13">
    <cfRule type="expression" dxfId="24" priority="22">
      <formula>$N$10&lt;&gt;""</formula>
    </cfRule>
  </conditionalFormatting>
  <conditionalFormatting sqref="N11">
    <cfRule type="expression" dxfId="23" priority="18">
      <formula>IF(AVERAGE($G$21:$G$65)&gt;=50,"VRAI","FAUX")</formula>
    </cfRule>
    <cfRule type="expression" dxfId="22" priority="19">
      <formula>IF(AND(AVERAGE($G$21:$G$65)&gt;40,AVERAGE($G$21:$G$65)&lt;50),"VRAI","FAUX")</formula>
    </cfRule>
    <cfRule type="expression" dxfId="21" priority="20">
      <formula>IF(AVERAGE($G$21:$G$65)&lt;40,"VRAI","FAUX")</formula>
    </cfRule>
  </conditionalFormatting>
  <conditionalFormatting sqref="N13">
    <cfRule type="duplicateValues" dxfId="20" priority="17" stopIfTrue="1"/>
  </conditionalFormatting>
  <conditionalFormatting sqref="N13">
    <cfRule type="expression" dxfId="19" priority="14">
      <formula>IF(AVERAGE($G$21:$G$65)&gt;=50,"VRAI","FAUX")</formula>
    </cfRule>
    <cfRule type="expression" dxfId="18" priority="15">
      <formula>IF(AND(AVERAGE($G$21:$G$65)&gt;40,AVERAGE($G$21:$G$65)&lt;50),"VRAI","FAUX")</formula>
    </cfRule>
    <cfRule type="expression" dxfId="17" priority="16">
      <formula>IF(AVERAGE($G$21:$G$65)&lt;40,"VRAI","FAUX")</formula>
    </cfRule>
  </conditionalFormatting>
  <conditionalFormatting sqref="D34:D40">
    <cfRule type="duplicateValues" dxfId="16" priority="13" stopIfTrue="1"/>
  </conditionalFormatting>
  <conditionalFormatting sqref="D34:D40">
    <cfRule type="duplicateValues" dxfId="15" priority="12"/>
  </conditionalFormatting>
  <conditionalFormatting sqref="D34:D36">
    <cfRule type="duplicateValues" dxfId="14" priority="11" stopIfTrue="1"/>
  </conditionalFormatting>
  <conditionalFormatting sqref="D34:D36">
    <cfRule type="duplicateValues" dxfId="13" priority="10"/>
  </conditionalFormatting>
  <conditionalFormatting sqref="D34:D36">
    <cfRule type="duplicateValues" dxfId="12" priority="9" stopIfTrue="1"/>
  </conditionalFormatting>
  <conditionalFormatting sqref="D34:D40">
    <cfRule type="duplicateValues" dxfId="11" priority="8"/>
  </conditionalFormatting>
  <conditionalFormatting sqref="D21:D65">
    <cfRule type="duplicateValues" dxfId="10" priority="7"/>
  </conditionalFormatting>
  <conditionalFormatting sqref="D34">
    <cfRule type="duplicateValues" dxfId="9" priority="6" stopIfTrue="1"/>
  </conditionalFormatting>
  <conditionalFormatting sqref="D34">
    <cfRule type="duplicateValues" dxfId="8" priority="5"/>
  </conditionalFormatting>
  <conditionalFormatting sqref="D34">
    <cfRule type="duplicateValues" dxfId="7" priority="4" stopIfTrue="1"/>
  </conditionalFormatting>
  <conditionalFormatting sqref="D40">
    <cfRule type="duplicateValues" dxfId="6" priority="3" stopIfTrue="1"/>
  </conditionalFormatting>
  <conditionalFormatting sqref="D40">
    <cfRule type="duplicateValues" dxfId="5" priority="2"/>
  </conditionalFormatting>
  <conditionalFormatting sqref="D40">
    <cfRule type="duplicateValues" dxfId="4" priority="1"/>
  </conditionalFormatting>
  <dataValidations count="3">
    <dataValidation type="list" allowBlank="1" showInputMessage="1" showErrorMessage="1" sqref="E21:E65">
      <formula1>Camions</formula1>
    </dataValidation>
    <dataValidation type="list" allowBlank="1" showInputMessage="1" showErrorMessage="1" sqref="E11:H11">
      <formula1>Z_CLT</formula1>
    </dataValidation>
    <dataValidation type="decimal" allowBlank="1" showErrorMessage="1" errorTitle="iFactures" error="Valeur soit trop grande ou très petite, vérifiez et corrigez-là !" sqref="G21:G65">
      <formula1>1</formula1>
      <formula2>80</formula2>
    </dataValidation>
  </dataValidations>
  <printOptions horizontalCentered="1"/>
  <pageMargins left="0.27559055118110237" right="0.27559055118110237" top="0.85416666666666663" bottom="0.9375" header="0.21875" footer="0.31496062992125984"/>
  <pageSetup paperSize="9" orientation="portrait" r:id="rId1"/>
  <headerFooter>
    <oddHeader>&amp;L&amp;G</oddHeader>
    <oddFooter xml:space="preserve">&amp;L&amp;K0000FF
                                         N° contribuable M011512262969H – RC N° : RC/YAO/2015/B/48 BP 12588 Yaoundé
                                    Tel : (237) 677-70-58-25/Fixe/Fax : 222-31-45-23  Email: gmscameroun@rocketmail.com&amp;C   &amp;G
</oddFooter>
  </headerFooter>
  <ignoredErrors>
    <ignoredError sqref="L2" evalError="1"/>
    <ignoredError sqref="J19" unlockedFormula="1"/>
  </ignoredErrors>
  <drawing r:id="rId2"/>
  <legacyDrawing r:id="rId3"/>
  <legacyDrawingHF r:id="rId4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025" r:id="rId5" name="Button 1">
              <controlPr defaultSize="0" print="0" autoFill="0" autoPict="0" macro="[0]!Print_It">
                <anchor>
                  <from>
                    <xdr:col>1</xdr:col>
                    <xdr:colOff>85725</xdr:colOff>
                    <xdr:row>0</xdr:row>
                    <xdr:rowOff>123825</xdr:rowOff>
                  </from>
                  <to>
                    <xdr:col>3</xdr:col>
                    <xdr:colOff>142875</xdr:colOff>
                    <xdr:row>3</xdr:row>
                    <xdr:rowOff>95250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27" r:id="rId6" name="Button 3">
              <controlPr defaultSize="0" print="0" autoFill="0" autoPict="0" macro="[0]!Bouton2_Cliquer">
                <anchor>
                  <from>
                    <xdr:col>3</xdr:col>
                    <xdr:colOff>209550</xdr:colOff>
                    <xdr:row>0</xdr:row>
                    <xdr:rowOff>123825</xdr:rowOff>
                  </from>
                  <to>
                    <xdr:col>4</xdr:col>
                    <xdr:colOff>352425</xdr:colOff>
                    <xdr:row>3</xdr:row>
                    <xdr:rowOff>85725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2">
    <tabColor rgb="FFFF0000"/>
  </sheetPr>
  <dimension ref="A1:L47"/>
  <sheetViews>
    <sheetView showGridLines="0" showRowColHeaders="0" zoomScale="90" zoomScaleNormal="90" workbookViewId="0">
      <selection activeCell="C18" sqref="C18"/>
    </sheetView>
  </sheetViews>
  <sheetFormatPr baseColWidth="10" defaultColWidth="0" defaultRowHeight="15" zeroHeight="1" x14ac:dyDescent="0.25"/>
  <cols>
    <col min="1" max="1" width="2.28515625" style="20" customWidth="1"/>
    <col min="2" max="2" width="8.28515625" style="20" customWidth="1"/>
    <col min="3" max="3" width="12.7109375" style="20" customWidth="1"/>
    <col min="4" max="4" width="14.28515625" style="20" customWidth="1"/>
    <col min="5" max="5" width="10.28515625" style="20" customWidth="1"/>
    <col min="6" max="6" width="11.28515625" style="20" customWidth="1"/>
    <col min="7" max="7" width="11.5703125" style="20" customWidth="1"/>
    <col min="8" max="8" width="11.42578125" style="20" customWidth="1"/>
    <col min="9" max="9" width="9" style="21" customWidth="1"/>
    <col min="10" max="10" width="24" style="20" customWidth="1"/>
    <col min="11" max="11" width="12.140625" style="20" customWidth="1"/>
    <col min="12" max="12" width="3.140625" style="20" customWidth="1"/>
    <col min="13" max="16384" width="11.42578125" style="20" hidden="1"/>
  </cols>
  <sheetData>
    <row r="1" spans="1:9" x14ac:dyDescent="0.25">
      <c r="A1" s="201"/>
      <c r="B1" s="201"/>
      <c r="E1" s="201" t="str">
        <f>IF(ISBLANK(Trajet1),"",IF(Trajet1="Libongo-Douala",2,3))</f>
        <v/>
      </c>
    </row>
    <row r="2" spans="1:9" x14ac:dyDescent="0.25">
      <c r="E2" s="201"/>
    </row>
    <row r="3" spans="1:9" x14ac:dyDescent="0.25">
      <c r="E3" s="201"/>
    </row>
    <row r="4" spans="1:9" x14ac:dyDescent="0.25">
      <c r="E4" s="201"/>
    </row>
    <row r="5" spans="1:9" x14ac:dyDescent="0.25"/>
    <row r="6" spans="1:9" x14ac:dyDescent="0.25"/>
    <row r="7" spans="1:9" x14ac:dyDescent="0.25">
      <c r="B7" s="15"/>
      <c r="C7" s="16"/>
      <c r="D7" s="17"/>
      <c r="E7" s="17"/>
      <c r="F7" s="17"/>
      <c r="G7" s="18"/>
      <c r="H7" s="16"/>
      <c r="I7" s="19"/>
    </row>
    <row r="8" spans="1:9" ht="16.5" x14ac:dyDescent="0.25">
      <c r="B8" s="15"/>
      <c r="C8" s="16"/>
      <c r="D8" s="17"/>
      <c r="E8" s="17"/>
      <c r="F8" s="38" t="s">
        <v>0</v>
      </c>
      <c r="G8" s="286" t="str">
        <f ca="1">IF(DAY(TODAY())=1,(TEXT(TODAY(),"j\er ")&amp;PROPER(TEXT(TODAY(),"mmm aaaa"))),PROPER(TEXT(TODAY(),"jj mmm aaaa")))</f>
        <v>07 Nov 2019</v>
      </c>
      <c r="H8" s="286"/>
    </row>
    <row r="9" spans="1:9" ht="15" customHeight="1" thickBot="1" x14ac:dyDescent="0.3">
      <c r="B9" s="15"/>
      <c r="C9" s="16"/>
      <c r="D9" s="17"/>
      <c r="E9" s="17"/>
      <c r="F9" s="17"/>
      <c r="G9" s="18"/>
      <c r="H9" s="37"/>
      <c r="I9" s="19"/>
    </row>
    <row r="10" spans="1:9" ht="21.75" customHeight="1" x14ac:dyDescent="0.25">
      <c r="B10" s="15"/>
      <c r="C10" s="16"/>
      <c r="D10" s="285" t="s">
        <v>1</v>
      </c>
      <c r="E10" s="287" t="s">
        <v>52</v>
      </c>
      <c r="F10" s="288"/>
      <c r="G10" s="289"/>
      <c r="H10" s="37"/>
      <c r="I10" s="19"/>
    </row>
    <row r="11" spans="1:9" x14ac:dyDescent="0.25">
      <c r="B11" s="15"/>
      <c r="C11" s="16"/>
      <c r="D11" s="285"/>
      <c r="E11" s="272" t="str">
        <f>IF(Clients1="","",IF(Clients1="SEFAC",Feuil3!B1,IF(Clients1="SEBAC",Feuil3!B4,Feuil3!G1)))</f>
        <v>RC N°: 3266      CT N°: M 116700000360 F</v>
      </c>
      <c r="F11" s="273"/>
      <c r="G11" s="274"/>
      <c r="H11" s="37"/>
      <c r="I11" s="19"/>
    </row>
    <row r="12" spans="1:9" ht="15.75" thickBot="1" x14ac:dyDescent="0.3">
      <c r="B12" s="15"/>
      <c r="C12" s="16"/>
      <c r="D12" s="285"/>
      <c r="E12" s="275" t="str">
        <f>IF(Clients1="","",IF(Clients1="SEFAC",Feuil3!B2,IF(Clients1="SEBAC",Feuil3!B5,Feuil3!G2)))</f>
        <v xml:space="preserve">BP 942      DOUALA-CAMEROUN </v>
      </c>
      <c r="F12" s="276"/>
      <c r="G12" s="277"/>
      <c r="H12" s="37"/>
      <c r="I12" s="19"/>
    </row>
    <row r="13" spans="1:9" x14ac:dyDescent="0.25">
      <c r="B13" s="15"/>
      <c r="C13" s="16"/>
      <c r="D13" s="17"/>
      <c r="E13" s="17"/>
      <c r="F13" s="37"/>
      <c r="G13" s="37"/>
      <c r="H13" s="37"/>
      <c r="I13" s="19"/>
    </row>
    <row r="14" spans="1:9" x14ac:dyDescent="0.25">
      <c r="B14" s="15"/>
      <c r="C14" s="16"/>
      <c r="D14" s="39"/>
      <c r="E14" s="39"/>
      <c r="F14" s="34"/>
      <c r="G14" s="37"/>
      <c r="H14" s="37"/>
      <c r="I14" s="19"/>
    </row>
    <row r="15" spans="1:9" ht="18" x14ac:dyDescent="0.25">
      <c r="B15" s="15"/>
      <c r="C15" s="16"/>
      <c r="D15" s="102" t="s">
        <v>2</v>
      </c>
      <c r="E15" s="41" t="str">
        <f ca="1">IF(Clients1="SEBAC",TEXT(Feuil3!B8,"00")&amp;Feuil3!C8&amp;Feuil3!D8,IF(Clients1="SEFAC",TEXT(Feuil3!B7,"00")&amp;Feuil3!C7&amp;Feuil3!D7,TEXT(Feuil3!B9,"00")&amp;"/FB/"&amp;Feuil3!D9))</f>
        <v>174/SF/NV/19</v>
      </c>
      <c r="F15" s="42"/>
      <c r="G15" s="18"/>
      <c r="H15" s="16"/>
      <c r="I15" s="19"/>
    </row>
    <row r="16" spans="1:9" ht="18" x14ac:dyDescent="0.25">
      <c r="B16" s="15"/>
      <c r="C16" s="16"/>
      <c r="D16" s="40"/>
      <c r="E16" s="43"/>
      <c r="G16" s="18"/>
      <c r="H16" s="16"/>
      <c r="I16" s="19"/>
    </row>
    <row r="17" spans="1:12" x14ac:dyDescent="0.25">
      <c r="B17" s="15"/>
      <c r="C17" s="16"/>
      <c r="D17" s="17"/>
      <c r="E17" s="17"/>
      <c r="F17" s="17"/>
      <c r="G17" s="18"/>
      <c r="H17" s="16"/>
      <c r="I17" s="19"/>
    </row>
    <row r="18" spans="1:12" ht="16.5" x14ac:dyDescent="0.25">
      <c r="B18" s="12" t="s">
        <v>65</v>
      </c>
      <c r="C18" s="44" t="str">
        <f>"TRANSPORT DE GRUMES " &amp; C21</f>
        <v xml:space="preserve">TRANSPORT DE GRUMES </v>
      </c>
      <c r="D18" s="44"/>
      <c r="E18" s="44"/>
      <c r="F18" s="39"/>
      <c r="G18" s="45"/>
      <c r="H18" s="46"/>
      <c r="I18" s="19"/>
    </row>
    <row r="19" spans="1:12" ht="15.75" thickBot="1" x14ac:dyDescent="0.3">
      <c r="A19" s="25"/>
      <c r="B19" s="47"/>
      <c r="C19" s="46"/>
      <c r="D19" s="39"/>
      <c r="E19" s="39"/>
      <c r="F19" s="39"/>
      <c r="G19" s="45"/>
      <c r="H19" s="46"/>
      <c r="I19" s="19"/>
    </row>
    <row r="20" spans="1:12" ht="34.5" customHeight="1" x14ac:dyDescent="0.25">
      <c r="A20" s="25"/>
      <c r="B20" s="67" t="s">
        <v>3</v>
      </c>
      <c r="C20" s="71" t="s">
        <v>4</v>
      </c>
      <c r="D20" s="95" t="str">
        <f>IF(OR(C21="LIBONGO-DOUALA",C21="LIBONGO-MBALMAYO",C21="LIBONGO-ABONG-MBANG"),"N° LETTRE VOITURE","N° BON DE COMMANDE")</f>
        <v>N° BON DE COMMANDE</v>
      </c>
      <c r="E20" s="80" t="s">
        <v>6</v>
      </c>
      <c r="F20" s="14" t="s">
        <v>16</v>
      </c>
      <c r="G20" s="71" t="s">
        <v>8</v>
      </c>
      <c r="H20" s="81" t="s">
        <v>9</v>
      </c>
      <c r="I20" s="132" t="s">
        <v>73</v>
      </c>
      <c r="J20" s="110" t="s">
        <v>67</v>
      </c>
      <c r="K20" s="81" t="s">
        <v>11</v>
      </c>
    </row>
    <row r="21" spans="1:12" x14ac:dyDescent="0.25">
      <c r="A21" s="126"/>
      <c r="B21" s="91"/>
      <c r="C21" s="254"/>
      <c r="D21" s="92"/>
      <c r="E21" s="92"/>
      <c r="F21" s="256"/>
      <c r="G21" s="148"/>
      <c r="H21" s="93" t="str">
        <f t="shared" ref="H21:H24" si="0">IFERROR(IF(C21="","",IF(C21="LIBONGO-DOUALA",2150000,IF(C21="Douala-Libongo",600000,F21*G21))),"")</f>
        <v/>
      </c>
      <c r="I21" s="141" t="str">
        <f>IF(ISBLANK(E21),"",VLOOKUP(E21,Feuil3!$A$35:$C$47,3,FALSE))</f>
        <v/>
      </c>
      <c r="J21" s="129" t="str">
        <f>IF(ISBLANK(E21),"",VLOOKUP(E21,Feuil3!$A$35:$B$47,2,FALSE))</f>
        <v/>
      </c>
      <c r="K21" s="265" t="str">
        <f>IFERROR(IF(AND(Trajet1="",H21=""),"",IF(Trajet1="Libongo-Douala",H21-((321200+474432+100000+25000)),IF(Trajet1="Libongo-Abong-Mbang",H21-((840*677.76)+(40000+15000)),H21-((584000)+(100000+25000))))),"")</f>
        <v/>
      </c>
    </row>
    <row r="22" spans="1:12" x14ac:dyDescent="0.25">
      <c r="A22" s="126"/>
      <c r="B22" s="259"/>
      <c r="C22" s="260"/>
      <c r="D22" s="26"/>
      <c r="E22" s="26"/>
      <c r="F22" s="261"/>
      <c r="G22" s="262"/>
      <c r="H22" s="263" t="str">
        <f t="shared" si="0"/>
        <v/>
      </c>
      <c r="I22" s="141" t="str">
        <f>IF(ISBLANK(E22),"",VLOOKUP(E22,Feuil3!$A$35:$C$47,3,FALSE))</f>
        <v/>
      </c>
      <c r="J22" s="129" t="str">
        <f>IF(ISBLANK(E22),"",VLOOKUP(E22,Feuil3!$A$35:$B$47,2,FALSE))</f>
        <v/>
      </c>
      <c r="K22" s="265" t="str">
        <f>IFERROR(IF(AND(Trajet1="",H22=""),"",IF(Trajet1="Libongo-Douala",H22-((321200+474432+100000+25000)),IF(Trajet1="Libongo-Abong-Mbang",H22-((840*677.76)+(40000+15000)),H22-((584000)+(100000+25000))))),"")</f>
        <v/>
      </c>
    </row>
    <row r="23" spans="1:12" x14ac:dyDescent="0.25">
      <c r="A23" s="126"/>
      <c r="B23" s="259"/>
      <c r="C23" s="260"/>
      <c r="D23" s="26"/>
      <c r="E23" s="26"/>
      <c r="F23" s="261"/>
      <c r="G23" s="262"/>
      <c r="H23" s="263" t="str">
        <f t="shared" si="0"/>
        <v/>
      </c>
      <c r="I23" s="141" t="str">
        <f>IF(ISBLANK(E23),"",VLOOKUP(E23,Feuil3!$A$35:$C$47,3,FALSE))</f>
        <v/>
      </c>
      <c r="J23" s="129" t="str">
        <f>IF(ISBLANK(E23),"",VLOOKUP(E23,Feuil3!$A$35:$B$47,2,FALSE))</f>
        <v/>
      </c>
      <c r="K23" s="265" t="str">
        <f>IFERROR(IF(AND(Trajet1="",H23=""),"",IF(Trajet1="Libongo-Douala",H23-((321200+474432+100000+25000)),IF(Trajet1="Libongo-Abong-Mbang",H23-((840*677.76)+(40000+15000)),H23-((584000)+(100000+25000))))),"")</f>
        <v/>
      </c>
    </row>
    <row r="24" spans="1:12" ht="15.75" thickBot="1" x14ac:dyDescent="0.3">
      <c r="A24" s="126"/>
      <c r="B24" s="27"/>
      <c r="C24" s="255"/>
      <c r="D24" s="28"/>
      <c r="E24" s="28"/>
      <c r="F24" s="257"/>
      <c r="G24" s="103"/>
      <c r="H24" s="94" t="str">
        <f t="shared" si="0"/>
        <v/>
      </c>
      <c r="I24" s="142" t="str">
        <f>IF(ISBLANK(E24),"",VLOOKUP(E24,Feuil3!$A$35:$C$47,3,FALSE))</f>
        <v/>
      </c>
      <c r="J24" s="139" t="str">
        <f>IF(ISBLANK(E24),"",VLOOKUP(E24,Feuil3!$A$35:$B$47,2,FALSE))</f>
        <v/>
      </c>
      <c r="K24" s="266" t="str">
        <f>IFERROR(IF(AND(Trajet1="",H24=""),"",IF(Trajet1="Libongo-Douala",H24-((321200+474432+100000+25000)),IF(Trajet1="Libongo-Abong-Mbang",H24-((840*677.76)+(40000+15000)),H24-((584000)+(100000+25000))))),"")</f>
        <v/>
      </c>
    </row>
    <row r="25" spans="1:12" ht="15.75" thickBot="1" x14ac:dyDescent="0.3">
      <c r="B25" s="15"/>
      <c r="C25" s="16"/>
      <c r="D25" s="17"/>
      <c r="E25" s="17"/>
      <c r="F25" s="89" t="s">
        <v>13</v>
      </c>
      <c r="G25" s="90"/>
      <c r="H25" s="6" t="str">
        <f>IF(SUBTOTAL(9,H21:H24)=0,"",SUBTOTAL(9,H21:H24))</f>
        <v/>
      </c>
      <c r="K25" s="267">
        <f>SUM(K21:K24)</f>
        <v>0</v>
      </c>
    </row>
    <row r="26" spans="1:12" ht="15.75" thickBot="1" x14ac:dyDescent="0.3">
      <c r="B26" s="15"/>
      <c r="C26" s="16"/>
      <c r="D26" s="17"/>
      <c r="E26" s="17"/>
      <c r="F26" s="35" t="s">
        <v>14</v>
      </c>
      <c r="G26" s="36"/>
      <c r="H26" s="7" t="str">
        <f>IFERROR(H25*0.1925,"")</f>
        <v/>
      </c>
      <c r="L26" s="100"/>
    </row>
    <row r="27" spans="1:12" ht="17.25" thickBot="1" x14ac:dyDescent="0.35">
      <c r="B27" s="15"/>
      <c r="C27" s="16"/>
      <c r="D27" s="17"/>
      <c r="E27" s="17"/>
      <c r="F27" s="48" t="s">
        <v>15</v>
      </c>
      <c r="G27" s="49"/>
      <c r="H27" s="8" t="str">
        <f>IF(ExTVal="","",ROUND(ExTVal,0)+ROUND(H26,0))</f>
        <v/>
      </c>
    </row>
    <row r="28" spans="1:12" x14ac:dyDescent="0.25">
      <c r="B28" s="47"/>
      <c r="C28" s="46"/>
      <c r="D28" s="39"/>
      <c r="E28" s="39"/>
      <c r="F28" s="39"/>
      <c r="G28" s="45"/>
      <c r="H28" s="46"/>
      <c r="I28" s="19"/>
    </row>
    <row r="29" spans="1:12" x14ac:dyDescent="0.25">
      <c r="B29" s="42"/>
      <c r="C29" s="42"/>
      <c r="D29" s="42"/>
      <c r="E29" s="42"/>
      <c r="F29" s="42"/>
      <c r="G29" s="42"/>
      <c r="H29" s="42"/>
    </row>
    <row r="30" spans="1:12" x14ac:dyDescent="0.25">
      <c r="B30" s="42"/>
      <c r="C30" s="252"/>
      <c r="D30" s="42"/>
      <c r="E30" s="42"/>
      <c r="F30" s="42"/>
      <c r="G30" s="42"/>
      <c r="H30" s="42"/>
    </row>
    <row r="31" spans="1:12" x14ac:dyDescent="0.25">
      <c r="B31" s="42"/>
      <c r="C31" s="42"/>
      <c r="D31" s="42" t="s">
        <v>55</v>
      </c>
      <c r="E31" s="42"/>
      <c r="F31" s="42"/>
      <c r="G31" s="42"/>
      <c r="H31" s="42"/>
    </row>
    <row r="32" spans="1:12" x14ac:dyDescent="0.25">
      <c r="B32" s="50" t="str">
        <f>IFERROR(IF(Feuil3!B11&lt;&gt;"","Arrêtée la présente Facture à: ",""),"")</f>
        <v/>
      </c>
      <c r="C32" s="42"/>
      <c r="D32" s="42"/>
      <c r="E32" s="42"/>
      <c r="F32" s="42"/>
      <c r="G32" s="42"/>
      <c r="H32" s="42"/>
    </row>
    <row r="33" spans="2:8" x14ac:dyDescent="0.25">
      <c r="B33" s="51" t="str">
        <f>IFERROR(IF(Feuil3!B11="","",Feuil3!B11&amp;IF(OR(H27=1000000,H27=2000000,H27=3000000,H27=4000000,H27=5000000)," DE FRANCS CFA"," FRANCS CFA")),"")</f>
        <v/>
      </c>
      <c r="C33" s="42"/>
      <c r="D33" s="42"/>
      <c r="E33" s="42"/>
      <c r="F33" s="42"/>
      <c r="G33" s="42"/>
      <c r="H33" s="42"/>
    </row>
    <row r="34" spans="2:8" x14ac:dyDescent="0.25">
      <c r="B34" s="42"/>
      <c r="C34" s="42"/>
      <c r="D34" s="42"/>
      <c r="E34" s="42"/>
      <c r="F34" s="42"/>
      <c r="G34" s="42"/>
      <c r="H34" s="42"/>
    </row>
    <row r="35" spans="2:8" x14ac:dyDescent="0.25">
      <c r="B35" s="42"/>
      <c r="C35" s="42"/>
      <c r="D35" s="42"/>
      <c r="E35" s="42"/>
      <c r="F35" s="42"/>
      <c r="G35" s="42"/>
      <c r="H35" s="42"/>
    </row>
    <row r="36" spans="2:8" x14ac:dyDescent="0.25">
      <c r="B36" s="42"/>
      <c r="C36" s="42"/>
      <c r="D36" s="42"/>
      <c r="E36" s="42"/>
      <c r="F36" s="42"/>
      <c r="G36" s="42"/>
      <c r="H36" s="42"/>
    </row>
    <row r="37" spans="2:8" x14ac:dyDescent="0.25">
      <c r="B37" s="42"/>
      <c r="C37" s="42"/>
      <c r="D37" s="42"/>
      <c r="E37" s="42"/>
      <c r="F37" s="42"/>
      <c r="G37" s="42"/>
      <c r="H37" s="42"/>
    </row>
    <row r="38" spans="2:8" x14ac:dyDescent="0.25">
      <c r="B38" s="42"/>
      <c r="C38" s="42"/>
      <c r="D38" s="42"/>
      <c r="E38" s="42"/>
      <c r="F38" s="42"/>
      <c r="G38" s="42"/>
      <c r="H38" s="42"/>
    </row>
    <row r="39" spans="2:8" x14ac:dyDescent="0.25">
      <c r="B39" s="42"/>
      <c r="C39" s="42"/>
      <c r="D39" s="42"/>
      <c r="E39" s="42"/>
      <c r="F39" s="42"/>
      <c r="G39" s="42"/>
      <c r="H39" s="42"/>
    </row>
    <row r="40" spans="2:8" x14ac:dyDescent="0.25">
      <c r="B40" s="42"/>
      <c r="C40" s="42"/>
      <c r="D40" s="42"/>
      <c r="E40" s="42"/>
      <c r="F40" s="42"/>
      <c r="G40" s="42"/>
      <c r="H40" s="42"/>
    </row>
    <row r="41" spans="2:8" x14ac:dyDescent="0.25">
      <c r="B41" s="42"/>
      <c r="C41" s="42"/>
      <c r="D41" s="42"/>
      <c r="E41" s="42"/>
      <c r="F41" s="42"/>
      <c r="G41" s="42"/>
      <c r="H41" s="42"/>
    </row>
    <row r="42" spans="2:8" x14ac:dyDescent="0.25">
      <c r="B42" s="42"/>
      <c r="C42" s="42"/>
      <c r="D42" s="42"/>
      <c r="E42" s="42"/>
      <c r="F42" s="42"/>
      <c r="G42" s="52" t="str">
        <f>IF(B33="","","LA DIRECTION")</f>
        <v/>
      </c>
      <c r="H42" s="42"/>
    </row>
    <row r="43" spans="2:8" hidden="1" x14ac:dyDescent="0.25">
      <c r="B43" s="42"/>
      <c r="C43" s="42"/>
      <c r="D43" s="42"/>
      <c r="E43" s="42"/>
      <c r="F43" s="42"/>
      <c r="G43" s="42"/>
      <c r="H43" s="42"/>
    </row>
    <row r="44" spans="2:8" hidden="1" x14ac:dyDescent="0.25"/>
    <row r="45" spans="2:8" hidden="1" x14ac:dyDescent="0.25"/>
    <row r="46" spans="2:8" hidden="1" x14ac:dyDescent="0.25"/>
    <row r="47" spans="2:8" hidden="1" x14ac:dyDescent="0.25"/>
  </sheetData>
  <sheetProtection formatCells="0" selectLockedCells="1"/>
  <mergeCells count="5">
    <mergeCell ref="D10:D12"/>
    <mergeCell ref="G8:H8"/>
    <mergeCell ref="E11:G11"/>
    <mergeCell ref="E12:G12"/>
    <mergeCell ref="E10:G10"/>
  </mergeCells>
  <conditionalFormatting sqref="D21:D24">
    <cfRule type="duplicateValues" dxfId="3" priority="91"/>
  </conditionalFormatting>
  <conditionalFormatting sqref="I20:I24">
    <cfRule type="duplicateValues" dxfId="2" priority="92" stopIfTrue="1"/>
  </conditionalFormatting>
  <conditionalFormatting sqref="J20:J24">
    <cfRule type="duplicateValues" dxfId="1" priority="93" stopIfTrue="1"/>
  </conditionalFormatting>
  <dataValidations count="4">
    <dataValidation type="list" allowBlank="1" showInputMessage="1" showErrorMessage="1" sqref="E21:E24">
      <formula1>Camions</formula1>
    </dataValidation>
    <dataValidation type="list" allowBlank="1" showInputMessage="1" showErrorMessage="1" sqref="C21:C24">
      <formula1>"LIBONGO-DOUALA,LIBONGO-MBALMAYO,DOUALA-LIBONGO,LIBONGO-ABONG-MBANG"</formula1>
    </dataValidation>
    <dataValidation type="date" allowBlank="1" showErrorMessage="1" errorTitle="iFacture : erreur 401" error="Date incorrecte: _x000a__x000a_Cette date est soit mal saisie ou erronée, Elle doit être comprise entre aujourd'hui et 20 jours plus tôt !" sqref="B21:B24">
      <formula1>DateInf</formula1>
      <formula2>DateSup</formula2>
    </dataValidation>
    <dataValidation type="list" allowBlank="1" showInputMessage="1" showErrorMessage="1" sqref="E10:G10">
      <formula1>Z_CLT</formula1>
    </dataValidation>
  </dataValidations>
  <printOptions horizontalCentered="1"/>
  <pageMargins left="0.35433070866141736" right="0.39370078740157483" top="1.4173228346456694" bottom="0.85416666666666663" header="0.15748031496062992" footer="9.375E-2"/>
  <pageSetup paperSize="9" orientation="portrait" r:id="rId1"/>
  <headerFooter>
    <oddHeader>&amp;L&amp;G</oddHeader>
    <oddFooter xml:space="preserve">&amp;L&amp;"Times New Roman,Normal"&amp;K0000FF
                         N° contribuable M011512262969H – RC N° : RC/YAO/2015/B/48 BP 12588 Yaoundé
                       Tel : (237) 677-70-58-25/Fixe/Fax : 222-31-45-23  Email: gmscameroun@rocketmail.com
&amp;C&amp;G
</oddFooter>
  </headerFooter>
  <ignoredErrors>
    <ignoredError sqref="K25" unlockedFormula="1"/>
  </ignoredErrors>
  <drawing r:id="rId2"/>
  <legacyDrawing r:id="rId3"/>
  <legacyDrawingHF r:id="rId4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3073" r:id="rId5" name="Button 1">
              <controlPr defaultSize="0" print="0" autoFill="0" autoPict="0" macro="[0]!Print_It">
                <anchor>
                  <from>
                    <xdr:col>0</xdr:col>
                    <xdr:colOff>66675</xdr:colOff>
                    <xdr:row>0</xdr:row>
                    <xdr:rowOff>171450</xdr:rowOff>
                  </from>
                  <to>
                    <xdr:col>2</xdr:col>
                    <xdr:colOff>742950</xdr:colOff>
                    <xdr:row>3</xdr:row>
                    <xdr:rowOff>66675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074" r:id="rId6" name="Button 2">
              <controlPr defaultSize="0" print="0" autoFill="0" autoPict="0" macro="[0]!Bouton2_Cliquer">
                <anchor moveWithCells="1" sizeWithCells="1">
                  <from>
                    <xdr:col>2</xdr:col>
                    <xdr:colOff>781050</xdr:colOff>
                    <xdr:row>0</xdr:row>
                    <xdr:rowOff>171450</xdr:rowOff>
                  </from>
                  <to>
                    <xdr:col>4</xdr:col>
                    <xdr:colOff>19050</xdr:colOff>
                    <xdr:row>3</xdr:row>
                    <xdr:rowOff>76200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3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3"/>
  <dimension ref="A1:M47"/>
  <sheetViews>
    <sheetView showGridLines="0" showRowColHeaders="0" zoomScale="90" zoomScaleNormal="90" workbookViewId="0">
      <selection activeCell="H11" sqref="H11"/>
    </sheetView>
  </sheetViews>
  <sheetFormatPr baseColWidth="10" defaultColWidth="0" defaultRowHeight="15" zeroHeight="1" x14ac:dyDescent="0.25"/>
  <cols>
    <col min="1" max="1" width="13.7109375" bestFit="1" customWidth="1"/>
    <col min="2" max="2" width="38.7109375" bestFit="1" customWidth="1"/>
    <col min="3" max="3" width="11.5703125" bestFit="1" customWidth="1"/>
    <col min="4" max="4" width="95.7109375" bestFit="1" customWidth="1"/>
    <col min="5" max="11" width="11.42578125" customWidth="1"/>
    <col min="12" max="12" width="3.140625" customWidth="1"/>
    <col min="13" max="13" width="59.42578125" style="108" hidden="1" customWidth="1"/>
  </cols>
  <sheetData>
    <row r="1" spans="1:13" x14ac:dyDescent="0.25">
      <c r="A1" s="118">
        <v>1</v>
      </c>
      <c r="B1" s="118" t="s">
        <v>20</v>
      </c>
      <c r="C1" s="118"/>
      <c r="D1" s="118"/>
      <c r="E1" s="118"/>
      <c r="F1" s="119">
        <v>42217</v>
      </c>
      <c r="G1" s="120" t="s">
        <v>29</v>
      </c>
      <c r="H1" s="118"/>
      <c r="I1" s="118"/>
      <c r="J1" s="118"/>
      <c r="K1" s="118"/>
      <c r="L1" s="118" t="s">
        <v>31</v>
      </c>
      <c r="M1" s="109" t="s">
        <v>58</v>
      </c>
    </row>
    <row r="2" spans="1:13" x14ac:dyDescent="0.25">
      <c r="A2" s="118"/>
      <c r="B2" s="118" t="s">
        <v>18</v>
      </c>
      <c r="C2" s="118"/>
      <c r="D2" s="118"/>
      <c r="E2" s="118"/>
      <c r="F2" s="118"/>
      <c r="G2" s="118" t="s">
        <v>28</v>
      </c>
      <c r="H2" s="118"/>
      <c r="I2" s="118"/>
      <c r="J2" s="121" t="s">
        <v>53</v>
      </c>
      <c r="K2" s="118"/>
      <c r="L2" s="118" t="s">
        <v>32</v>
      </c>
    </row>
    <row r="3" spans="1:13" x14ac:dyDescent="0.25">
      <c r="A3" s="118"/>
      <c r="B3" s="118"/>
      <c r="C3" s="118"/>
      <c r="D3" s="118"/>
      <c r="E3" s="118"/>
      <c r="F3" s="118"/>
      <c r="G3" s="118"/>
      <c r="H3" s="118"/>
      <c r="I3" s="118"/>
      <c r="J3" s="121" t="s">
        <v>53</v>
      </c>
      <c r="K3" s="118"/>
      <c r="L3" s="118" t="s">
        <v>33</v>
      </c>
    </row>
    <row r="4" spans="1:13" x14ac:dyDescent="0.25">
      <c r="A4" s="118"/>
      <c r="B4" s="118" t="s">
        <v>19</v>
      </c>
      <c r="C4" s="118"/>
      <c r="D4" s="118"/>
      <c r="E4" s="118"/>
      <c r="F4" s="118"/>
      <c r="G4" s="118" t="str">
        <f>IF(Langue="","Enregistrer",IF(Langue=1,"Enregistrer","SAVE"))</f>
        <v>Enregistrer</v>
      </c>
      <c r="H4" s="118"/>
      <c r="I4" s="118"/>
      <c r="J4" s="120" t="s">
        <v>50</v>
      </c>
      <c r="K4" s="118"/>
      <c r="L4" s="118" t="s">
        <v>34</v>
      </c>
    </row>
    <row r="5" spans="1:13" x14ac:dyDescent="0.25">
      <c r="A5" s="118"/>
      <c r="B5" s="118" t="s">
        <v>17</v>
      </c>
      <c r="C5" s="118"/>
      <c r="D5" s="118"/>
      <c r="E5" s="118"/>
      <c r="F5" s="118"/>
      <c r="G5" s="118" t="str">
        <f>IF(Langue="","MENU",IF(Langue=1,"MENU","HOME"))</f>
        <v>MENU</v>
      </c>
      <c r="H5" s="118"/>
      <c r="I5" s="118"/>
      <c r="J5" s="120" t="s">
        <v>51</v>
      </c>
      <c r="K5" s="118"/>
      <c r="L5" s="118" t="s">
        <v>35</v>
      </c>
    </row>
    <row r="6" spans="1:13" x14ac:dyDescent="0.25">
      <c r="L6" t="s">
        <v>36</v>
      </c>
    </row>
    <row r="7" spans="1:13" x14ac:dyDescent="0.25">
      <c r="A7">
        <v>0</v>
      </c>
      <c r="B7" s="3">
        <v>174</v>
      </c>
      <c r="C7" t="s">
        <v>54</v>
      </c>
      <c r="D7" t="str">
        <f ca="1">IF(MONTH(TODAY())=1,"JV/"&amp;TEXT(TODAY(),"aa"),IF(MONTH(TODAY())=2,"FV/"&amp;TEXT(TODAY(),"aa"),IF(MONTH(TODAY())=3,"MS/"&amp;TEXT(TODAY(),"aa"),IF(MONTH(TODAY())=4,"AV/"&amp;TEXT(TODAY(),"aa"),IF(MONTH(TODAY())=5,"MA/"&amp;TEXT(TODAY(),"aa"),IF(MONTH(TODAY())=6,"JN/"&amp;TEXT(TODAY(),"aa"),IF(MONTH(TODAY())=7,"JL/"&amp;TEXT(TODAY(),"aa"),IF(MONTH(TODAY())=8,"AT/"&amp;TEXT(TODAY(),"aa"),IF(MONTH(TODAY())=9,"SP/"&amp;TEXT(TODAY(),"aa"),IF(MONTH(TODAY())=10,"OT/"&amp;TEXT(TODAY(),"aa"),IF(MONTH(TODAY())=11,"NV/"&amp;TEXT(TODAY(),"aa"),IF(MONTH(TODAY())=12,"DC/"&amp;TEXT(TODAY(),"aa")))))))))))))</f>
        <v>NV/19</v>
      </c>
      <c r="E7" t="str">
        <f>IF(C7="/SF/","SF","SB")</f>
        <v>SF</v>
      </c>
      <c r="F7" s="290" t="str">
        <f>IF(E7=E8,E8,E7)</f>
        <v>SF</v>
      </c>
      <c r="L7" t="s">
        <v>37</v>
      </c>
    </row>
    <row r="8" spans="1:13" x14ac:dyDescent="0.25">
      <c r="A8">
        <v>0</v>
      </c>
      <c r="B8" s="3">
        <v>31</v>
      </c>
      <c r="C8" t="str">
        <f>IF(Clients1="SEBAC","/SB/",IF(Clients1="SEFAC",Feuil3!C7,"/FB/"))</f>
        <v>/SF/</v>
      </c>
      <c r="D8" t="str">
        <f ca="1">IF(MONTH(TODAY())=1,"JV/"&amp;TEXT(TODAY(),"aa"),IF(MONTH(TODAY())=2,"FV/"&amp;TEXT(TODAY(),"aa"),IF(MONTH(TODAY())=3,"MS/"&amp;TEXT(TODAY(),"aa"),IF(MONTH(TODAY())=4,"AV/"&amp;TEXT(TODAY(),"aa"),IF(MONTH(TODAY())=5,"MA/"&amp;TEXT(TODAY(),"aa"),IF(MONTH(TODAY())=6,"JN/"&amp;TEXT(TODAY(),"aa"),IF(MONTH(TODAY())=7,"JL/"&amp;TEXT(TODAY(),"aa"),IF(MONTH(TODAY())=8,"AT/"&amp;TEXT(TODAY(),"aa"),IF(MONTH(TODAY())=9,"SP/"&amp;TEXT(TODAY(),"aa"),IF(MONTH(TODAY())=10,"OT/"&amp;TEXT(TODAY(),"aa"),IF(MONTH(TODAY())=11,"NV/"&amp;TEXT(TODAY(),"aa"),IF(MONTH(TODAY())=12,"DC/"&amp;TEXT(TODAY(),"aa")))))))))))))</f>
        <v>NV/19</v>
      </c>
      <c r="E8" t="str">
        <f>IF(C8="/SF/","SF","SB")</f>
        <v>SF</v>
      </c>
      <c r="F8" s="290"/>
      <c r="L8" t="s">
        <v>38</v>
      </c>
    </row>
    <row r="9" spans="1:13" x14ac:dyDescent="0.25">
      <c r="A9">
        <v>0</v>
      </c>
      <c r="B9">
        <v>1</v>
      </c>
      <c r="C9" t="str">
        <f>IF(Clients1="LA FILIERE BOIS","/FB/","")</f>
        <v/>
      </c>
      <c r="D9" t="str">
        <f ca="1">IF(MONTH(TODAY())=1,"JV/"&amp;TEXT(TODAY(),"aa"),IF(MONTH(TODAY())=2,"FV/"&amp;TEXT(TODAY(),"aa"),IF(MONTH(TODAY())=3,"MS/"&amp;TEXT(TODAY(),"aa"),IF(MONTH(TODAY())=4,"AV/"&amp;TEXT(TODAY(),"aa"),IF(MONTH(TODAY())=5,"MA/"&amp;TEXT(TODAY(),"aa"),IF(MONTH(TODAY())=6,"JN/"&amp;TEXT(TODAY(),"aa"),IF(MONTH(TODAY())=7,"JL/"&amp;TEXT(TODAY(),"aa"),IF(MONTH(TODAY())=8,"AT/"&amp;TEXT(TODAY(),"aa"),IF(MONTH(TODAY())=9,"SP/"&amp;TEXT(TODAY(),"aa"),IF(MONTH(TODAY())=10,"OT/"&amp;TEXT(TODAY(),"aa"),IF(MONTH(TODAY())=11,"NV/"&amp;TEXT(TODAY(),"aa"),IF(MONTH(TODAY())=12,"DC/"&amp;TEXT(TODAY(),"aa")))))))))))))</f>
        <v>NV/19</v>
      </c>
      <c r="L9" t="s">
        <v>39</v>
      </c>
    </row>
    <row r="10" spans="1:13" x14ac:dyDescent="0.25">
      <c r="B10" s="1" t="str">
        <f>IF([1]!ConvNumberLetter('FAC SEFAC'!I68,0,0,2)=UPPER("Zéro"),"",[1]!ConvNumberLetter('FAC SEFAC'!I68,0,0,2))</f>
        <v/>
      </c>
      <c r="L10" t="s">
        <v>40</v>
      </c>
    </row>
    <row r="11" spans="1:13" x14ac:dyDescent="0.25">
      <c r="A11" s="86"/>
      <c r="B11" s="229" t="str">
        <f>IFERROR(IF([1]!ConvNumberLetter('FAC SEBAC'!H27,0,0,2)=UPPER("Zéro"),"",IF(ISERR([1]!ConvNumberLetter('FAC SEBAC'!H27,0,0,2)),"",[1]!ConvNumberLetter('FAC SEBAC'!H27,0,0,2))),"")</f>
        <v/>
      </c>
      <c r="L11" t="s">
        <v>41</v>
      </c>
    </row>
    <row r="12" spans="1:13" x14ac:dyDescent="0.25">
      <c r="A12" s="86"/>
      <c r="B12" s="86"/>
      <c r="L12" t="s">
        <v>42</v>
      </c>
    </row>
    <row r="13" spans="1:13" ht="15.75" x14ac:dyDescent="0.25">
      <c r="A13" s="2" t="s">
        <v>27</v>
      </c>
      <c r="B13" s="86"/>
    </row>
    <row r="14" spans="1:13" ht="15.75" x14ac:dyDescent="0.25">
      <c r="A14" s="2" t="s">
        <v>21</v>
      </c>
      <c r="B14" s="86"/>
    </row>
    <row r="15" spans="1:13" ht="15.75" x14ac:dyDescent="0.25">
      <c r="A15" s="2" t="s">
        <v>22</v>
      </c>
      <c r="B15" s="86"/>
    </row>
    <row r="16" spans="1:13" ht="15.75" x14ac:dyDescent="0.25">
      <c r="A16" s="2" t="s">
        <v>23</v>
      </c>
      <c r="B16" s="86"/>
      <c r="D16" s="85" t="s">
        <v>44</v>
      </c>
    </row>
    <row r="17" spans="1:10" ht="15.75" x14ac:dyDescent="0.25">
      <c r="A17" s="2" t="s">
        <v>45</v>
      </c>
      <c r="B17" s="86"/>
      <c r="D17" s="85" t="s">
        <v>43</v>
      </c>
    </row>
    <row r="18" spans="1:10" ht="15.75" x14ac:dyDescent="0.25">
      <c r="A18" s="2" t="s">
        <v>46</v>
      </c>
      <c r="B18" s="86"/>
    </row>
    <row r="19" spans="1:10" ht="15.75" x14ac:dyDescent="0.25">
      <c r="A19" s="2" t="s">
        <v>47</v>
      </c>
      <c r="B19" s="86"/>
    </row>
    <row r="20" spans="1:10" ht="15.75" x14ac:dyDescent="0.25">
      <c r="A20" s="2" t="s">
        <v>24</v>
      </c>
      <c r="B20" s="86"/>
    </row>
    <row r="21" spans="1:10" ht="15.75" x14ac:dyDescent="0.25">
      <c r="A21" s="2" t="s">
        <v>12</v>
      </c>
      <c r="B21" s="86"/>
      <c r="J21" s="199"/>
    </row>
    <row r="22" spans="1:10" ht="15.75" x14ac:dyDescent="0.25">
      <c r="A22" s="2" t="s">
        <v>62</v>
      </c>
      <c r="B22" s="86"/>
      <c r="E22" s="140"/>
      <c r="J22" s="200">
        <f ca="1">TODAY()-20</f>
        <v>43756</v>
      </c>
    </row>
    <row r="23" spans="1:10" ht="15.75" x14ac:dyDescent="0.25">
      <c r="A23" s="2" t="s">
        <v>63</v>
      </c>
      <c r="J23" s="200">
        <f ca="1">TODAY()</f>
        <v>43776</v>
      </c>
    </row>
    <row r="24" spans="1:10" ht="15.75" x14ac:dyDescent="0.25">
      <c r="A24" s="2" t="s">
        <v>64</v>
      </c>
    </row>
    <row r="25" spans="1:10" ht="15.75" x14ac:dyDescent="0.25">
      <c r="A25" s="2" t="s">
        <v>48</v>
      </c>
      <c r="J25" s="137"/>
    </row>
    <row r="26" spans="1:10" x14ac:dyDescent="0.25">
      <c r="J26" s="137"/>
    </row>
    <row r="27" spans="1:10" x14ac:dyDescent="0.25"/>
    <row r="28" spans="1:10" x14ac:dyDescent="0.25">
      <c r="A28" s="4" t="s">
        <v>49</v>
      </c>
    </row>
    <row r="29" spans="1:10" x14ac:dyDescent="0.25"/>
    <row r="30" spans="1:10" x14ac:dyDescent="0.25">
      <c r="A30" t="s">
        <v>52</v>
      </c>
    </row>
    <row r="31" spans="1:10" x14ac:dyDescent="0.25">
      <c r="A31" t="s">
        <v>60</v>
      </c>
    </row>
    <row r="32" spans="1:10" x14ac:dyDescent="0.25">
      <c r="A32" t="s">
        <v>61</v>
      </c>
      <c r="D32" t="s">
        <v>142</v>
      </c>
    </row>
    <row r="33" spans="1:13" x14ac:dyDescent="0.25">
      <c r="D33" s="218" t="s">
        <v>116</v>
      </c>
      <c r="E33" s="219">
        <v>6.9444444444444444E-5</v>
      </c>
    </row>
    <row r="34" spans="1:13" s="135" customFormat="1" x14ac:dyDescent="0.25">
      <c r="A34" s="206" t="s">
        <v>66</v>
      </c>
      <c r="B34" s="206" t="s">
        <v>67</v>
      </c>
      <c r="C34" s="206" t="s">
        <v>72</v>
      </c>
      <c r="D34" s="224">
        <v>1</v>
      </c>
      <c r="M34" s="136"/>
    </row>
    <row r="35" spans="1:13" ht="15.75" x14ac:dyDescent="0.25">
      <c r="A35" s="2" t="s">
        <v>27</v>
      </c>
      <c r="B35" t="s">
        <v>433</v>
      </c>
      <c r="C35" s="137">
        <v>43232</v>
      </c>
      <c r="D35" s="240" t="str">
        <f>IF(Userss="","",IF(VLOOKUP(Userss,Identification!A2:G4,7,FALSE)="","",VLOOKUP(Userss,Identification!A2:G4,7,FALSE)))</f>
        <v>X</v>
      </c>
    </row>
    <row r="36" spans="1:13" ht="15.75" x14ac:dyDescent="0.25">
      <c r="A36" s="2" t="s">
        <v>21</v>
      </c>
      <c r="B36" t="s">
        <v>347</v>
      </c>
      <c r="C36" s="137">
        <v>43451</v>
      </c>
    </row>
    <row r="37" spans="1:13" ht="15.75" x14ac:dyDescent="0.25">
      <c r="A37" s="2" t="s">
        <v>22</v>
      </c>
      <c r="B37" t="s">
        <v>432</v>
      </c>
      <c r="C37" s="137">
        <v>43242</v>
      </c>
    </row>
    <row r="38" spans="1:13" ht="15.75" x14ac:dyDescent="0.25">
      <c r="A38" s="2" t="s">
        <v>23</v>
      </c>
      <c r="B38" t="s">
        <v>134</v>
      </c>
      <c r="C38" s="137">
        <v>43441</v>
      </c>
    </row>
    <row r="39" spans="1:13" ht="15.75" x14ac:dyDescent="0.25">
      <c r="A39" s="2" t="s">
        <v>45</v>
      </c>
      <c r="B39" t="s">
        <v>68</v>
      </c>
      <c r="C39" s="137">
        <v>43191</v>
      </c>
    </row>
    <row r="40" spans="1:13" ht="15.75" x14ac:dyDescent="0.25">
      <c r="A40" s="2" t="s">
        <v>46</v>
      </c>
      <c r="B40" t="s">
        <v>135</v>
      </c>
      <c r="C40" s="137">
        <v>43231</v>
      </c>
    </row>
    <row r="41" spans="1:13" ht="15.75" x14ac:dyDescent="0.25">
      <c r="A41" s="2" t="s">
        <v>47</v>
      </c>
      <c r="B41" t="s">
        <v>348</v>
      </c>
      <c r="C41" s="137">
        <v>43239</v>
      </c>
    </row>
    <row r="42" spans="1:13" ht="15.75" x14ac:dyDescent="0.25">
      <c r="A42" s="2" t="s">
        <v>24</v>
      </c>
      <c r="B42" t="s">
        <v>434</v>
      </c>
      <c r="C42" s="137">
        <v>43446</v>
      </c>
    </row>
    <row r="43" spans="1:13" ht="15.75" x14ac:dyDescent="0.25">
      <c r="A43" s="2" t="s">
        <v>12</v>
      </c>
      <c r="B43" t="s">
        <v>435</v>
      </c>
      <c r="C43" s="137">
        <v>43446</v>
      </c>
    </row>
    <row r="44" spans="1:13" ht="15.75" x14ac:dyDescent="0.25">
      <c r="A44" s="2" t="s">
        <v>62</v>
      </c>
      <c r="B44" t="s">
        <v>133</v>
      </c>
      <c r="C44" s="137">
        <v>43248</v>
      </c>
    </row>
    <row r="45" spans="1:13" ht="15.75" x14ac:dyDescent="0.25">
      <c r="A45" s="2" t="s">
        <v>63</v>
      </c>
      <c r="B45" t="s">
        <v>436</v>
      </c>
      <c r="C45" s="137">
        <v>43191</v>
      </c>
    </row>
    <row r="46" spans="1:13" ht="15.75" x14ac:dyDescent="0.25">
      <c r="A46" s="2" t="s">
        <v>64</v>
      </c>
      <c r="B46" t="s">
        <v>70</v>
      </c>
      <c r="C46" s="137">
        <v>43191</v>
      </c>
    </row>
    <row r="47" spans="1:13" ht="15.75" hidden="1" x14ac:dyDescent="0.25">
      <c r="A47" s="2" t="s">
        <v>48</v>
      </c>
      <c r="B47" t="s">
        <v>437</v>
      </c>
      <c r="C47" s="137">
        <v>43191</v>
      </c>
    </row>
  </sheetData>
  <sheetProtection formatCells="0" selectLockedCells="1"/>
  <mergeCells count="1">
    <mergeCell ref="F7:F8"/>
  </mergeCells>
  <pageMargins left="0.7" right="0.7" top="0.75" bottom="0.75" header="0.3" footer="0.3"/>
  <pageSetup paperSize="9" orientation="portrait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4097" r:id="rId4" name="Button 1">
              <controlPr defaultSize="0" print="0" autoFill="0" autoPict="0" macro="[0]!Bouton2_Cliquer">
                <anchor moveWithCells="1" sizeWithCells="1">
                  <from>
                    <xdr:col>0</xdr:col>
                    <xdr:colOff>76200</xdr:colOff>
                    <xdr:row>0</xdr:row>
                    <xdr:rowOff>66675</xdr:rowOff>
                  </from>
                  <to>
                    <xdr:col>0</xdr:col>
                    <xdr:colOff>781050</xdr:colOff>
                    <xdr:row>2</xdr:row>
                    <xdr:rowOff>161925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4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4"/>
  <dimension ref="A1:XFC52"/>
  <sheetViews>
    <sheetView showGridLines="0" showRowColHeaders="0" showZeros="0" tabSelected="1" zoomScale="80" zoomScaleNormal="80" workbookViewId="0">
      <selection activeCell="A20" sqref="A20"/>
    </sheetView>
  </sheetViews>
  <sheetFormatPr baseColWidth="10" defaultColWidth="0" defaultRowHeight="15" zeroHeight="1" x14ac:dyDescent="0.25"/>
  <cols>
    <col min="1" max="8" width="11.42578125" style="53" customWidth="1"/>
    <col min="9" max="9" width="11.42578125" style="53" hidden="1" customWidth="1"/>
    <col min="10" max="10" width="13.85546875" style="111" hidden="1" customWidth="1"/>
    <col min="11" max="11" width="10.42578125" style="111" hidden="1" customWidth="1"/>
    <col min="12" max="12" width="7" style="111" customWidth="1"/>
    <col min="13" max="13" width="8.140625" style="111" customWidth="1"/>
    <col min="14" max="14" width="12" style="111" bestFit="1" customWidth="1"/>
    <col min="15" max="15" width="6.28515625" style="173" bestFit="1" customWidth="1"/>
    <col min="16" max="16" width="13" style="111" bestFit="1" customWidth="1"/>
    <col min="17" max="17" width="6.5703125" style="111" customWidth="1"/>
    <col min="18" max="18" width="7.140625" style="53" customWidth="1"/>
    <col min="19" max="19" width="11.42578125" style="53" customWidth="1"/>
    <col min="20" max="20" width="5.140625" style="53" customWidth="1"/>
    <col min="21" max="21" width="4.7109375" style="53" customWidth="1"/>
    <col min="22" max="22" width="16.28515625" style="112" customWidth="1"/>
    <col min="23" max="23" width="14" style="53" customWidth="1"/>
    <col min="24" max="24" width="8.7109375" style="53" hidden="1" customWidth="1"/>
    <col min="25" max="25" width="11.42578125" style="53" customWidth="1"/>
    <col min="26" max="16381" width="11.42578125" style="53" hidden="1"/>
    <col min="16382" max="16382" width="1.42578125" style="53" hidden="1" customWidth="1"/>
    <col min="16383" max="16383" width="4.140625" style="53" hidden="1" customWidth="1"/>
    <col min="16384" max="16384" width="12.28515625" style="53" hidden="1" customWidth="1"/>
  </cols>
  <sheetData>
    <row r="1" spans="1:25" x14ac:dyDescent="0.25">
      <c r="A1" s="88">
        <v>0.49281250000000004</v>
      </c>
      <c r="H1" s="111"/>
      <c r="I1" s="149"/>
      <c r="J1" s="149"/>
      <c r="K1" s="149"/>
      <c r="L1" s="149"/>
      <c r="M1" s="149"/>
      <c r="N1" s="149"/>
      <c r="O1" s="149"/>
      <c r="P1" s="149"/>
      <c r="Q1" s="149"/>
      <c r="R1" s="149"/>
      <c r="S1" s="149" t="str">
        <f ca="1">PROPER(TEXT(TODAY(),"mmmm"))</f>
        <v>Novembre</v>
      </c>
      <c r="T1" s="149"/>
      <c r="U1" s="149"/>
      <c r="V1" s="149" t="str">
        <f>IF(OR(Langue="",Langue=1),"Changer la Langue","Change Language")</f>
        <v>Changer la Langue</v>
      </c>
      <c r="W1" s="149" t="s">
        <v>80</v>
      </c>
      <c r="X1" s="149"/>
      <c r="Y1" s="149"/>
    </row>
    <row r="2" spans="1:25" ht="15.75" x14ac:dyDescent="0.25">
      <c r="A2" s="222" t="s">
        <v>143</v>
      </c>
      <c r="B2" s="221"/>
      <c r="C2" s="221"/>
      <c r="D2" s="221"/>
      <c r="E2" s="221" t="s">
        <v>30</v>
      </c>
      <c r="F2" s="221"/>
      <c r="G2" s="221"/>
      <c r="H2" s="111"/>
      <c r="I2" s="149"/>
      <c r="J2" s="149"/>
      <c r="K2" s="149"/>
      <c r="L2" s="149"/>
      <c r="M2" s="149"/>
      <c r="N2" s="149"/>
      <c r="O2" s="149"/>
      <c r="P2" s="149"/>
      <c r="Q2" s="149"/>
      <c r="R2" s="149"/>
      <c r="S2" s="149" t="str">
        <f ca="1">IF(OR(Langue="",Langue=1),PROPER(TEXT(TODAY(),"mmmm")),IF($S$1="Janvier", W1,IF($S$1="Février",W2,IF($S$1="Mars",W3,IF($S$1="Avril",W4,IF($S$1="Mai",W5,IF($S$1="Juin",W6,IF($S$1="Juillet",W7,IF($S$1="Août",W8,IF($S$1="Septembre",W9,IF($S$1="Octobre",W10,IF($S$1="Novembre",W11,IF($S$1="Décembre",W12)))))))))))))</f>
        <v>Novembre</v>
      </c>
      <c r="T2" s="149"/>
      <c r="U2" s="149"/>
      <c r="V2" s="149" t="str">
        <f>IF(OR(Langue="",Langue=1),"Facturer Navettes","New Commutes Bill")</f>
        <v>Facturer Navettes</v>
      </c>
      <c r="W2" s="149" t="s">
        <v>81</v>
      </c>
      <c r="X2" s="149"/>
      <c r="Y2" s="149"/>
    </row>
    <row r="3" spans="1:25" x14ac:dyDescent="0.25">
      <c r="A3" s="221"/>
      <c r="B3" s="221"/>
      <c r="C3" s="221"/>
      <c r="D3" s="221"/>
      <c r="E3" s="221"/>
      <c r="F3" s="221"/>
      <c r="G3" s="221"/>
      <c r="H3" s="111"/>
      <c r="I3" s="149"/>
      <c r="J3" s="149"/>
      <c r="K3" s="149" t="str">
        <f ca="1">'FAC SEFAC'!E15</f>
        <v>174/SF/NV/19</v>
      </c>
      <c r="L3" s="149"/>
      <c r="M3" s="149"/>
      <c r="N3" s="247" t="str">
        <f ca="1">IF(OR(Langue="",Langue=1),PROPER(TEXT(NOW(),"jjjj")),(IF(N4="Lundi","Monday",IF(N4="Mardi","Tuesday",IF(N4="Mercredi","Wednesday",IF(N4="Jeudi","Thursday",IF(N4="Vendredi","Friday",IF(N4="Samedi","Saturday",IF(N4="Dimanche","Sunday")))))))))</f>
        <v>Jeudi</v>
      </c>
      <c r="O3" s="149"/>
      <c r="P3" s="149"/>
      <c r="Q3" s="149"/>
      <c r="R3" s="149"/>
      <c r="S3" s="149"/>
      <c r="T3" s="149"/>
      <c r="U3" s="149"/>
      <c r="V3" s="149" t="str">
        <f>IF(OR(Langue="",Langue=1),"Facturer Exports","New Export Bill")</f>
        <v>Facturer Exports</v>
      </c>
      <c r="W3" s="149" t="s">
        <v>74</v>
      </c>
      <c r="X3" s="149"/>
      <c r="Y3" s="149"/>
    </row>
    <row r="4" spans="1:25" x14ac:dyDescent="0.25">
      <c r="A4" s="221"/>
      <c r="B4" s="221"/>
      <c r="C4" s="221"/>
      <c r="D4" s="221"/>
      <c r="E4" s="221"/>
      <c r="F4" s="221"/>
      <c r="G4" s="221"/>
      <c r="H4" s="111"/>
      <c r="I4" s="149"/>
      <c r="J4" s="149"/>
      <c r="K4" s="149" t="str">
        <f ca="1">'FAC SEBAC'!E15</f>
        <v>174/SF/NV/19</v>
      </c>
      <c r="L4" s="149"/>
      <c r="M4" s="149"/>
      <c r="N4" s="247" t="str">
        <f ca="1">PROPER(TEXT(NOW(),"jjjj"))</f>
        <v>Jeudi</v>
      </c>
      <c r="O4" s="248">
        <f ca="1">IF(AND(DAY(NOW())=1,Langue=1),DAY(NOW())&amp;"er",IF(AND(DAY(NOW())=1,DAY(NOW())=21,DAY(NOW())=31,Langue=2),DAY(NOW())&amp;"st",IF(AND(DAY(NOW())=2,DAY(NOW())=22,Langue=2),DAY(NOW())&amp;"nd",IF(AND(DAY(NOW())=3,DAY(NOW())=23,Langue=2),DAY(NOW())&amp;"rd",IF(AND(DAY(NOW())&gt;3,Langue=2),DAY(NOW())&amp;"th",DAY(NOW()))))))</f>
        <v>7</v>
      </c>
      <c r="P4" s="249" t="str">
        <f ca="1">PROPER(TEXT(NOW(),"mmmm"))</f>
        <v>Novembre</v>
      </c>
      <c r="Q4" s="149"/>
      <c r="R4" s="149"/>
      <c r="S4" s="149"/>
      <c r="T4" s="149"/>
      <c r="U4" s="149"/>
      <c r="V4" s="149" t="str">
        <f>IF(OR(Langue="",Langue=1),"Modifier/Imprimer Facture","Edit/Print Bill")</f>
        <v>Modifier/Imprimer Facture</v>
      </c>
      <c r="W4" s="149" t="s">
        <v>75</v>
      </c>
      <c r="X4" s="149"/>
      <c r="Y4" s="149"/>
    </row>
    <row r="5" spans="1:25" ht="12.75" customHeight="1" x14ac:dyDescent="0.25">
      <c r="A5" s="221"/>
      <c r="B5" s="221"/>
      <c r="C5" s="221"/>
      <c r="D5" s="221"/>
      <c r="E5" s="221"/>
      <c r="F5" s="221"/>
      <c r="G5" s="221"/>
      <c r="H5" s="111"/>
      <c r="I5" s="149"/>
      <c r="J5" s="149"/>
      <c r="K5" s="149"/>
      <c r="L5" s="149"/>
      <c r="M5" s="149"/>
      <c r="N5" s="149" t="str">
        <f ca="1">TEXT(NOW(),"aaaa")</f>
        <v>2019</v>
      </c>
      <c r="O5" s="149"/>
      <c r="P5" s="149"/>
      <c r="Q5" s="149"/>
      <c r="R5" s="149"/>
      <c r="S5" s="149"/>
      <c r="T5" s="149"/>
      <c r="U5" s="149"/>
      <c r="V5" s="149" t="str">
        <f>IF(OR(Langue="",Langue=1),"Modifier N° Mois Courant","Edit Active Month")</f>
        <v>Modifier N° Mois Courant</v>
      </c>
      <c r="W5" s="149" t="s">
        <v>76</v>
      </c>
      <c r="X5" s="149"/>
      <c r="Y5" s="149"/>
    </row>
    <row r="6" spans="1:25" x14ac:dyDescent="0.25">
      <c r="A6" s="221"/>
      <c r="B6" s="221"/>
      <c r="C6" s="223"/>
      <c r="D6" s="223"/>
      <c r="E6" s="223"/>
      <c r="F6" s="223"/>
      <c r="G6" s="223"/>
      <c r="H6" s="246"/>
      <c r="I6" s="250"/>
      <c r="J6" s="250"/>
      <c r="K6" s="250"/>
      <c r="L6" s="250"/>
      <c r="M6" s="250"/>
      <c r="N6" s="250"/>
      <c r="O6" s="250"/>
      <c r="P6" s="250"/>
      <c r="Q6" s="250"/>
      <c r="R6" s="149"/>
      <c r="S6" s="149"/>
      <c r="T6" s="149"/>
      <c r="U6" s="149"/>
      <c r="V6" s="149" t="str">
        <f>IF(OR(Langue="",Langue=1),"Initialiser Numérotation","Reset Index")</f>
        <v>Initialiser Numérotation</v>
      </c>
      <c r="W6" s="149" t="s">
        <v>77</v>
      </c>
      <c r="X6" s="149"/>
      <c r="Y6" s="149"/>
    </row>
    <row r="7" spans="1:25" x14ac:dyDescent="0.25">
      <c r="A7" s="221"/>
      <c r="B7" s="221"/>
      <c r="C7" s="223"/>
      <c r="D7" s="223"/>
      <c r="E7" s="223"/>
      <c r="F7" s="223"/>
      <c r="G7" s="223"/>
      <c r="H7" s="246"/>
      <c r="I7" s="250"/>
      <c r="J7" s="250"/>
      <c r="K7" s="250"/>
      <c r="L7" s="250"/>
      <c r="M7" s="250"/>
      <c r="N7" s="250"/>
      <c r="O7" s="250"/>
      <c r="P7" s="250"/>
      <c r="Q7" s="250"/>
      <c r="R7" s="149" t="s">
        <v>30</v>
      </c>
      <c r="S7" s="149"/>
      <c r="T7" s="149"/>
      <c r="U7" s="149"/>
      <c r="V7" s="149" t="str">
        <f>IF(OR(Langue="",Langue=1),"Nbre Navettes","Commutes Index")</f>
        <v>Nbre Navettes</v>
      </c>
      <c r="W7" s="149" t="s">
        <v>78</v>
      </c>
      <c r="X7" s="149"/>
      <c r="Y7" s="149"/>
    </row>
    <row r="8" spans="1:25" x14ac:dyDescent="0.25">
      <c r="A8" s="221"/>
      <c r="B8" s="221"/>
      <c r="C8" s="223"/>
      <c r="D8" s="223"/>
      <c r="E8" s="223"/>
      <c r="F8" s="223"/>
      <c r="G8" s="223"/>
      <c r="H8" s="246"/>
      <c r="I8" s="250"/>
      <c r="J8" s="250"/>
      <c r="K8" s="250"/>
      <c r="L8" s="250"/>
      <c r="M8" s="250"/>
      <c r="N8" s="250"/>
      <c r="O8" s="250"/>
      <c r="P8" s="250"/>
      <c r="Q8" s="250"/>
      <c r="R8" s="149"/>
      <c r="S8" s="149"/>
      <c r="T8" s="149"/>
      <c r="U8" s="149"/>
      <c r="V8" s="149" t="str">
        <f>IF(OR(Langue="",Langue=1),"Nbre Exports","Exports Index")</f>
        <v>Nbre Exports</v>
      </c>
      <c r="W8" s="149" t="s">
        <v>79</v>
      </c>
      <c r="X8" s="149"/>
      <c r="Y8" s="149" t="str">
        <f>IF(Langue=1,"FERMER","CLOSE")</f>
        <v>FERMER</v>
      </c>
    </row>
    <row r="9" spans="1:25" x14ac:dyDescent="0.25">
      <c r="A9" s="221"/>
      <c r="B9" s="221"/>
      <c r="C9" s="223"/>
      <c r="D9" s="223"/>
      <c r="E9" s="223"/>
      <c r="F9" s="223"/>
      <c r="G9" s="223"/>
      <c r="H9" s="246"/>
      <c r="I9" s="250"/>
      <c r="J9" s="250"/>
      <c r="K9" s="250"/>
      <c r="L9" s="250"/>
      <c r="M9" s="250"/>
      <c r="N9" s="250"/>
      <c r="O9" s="250"/>
      <c r="P9" s="250"/>
      <c r="Q9" s="250"/>
      <c r="R9" s="149"/>
      <c r="S9" s="149"/>
      <c r="T9" s="149"/>
      <c r="U9" s="149" t="s">
        <v>30</v>
      </c>
      <c r="V9" s="149" t="str">
        <f>IF(OR(Langue="",Langue=1),"Navettes","Commutes")</f>
        <v>Navettes</v>
      </c>
      <c r="W9" s="149" t="s">
        <v>82</v>
      </c>
      <c r="X9" s="149"/>
      <c r="Y9" s="149"/>
    </row>
    <row r="10" spans="1:25" x14ac:dyDescent="0.25">
      <c r="A10" s="221"/>
      <c r="B10" s="221"/>
      <c r="C10" s="223"/>
      <c r="D10" s="223"/>
      <c r="E10" s="223"/>
      <c r="F10" s="223"/>
      <c r="G10" s="223"/>
      <c r="H10" s="246"/>
      <c r="I10" s="250"/>
      <c r="J10" s="250"/>
      <c r="K10" s="250"/>
      <c r="L10" s="250"/>
      <c r="M10" s="250"/>
      <c r="N10" s="250"/>
      <c r="O10" s="250"/>
      <c r="P10" s="250"/>
      <c r="Q10" s="250"/>
      <c r="R10" s="149"/>
      <c r="S10" s="149"/>
      <c r="T10" s="149"/>
      <c r="U10" s="149"/>
      <c r="V10" s="149" t="str">
        <f>IF(OR(Langue="",Langue=1),"Base de Données","Data base")</f>
        <v>Base de Données</v>
      </c>
      <c r="W10" s="149" t="s">
        <v>83</v>
      </c>
      <c r="X10" s="149"/>
      <c r="Y10" s="149"/>
    </row>
    <row r="11" spans="1:25" x14ac:dyDescent="0.25">
      <c r="A11" s="221"/>
      <c r="B11" s="221"/>
      <c r="C11" s="223"/>
      <c r="D11" s="223"/>
      <c r="E11" s="223"/>
      <c r="F11" s="223"/>
      <c r="G11" s="223"/>
      <c r="H11" s="246"/>
      <c r="I11" s="250"/>
      <c r="J11" s="250"/>
      <c r="K11" s="250"/>
      <c r="L11" s="250"/>
      <c r="M11" s="250"/>
      <c r="N11" s="250"/>
      <c r="O11" s="250"/>
      <c r="P11" s="250"/>
      <c r="Q11" s="250"/>
      <c r="R11" s="149"/>
      <c r="S11" s="149"/>
      <c r="T11" s="149"/>
      <c r="U11" s="149"/>
      <c r="V11" s="149" t="str">
        <f>IF(OR(Langue="",Langue=1),"Version","Version")</f>
        <v>Version</v>
      </c>
      <c r="W11" s="149" t="s">
        <v>84</v>
      </c>
      <c r="X11" s="149"/>
      <c r="Y11" s="149"/>
    </row>
    <row r="12" spans="1:25" x14ac:dyDescent="0.25">
      <c r="A12" s="221"/>
      <c r="B12" s="221"/>
      <c r="C12" s="223"/>
      <c r="D12" s="223"/>
      <c r="E12" s="223"/>
      <c r="F12" s="223"/>
      <c r="G12" s="223"/>
      <c r="H12" s="246"/>
      <c r="I12" s="250"/>
      <c r="J12" s="250"/>
      <c r="K12" s="250"/>
      <c r="L12" s="250"/>
      <c r="M12" s="250"/>
      <c r="N12" s="250"/>
      <c r="O12" s="250"/>
      <c r="P12" s="250"/>
      <c r="Q12" s="250"/>
      <c r="R12" s="149"/>
      <c r="S12" s="149"/>
      <c r="T12" s="149"/>
      <c r="U12" s="149"/>
      <c r="V12" s="149"/>
      <c r="W12" s="149" t="s">
        <v>85</v>
      </c>
      <c r="X12" s="149"/>
      <c r="Y12" s="149"/>
    </row>
    <row r="13" spans="1:25" x14ac:dyDescent="0.25">
      <c r="A13" s="221"/>
      <c r="B13" s="221"/>
      <c r="C13" s="223"/>
      <c r="D13" s="223"/>
      <c r="E13" s="223"/>
      <c r="F13" s="223"/>
      <c r="G13" s="223"/>
      <c r="H13" s="246"/>
      <c r="I13" s="250"/>
      <c r="J13" s="250"/>
      <c r="K13" s="250"/>
      <c r="L13" s="250"/>
      <c r="M13" s="250"/>
      <c r="N13" s="250"/>
      <c r="O13" s="250"/>
      <c r="P13" s="250"/>
      <c r="Q13" s="250"/>
      <c r="R13" s="149"/>
      <c r="S13" s="149"/>
      <c r="T13" s="149"/>
      <c r="U13" s="149" t="str">
        <f>IF(Langue=1,"AFFICHER LA LISTE DES FACTURES","SHOW ALL BILLS")</f>
        <v>AFFICHER LA LISTE DES FACTURES</v>
      </c>
      <c r="V13" s="150"/>
      <c r="W13" s="149"/>
      <c r="X13" s="149"/>
      <c r="Y13" s="149"/>
    </row>
    <row r="14" spans="1:25" x14ac:dyDescent="0.25">
      <c r="A14" s="221"/>
      <c r="B14" s="221"/>
      <c r="C14" s="223"/>
      <c r="D14" s="223"/>
      <c r="E14" s="223"/>
      <c r="F14" s="223"/>
      <c r="G14" s="223"/>
      <c r="H14" s="246"/>
      <c r="I14" s="250"/>
      <c r="J14" s="250"/>
      <c r="K14" s="250"/>
      <c r="L14" s="250"/>
      <c r="M14" s="250"/>
      <c r="N14" s="250"/>
      <c r="O14" s="250"/>
      <c r="P14" s="250"/>
      <c r="Q14" s="250"/>
      <c r="R14" s="149"/>
      <c r="S14" s="149"/>
      <c r="T14" s="149"/>
      <c r="U14" s="149"/>
      <c r="V14" s="149"/>
      <c r="W14" s="149"/>
      <c r="X14" s="149"/>
      <c r="Y14" s="149"/>
    </row>
    <row r="15" spans="1:25" x14ac:dyDescent="0.25">
      <c r="A15" s="221"/>
      <c r="B15" s="221"/>
      <c r="C15" s="223"/>
      <c r="D15" s="223"/>
      <c r="E15" s="223"/>
      <c r="F15" s="223"/>
      <c r="G15" s="223"/>
      <c r="H15" s="246"/>
      <c r="I15" s="250"/>
      <c r="J15" s="250"/>
      <c r="K15" s="250"/>
      <c r="L15" s="250"/>
      <c r="M15" s="250"/>
      <c r="N15" s="250"/>
      <c r="O15" s="250"/>
      <c r="P15" s="250"/>
      <c r="Q15" s="250"/>
      <c r="R15" s="149"/>
      <c r="S15" s="149"/>
      <c r="T15" s="149"/>
      <c r="U15" s="149"/>
      <c r="V15" s="149"/>
      <c r="W15" s="149"/>
      <c r="X15" s="149"/>
      <c r="Y15" s="149"/>
    </row>
    <row r="16" spans="1:25" x14ac:dyDescent="0.25">
      <c r="A16" s="221"/>
      <c r="B16" s="221"/>
      <c r="C16" s="223"/>
      <c r="D16" s="223"/>
      <c r="E16" s="223"/>
      <c r="F16" s="223"/>
      <c r="G16" s="223"/>
      <c r="H16" s="246"/>
      <c r="I16" s="250"/>
      <c r="J16" s="250"/>
      <c r="K16" s="250"/>
      <c r="L16" s="250"/>
      <c r="M16" s="250"/>
      <c r="N16" s="250"/>
      <c r="O16" s="250"/>
      <c r="P16" s="250"/>
      <c r="Q16" s="250"/>
      <c r="R16" s="149"/>
      <c r="S16" s="149"/>
      <c r="T16" s="149"/>
      <c r="U16" s="149"/>
      <c r="V16" s="149"/>
      <c r="W16" s="149"/>
      <c r="X16" s="149"/>
      <c r="Y16" s="149"/>
    </row>
    <row r="17" spans="1:25" x14ac:dyDescent="0.25">
      <c r="A17" s="221"/>
      <c r="B17" s="221"/>
      <c r="C17" s="223"/>
      <c r="D17" s="223"/>
      <c r="E17" s="223"/>
      <c r="F17" s="223"/>
      <c r="G17" s="223"/>
      <c r="H17" s="246"/>
      <c r="I17" s="250"/>
      <c r="J17" s="250"/>
      <c r="K17" s="250"/>
      <c r="L17" s="250"/>
      <c r="M17" s="250"/>
      <c r="N17" s="250"/>
      <c r="O17" s="250"/>
      <c r="P17" s="250"/>
      <c r="Q17" s="250"/>
      <c r="R17" s="149"/>
      <c r="S17" s="149"/>
      <c r="T17" s="149"/>
      <c r="U17" s="149"/>
      <c r="V17" s="149"/>
      <c r="W17" s="149"/>
      <c r="X17" s="149"/>
      <c r="Y17" s="149"/>
    </row>
    <row r="18" spans="1:25" x14ac:dyDescent="0.25">
      <c r="A18" s="221"/>
      <c r="B18" s="221"/>
      <c r="C18" s="223" t="s">
        <v>146</v>
      </c>
      <c r="D18" s="223"/>
      <c r="E18" s="223"/>
      <c r="F18" s="223"/>
      <c r="G18" s="223"/>
      <c r="H18" s="246"/>
      <c r="I18" s="250"/>
      <c r="J18" s="250"/>
      <c r="K18" s="250"/>
      <c r="L18" s="250"/>
      <c r="M18" s="250"/>
      <c r="N18" s="250"/>
      <c r="O18" s="250"/>
      <c r="P18" s="250"/>
      <c r="Q18" s="250"/>
      <c r="R18" s="149"/>
      <c r="S18" s="149"/>
      <c r="T18" s="149"/>
      <c r="U18" s="149"/>
      <c r="V18" s="149"/>
      <c r="W18" s="149"/>
      <c r="X18" s="149"/>
      <c r="Y18" s="149"/>
    </row>
    <row r="19" spans="1:25" x14ac:dyDescent="0.25">
      <c r="A19" s="221"/>
      <c r="B19" s="221"/>
      <c r="C19" s="223"/>
      <c r="D19" s="223"/>
      <c r="E19" s="223"/>
      <c r="F19" s="223"/>
      <c r="G19" s="223"/>
      <c r="H19" s="246"/>
      <c r="I19" s="250"/>
      <c r="J19" s="250"/>
      <c r="K19" s="250"/>
      <c r="L19" s="250"/>
      <c r="M19" s="250"/>
      <c r="N19" s="250"/>
      <c r="O19" s="250"/>
      <c r="P19" s="250"/>
      <c r="Q19" s="250"/>
      <c r="R19" s="149"/>
      <c r="S19" s="149"/>
      <c r="T19" s="149"/>
      <c r="U19" s="149"/>
      <c r="V19" s="149"/>
      <c r="W19" s="149"/>
      <c r="X19" s="149"/>
      <c r="Y19" s="149"/>
    </row>
    <row r="20" spans="1:25" x14ac:dyDescent="0.25">
      <c r="A20" s="221"/>
      <c r="B20" s="221"/>
      <c r="C20" s="223"/>
      <c r="D20" s="223"/>
      <c r="E20" s="223"/>
      <c r="F20" s="223"/>
      <c r="G20" s="223" t="s">
        <v>338</v>
      </c>
      <c r="H20" s="246"/>
      <c r="I20" s="250"/>
      <c r="J20" s="250"/>
      <c r="K20" s="250"/>
      <c r="L20" s="250"/>
      <c r="M20" s="250"/>
      <c r="N20" s="250"/>
      <c r="O20" s="250"/>
      <c r="P20" s="250"/>
      <c r="Q20" s="250"/>
      <c r="R20" s="149"/>
      <c r="S20" s="149"/>
      <c r="T20" s="149"/>
      <c r="U20" s="149"/>
      <c r="V20" s="149"/>
      <c r="W20" s="149"/>
      <c r="X20" s="149"/>
      <c r="Y20" s="149"/>
    </row>
    <row r="21" spans="1:25" x14ac:dyDescent="0.25">
      <c r="A21" s="221"/>
      <c r="B21" s="221"/>
      <c r="C21" s="223"/>
      <c r="D21" s="223"/>
      <c r="E21" s="223"/>
      <c r="F21" s="223"/>
      <c r="G21" s="223"/>
      <c r="H21" s="246"/>
      <c r="I21" s="250"/>
      <c r="J21" s="250"/>
      <c r="K21" s="250"/>
      <c r="L21" s="250"/>
      <c r="M21" s="250"/>
      <c r="N21" s="250"/>
      <c r="O21" s="250"/>
      <c r="P21" s="250"/>
      <c r="Q21" s="250"/>
      <c r="R21" s="149"/>
      <c r="S21" s="149"/>
      <c r="T21" s="149"/>
      <c r="U21" s="149"/>
      <c r="V21" s="149"/>
      <c r="W21" s="149"/>
      <c r="X21" s="149"/>
      <c r="Y21" s="149"/>
    </row>
    <row r="22" spans="1:25" x14ac:dyDescent="0.25">
      <c r="A22" s="221"/>
      <c r="B22" s="221"/>
      <c r="C22" s="223"/>
      <c r="D22" s="223"/>
      <c r="E22" s="223"/>
      <c r="F22" s="223"/>
      <c r="G22" s="223"/>
      <c r="H22" s="246"/>
      <c r="I22" s="250"/>
      <c r="J22" s="250"/>
      <c r="K22" s="250"/>
      <c r="L22" s="250"/>
      <c r="M22" s="250"/>
      <c r="N22" s="250"/>
      <c r="O22" s="250"/>
      <c r="P22" s="250"/>
      <c r="Q22" s="250"/>
      <c r="R22" s="149"/>
      <c r="S22" s="149"/>
      <c r="T22" s="149"/>
      <c r="U22" s="149"/>
      <c r="V22" s="149"/>
      <c r="W22" s="149"/>
      <c r="X22" s="149"/>
      <c r="Y22" s="149"/>
    </row>
    <row r="23" spans="1:25" x14ac:dyDescent="0.25">
      <c r="A23" s="221"/>
      <c r="B23" s="221"/>
      <c r="C23" s="221"/>
      <c r="D23" s="221"/>
      <c r="E23" s="221"/>
      <c r="F23" s="221"/>
      <c r="G23" s="221"/>
      <c r="H23" s="111"/>
      <c r="I23" s="150"/>
      <c r="J23" s="149"/>
      <c r="K23" s="149"/>
      <c r="L23" s="149"/>
      <c r="M23" s="149"/>
      <c r="N23" s="149"/>
      <c r="O23" s="149"/>
      <c r="P23" s="149"/>
      <c r="Q23" s="149"/>
      <c r="R23" s="149"/>
      <c r="S23" s="149"/>
      <c r="T23" s="149"/>
      <c r="U23" s="149"/>
      <c r="V23" s="149"/>
      <c r="W23" s="150"/>
      <c r="X23" s="150"/>
      <c r="Y23" s="150"/>
    </row>
    <row r="24" spans="1:25" x14ac:dyDescent="0.25">
      <c r="A24" s="221"/>
      <c r="B24" s="221"/>
      <c r="C24" s="221"/>
      <c r="D24" s="221"/>
      <c r="E24" s="221"/>
      <c r="F24" s="221"/>
      <c r="G24" s="221"/>
      <c r="H24" s="111"/>
      <c r="I24" s="150"/>
      <c r="J24" s="149"/>
      <c r="K24" s="149" t="s">
        <v>30</v>
      </c>
      <c r="L24" s="149"/>
      <c r="M24" s="149"/>
      <c r="N24" s="149"/>
      <c r="O24" s="149"/>
      <c r="P24" s="149"/>
      <c r="Q24" s="149"/>
      <c r="R24" s="149"/>
      <c r="S24" s="149"/>
      <c r="T24" s="149"/>
      <c r="U24" s="149"/>
      <c r="V24" s="149"/>
      <c r="W24" s="150"/>
      <c r="X24" s="150"/>
      <c r="Y24" s="150"/>
    </row>
    <row r="25" spans="1:25" x14ac:dyDescent="0.25">
      <c r="A25" s="221"/>
      <c r="B25" s="221"/>
      <c r="C25" s="221"/>
      <c r="D25" s="221"/>
      <c r="E25" s="221"/>
      <c r="F25" s="221"/>
      <c r="G25" s="221"/>
      <c r="H25" s="111"/>
      <c r="I25" s="111"/>
      <c r="J25" s="245"/>
      <c r="K25" s="245"/>
      <c r="L25" s="245"/>
      <c r="M25" s="245"/>
      <c r="N25" s="245"/>
      <c r="O25" s="245"/>
      <c r="P25" s="245"/>
      <c r="Q25" s="245"/>
      <c r="R25" s="245"/>
      <c r="S25" s="245"/>
      <c r="T25" s="245"/>
      <c r="U25" s="245"/>
      <c r="V25" s="245"/>
      <c r="W25" s="111"/>
    </row>
    <row r="26" spans="1:25" x14ac:dyDescent="0.25">
      <c r="A26" s="221"/>
      <c r="B26" s="221"/>
      <c r="C26" s="221"/>
      <c r="D26" s="221"/>
      <c r="E26" s="221"/>
      <c r="F26" s="221"/>
      <c r="G26" s="221"/>
      <c r="H26" s="111"/>
      <c r="I26" s="111"/>
      <c r="J26" s="245"/>
      <c r="K26" s="245"/>
      <c r="L26" s="245"/>
      <c r="M26" s="245"/>
      <c r="N26" s="245"/>
      <c r="O26" s="245"/>
      <c r="P26" s="245"/>
      <c r="Q26" s="245"/>
      <c r="R26" s="245"/>
      <c r="S26" s="245"/>
      <c r="T26" s="245"/>
      <c r="U26" s="245"/>
      <c r="V26" s="245"/>
      <c r="W26" s="111"/>
    </row>
    <row r="27" spans="1:25" x14ac:dyDescent="0.25">
      <c r="A27" s="221"/>
      <c r="B27" s="221"/>
      <c r="C27" s="221"/>
      <c r="D27" s="221"/>
      <c r="E27" s="221"/>
      <c r="F27" s="221"/>
      <c r="G27" s="221"/>
      <c r="H27" s="111"/>
      <c r="I27" s="111"/>
      <c r="J27" s="245"/>
      <c r="K27" s="245"/>
      <c r="L27" s="245"/>
      <c r="M27" s="245"/>
      <c r="N27" s="245"/>
      <c r="O27" s="245"/>
      <c r="P27" s="245"/>
      <c r="Q27" s="245"/>
      <c r="R27" s="245"/>
      <c r="S27" s="245"/>
      <c r="T27" s="245"/>
      <c r="U27" s="245"/>
      <c r="V27" s="245"/>
      <c r="W27" s="111"/>
    </row>
    <row r="28" spans="1:25" x14ac:dyDescent="0.25">
      <c r="A28" s="221"/>
      <c r="B28" s="221"/>
      <c r="C28" s="221"/>
      <c r="D28" s="221"/>
      <c r="E28" s="221"/>
      <c r="F28" s="221"/>
      <c r="G28" s="221"/>
      <c r="H28" s="111"/>
      <c r="I28" s="111"/>
      <c r="J28" s="245"/>
      <c r="K28" s="245"/>
      <c r="L28" s="245"/>
      <c r="M28" s="245"/>
      <c r="N28" s="245"/>
      <c r="O28" s="245"/>
      <c r="P28" s="245"/>
      <c r="Q28" s="245"/>
      <c r="R28" s="245"/>
      <c r="S28" s="245" t="s">
        <v>30</v>
      </c>
      <c r="T28" s="245"/>
      <c r="U28" s="245"/>
      <c r="V28" s="245"/>
      <c r="W28" s="111"/>
    </row>
    <row r="29" spans="1:25" x14ac:dyDescent="0.25">
      <c r="A29" s="221"/>
      <c r="B29" s="221"/>
      <c r="C29" s="221"/>
      <c r="D29" s="221"/>
      <c r="E29" s="221"/>
      <c r="F29" s="221"/>
      <c r="G29" s="221"/>
      <c r="H29" s="111"/>
      <c r="I29" s="111"/>
      <c r="J29" s="245"/>
      <c r="K29" s="245"/>
      <c r="L29" s="245"/>
      <c r="M29" s="245"/>
      <c r="N29" s="245"/>
      <c r="O29" s="245"/>
      <c r="P29" s="245"/>
      <c r="Q29" s="245"/>
      <c r="R29" s="245"/>
      <c r="S29" s="245"/>
      <c r="T29" s="245"/>
      <c r="U29" s="245"/>
      <c r="V29" s="245"/>
      <c r="W29" s="111"/>
    </row>
    <row r="30" spans="1:25" x14ac:dyDescent="0.25">
      <c r="A30" s="221"/>
      <c r="B30" s="221"/>
      <c r="C30" s="221"/>
      <c r="D30" s="221"/>
      <c r="E30" s="221"/>
      <c r="F30" s="221"/>
      <c r="G30" s="221"/>
      <c r="H30" s="111"/>
      <c r="I30" s="111"/>
      <c r="J30" s="245"/>
      <c r="K30" s="245"/>
      <c r="L30" s="245"/>
      <c r="M30" s="245"/>
      <c r="N30" s="245"/>
      <c r="O30" s="245"/>
      <c r="P30" s="245"/>
      <c r="Q30" s="245"/>
      <c r="R30" s="245"/>
      <c r="S30" s="245"/>
      <c r="T30" s="245"/>
      <c r="U30" s="245"/>
      <c r="V30" s="245"/>
      <c r="W30" s="111"/>
    </row>
    <row r="31" spans="1:25" x14ac:dyDescent="0.25">
      <c r="A31" s="221"/>
      <c r="B31" s="221"/>
      <c r="C31" s="221"/>
      <c r="D31" s="221"/>
      <c r="E31" s="221"/>
      <c r="F31" s="221"/>
      <c r="G31" s="221"/>
      <c r="H31" s="111"/>
      <c r="I31" s="111"/>
      <c r="J31" s="245"/>
      <c r="K31" s="245"/>
      <c r="L31" s="245"/>
      <c r="M31" s="245"/>
      <c r="N31" s="245"/>
      <c r="O31" s="245"/>
      <c r="P31" s="245"/>
      <c r="Q31" s="245"/>
      <c r="R31" s="245"/>
      <c r="S31" s="245"/>
      <c r="T31" s="245"/>
      <c r="U31" s="245"/>
      <c r="V31" s="245"/>
      <c r="W31" s="111"/>
    </row>
    <row r="32" spans="1:25" x14ac:dyDescent="0.25">
      <c r="A32" s="221"/>
      <c r="B32" s="221"/>
      <c r="C32" s="221"/>
      <c r="D32" s="221"/>
      <c r="E32" s="221"/>
      <c r="F32" s="221"/>
      <c r="G32" s="221"/>
      <c r="H32" s="111"/>
      <c r="I32" s="111"/>
      <c r="J32" s="245"/>
      <c r="K32" s="245"/>
      <c r="L32" s="245"/>
      <c r="M32" s="245"/>
      <c r="N32" s="245"/>
      <c r="O32" s="245"/>
      <c r="P32" s="245"/>
      <c r="Q32" s="245"/>
      <c r="R32" s="245"/>
      <c r="S32" s="245"/>
      <c r="T32" s="245"/>
      <c r="U32" s="245"/>
      <c r="V32" s="245"/>
      <c r="W32" s="111"/>
    </row>
    <row r="33" spans="8:23" x14ac:dyDescent="0.25">
      <c r="H33" s="111"/>
      <c r="I33" s="111"/>
      <c r="O33" s="111"/>
      <c r="R33" s="111"/>
      <c r="S33" s="111"/>
      <c r="T33" s="111"/>
      <c r="U33" s="111"/>
      <c r="V33" s="111" t="s">
        <v>30</v>
      </c>
      <c r="W33" s="111"/>
    </row>
    <row r="34" spans="8:23" x14ac:dyDescent="0.25">
      <c r="H34" s="111"/>
      <c r="I34" s="111"/>
      <c r="O34" s="111"/>
      <c r="R34" s="111"/>
      <c r="S34" s="111"/>
      <c r="T34" s="111"/>
      <c r="U34" s="111"/>
      <c r="V34" s="111"/>
      <c r="W34" s="111"/>
    </row>
    <row r="35" spans="8:23" x14ac:dyDescent="0.25">
      <c r="H35" s="111"/>
      <c r="I35" s="111"/>
      <c r="O35" s="111"/>
      <c r="R35" s="111"/>
      <c r="S35" s="111"/>
      <c r="T35" s="111"/>
      <c r="U35" s="111"/>
      <c r="V35" s="111"/>
      <c r="W35" s="111"/>
    </row>
    <row r="36" spans="8:23" x14ac:dyDescent="0.25">
      <c r="H36" s="111"/>
      <c r="I36" s="111"/>
      <c r="O36" s="111"/>
      <c r="R36" s="111"/>
      <c r="S36" s="111"/>
      <c r="T36" s="111" t="s">
        <v>30</v>
      </c>
      <c r="U36" s="111"/>
      <c r="V36" s="111"/>
      <c r="W36" s="111"/>
    </row>
    <row r="37" spans="8:23" x14ac:dyDescent="0.25">
      <c r="H37" s="111"/>
      <c r="I37" s="111"/>
      <c r="O37" s="111"/>
      <c r="R37" s="111"/>
      <c r="S37" s="111" t="s">
        <v>30</v>
      </c>
      <c r="T37" s="111"/>
      <c r="U37" s="111"/>
      <c r="V37" s="111"/>
      <c r="W37" s="111"/>
    </row>
    <row r="38" spans="8:23" x14ac:dyDescent="0.25">
      <c r="H38" s="111"/>
      <c r="I38" s="111"/>
      <c r="O38" s="111"/>
      <c r="R38" s="111"/>
      <c r="S38" s="111"/>
      <c r="T38" s="111"/>
      <c r="U38" s="111"/>
      <c r="V38" s="111"/>
      <c r="W38" s="111"/>
    </row>
    <row r="39" spans="8:23" x14ac:dyDescent="0.25">
      <c r="H39" s="111"/>
      <c r="I39" s="111"/>
      <c r="O39" s="111"/>
      <c r="R39" s="111"/>
      <c r="S39" s="111"/>
      <c r="T39" s="111"/>
      <c r="U39" s="111"/>
      <c r="V39" s="111"/>
      <c r="W39" s="111"/>
    </row>
    <row r="40" spans="8:23" x14ac:dyDescent="0.25">
      <c r="H40" s="111"/>
      <c r="I40" s="111"/>
      <c r="O40" s="111"/>
      <c r="R40" s="111"/>
      <c r="S40" s="111"/>
      <c r="T40" s="111"/>
      <c r="U40" s="111"/>
      <c r="V40" s="111"/>
      <c r="W40" s="111"/>
    </row>
    <row r="41" spans="8:23" x14ac:dyDescent="0.25">
      <c r="H41" s="111"/>
      <c r="I41" s="111"/>
      <c r="O41" s="111"/>
      <c r="R41" s="111"/>
      <c r="S41" s="111"/>
      <c r="T41" s="111"/>
      <c r="U41" s="111"/>
      <c r="V41" s="111"/>
      <c r="W41" s="111"/>
    </row>
    <row r="42" spans="8:23" x14ac:dyDescent="0.25">
      <c r="M42" s="220"/>
      <c r="N42" s="220"/>
      <c r="O42" s="220"/>
      <c r="P42" s="220"/>
      <c r="Q42" s="220"/>
      <c r="R42" s="220"/>
      <c r="S42" s="220"/>
      <c r="T42" s="220"/>
      <c r="U42" s="220"/>
      <c r="V42" s="220"/>
      <c r="W42" s="220"/>
    </row>
    <row r="43" spans="8:23" x14ac:dyDescent="0.25">
      <c r="M43" s="220"/>
      <c r="N43" s="220"/>
      <c r="O43" s="220"/>
      <c r="P43" s="220"/>
      <c r="Q43" s="220"/>
      <c r="R43" s="220"/>
      <c r="S43" s="220"/>
      <c r="T43" s="220"/>
      <c r="U43" s="220"/>
      <c r="V43" s="220"/>
      <c r="W43" s="220"/>
    </row>
    <row r="44" spans="8:23" x14ac:dyDescent="0.25">
      <c r="M44" s="220"/>
      <c r="N44" s="220"/>
      <c r="O44" s="220"/>
      <c r="P44" s="220"/>
      <c r="Q44" s="220"/>
      <c r="R44" s="220"/>
      <c r="S44" s="220"/>
      <c r="T44" s="220"/>
      <c r="U44" s="220"/>
      <c r="V44" s="220"/>
      <c r="W44" s="220"/>
    </row>
    <row r="45" spans="8:23" x14ac:dyDescent="0.25">
      <c r="M45" s="220"/>
      <c r="N45" s="220"/>
      <c r="O45" s="220"/>
      <c r="P45" s="220"/>
      <c r="Q45" s="220"/>
      <c r="R45" s="220"/>
      <c r="S45" s="220"/>
      <c r="T45" s="220"/>
      <c r="U45" s="220"/>
      <c r="V45" s="220"/>
      <c r="W45" s="220"/>
    </row>
    <row r="46" spans="8:23" x14ac:dyDescent="0.25">
      <c r="M46" s="220"/>
      <c r="N46" s="220"/>
      <c r="O46" s="220"/>
      <c r="P46" s="220"/>
      <c r="Q46" s="220"/>
      <c r="R46" s="220"/>
      <c r="S46" s="220"/>
      <c r="T46" s="220"/>
      <c r="U46" s="220"/>
      <c r="V46" s="220"/>
      <c r="W46" s="220"/>
    </row>
    <row r="47" spans="8:23" x14ac:dyDescent="0.25">
      <c r="M47" s="220"/>
      <c r="N47" s="220"/>
      <c r="O47" s="220"/>
      <c r="P47" s="220"/>
      <c r="Q47" s="220"/>
      <c r="R47" s="220"/>
      <c r="S47" s="220"/>
      <c r="T47" s="220"/>
      <c r="U47" s="220"/>
      <c r="V47" s="220"/>
      <c r="W47" s="220"/>
    </row>
    <row r="48" spans="8:23" x14ac:dyDescent="0.25">
      <c r="M48" s="220"/>
      <c r="N48" s="220"/>
      <c r="O48" s="220"/>
      <c r="P48" s="220"/>
      <c r="Q48" s="220"/>
      <c r="R48" s="220"/>
      <c r="S48" s="220"/>
      <c r="T48" s="220"/>
      <c r="U48" s="220"/>
      <c r="V48" s="220"/>
      <c r="W48" s="220"/>
    </row>
    <row r="49" spans="13:23" x14ac:dyDescent="0.25">
      <c r="M49" s="220"/>
      <c r="N49" s="220"/>
      <c r="O49" s="220"/>
      <c r="P49" s="220"/>
      <c r="Q49" s="220"/>
      <c r="R49" s="220"/>
      <c r="S49" s="220"/>
      <c r="T49" s="220"/>
      <c r="U49" s="220"/>
      <c r="V49" s="220"/>
      <c r="W49" s="220"/>
    </row>
    <row r="50" spans="13:23" x14ac:dyDescent="0.25">
      <c r="M50" s="220"/>
      <c r="N50" s="220"/>
      <c r="O50" s="220"/>
      <c r="P50" s="220"/>
      <c r="Q50" s="220"/>
      <c r="R50" s="220"/>
      <c r="S50" s="220"/>
      <c r="T50" s="220"/>
      <c r="U50" s="220"/>
      <c r="V50" s="220"/>
      <c r="W50" s="220"/>
    </row>
    <row r="51" spans="13:23" x14ac:dyDescent="0.25"/>
    <row r="52" spans="13:23" x14ac:dyDescent="0.25"/>
  </sheetData>
  <sheetProtection formatCells="0" selectLockedCells="1"/>
  <pageMargins left="0.7" right="0.7" top="0.75" bottom="0.75" header="0.3" footer="0.3"/>
  <pageSetup paperSize="9" orientation="portrait" r:id="rId1"/>
  <ignoredErrors>
    <ignoredError sqref="V10" formula="1"/>
  </ignoredErrors>
  <drawing r:id="rId2"/>
  <legacyDrawing r:id="rId3"/>
  <controls>
    <mc:AlternateContent xmlns:mc="http://schemas.openxmlformats.org/markup-compatibility/2006">
      <mc:Choice Requires="x14">
        <control shapeId="5121" r:id="rId4" name="Version">
          <controlPr defaultSize="0" disabled="1" autoLine="0" linkedCell="A2" r:id="rId5">
            <anchor moveWithCells="1">
              <from>
                <xdr:col>14</xdr:col>
                <xdr:colOff>219075</xdr:colOff>
                <xdr:row>27</xdr:row>
                <xdr:rowOff>123825</xdr:rowOff>
              </from>
              <to>
                <xdr:col>15</xdr:col>
                <xdr:colOff>809625</xdr:colOff>
                <xdr:row>29</xdr:row>
                <xdr:rowOff>28575</xdr:rowOff>
              </to>
            </anchor>
          </controlPr>
        </control>
      </mc:Choice>
      <mc:Fallback>
        <control shapeId="5121" r:id="rId4" name="Version"/>
      </mc:Fallback>
    </mc:AlternateContent>
  </controls>
</worksheet>
</file>

<file path=xl/worksheets/sheet5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5"/>
  <dimension ref="B1:AA1048573"/>
  <sheetViews>
    <sheetView showGridLines="0" showRowColHeaders="0" topLeftCell="B1" zoomScale="80" zoomScaleNormal="80" workbookViewId="0">
      <pane ySplit="2" topLeftCell="A13" activePane="bottomLeft" state="frozen"/>
      <selection activeCell="B1" sqref="B1"/>
      <selection pane="bottomLeft" activeCell="J32" sqref="J32"/>
    </sheetView>
  </sheetViews>
  <sheetFormatPr baseColWidth="10" defaultColWidth="11.42578125" defaultRowHeight="15.75" x14ac:dyDescent="0.3"/>
  <cols>
    <col min="1" max="1" width="2.85546875" style="114" customWidth="1"/>
    <col min="2" max="2" width="9.28515625" style="174" customWidth="1"/>
    <col min="3" max="3" width="13.42578125" style="204" bestFit="1" customWidth="1"/>
    <col min="4" max="4" width="17" style="114" bestFit="1" customWidth="1"/>
    <col min="5" max="5" width="11.5703125" style="114" bestFit="1" customWidth="1"/>
    <col min="6" max="6" width="18.85546875" style="114" customWidth="1"/>
    <col min="7" max="7" width="14.28515625" style="157" bestFit="1" customWidth="1"/>
    <col min="8" max="8" width="18.42578125" style="114" bestFit="1" customWidth="1"/>
    <col min="9" max="9" width="15" style="153" bestFit="1" customWidth="1"/>
    <col min="10" max="10" width="16.5703125" style="160" bestFit="1" customWidth="1"/>
    <col min="11" max="11" width="15.140625" style="161" bestFit="1" customWidth="1"/>
    <col min="12" max="12" width="12.7109375" style="160" bestFit="1" customWidth="1"/>
    <col min="13" max="13" width="15.7109375" style="114" customWidth="1"/>
    <col min="14" max="14" width="10.28515625" style="114" customWidth="1"/>
    <col min="15" max="15" width="8.42578125" style="114" customWidth="1"/>
    <col min="16" max="16" width="7.7109375" style="114" bestFit="1" customWidth="1"/>
    <col min="17" max="17" width="12" style="114" bestFit="1" customWidth="1"/>
    <col min="18" max="18" width="13.85546875" style="114" bestFit="1" customWidth="1"/>
    <col min="19" max="19" width="7.42578125" style="115" bestFit="1" customWidth="1"/>
    <col min="20" max="20" width="18.85546875" style="114" bestFit="1" customWidth="1"/>
    <col min="21" max="21" width="3" style="114" customWidth="1"/>
    <col min="22" max="22" width="3.42578125" style="114" customWidth="1"/>
    <col min="23" max="23" width="15.85546875" style="114" customWidth="1"/>
    <col min="24" max="24" width="10.85546875" style="114" bestFit="1" customWidth="1"/>
    <col min="25" max="25" width="15.140625" style="114" bestFit="1" customWidth="1"/>
    <col min="26" max="26" width="12.28515625" style="114" bestFit="1" customWidth="1"/>
    <col min="27" max="16384" width="11.42578125" style="114"/>
  </cols>
  <sheetData>
    <row r="1" spans="2:27" s="151" customFormat="1" ht="16.5" x14ac:dyDescent="0.3">
      <c r="B1" s="176" t="s">
        <v>149</v>
      </c>
      <c r="C1" s="203"/>
      <c r="G1" s="155"/>
      <c r="I1" s="154"/>
      <c r="J1" s="158"/>
      <c r="K1" s="159"/>
      <c r="L1" s="158"/>
    </row>
    <row r="2" spans="2:27" s="156" customFormat="1" x14ac:dyDescent="0.3">
      <c r="B2" s="167" t="s">
        <v>93</v>
      </c>
      <c r="C2" s="205" t="s">
        <v>72</v>
      </c>
      <c r="D2" s="165" t="s">
        <v>94</v>
      </c>
      <c r="E2" s="165" t="s">
        <v>95</v>
      </c>
      <c r="F2" s="165" t="s">
        <v>96</v>
      </c>
      <c r="G2" s="165" t="s">
        <v>66</v>
      </c>
      <c r="H2" s="165" t="s">
        <v>67</v>
      </c>
      <c r="I2" s="166" t="s">
        <v>91</v>
      </c>
      <c r="J2" s="167" t="s">
        <v>92</v>
      </c>
      <c r="K2" s="168" t="s">
        <v>97</v>
      </c>
      <c r="L2" s="167" t="s">
        <v>98</v>
      </c>
      <c r="P2" s="167" t="s">
        <v>99</v>
      </c>
      <c r="Q2" s="164" t="s">
        <v>72</v>
      </c>
      <c r="R2" s="165" t="s">
        <v>100</v>
      </c>
      <c r="S2" s="165" t="s">
        <v>95</v>
      </c>
      <c r="T2" s="165" t="s">
        <v>101</v>
      </c>
      <c r="U2" s="165" t="s">
        <v>102</v>
      </c>
      <c r="V2" s="165" t="s">
        <v>103</v>
      </c>
      <c r="W2" s="166" t="s">
        <v>104</v>
      </c>
      <c r="X2" s="167" t="s">
        <v>105</v>
      </c>
      <c r="Y2" s="168" t="s">
        <v>106</v>
      </c>
      <c r="Z2" s="167" t="s">
        <v>107</v>
      </c>
    </row>
    <row r="3" spans="2:27" x14ac:dyDescent="0.3">
      <c r="B3" s="160" t="s">
        <v>150</v>
      </c>
      <c r="C3" s="204">
        <v>43477</v>
      </c>
      <c r="D3" s="114" t="s">
        <v>152</v>
      </c>
      <c r="E3" s="114" t="s">
        <v>153</v>
      </c>
      <c r="F3" s="114" t="s">
        <v>159</v>
      </c>
      <c r="G3" s="157" t="s">
        <v>27</v>
      </c>
      <c r="H3" s="114" t="s">
        <v>154</v>
      </c>
      <c r="I3" s="153">
        <v>2150000</v>
      </c>
      <c r="J3" s="160" t="s">
        <v>154</v>
      </c>
      <c r="K3" s="161">
        <v>2014475</v>
      </c>
      <c r="L3" s="160" t="s">
        <v>60</v>
      </c>
    </row>
    <row r="4" spans="2:27" s="115" customFormat="1" x14ac:dyDescent="0.3">
      <c r="B4" s="160" t="s">
        <v>150</v>
      </c>
      <c r="C4" s="204">
        <v>43477</v>
      </c>
      <c r="D4" s="114" t="s">
        <v>151</v>
      </c>
      <c r="E4" s="114" t="s">
        <v>158</v>
      </c>
      <c r="F4" s="114">
        <v>10009</v>
      </c>
      <c r="G4" s="157" t="s">
        <v>154</v>
      </c>
      <c r="H4" s="114" t="s">
        <v>154</v>
      </c>
      <c r="I4" s="153">
        <v>3809220.0900000003</v>
      </c>
      <c r="J4" s="160">
        <v>40</v>
      </c>
      <c r="K4" s="162" t="s">
        <v>154</v>
      </c>
      <c r="L4" s="163" t="s">
        <v>52</v>
      </c>
    </row>
    <row r="5" spans="2:27" x14ac:dyDescent="0.3">
      <c r="B5" s="160" t="s">
        <v>150</v>
      </c>
      <c r="C5" s="204">
        <v>43477</v>
      </c>
      <c r="D5" s="114" t="s">
        <v>155</v>
      </c>
      <c r="E5" s="114" t="s">
        <v>158</v>
      </c>
      <c r="F5" s="114">
        <v>10009</v>
      </c>
      <c r="G5" s="157" t="s">
        <v>154</v>
      </c>
      <c r="H5" s="114" t="s">
        <v>154</v>
      </c>
      <c r="I5" s="153">
        <v>6642351.6899999995</v>
      </c>
      <c r="J5" s="160">
        <v>40</v>
      </c>
      <c r="K5" s="162" t="s">
        <v>154</v>
      </c>
      <c r="L5" s="163" t="s">
        <v>52</v>
      </c>
      <c r="M5" s="116"/>
      <c r="N5" s="116"/>
      <c r="O5" s="116"/>
      <c r="P5"/>
      <c r="Q5"/>
      <c r="R5"/>
      <c r="S5"/>
      <c r="T5"/>
      <c r="U5"/>
      <c r="V5"/>
      <c r="W5"/>
      <c r="X5"/>
      <c r="Y5"/>
      <c r="Z5"/>
      <c r="AA5"/>
    </row>
    <row r="6" spans="2:27" x14ac:dyDescent="0.3">
      <c r="B6" s="160" t="s">
        <v>150</v>
      </c>
      <c r="C6" s="204">
        <v>43477</v>
      </c>
      <c r="D6" s="114" t="s">
        <v>156</v>
      </c>
      <c r="E6" s="114" t="s">
        <v>158</v>
      </c>
      <c r="F6" s="114">
        <v>10009</v>
      </c>
      <c r="G6" s="157" t="s">
        <v>154</v>
      </c>
      <c r="H6" s="114" t="s">
        <v>154</v>
      </c>
      <c r="I6" s="153">
        <v>7874789.1300000018</v>
      </c>
      <c r="J6" s="160">
        <v>40</v>
      </c>
      <c r="K6" s="162" t="s">
        <v>154</v>
      </c>
      <c r="L6" s="163" t="s">
        <v>52</v>
      </c>
      <c r="M6" s="116"/>
      <c r="N6" s="116"/>
      <c r="O6" s="116"/>
      <c r="P6"/>
      <c r="Q6"/>
      <c r="R6"/>
      <c r="S6"/>
      <c r="T6"/>
      <c r="U6"/>
      <c r="V6"/>
      <c r="W6"/>
      <c r="X6"/>
      <c r="Y6"/>
      <c r="Z6"/>
      <c r="AA6"/>
    </row>
    <row r="7" spans="2:27" x14ac:dyDescent="0.3">
      <c r="B7" s="160" t="s">
        <v>150</v>
      </c>
      <c r="C7" s="204">
        <v>43477</v>
      </c>
      <c r="D7" s="114" t="s">
        <v>157</v>
      </c>
      <c r="E7" s="114" t="s">
        <v>158</v>
      </c>
      <c r="F7" s="114">
        <v>10010</v>
      </c>
      <c r="G7" s="157" t="s">
        <v>154</v>
      </c>
      <c r="H7" s="114" t="s">
        <v>154</v>
      </c>
      <c r="I7" s="153">
        <v>4641702.0999999996</v>
      </c>
      <c r="J7" s="160">
        <v>40</v>
      </c>
      <c r="K7" s="162" t="s">
        <v>154</v>
      </c>
      <c r="L7" s="163" t="s">
        <v>52</v>
      </c>
      <c r="M7" s="116"/>
      <c r="N7" s="116"/>
      <c r="O7" s="116"/>
      <c r="P7"/>
      <c r="Q7"/>
      <c r="R7"/>
      <c r="S7"/>
      <c r="T7"/>
      <c r="U7"/>
      <c r="V7"/>
      <c r="W7"/>
      <c r="X7"/>
      <c r="Y7"/>
      <c r="Z7"/>
      <c r="AA7"/>
    </row>
    <row r="8" spans="2:27" x14ac:dyDescent="0.3">
      <c r="B8" s="160" t="s">
        <v>150</v>
      </c>
      <c r="C8" s="204" t="s">
        <v>160</v>
      </c>
      <c r="D8" s="114" t="s">
        <v>161</v>
      </c>
      <c r="E8" s="114" t="s">
        <v>88</v>
      </c>
      <c r="F8" s="114" t="s">
        <v>159</v>
      </c>
      <c r="G8" s="157" t="s">
        <v>23</v>
      </c>
      <c r="H8" s="114" t="s">
        <v>141</v>
      </c>
      <c r="I8" s="153">
        <v>2150000</v>
      </c>
      <c r="J8" s="160" t="s">
        <v>86</v>
      </c>
      <c r="K8" s="162">
        <v>2014498</v>
      </c>
      <c r="L8" s="163" t="s">
        <v>60</v>
      </c>
      <c r="M8" s="116"/>
      <c r="N8" s="116"/>
      <c r="O8" s="116"/>
      <c r="P8"/>
      <c r="Q8"/>
      <c r="R8"/>
      <c r="S8"/>
      <c r="T8"/>
      <c r="U8"/>
      <c r="V8"/>
      <c r="W8"/>
      <c r="X8"/>
      <c r="Y8"/>
      <c r="Z8"/>
      <c r="AA8"/>
    </row>
    <row r="9" spans="2:27" x14ac:dyDescent="0.3">
      <c r="B9" s="160" t="s">
        <v>150</v>
      </c>
      <c r="C9" s="204" t="s">
        <v>160</v>
      </c>
      <c r="D9" s="114" t="s">
        <v>162</v>
      </c>
      <c r="E9" s="114" t="s">
        <v>88</v>
      </c>
      <c r="F9" s="114" t="s">
        <v>159</v>
      </c>
      <c r="G9" s="157" t="s">
        <v>24</v>
      </c>
      <c r="H9" s="114" t="s">
        <v>147</v>
      </c>
      <c r="I9" s="153">
        <v>2150000</v>
      </c>
      <c r="J9" s="160" t="s">
        <v>86</v>
      </c>
      <c r="K9" s="162">
        <v>2043703</v>
      </c>
      <c r="L9" s="163" t="s">
        <v>60</v>
      </c>
      <c r="M9" s="116"/>
      <c r="N9" s="116"/>
      <c r="O9" s="116"/>
      <c r="P9"/>
      <c r="Q9"/>
      <c r="R9"/>
      <c r="S9"/>
      <c r="T9"/>
      <c r="U9"/>
      <c r="V9"/>
      <c r="W9"/>
      <c r="X9"/>
      <c r="Y9"/>
      <c r="Z9"/>
      <c r="AA9"/>
    </row>
    <row r="10" spans="2:27" x14ac:dyDescent="0.3">
      <c r="B10" s="160" t="s">
        <v>150</v>
      </c>
      <c r="C10" s="204" t="s">
        <v>160</v>
      </c>
      <c r="D10" s="114" t="s">
        <v>163</v>
      </c>
      <c r="E10" s="114" t="s">
        <v>89</v>
      </c>
      <c r="F10" s="114">
        <v>10009</v>
      </c>
      <c r="G10" s="157" t="s">
        <v>164</v>
      </c>
      <c r="H10" s="114" t="s">
        <v>164</v>
      </c>
      <c r="I10" s="153">
        <v>3083308.02</v>
      </c>
      <c r="J10" s="160" t="s">
        <v>165</v>
      </c>
      <c r="K10" s="162" t="s">
        <v>164</v>
      </c>
      <c r="L10" s="163" t="s">
        <v>52</v>
      </c>
      <c r="M10" s="116"/>
      <c r="N10" s="116"/>
      <c r="O10" s="116"/>
      <c r="P10"/>
      <c r="Q10"/>
      <c r="R10"/>
      <c r="S10"/>
      <c r="T10"/>
      <c r="U10"/>
      <c r="V10"/>
      <c r="W10"/>
      <c r="X10"/>
      <c r="Y10"/>
      <c r="Z10"/>
      <c r="AA10"/>
    </row>
    <row r="11" spans="2:27" x14ac:dyDescent="0.3">
      <c r="B11" s="160" t="s">
        <v>150</v>
      </c>
      <c r="C11" s="204" t="s">
        <v>160</v>
      </c>
      <c r="D11" s="114" t="s">
        <v>166</v>
      </c>
      <c r="E11" s="114" t="s">
        <v>89</v>
      </c>
      <c r="F11" s="114">
        <v>10009</v>
      </c>
      <c r="G11" s="157" t="s">
        <v>164</v>
      </c>
      <c r="H11" s="114" t="s">
        <v>164</v>
      </c>
      <c r="I11" s="153">
        <v>1015981.2000000001</v>
      </c>
      <c r="J11" s="160" t="s">
        <v>167</v>
      </c>
      <c r="K11" s="162" t="s">
        <v>164</v>
      </c>
      <c r="L11" s="163" t="s">
        <v>52</v>
      </c>
      <c r="M11" s="116"/>
      <c r="N11" s="116"/>
      <c r="O11" s="116"/>
      <c r="P11"/>
      <c r="Q11"/>
      <c r="R11"/>
      <c r="S11"/>
      <c r="T11"/>
      <c r="U11"/>
      <c r="V11"/>
      <c r="W11"/>
      <c r="X11"/>
      <c r="Y11"/>
      <c r="Z11"/>
      <c r="AA11"/>
    </row>
    <row r="12" spans="2:27" x14ac:dyDescent="0.3">
      <c r="B12" s="160" t="s">
        <v>150</v>
      </c>
      <c r="C12" s="202" t="s">
        <v>168</v>
      </c>
      <c r="D12" s="114" t="s">
        <v>169</v>
      </c>
      <c r="E12" s="114" t="s">
        <v>89</v>
      </c>
      <c r="F12" s="114">
        <v>10009</v>
      </c>
      <c r="G12" s="157" t="s">
        <v>164</v>
      </c>
      <c r="H12" s="114" t="s">
        <v>164</v>
      </c>
      <c r="I12" s="153">
        <v>1183580.97</v>
      </c>
      <c r="J12" s="160" t="s">
        <v>170</v>
      </c>
      <c r="K12" s="162" t="s">
        <v>164</v>
      </c>
      <c r="L12" s="163" t="s">
        <v>52</v>
      </c>
      <c r="M12" s="116"/>
      <c r="N12" s="116"/>
      <c r="O12" s="116"/>
      <c r="P12"/>
      <c r="Q12"/>
      <c r="R12"/>
      <c r="S12"/>
      <c r="T12"/>
      <c r="U12"/>
      <c r="V12"/>
      <c r="W12"/>
      <c r="X12"/>
      <c r="Y12"/>
      <c r="Z12"/>
      <c r="AA12"/>
    </row>
    <row r="13" spans="2:27" x14ac:dyDescent="0.3">
      <c r="B13" s="160" t="s">
        <v>150</v>
      </c>
      <c r="C13" s="202" t="s">
        <v>168</v>
      </c>
      <c r="D13" s="114" t="s">
        <v>171</v>
      </c>
      <c r="E13" s="114" t="s">
        <v>88</v>
      </c>
      <c r="F13" s="114" t="s">
        <v>159</v>
      </c>
      <c r="G13" s="157" t="s">
        <v>62</v>
      </c>
      <c r="H13" s="114" t="s">
        <v>133</v>
      </c>
      <c r="I13" s="153">
        <v>2150000</v>
      </c>
      <c r="J13" s="160" t="s">
        <v>86</v>
      </c>
      <c r="K13" s="162">
        <v>2039337</v>
      </c>
      <c r="L13" s="163" t="s">
        <v>52</v>
      </c>
      <c r="M13" s="116"/>
      <c r="N13" s="116"/>
      <c r="O13" s="116"/>
      <c r="P13"/>
      <c r="Q13"/>
      <c r="R13"/>
      <c r="S13"/>
      <c r="T13"/>
      <c r="U13"/>
      <c r="V13"/>
      <c r="W13"/>
      <c r="X13"/>
      <c r="Y13"/>
      <c r="Z13"/>
      <c r="AA13"/>
    </row>
    <row r="14" spans="2:27" x14ac:dyDescent="0.3">
      <c r="B14" s="160" t="s">
        <v>150</v>
      </c>
      <c r="C14" s="204" t="s">
        <v>172</v>
      </c>
      <c r="D14" s="114" t="s">
        <v>173</v>
      </c>
      <c r="E14" s="114" t="s">
        <v>88</v>
      </c>
      <c r="F14" s="114" t="s">
        <v>159</v>
      </c>
      <c r="G14" s="157" t="s">
        <v>47</v>
      </c>
      <c r="H14" s="114" t="s">
        <v>136</v>
      </c>
      <c r="I14" s="153">
        <v>2150000</v>
      </c>
      <c r="J14" s="160" t="s">
        <v>86</v>
      </c>
      <c r="K14" s="162">
        <v>2039343</v>
      </c>
      <c r="L14" s="163" t="s">
        <v>52</v>
      </c>
      <c r="M14" s="116"/>
      <c r="N14" s="116"/>
      <c r="O14" s="116"/>
      <c r="P14"/>
      <c r="Q14"/>
      <c r="R14"/>
      <c r="S14"/>
      <c r="T14"/>
      <c r="U14"/>
      <c r="V14"/>
      <c r="W14"/>
      <c r="X14"/>
      <c r="Y14"/>
      <c r="Z14"/>
      <c r="AA14"/>
    </row>
    <row r="15" spans="2:27" x14ac:dyDescent="0.3">
      <c r="B15" s="160" t="s">
        <v>150</v>
      </c>
      <c r="C15" s="204" t="s">
        <v>172</v>
      </c>
      <c r="D15" s="114" t="s">
        <v>174</v>
      </c>
      <c r="E15" s="114" t="s">
        <v>89</v>
      </c>
      <c r="F15" s="114">
        <v>10009</v>
      </c>
      <c r="G15" s="157" t="s">
        <v>164</v>
      </c>
      <c r="H15" s="114" t="s">
        <v>164</v>
      </c>
      <c r="I15" s="153">
        <v>2250109.29</v>
      </c>
      <c r="J15" s="160" t="s">
        <v>175</v>
      </c>
      <c r="K15" s="162" t="s">
        <v>164</v>
      </c>
      <c r="L15" s="163" t="s">
        <v>52</v>
      </c>
      <c r="M15" s="116"/>
      <c r="N15" s="116"/>
      <c r="O15" s="116"/>
      <c r="P15"/>
      <c r="Q15"/>
      <c r="R15"/>
      <c r="S15"/>
      <c r="T15"/>
      <c r="U15"/>
      <c r="V15"/>
      <c r="W15"/>
      <c r="X15"/>
      <c r="Y15"/>
      <c r="Z15"/>
      <c r="AA15"/>
    </row>
    <row r="16" spans="2:27" x14ac:dyDescent="0.3">
      <c r="B16" s="160" t="s">
        <v>150</v>
      </c>
      <c r="C16" s="204" t="s">
        <v>172</v>
      </c>
      <c r="D16" s="114" t="s">
        <v>176</v>
      </c>
      <c r="E16" s="114" t="s">
        <v>89</v>
      </c>
      <c r="F16" s="114">
        <v>10009</v>
      </c>
      <c r="G16" s="157" t="s">
        <v>164</v>
      </c>
      <c r="H16" s="114" t="s">
        <v>164</v>
      </c>
      <c r="I16" s="153">
        <v>6583444.1399999987</v>
      </c>
      <c r="J16" s="160" t="s">
        <v>177</v>
      </c>
      <c r="K16" s="162" t="s">
        <v>164</v>
      </c>
      <c r="L16" s="163" t="s">
        <v>52</v>
      </c>
      <c r="M16" s="116"/>
      <c r="N16" s="116"/>
      <c r="O16" s="116"/>
      <c r="P16"/>
      <c r="Q16"/>
      <c r="R16"/>
      <c r="S16"/>
      <c r="T16"/>
      <c r="U16"/>
      <c r="V16"/>
      <c r="W16"/>
      <c r="X16"/>
      <c r="Y16"/>
      <c r="Z16"/>
      <c r="AA16"/>
    </row>
    <row r="17" spans="2:27" x14ac:dyDescent="0.3">
      <c r="B17" s="174" t="s">
        <v>150</v>
      </c>
      <c r="C17" s="204" t="s">
        <v>172</v>
      </c>
      <c r="D17" s="114" t="s">
        <v>178</v>
      </c>
      <c r="E17" s="114" t="s">
        <v>89</v>
      </c>
      <c r="F17" s="114">
        <v>10010</v>
      </c>
      <c r="G17" s="157" t="s">
        <v>164</v>
      </c>
      <c r="H17" s="114" t="s">
        <v>164</v>
      </c>
      <c r="I17" s="175">
        <v>712566.05</v>
      </c>
      <c r="J17" s="160" t="s">
        <v>179</v>
      </c>
      <c r="K17" s="162" t="s">
        <v>164</v>
      </c>
      <c r="L17" s="163" t="s">
        <v>52</v>
      </c>
      <c r="M17" s="116"/>
      <c r="N17" s="116"/>
      <c r="O17" s="116"/>
      <c r="P17"/>
      <c r="Q17"/>
      <c r="R17"/>
      <c r="S17"/>
      <c r="T17"/>
      <c r="U17"/>
      <c r="V17"/>
      <c r="W17"/>
      <c r="X17"/>
      <c r="Y17"/>
      <c r="Z17"/>
      <c r="AA17"/>
    </row>
    <row r="18" spans="2:27" x14ac:dyDescent="0.3">
      <c r="B18" s="174" t="s">
        <v>150</v>
      </c>
      <c r="C18" s="204" t="s">
        <v>180</v>
      </c>
      <c r="D18" s="114" t="s">
        <v>181</v>
      </c>
      <c r="E18" s="114" t="s">
        <v>88</v>
      </c>
      <c r="F18" s="114" t="s">
        <v>159</v>
      </c>
      <c r="G18" s="157" t="s">
        <v>64</v>
      </c>
      <c r="H18" s="114" t="s">
        <v>70</v>
      </c>
      <c r="I18" s="153">
        <v>2150000</v>
      </c>
      <c r="J18" s="160" t="s">
        <v>86</v>
      </c>
      <c r="K18" s="161">
        <v>2043771</v>
      </c>
      <c r="L18" s="160" t="s">
        <v>60</v>
      </c>
      <c r="P18"/>
      <c r="Q18"/>
      <c r="R18"/>
      <c r="S18"/>
      <c r="T18"/>
      <c r="U18"/>
      <c r="V18"/>
      <c r="W18"/>
      <c r="X18"/>
      <c r="Y18"/>
      <c r="Z18"/>
      <c r="AA18"/>
    </row>
    <row r="19" spans="2:27" x14ac:dyDescent="0.3">
      <c r="B19" s="174" t="s">
        <v>150</v>
      </c>
      <c r="C19" s="204" t="s">
        <v>182</v>
      </c>
      <c r="D19" s="114" t="s">
        <v>183</v>
      </c>
      <c r="E19" s="114" t="s">
        <v>88</v>
      </c>
      <c r="F19" s="114" t="s">
        <v>159</v>
      </c>
      <c r="G19" s="157" t="s">
        <v>12</v>
      </c>
      <c r="H19" s="114" t="s">
        <v>148</v>
      </c>
      <c r="I19" s="153">
        <v>2150000</v>
      </c>
      <c r="J19" s="160" t="s">
        <v>86</v>
      </c>
      <c r="K19" s="161">
        <v>2014496</v>
      </c>
      <c r="L19" s="160" t="s">
        <v>60</v>
      </c>
      <c r="P19"/>
      <c r="Q19"/>
      <c r="R19"/>
      <c r="S19"/>
      <c r="T19"/>
      <c r="U19"/>
      <c r="V19"/>
      <c r="W19"/>
      <c r="X19"/>
      <c r="Y19"/>
      <c r="Z19"/>
      <c r="AA19"/>
    </row>
    <row r="20" spans="2:27" x14ac:dyDescent="0.3">
      <c r="B20" s="174" t="s">
        <v>150</v>
      </c>
      <c r="C20" s="204" t="s">
        <v>182</v>
      </c>
      <c r="D20" s="114" t="s">
        <v>184</v>
      </c>
      <c r="E20" s="114" t="s">
        <v>88</v>
      </c>
      <c r="F20" s="114" t="s">
        <v>159</v>
      </c>
      <c r="G20" s="157" t="s">
        <v>164</v>
      </c>
      <c r="H20" s="114" t="s">
        <v>164</v>
      </c>
      <c r="I20" s="153">
        <v>4300000</v>
      </c>
      <c r="J20" s="160" t="s">
        <v>86</v>
      </c>
      <c r="K20" s="161" t="s">
        <v>164</v>
      </c>
      <c r="L20" s="160" t="s">
        <v>52</v>
      </c>
      <c r="P20"/>
      <c r="Q20"/>
      <c r="R20"/>
      <c r="S20"/>
      <c r="T20"/>
      <c r="U20"/>
      <c r="V20"/>
      <c r="W20"/>
      <c r="X20"/>
      <c r="Y20"/>
      <c r="Z20"/>
      <c r="AA20"/>
    </row>
    <row r="21" spans="2:27" x14ac:dyDescent="0.3">
      <c r="B21" s="174" t="s">
        <v>150</v>
      </c>
      <c r="C21" s="204" t="s">
        <v>182</v>
      </c>
      <c r="D21" s="114" t="s">
        <v>185</v>
      </c>
      <c r="E21" s="114" t="s">
        <v>89</v>
      </c>
      <c r="F21" s="114">
        <v>10009</v>
      </c>
      <c r="G21" s="157" t="s">
        <v>164</v>
      </c>
      <c r="H21" s="114" t="s">
        <v>164</v>
      </c>
      <c r="I21" s="153">
        <v>4552622.0999999996</v>
      </c>
      <c r="J21" s="160" t="s">
        <v>186</v>
      </c>
      <c r="K21" s="161" t="s">
        <v>164</v>
      </c>
      <c r="L21" s="160" t="s">
        <v>52</v>
      </c>
      <c r="P21"/>
      <c r="Q21"/>
      <c r="R21"/>
      <c r="S21"/>
      <c r="T21"/>
      <c r="U21"/>
      <c r="V21"/>
      <c r="W21"/>
      <c r="X21"/>
      <c r="Y21"/>
      <c r="Z21"/>
      <c r="AA21"/>
    </row>
    <row r="22" spans="2:27" x14ac:dyDescent="0.3">
      <c r="B22" s="174" t="s">
        <v>150</v>
      </c>
      <c r="C22" s="204" t="s">
        <v>182</v>
      </c>
      <c r="D22" s="114" t="s">
        <v>187</v>
      </c>
      <c r="E22" s="114" t="s">
        <v>89</v>
      </c>
      <c r="F22" s="114">
        <v>10010</v>
      </c>
      <c r="G22" s="157" t="s">
        <v>164</v>
      </c>
      <c r="H22" s="114" t="s">
        <v>164</v>
      </c>
      <c r="I22" s="153">
        <v>3591199.8499999992</v>
      </c>
      <c r="J22" s="160" t="s">
        <v>188</v>
      </c>
      <c r="K22" s="161" t="s">
        <v>164</v>
      </c>
      <c r="L22" s="160" t="s">
        <v>52</v>
      </c>
      <c r="P22"/>
      <c r="Q22"/>
      <c r="R22"/>
      <c r="S22"/>
      <c r="T22"/>
      <c r="U22"/>
      <c r="V22"/>
      <c r="W22"/>
      <c r="X22"/>
      <c r="Y22"/>
      <c r="Z22"/>
      <c r="AA22"/>
    </row>
    <row r="23" spans="2:27" x14ac:dyDescent="0.3">
      <c r="B23" s="174" t="s">
        <v>150</v>
      </c>
      <c r="C23" s="204" t="s">
        <v>182</v>
      </c>
      <c r="D23" s="114" t="s">
        <v>189</v>
      </c>
      <c r="E23" s="114" t="s">
        <v>89</v>
      </c>
      <c r="F23" s="114">
        <v>10009</v>
      </c>
      <c r="G23" s="157" t="s">
        <v>164</v>
      </c>
      <c r="H23" s="114" t="s">
        <v>164</v>
      </c>
      <c r="I23" s="153">
        <v>348612.03</v>
      </c>
      <c r="J23" s="160" t="s">
        <v>190</v>
      </c>
      <c r="K23" s="161" t="s">
        <v>164</v>
      </c>
      <c r="L23" s="160" t="s">
        <v>52</v>
      </c>
      <c r="P23"/>
      <c r="Q23"/>
      <c r="R23"/>
      <c r="S23"/>
      <c r="T23"/>
      <c r="U23"/>
      <c r="V23"/>
      <c r="W23"/>
      <c r="X23"/>
      <c r="Y23"/>
      <c r="Z23"/>
      <c r="AA23"/>
    </row>
    <row r="24" spans="2:27" x14ac:dyDescent="0.3">
      <c r="B24" s="174" t="s">
        <v>150</v>
      </c>
      <c r="C24" s="204" t="s">
        <v>191</v>
      </c>
      <c r="D24" s="114" t="s">
        <v>192</v>
      </c>
      <c r="E24" s="114" t="s">
        <v>88</v>
      </c>
      <c r="F24" s="114" t="s">
        <v>159</v>
      </c>
      <c r="G24" s="157" t="s">
        <v>22</v>
      </c>
      <c r="H24" s="114" t="s">
        <v>134</v>
      </c>
      <c r="I24" s="153">
        <v>2150000</v>
      </c>
      <c r="J24" s="160" t="s">
        <v>86</v>
      </c>
      <c r="K24" s="161">
        <v>2039400</v>
      </c>
      <c r="L24" s="160" t="s">
        <v>52</v>
      </c>
      <c r="P24"/>
      <c r="Q24"/>
      <c r="R24"/>
      <c r="S24"/>
      <c r="T24"/>
      <c r="U24"/>
      <c r="V24"/>
      <c r="W24"/>
      <c r="X24"/>
      <c r="Y24"/>
      <c r="Z24"/>
      <c r="AA24"/>
    </row>
    <row r="25" spans="2:27" x14ac:dyDescent="0.3">
      <c r="B25" s="174" t="s">
        <v>150</v>
      </c>
      <c r="C25" s="204" t="s">
        <v>193</v>
      </c>
      <c r="D25" s="114" t="s">
        <v>195</v>
      </c>
      <c r="E25" s="114" t="s">
        <v>89</v>
      </c>
      <c r="F25" s="114">
        <v>10010</v>
      </c>
      <c r="G25" s="157" t="s">
        <v>164</v>
      </c>
      <c r="H25" s="114" t="s">
        <v>164</v>
      </c>
      <c r="I25" s="153">
        <v>644623</v>
      </c>
      <c r="J25" s="160" t="s">
        <v>194</v>
      </c>
      <c r="K25" s="161" t="s">
        <v>164</v>
      </c>
      <c r="L25" s="160" t="s">
        <v>52</v>
      </c>
      <c r="P25"/>
      <c r="Q25"/>
      <c r="R25"/>
      <c r="S25"/>
      <c r="T25"/>
      <c r="U25"/>
      <c r="V25"/>
      <c r="W25"/>
      <c r="X25"/>
      <c r="Y25"/>
      <c r="Z25"/>
      <c r="AA25"/>
    </row>
    <row r="26" spans="2:27" x14ac:dyDescent="0.3">
      <c r="B26" s="174" t="s">
        <v>150</v>
      </c>
      <c r="C26" s="204" t="s">
        <v>193</v>
      </c>
      <c r="D26" s="114" t="s">
        <v>197</v>
      </c>
      <c r="E26" s="114" t="s">
        <v>89</v>
      </c>
      <c r="F26" s="114">
        <v>10009</v>
      </c>
      <c r="G26" s="157" t="s">
        <v>164</v>
      </c>
      <c r="H26" s="114" t="s">
        <v>164</v>
      </c>
      <c r="I26" s="153">
        <v>748149.09</v>
      </c>
      <c r="J26" s="160" t="s">
        <v>196</v>
      </c>
      <c r="K26" s="161" t="s">
        <v>164</v>
      </c>
      <c r="L26" s="160" t="s">
        <v>52</v>
      </c>
      <c r="P26"/>
      <c r="Q26"/>
      <c r="R26"/>
      <c r="S26"/>
      <c r="T26"/>
      <c r="U26"/>
      <c r="V26"/>
      <c r="W26"/>
      <c r="X26"/>
      <c r="Y26"/>
      <c r="Z26"/>
      <c r="AA26"/>
    </row>
    <row r="27" spans="2:27" x14ac:dyDescent="0.3">
      <c r="B27" s="174" t="s">
        <v>150</v>
      </c>
      <c r="C27" s="204" t="s">
        <v>193</v>
      </c>
      <c r="D27" s="114" t="s">
        <v>199</v>
      </c>
      <c r="E27" s="114" t="s">
        <v>89</v>
      </c>
      <c r="F27" s="114">
        <v>10008</v>
      </c>
      <c r="G27" s="157" t="s">
        <v>164</v>
      </c>
      <c r="H27" s="114" t="s">
        <v>164</v>
      </c>
      <c r="I27" s="153">
        <v>1263726.45</v>
      </c>
      <c r="J27" s="160" t="s">
        <v>198</v>
      </c>
      <c r="K27" s="161" t="s">
        <v>164</v>
      </c>
      <c r="L27" s="160" t="s">
        <v>52</v>
      </c>
      <c r="P27"/>
      <c r="Q27"/>
      <c r="R27"/>
      <c r="S27"/>
      <c r="T27"/>
      <c r="U27"/>
      <c r="V27"/>
      <c r="W27"/>
      <c r="X27"/>
      <c r="Y27"/>
      <c r="Z27"/>
      <c r="AA27"/>
    </row>
    <row r="28" spans="2:27" x14ac:dyDescent="0.3">
      <c r="B28" s="174" t="s">
        <v>150</v>
      </c>
      <c r="C28" s="204" t="s">
        <v>193</v>
      </c>
      <c r="D28" s="114" t="s">
        <v>200</v>
      </c>
      <c r="E28" s="114" t="s">
        <v>88</v>
      </c>
      <c r="F28" s="114" t="s">
        <v>159</v>
      </c>
      <c r="G28" s="157" t="s">
        <v>23</v>
      </c>
      <c r="H28" s="114" t="s">
        <v>141</v>
      </c>
      <c r="I28" s="153">
        <v>2150000</v>
      </c>
      <c r="J28" s="160" t="s">
        <v>86</v>
      </c>
      <c r="K28" s="161">
        <v>2015504</v>
      </c>
      <c r="L28" s="160" t="s">
        <v>60</v>
      </c>
      <c r="P28"/>
      <c r="Q28"/>
      <c r="R28"/>
      <c r="S28"/>
      <c r="T28"/>
      <c r="U28"/>
      <c r="V28"/>
      <c r="W28"/>
      <c r="X28"/>
      <c r="Y28"/>
      <c r="Z28"/>
      <c r="AA28"/>
    </row>
    <row r="29" spans="2:27" x14ac:dyDescent="0.3">
      <c r="B29" s="174" t="s">
        <v>201</v>
      </c>
      <c r="C29" s="204" t="s">
        <v>202</v>
      </c>
      <c r="D29" s="114" t="s">
        <v>203</v>
      </c>
      <c r="E29" s="114" t="s">
        <v>89</v>
      </c>
      <c r="F29" s="114">
        <v>10008</v>
      </c>
      <c r="G29" s="157" t="s">
        <v>164</v>
      </c>
      <c r="H29" s="114" t="s">
        <v>164</v>
      </c>
      <c r="I29" s="153">
        <v>2004438.9750000001</v>
      </c>
      <c r="J29" s="160" t="s">
        <v>204</v>
      </c>
      <c r="K29" s="161" t="s">
        <v>164</v>
      </c>
      <c r="L29" s="160" t="s">
        <v>52</v>
      </c>
      <c r="P29"/>
      <c r="Q29"/>
      <c r="R29"/>
      <c r="S29"/>
      <c r="T29"/>
      <c r="U29"/>
      <c r="V29"/>
      <c r="W29"/>
      <c r="X29"/>
      <c r="Y29"/>
      <c r="Z29"/>
      <c r="AA29"/>
    </row>
    <row r="30" spans="2:27" x14ac:dyDescent="0.3">
      <c r="B30" s="174" t="s">
        <v>201</v>
      </c>
      <c r="C30" s="204" t="s">
        <v>202</v>
      </c>
      <c r="D30" s="114" t="s">
        <v>205</v>
      </c>
      <c r="E30" s="114" t="s">
        <v>89</v>
      </c>
      <c r="F30" s="114">
        <v>10008</v>
      </c>
      <c r="G30" s="157" t="s">
        <v>164</v>
      </c>
      <c r="H30" s="114" t="s">
        <v>164</v>
      </c>
      <c r="I30" s="153">
        <v>2314457.7749999999</v>
      </c>
      <c r="J30" s="160" t="s">
        <v>206</v>
      </c>
      <c r="K30" s="161" t="s">
        <v>164</v>
      </c>
      <c r="L30" s="160" t="s">
        <v>52</v>
      </c>
      <c r="P30"/>
      <c r="Q30"/>
      <c r="R30"/>
      <c r="S30"/>
      <c r="T30"/>
      <c r="U30"/>
      <c r="V30"/>
      <c r="W30"/>
      <c r="X30"/>
      <c r="Y30"/>
      <c r="Z30"/>
      <c r="AA30"/>
    </row>
    <row r="31" spans="2:27" x14ac:dyDescent="0.3">
      <c r="B31" s="174" t="s">
        <v>201</v>
      </c>
      <c r="C31" s="204" t="s">
        <v>202</v>
      </c>
      <c r="D31" s="114" t="s">
        <v>207</v>
      </c>
      <c r="E31" s="114" t="s">
        <v>89</v>
      </c>
      <c r="F31" s="114">
        <v>10010</v>
      </c>
      <c r="G31" s="157" t="s">
        <v>164</v>
      </c>
      <c r="H31" s="114" t="s">
        <v>164</v>
      </c>
      <c r="I31" s="153">
        <v>158912.6</v>
      </c>
      <c r="J31" s="160" t="s">
        <v>208</v>
      </c>
      <c r="K31" s="161" t="s">
        <v>164</v>
      </c>
      <c r="L31" s="160" t="s">
        <v>52</v>
      </c>
      <c r="P31"/>
      <c r="Q31"/>
      <c r="R31"/>
      <c r="S31"/>
      <c r="T31"/>
      <c r="U31"/>
      <c r="V31"/>
      <c r="W31"/>
      <c r="X31"/>
      <c r="Y31"/>
      <c r="Z31"/>
      <c r="AA31"/>
    </row>
    <row r="32" spans="2:27" x14ac:dyDescent="0.3">
      <c r="B32" s="174" t="s">
        <v>201</v>
      </c>
      <c r="C32" s="204" t="s">
        <v>202</v>
      </c>
      <c r="D32" s="114" t="s">
        <v>209</v>
      </c>
      <c r="E32" s="114" t="s">
        <v>89</v>
      </c>
      <c r="F32" s="114">
        <v>10009</v>
      </c>
      <c r="G32" s="157" t="s">
        <v>164</v>
      </c>
      <c r="H32" s="114" t="s">
        <v>164</v>
      </c>
      <c r="I32" s="153">
        <v>341120.13</v>
      </c>
      <c r="J32" s="160" t="s">
        <v>210</v>
      </c>
      <c r="K32" s="161" t="s">
        <v>164</v>
      </c>
      <c r="L32" s="160" t="s">
        <v>52</v>
      </c>
      <c r="P32"/>
      <c r="Q32"/>
      <c r="R32"/>
      <c r="S32"/>
      <c r="T32"/>
      <c r="U32"/>
      <c r="V32"/>
      <c r="W32"/>
      <c r="X32"/>
      <c r="Y32"/>
      <c r="Z32"/>
      <c r="AA32"/>
    </row>
    <row r="33" spans="2:27" x14ac:dyDescent="0.3">
      <c r="B33" s="174" t="s">
        <v>201</v>
      </c>
      <c r="C33" s="204" t="s">
        <v>202</v>
      </c>
      <c r="D33" s="114" t="s">
        <v>211</v>
      </c>
      <c r="E33" s="114" t="s">
        <v>89</v>
      </c>
      <c r="F33" s="114">
        <v>10009</v>
      </c>
      <c r="G33" s="157" t="s">
        <v>164</v>
      </c>
      <c r="H33" s="114" t="s">
        <v>164</v>
      </c>
      <c r="I33" s="153">
        <v>5573317.2299999995</v>
      </c>
      <c r="J33" s="160" t="s">
        <v>212</v>
      </c>
      <c r="K33" s="161" t="s">
        <v>164</v>
      </c>
      <c r="L33" s="160" t="s">
        <v>52</v>
      </c>
      <c r="P33"/>
      <c r="Q33"/>
      <c r="R33"/>
      <c r="S33"/>
      <c r="T33"/>
      <c r="U33"/>
      <c r="V33"/>
      <c r="W33"/>
      <c r="X33"/>
      <c r="Y33"/>
      <c r="Z33"/>
      <c r="AA33"/>
    </row>
    <row r="34" spans="2:27" x14ac:dyDescent="0.3">
      <c r="B34" s="174" t="s">
        <v>201</v>
      </c>
      <c r="C34" s="204" t="s">
        <v>213</v>
      </c>
      <c r="D34" s="114" t="s">
        <v>214</v>
      </c>
      <c r="E34" s="114" t="s">
        <v>88</v>
      </c>
      <c r="F34" s="114" t="s">
        <v>159</v>
      </c>
      <c r="G34" s="157" t="s">
        <v>164</v>
      </c>
      <c r="H34" s="114" t="s">
        <v>164</v>
      </c>
      <c r="I34" s="153">
        <v>4300000</v>
      </c>
      <c r="J34" s="160" t="s">
        <v>86</v>
      </c>
      <c r="K34" s="161" t="s">
        <v>164</v>
      </c>
      <c r="L34" s="160" t="s">
        <v>60</v>
      </c>
      <c r="P34"/>
      <c r="Q34"/>
      <c r="R34"/>
      <c r="S34"/>
      <c r="T34"/>
      <c r="U34"/>
      <c r="V34"/>
      <c r="W34"/>
      <c r="X34"/>
      <c r="Y34"/>
      <c r="Z34"/>
      <c r="AA34"/>
    </row>
    <row r="35" spans="2:27" x14ac:dyDescent="0.3">
      <c r="B35" s="174" t="s">
        <v>201</v>
      </c>
      <c r="C35" s="204" t="s">
        <v>213</v>
      </c>
      <c r="D35" s="114" t="s">
        <v>215</v>
      </c>
      <c r="E35" s="114" t="s">
        <v>89</v>
      </c>
      <c r="F35" s="114">
        <v>10009</v>
      </c>
      <c r="G35" s="157" t="s">
        <v>164</v>
      </c>
      <c r="H35" s="114" t="s">
        <v>164</v>
      </c>
      <c r="I35" s="153">
        <v>406213.47</v>
      </c>
      <c r="J35" s="160" t="s">
        <v>216</v>
      </c>
      <c r="K35" s="161" t="s">
        <v>164</v>
      </c>
      <c r="L35" s="160" t="s">
        <v>52</v>
      </c>
      <c r="P35"/>
      <c r="Q35"/>
      <c r="R35"/>
      <c r="S35"/>
      <c r="T35"/>
      <c r="U35"/>
      <c r="V35"/>
      <c r="W35"/>
      <c r="X35"/>
      <c r="Y35"/>
      <c r="Z35"/>
      <c r="AA35"/>
    </row>
    <row r="36" spans="2:27" x14ac:dyDescent="0.3">
      <c r="B36" s="174" t="s">
        <v>201</v>
      </c>
      <c r="C36" s="204" t="s">
        <v>213</v>
      </c>
      <c r="D36" s="114" t="s">
        <v>217</v>
      </c>
      <c r="E36" s="114" t="s">
        <v>89</v>
      </c>
      <c r="F36" s="114">
        <v>10009</v>
      </c>
      <c r="G36" s="157" t="s">
        <v>164</v>
      </c>
      <c r="H36" s="114" t="s">
        <v>164</v>
      </c>
      <c r="I36" s="153">
        <v>288776.27999999997</v>
      </c>
      <c r="J36" s="160" t="s">
        <v>218</v>
      </c>
      <c r="K36" s="161" t="s">
        <v>164</v>
      </c>
      <c r="L36" s="160" t="s">
        <v>52</v>
      </c>
      <c r="P36"/>
      <c r="Q36"/>
      <c r="R36"/>
      <c r="S36"/>
      <c r="T36"/>
      <c r="U36"/>
      <c r="V36"/>
      <c r="W36"/>
      <c r="X36"/>
      <c r="Y36"/>
      <c r="Z36"/>
      <c r="AA36"/>
    </row>
    <row r="37" spans="2:27" x14ac:dyDescent="0.3">
      <c r="B37" s="174" t="s">
        <v>201</v>
      </c>
      <c r="C37" s="204" t="s">
        <v>213</v>
      </c>
      <c r="D37" s="114" t="s">
        <v>219</v>
      </c>
      <c r="E37" s="114" t="s">
        <v>89</v>
      </c>
      <c r="F37" s="114">
        <v>10010</v>
      </c>
      <c r="G37" s="157" t="s">
        <v>164</v>
      </c>
      <c r="H37" s="114" t="s">
        <v>164</v>
      </c>
      <c r="I37" s="153">
        <v>157805.9</v>
      </c>
      <c r="J37" s="160" t="s">
        <v>220</v>
      </c>
      <c r="K37" s="161" t="s">
        <v>164</v>
      </c>
      <c r="L37" s="160" t="s">
        <v>52</v>
      </c>
      <c r="P37"/>
      <c r="Q37"/>
      <c r="R37"/>
      <c r="S37"/>
      <c r="T37"/>
      <c r="U37"/>
      <c r="V37"/>
      <c r="W37"/>
      <c r="X37"/>
      <c r="Y37"/>
      <c r="Z37"/>
      <c r="AA37"/>
    </row>
    <row r="38" spans="2:27" x14ac:dyDescent="0.3">
      <c r="B38" s="174" t="s">
        <v>201</v>
      </c>
      <c r="C38" s="204" t="s">
        <v>213</v>
      </c>
      <c r="D38" s="114" t="s">
        <v>221</v>
      </c>
      <c r="E38" s="114" t="s">
        <v>89</v>
      </c>
      <c r="F38" s="114">
        <v>10010</v>
      </c>
      <c r="G38" s="157" t="s">
        <v>164</v>
      </c>
      <c r="H38" s="114" t="s">
        <v>164</v>
      </c>
      <c r="I38" s="153">
        <v>242492.25000000003</v>
      </c>
      <c r="J38" s="160" t="s">
        <v>222</v>
      </c>
      <c r="K38" s="161" t="s">
        <v>164</v>
      </c>
      <c r="L38" s="160" t="s">
        <v>52</v>
      </c>
      <c r="P38"/>
      <c r="Q38"/>
      <c r="R38"/>
      <c r="S38"/>
      <c r="T38"/>
      <c r="U38"/>
      <c r="V38"/>
      <c r="W38"/>
      <c r="X38"/>
      <c r="Y38"/>
      <c r="Z38"/>
      <c r="AA38"/>
    </row>
    <row r="39" spans="2:27" x14ac:dyDescent="0.3">
      <c r="B39" s="174" t="s">
        <v>201</v>
      </c>
      <c r="C39" s="204" t="s">
        <v>213</v>
      </c>
      <c r="D39" s="114" t="s">
        <v>223</v>
      </c>
      <c r="E39" s="114" t="s">
        <v>89</v>
      </c>
      <c r="F39" s="114">
        <v>10008</v>
      </c>
      <c r="G39" s="157" t="s">
        <v>164</v>
      </c>
      <c r="H39" s="114" t="s">
        <v>164</v>
      </c>
      <c r="I39" s="153">
        <v>940097.02500000002</v>
      </c>
      <c r="J39" s="160" t="s">
        <v>224</v>
      </c>
      <c r="K39" s="161" t="s">
        <v>164</v>
      </c>
      <c r="L39" s="160" t="s">
        <v>52</v>
      </c>
      <c r="P39"/>
      <c r="Q39"/>
      <c r="R39"/>
      <c r="S39"/>
      <c r="T39"/>
      <c r="U39"/>
      <c r="V39"/>
      <c r="W39"/>
      <c r="X39"/>
      <c r="Y39"/>
      <c r="Z39"/>
      <c r="AA39"/>
    </row>
    <row r="40" spans="2:27" x14ac:dyDescent="0.3">
      <c r="B40" s="174" t="s">
        <v>201</v>
      </c>
      <c r="C40" s="204" t="s">
        <v>213</v>
      </c>
      <c r="D40" s="114" t="s">
        <v>225</v>
      </c>
      <c r="E40" s="114" t="s">
        <v>89</v>
      </c>
      <c r="F40" s="114">
        <v>10008</v>
      </c>
      <c r="G40" s="157" t="s">
        <v>164</v>
      </c>
      <c r="H40" s="114" t="s">
        <v>164</v>
      </c>
      <c r="I40" s="153">
        <v>1251401.0249999999</v>
      </c>
      <c r="J40" s="160" t="s">
        <v>226</v>
      </c>
      <c r="K40" s="161" t="s">
        <v>164</v>
      </c>
      <c r="L40" s="160" t="s">
        <v>52</v>
      </c>
      <c r="P40"/>
      <c r="Q40"/>
      <c r="R40"/>
      <c r="S40"/>
      <c r="T40"/>
      <c r="U40"/>
      <c r="V40"/>
      <c r="W40"/>
      <c r="X40"/>
      <c r="Y40"/>
      <c r="Z40"/>
      <c r="AA40"/>
    </row>
    <row r="41" spans="2:27" x14ac:dyDescent="0.3">
      <c r="B41" s="174" t="s">
        <v>201</v>
      </c>
      <c r="C41" s="202" t="s">
        <v>227</v>
      </c>
      <c r="D41" s="114" t="s">
        <v>228</v>
      </c>
      <c r="E41" s="114" t="s">
        <v>89</v>
      </c>
      <c r="F41" s="114">
        <v>10008</v>
      </c>
      <c r="G41" s="157" t="s">
        <v>164</v>
      </c>
      <c r="H41" s="114" t="s">
        <v>164</v>
      </c>
      <c r="I41" s="153">
        <v>1165685.3250000002</v>
      </c>
      <c r="J41" s="160" t="s">
        <v>229</v>
      </c>
      <c r="K41" s="161" t="s">
        <v>164</v>
      </c>
      <c r="L41" s="160" t="s">
        <v>52</v>
      </c>
      <c r="P41"/>
      <c r="Q41"/>
      <c r="R41"/>
      <c r="S41"/>
      <c r="T41"/>
      <c r="U41"/>
      <c r="V41"/>
      <c r="W41"/>
      <c r="X41"/>
      <c r="Y41"/>
      <c r="Z41"/>
      <c r="AA41"/>
    </row>
    <row r="42" spans="2:27" x14ac:dyDescent="0.3">
      <c r="B42" s="174" t="s">
        <v>201</v>
      </c>
      <c r="C42" s="202" t="s">
        <v>227</v>
      </c>
      <c r="D42" s="114" t="s">
        <v>230</v>
      </c>
      <c r="E42" s="114" t="s">
        <v>89</v>
      </c>
      <c r="F42" s="114">
        <v>10009</v>
      </c>
      <c r="G42" s="157" t="s">
        <v>164</v>
      </c>
      <c r="H42" s="114" t="s">
        <v>164</v>
      </c>
      <c r="I42" s="153">
        <v>459638.01</v>
      </c>
      <c r="J42" s="160" t="s">
        <v>231</v>
      </c>
      <c r="K42" s="161" t="s">
        <v>164</v>
      </c>
      <c r="L42" s="160" t="s">
        <v>52</v>
      </c>
      <c r="P42"/>
      <c r="Q42"/>
      <c r="R42"/>
      <c r="S42"/>
      <c r="T42"/>
      <c r="U42"/>
      <c r="V42"/>
      <c r="W42"/>
      <c r="X42"/>
      <c r="Y42"/>
      <c r="Z42"/>
      <c r="AA42"/>
    </row>
    <row r="43" spans="2:27" x14ac:dyDescent="0.3">
      <c r="B43" s="174" t="s">
        <v>201</v>
      </c>
      <c r="C43" s="202" t="s">
        <v>227</v>
      </c>
      <c r="D43" s="114" t="s">
        <v>232</v>
      </c>
      <c r="E43" s="114" t="s">
        <v>89</v>
      </c>
      <c r="F43" s="114">
        <v>10009</v>
      </c>
      <c r="G43" s="157" t="s">
        <v>164</v>
      </c>
      <c r="H43" s="114" t="s">
        <v>164</v>
      </c>
      <c r="I43" s="153">
        <v>4995380.129999999</v>
      </c>
      <c r="J43" s="160" t="s">
        <v>233</v>
      </c>
      <c r="K43" s="161" t="s">
        <v>164</v>
      </c>
      <c r="L43" s="160" t="s">
        <v>52</v>
      </c>
      <c r="P43"/>
      <c r="Q43"/>
      <c r="R43"/>
      <c r="S43"/>
      <c r="T43"/>
      <c r="U43"/>
      <c r="V43"/>
      <c r="W43"/>
      <c r="X43"/>
      <c r="Y43"/>
      <c r="Z43"/>
      <c r="AA43"/>
    </row>
    <row r="44" spans="2:27" x14ac:dyDescent="0.3">
      <c r="B44" s="174" t="s">
        <v>201</v>
      </c>
      <c r="C44" s="204" t="s">
        <v>227</v>
      </c>
      <c r="D44" s="114" t="s">
        <v>234</v>
      </c>
      <c r="E44" s="114" t="s">
        <v>89</v>
      </c>
      <c r="F44" s="114">
        <v>10008</v>
      </c>
      <c r="G44" s="157" t="s">
        <v>164</v>
      </c>
      <c r="H44" s="114" t="s">
        <v>164</v>
      </c>
      <c r="I44" s="153">
        <v>6770031.9750000006</v>
      </c>
      <c r="J44" s="160" t="s">
        <v>235</v>
      </c>
      <c r="K44" s="161" t="s">
        <v>164</v>
      </c>
      <c r="L44" s="160" t="s">
        <v>52</v>
      </c>
      <c r="P44"/>
      <c r="Q44"/>
      <c r="R44"/>
      <c r="S44"/>
      <c r="T44"/>
      <c r="U44"/>
      <c r="V44"/>
      <c r="W44"/>
      <c r="X44"/>
      <c r="Y44"/>
      <c r="Z44"/>
      <c r="AA44"/>
    </row>
    <row r="45" spans="2:27" x14ac:dyDescent="0.3">
      <c r="B45" s="174" t="s">
        <v>201</v>
      </c>
      <c r="C45" s="204" t="s">
        <v>227</v>
      </c>
      <c r="D45" s="114" t="s">
        <v>236</v>
      </c>
      <c r="E45" s="114" t="s">
        <v>88</v>
      </c>
      <c r="F45" s="114" t="s">
        <v>159</v>
      </c>
      <c r="G45" s="157" t="s">
        <v>63</v>
      </c>
      <c r="H45" s="114" t="s">
        <v>69</v>
      </c>
      <c r="I45" s="153">
        <v>2150000</v>
      </c>
      <c r="J45" s="160" t="s">
        <v>86</v>
      </c>
      <c r="K45" s="161">
        <v>2036929</v>
      </c>
      <c r="L45" s="160" t="s">
        <v>60</v>
      </c>
      <c r="P45"/>
      <c r="Q45"/>
      <c r="R45"/>
      <c r="S45"/>
      <c r="T45"/>
      <c r="U45"/>
      <c r="V45"/>
      <c r="W45"/>
      <c r="X45"/>
      <c r="Y45"/>
      <c r="Z45"/>
      <c r="AA45"/>
    </row>
    <row r="46" spans="2:27" x14ac:dyDescent="0.3">
      <c r="B46" s="174" t="s">
        <v>201</v>
      </c>
      <c r="C46" s="204" t="s">
        <v>237</v>
      </c>
      <c r="D46" s="114" t="s">
        <v>238</v>
      </c>
      <c r="E46" s="114" t="s">
        <v>89</v>
      </c>
      <c r="F46" s="114">
        <v>10008</v>
      </c>
      <c r="G46" s="157" t="s">
        <v>164</v>
      </c>
      <c r="H46" s="114" t="s">
        <v>164</v>
      </c>
      <c r="I46" s="153">
        <v>723174.89999999991</v>
      </c>
      <c r="J46" s="160" t="s">
        <v>239</v>
      </c>
      <c r="K46" s="161" t="s">
        <v>164</v>
      </c>
      <c r="L46" s="160" t="s">
        <v>52</v>
      </c>
      <c r="P46"/>
      <c r="Q46"/>
      <c r="R46"/>
      <c r="S46"/>
      <c r="T46"/>
      <c r="U46"/>
      <c r="V46"/>
      <c r="W46"/>
      <c r="X46"/>
      <c r="Y46"/>
      <c r="Z46"/>
      <c r="AA46"/>
    </row>
    <row r="47" spans="2:27" x14ac:dyDescent="0.3">
      <c r="B47" s="174" t="s">
        <v>201</v>
      </c>
      <c r="C47" s="204" t="s">
        <v>237</v>
      </c>
      <c r="D47" s="114" t="s">
        <v>240</v>
      </c>
      <c r="E47" s="114" t="s">
        <v>89</v>
      </c>
      <c r="F47" s="114">
        <v>10009</v>
      </c>
      <c r="G47" s="157" t="s">
        <v>164</v>
      </c>
      <c r="H47" s="114" t="s">
        <v>164</v>
      </c>
      <c r="I47" s="153">
        <v>286157.43</v>
      </c>
      <c r="J47" s="160" t="s">
        <v>241</v>
      </c>
      <c r="K47" s="161" t="s">
        <v>164</v>
      </c>
      <c r="L47" s="160" t="s">
        <v>52</v>
      </c>
      <c r="P47"/>
      <c r="Q47"/>
      <c r="R47"/>
      <c r="S47"/>
      <c r="T47"/>
      <c r="U47"/>
      <c r="V47"/>
      <c r="W47"/>
      <c r="X47"/>
      <c r="Y47"/>
      <c r="Z47"/>
      <c r="AA47"/>
    </row>
    <row r="48" spans="2:27" x14ac:dyDescent="0.3">
      <c r="B48" s="174" t="s">
        <v>201</v>
      </c>
      <c r="C48" s="204" t="s">
        <v>237</v>
      </c>
      <c r="D48" s="114" t="s">
        <v>242</v>
      </c>
      <c r="E48" s="114" t="s">
        <v>88</v>
      </c>
      <c r="F48" s="114" t="s">
        <v>159</v>
      </c>
      <c r="G48" s="157" t="s">
        <v>24</v>
      </c>
      <c r="H48" s="114" t="s">
        <v>147</v>
      </c>
      <c r="I48" s="153">
        <v>2150000</v>
      </c>
      <c r="J48" s="160" t="s">
        <v>86</v>
      </c>
      <c r="K48" s="161">
        <v>2015486</v>
      </c>
      <c r="L48" s="160" t="s">
        <v>52</v>
      </c>
      <c r="P48"/>
      <c r="Q48"/>
      <c r="R48"/>
      <c r="S48"/>
      <c r="T48"/>
      <c r="U48"/>
      <c r="V48"/>
      <c r="W48"/>
      <c r="X48"/>
      <c r="Y48"/>
      <c r="Z48"/>
      <c r="AA48"/>
    </row>
    <row r="49" spans="2:27" x14ac:dyDescent="0.3">
      <c r="B49" s="174" t="s">
        <v>201</v>
      </c>
      <c r="C49" s="204" t="s">
        <v>243</v>
      </c>
      <c r="D49" s="114" t="s">
        <v>244</v>
      </c>
      <c r="E49" s="114" t="s">
        <v>89</v>
      </c>
      <c r="F49" s="114">
        <v>10008</v>
      </c>
      <c r="G49" s="157" t="s">
        <v>164</v>
      </c>
      <c r="H49" s="114" t="s">
        <v>164</v>
      </c>
      <c r="I49" s="153">
        <v>7455561.2250000006</v>
      </c>
      <c r="J49" s="160" t="s">
        <v>245</v>
      </c>
      <c r="K49" s="161" t="s">
        <v>164</v>
      </c>
      <c r="L49" s="160" t="s">
        <v>52</v>
      </c>
      <c r="P49"/>
      <c r="Q49"/>
      <c r="R49"/>
      <c r="S49"/>
      <c r="T49"/>
      <c r="U49"/>
      <c r="V49"/>
      <c r="W49"/>
      <c r="X49"/>
      <c r="Y49"/>
      <c r="Z49"/>
      <c r="AA49"/>
    </row>
    <row r="50" spans="2:27" x14ac:dyDescent="0.3">
      <c r="B50" s="174" t="s">
        <v>201</v>
      </c>
      <c r="C50" s="204" t="s">
        <v>243</v>
      </c>
      <c r="D50" s="114" t="s">
        <v>246</v>
      </c>
      <c r="E50" s="114" t="s">
        <v>89</v>
      </c>
      <c r="F50" s="114">
        <v>10009</v>
      </c>
      <c r="G50" s="157" t="s">
        <v>164</v>
      </c>
      <c r="H50" s="114" t="s">
        <v>164</v>
      </c>
      <c r="I50" s="153">
        <v>5894451.2250000006</v>
      </c>
      <c r="J50" s="160" t="s">
        <v>247</v>
      </c>
      <c r="K50" s="161" t="s">
        <v>164</v>
      </c>
      <c r="L50" s="160" t="s">
        <v>52</v>
      </c>
      <c r="P50"/>
      <c r="Q50"/>
      <c r="R50"/>
      <c r="S50"/>
      <c r="T50"/>
      <c r="U50"/>
      <c r="V50"/>
      <c r="W50"/>
      <c r="X50"/>
      <c r="Y50"/>
      <c r="Z50"/>
      <c r="AA50"/>
    </row>
    <row r="51" spans="2:27" x14ac:dyDescent="0.3">
      <c r="B51" s="174" t="s">
        <v>201</v>
      </c>
      <c r="C51" s="204" t="s">
        <v>243</v>
      </c>
      <c r="D51" s="114" t="s">
        <v>248</v>
      </c>
      <c r="E51" s="114" t="s">
        <v>88</v>
      </c>
      <c r="F51" s="114" t="s">
        <v>159</v>
      </c>
      <c r="G51" s="157" t="s">
        <v>27</v>
      </c>
      <c r="H51" s="114" t="s">
        <v>90</v>
      </c>
      <c r="I51" s="153">
        <v>2150000</v>
      </c>
      <c r="J51" s="160" t="s">
        <v>86</v>
      </c>
      <c r="K51" s="161">
        <v>2017482</v>
      </c>
      <c r="L51" s="160" t="s">
        <v>52</v>
      </c>
      <c r="P51"/>
      <c r="Q51"/>
      <c r="R51"/>
      <c r="S51"/>
      <c r="T51"/>
      <c r="U51"/>
      <c r="V51"/>
      <c r="W51"/>
      <c r="X51"/>
      <c r="Y51"/>
      <c r="Z51"/>
      <c r="AA51"/>
    </row>
    <row r="52" spans="2:27" x14ac:dyDescent="0.3">
      <c r="B52" s="174" t="s">
        <v>201</v>
      </c>
      <c r="C52" s="204" t="s">
        <v>243</v>
      </c>
      <c r="D52" s="114" t="s">
        <v>249</v>
      </c>
      <c r="E52" s="114" t="s">
        <v>88</v>
      </c>
      <c r="F52" s="114" t="s">
        <v>159</v>
      </c>
      <c r="G52" s="157" t="s">
        <v>22</v>
      </c>
      <c r="H52" s="114" t="s">
        <v>134</v>
      </c>
      <c r="I52" s="153">
        <v>2150000</v>
      </c>
      <c r="J52" s="160" t="s">
        <v>86</v>
      </c>
      <c r="K52" s="161">
        <v>2017549</v>
      </c>
      <c r="L52" s="160" t="s">
        <v>60</v>
      </c>
      <c r="P52"/>
      <c r="Q52"/>
      <c r="R52"/>
      <c r="S52"/>
      <c r="T52"/>
      <c r="U52"/>
      <c r="V52"/>
      <c r="W52"/>
      <c r="X52"/>
      <c r="Y52"/>
      <c r="Z52"/>
      <c r="AA52"/>
    </row>
    <row r="53" spans="2:27" x14ac:dyDescent="0.3">
      <c r="B53" s="174" t="s">
        <v>201</v>
      </c>
      <c r="C53" s="204" t="s">
        <v>250</v>
      </c>
      <c r="D53" s="114" t="s">
        <v>251</v>
      </c>
      <c r="E53" s="114" t="s">
        <v>88</v>
      </c>
      <c r="F53" s="114" t="s">
        <v>159</v>
      </c>
      <c r="G53" s="157" t="s">
        <v>47</v>
      </c>
      <c r="H53" s="114" t="s">
        <v>136</v>
      </c>
      <c r="I53" s="153">
        <v>2150000</v>
      </c>
      <c r="J53" s="160" t="s">
        <v>86</v>
      </c>
      <c r="K53" s="161">
        <v>2017556</v>
      </c>
      <c r="L53" s="160" t="s">
        <v>60</v>
      </c>
      <c r="P53"/>
      <c r="Q53"/>
      <c r="R53"/>
      <c r="S53"/>
      <c r="T53"/>
      <c r="U53"/>
      <c r="V53"/>
      <c r="W53"/>
      <c r="X53"/>
      <c r="Y53"/>
      <c r="Z53"/>
      <c r="AA53"/>
    </row>
    <row r="54" spans="2:27" x14ac:dyDescent="0.3">
      <c r="B54" s="174" t="s">
        <v>201</v>
      </c>
      <c r="C54" s="204" t="s">
        <v>252</v>
      </c>
      <c r="D54" s="114" t="s">
        <v>253</v>
      </c>
      <c r="E54" s="114" t="s">
        <v>89</v>
      </c>
      <c r="F54" s="114">
        <v>10008</v>
      </c>
      <c r="G54" s="157" t="s">
        <v>164</v>
      </c>
      <c r="H54" s="114" t="s">
        <v>164</v>
      </c>
      <c r="I54" s="153">
        <v>3981504.1249999991</v>
      </c>
      <c r="J54" s="160" t="s">
        <v>254</v>
      </c>
      <c r="K54" s="161" t="s">
        <v>164</v>
      </c>
      <c r="L54" s="160" t="s">
        <v>52</v>
      </c>
      <c r="P54"/>
      <c r="Q54"/>
      <c r="R54"/>
      <c r="S54"/>
      <c r="T54"/>
      <c r="U54"/>
      <c r="V54"/>
      <c r="W54"/>
      <c r="X54"/>
      <c r="Y54"/>
      <c r="Z54"/>
      <c r="AA54"/>
    </row>
    <row r="55" spans="2:27" x14ac:dyDescent="0.3">
      <c r="B55" s="174" t="s">
        <v>201</v>
      </c>
      <c r="C55" s="204" t="s">
        <v>255</v>
      </c>
      <c r="D55" s="114" t="s">
        <v>257</v>
      </c>
      <c r="E55" s="114" t="s">
        <v>89</v>
      </c>
      <c r="F55" s="114">
        <v>10008</v>
      </c>
      <c r="G55" s="157" t="s">
        <v>164</v>
      </c>
      <c r="H55" s="114" t="s">
        <v>164</v>
      </c>
      <c r="I55" s="153">
        <v>5440911.6249999991</v>
      </c>
      <c r="J55" s="160" t="s">
        <v>256</v>
      </c>
      <c r="K55" s="161" t="s">
        <v>164</v>
      </c>
      <c r="L55" s="160" t="s">
        <v>52</v>
      </c>
      <c r="P55"/>
      <c r="Q55"/>
      <c r="R55"/>
      <c r="S55"/>
      <c r="T55"/>
      <c r="U55"/>
      <c r="V55"/>
      <c r="W55"/>
      <c r="X55"/>
      <c r="Y55"/>
      <c r="Z55"/>
      <c r="AA55"/>
    </row>
    <row r="56" spans="2:27" x14ac:dyDescent="0.3">
      <c r="B56" s="174" t="s">
        <v>201</v>
      </c>
      <c r="C56" s="204" t="s">
        <v>255</v>
      </c>
      <c r="D56" s="114" t="s">
        <v>259</v>
      </c>
      <c r="E56" s="114" t="s">
        <v>89</v>
      </c>
      <c r="F56" s="114">
        <v>10009</v>
      </c>
      <c r="G56" s="157" t="s">
        <v>164</v>
      </c>
      <c r="H56" s="114" t="s">
        <v>164</v>
      </c>
      <c r="I56" s="153">
        <v>549118.69999999995</v>
      </c>
      <c r="J56" s="160" t="s">
        <v>258</v>
      </c>
      <c r="K56" s="161" t="s">
        <v>164</v>
      </c>
      <c r="L56" s="160" t="s">
        <v>52</v>
      </c>
      <c r="P56"/>
      <c r="Q56"/>
      <c r="R56"/>
      <c r="S56"/>
      <c r="T56"/>
      <c r="U56"/>
      <c r="V56"/>
      <c r="W56"/>
      <c r="X56"/>
      <c r="Y56"/>
      <c r="Z56"/>
      <c r="AA56"/>
    </row>
    <row r="57" spans="2:27" x14ac:dyDescent="0.3">
      <c r="B57" s="174" t="s">
        <v>201</v>
      </c>
      <c r="C57" s="204" t="s">
        <v>260</v>
      </c>
      <c r="D57" s="114" t="s">
        <v>261</v>
      </c>
      <c r="E57" s="114" t="s">
        <v>88</v>
      </c>
      <c r="F57" s="114" t="s">
        <v>159</v>
      </c>
      <c r="G57" s="157" t="s">
        <v>48</v>
      </c>
      <c r="H57" s="114" t="s">
        <v>71</v>
      </c>
      <c r="I57" s="153">
        <v>2150000</v>
      </c>
      <c r="J57" s="160" t="s">
        <v>86</v>
      </c>
      <c r="K57" s="161">
        <v>2045311</v>
      </c>
      <c r="L57" s="160" t="s">
        <v>60</v>
      </c>
      <c r="N57" s="228"/>
      <c r="P57"/>
      <c r="Q57"/>
      <c r="R57"/>
      <c r="S57"/>
      <c r="T57"/>
      <c r="U57"/>
      <c r="V57"/>
      <c r="W57"/>
      <c r="X57"/>
      <c r="Y57"/>
      <c r="Z57"/>
      <c r="AA57"/>
    </row>
    <row r="58" spans="2:27" x14ac:dyDescent="0.3">
      <c r="B58" s="174" t="s">
        <v>201</v>
      </c>
      <c r="C58" s="204" t="s">
        <v>262</v>
      </c>
      <c r="D58" s="114" t="s">
        <v>263</v>
      </c>
      <c r="E58" s="114" t="s">
        <v>89</v>
      </c>
      <c r="F58" s="114">
        <v>10008</v>
      </c>
      <c r="G58" s="157" t="s">
        <v>164</v>
      </c>
      <c r="H58" s="114" t="s">
        <v>164</v>
      </c>
      <c r="I58" s="153">
        <v>11540941.725000001</v>
      </c>
      <c r="J58" s="160" t="s">
        <v>264</v>
      </c>
      <c r="K58" s="161" t="s">
        <v>164</v>
      </c>
      <c r="L58" s="160" t="s">
        <v>52</v>
      </c>
      <c r="P58"/>
      <c r="Q58"/>
      <c r="R58"/>
      <c r="S58"/>
      <c r="T58"/>
      <c r="U58"/>
      <c r="V58"/>
      <c r="W58"/>
      <c r="X58"/>
      <c r="Y58"/>
      <c r="Z58"/>
      <c r="AA58"/>
    </row>
    <row r="59" spans="2:27" x14ac:dyDescent="0.3">
      <c r="B59" s="174" t="s">
        <v>201</v>
      </c>
      <c r="C59" s="204" t="s">
        <v>262</v>
      </c>
      <c r="D59" s="114" t="s">
        <v>266</v>
      </c>
      <c r="E59" s="114" t="s">
        <v>89</v>
      </c>
      <c r="F59" s="114">
        <v>10009</v>
      </c>
      <c r="G59" s="157" t="s">
        <v>164</v>
      </c>
      <c r="H59" s="114" t="s">
        <v>164</v>
      </c>
      <c r="I59" s="153">
        <v>242114.34</v>
      </c>
      <c r="J59" s="160" t="s">
        <v>265</v>
      </c>
      <c r="K59" s="161" t="s">
        <v>164</v>
      </c>
      <c r="L59" s="160" t="s">
        <v>52</v>
      </c>
      <c r="P59"/>
      <c r="Q59"/>
      <c r="R59"/>
      <c r="S59"/>
      <c r="T59"/>
      <c r="U59"/>
      <c r="V59"/>
      <c r="W59"/>
      <c r="X59"/>
      <c r="Y59"/>
      <c r="Z59"/>
      <c r="AA59"/>
    </row>
    <row r="60" spans="2:27" x14ac:dyDescent="0.3">
      <c r="B60" s="174" t="s">
        <v>201</v>
      </c>
      <c r="C60" s="204" t="s">
        <v>262</v>
      </c>
      <c r="D60" s="114" t="s">
        <v>268</v>
      </c>
      <c r="E60" s="114" t="s">
        <v>89</v>
      </c>
      <c r="F60" s="114">
        <v>10009</v>
      </c>
      <c r="G60" s="157" t="s">
        <v>164</v>
      </c>
      <c r="H60" s="114" t="s">
        <v>164</v>
      </c>
      <c r="I60" s="153">
        <v>891806.82500000007</v>
      </c>
      <c r="J60" s="160" t="s">
        <v>267</v>
      </c>
      <c r="K60" s="161" t="s">
        <v>164</v>
      </c>
      <c r="L60" s="160" t="s">
        <v>52</v>
      </c>
      <c r="P60"/>
      <c r="Q60"/>
      <c r="R60"/>
      <c r="S60"/>
      <c r="T60"/>
      <c r="U60"/>
      <c r="V60"/>
      <c r="W60"/>
      <c r="X60"/>
      <c r="Y60"/>
      <c r="Z60"/>
      <c r="AA60"/>
    </row>
    <row r="61" spans="2:27" x14ac:dyDescent="0.3">
      <c r="B61" s="174" t="s">
        <v>201</v>
      </c>
      <c r="C61" s="204" t="s">
        <v>270</v>
      </c>
      <c r="D61" s="114" t="s">
        <v>272</v>
      </c>
      <c r="E61" s="114" t="s">
        <v>89</v>
      </c>
      <c r="F61" s="114">
        <v>10008</v>
      </c>
      <c r="G61" s="157" t="s">
        <v>164</v>
      </c>
      <c r="H61" s="114" t="s">
        <v>164</v>
      </c>
      <c r="I61" s="153">
        <v>3900381.4</v>
      </c>
      <c r="J61" s="160" t="s">
        <v>271</v>
      </c>
      <c r="K61" s="161" t="s">
        <v>164</v>
      </c>
      <c r="L61" s="160" t="s">
        <v>52</v>
      </c>
      <c r="P61"/>
      <c r="Q61"/>
      <c r="R61"/>
      <c r="S61"/>
      <c r="T61"/>
      <c r="U61"/>
      <c r="V61"/>
      <c r="W61"/>
      <c r="X61"/>
      <c r="Y61"/>
      <c r="Z61"/>
      <c r="AA61"/>
    </row>
    <row r="62" spans="2:27" x14ac:dyDescent="0.3">
      <c r="B62" s="174" t="s">
        <v>201</v>
      </c>
      <c r="C62" s="204" t="s">
        <v>270</v>
      </c>
      <c r="D62" s="114" t="s">
        <v>274</v>
      </c>
      <c r="E62" s="114" t="s">
        <v>89</v>
      </c>
      <c r="F62" s="114">
        <v>10009</v>
      </c>
      <c r="G62" s="157" t="s">
        <v>164</v>
      </c>
      <c r="H62" s="114" t="s">
        <v>164</v>
      </c>
      <c r="I62" s="153">
        <v>1287526.45</v>
      </c>
      <c r="J62" s="160" t="s">
        <v>273</v>
      </c>
      <c r="K62" s="161" t="s">
        <v>164</v>
      </c>
      <c r="L62" s="160" t="s">
        <v>52</v>
      </c>
      <c r="P62"/>
      <c r="Q62"/>
      <c r="R62"/>
      <c r="S62"/>
      <c r="T62"/>
      <c r="U62"/>
      <c r="V62"/>
      <c r="W62"/>
      <c r="X62"/>
      <c r="Y62"/>
      <c r="Z62"/>
      <c r="AA62"/>
    </row>
    <row r="63" spans="2:27" x14ac:dyDescent="0.3">
      <c r="B63" s="174" t="s">
        <v>269</v>
      </c>
      <c r="C63" s="204" t="s">
        <v>270</v>
      </c>
      <c r="D63" s="114" t="s">
        <v>275</v>
      </c>
      <c r="E63" s="114" t="s">
        <v>89</v>
      </c>
      <c r="F63" s="114">
        <v>10008</v>
      </c>
      <c r="G63" s="157" t="s">
        <v>164</v>
      </c>
      <c r="H63" s="114" t="s">
        <v>164</v>
      </c>
      <c r="I63" s="153">
        <v>3598764</v>
      </c>
      <c r="J63" s="160" t="s">
        <v>276</v>
      </c>
      <c r="K63" s="161" t="s">
        <v>164</v>
      </c>
      <c r="L63" s="160" t="s">
        <v>52</v>
      </c>
      <c r="P63"/>
      <c r="Q63"/>
      <c r="R63"/>
      <c r="S63"/>
      <c r="T63"/>
      <c r="U63"/>
      <c r="V63"/>
      <c r="W63"/>
      <c r="X63"/>
      <c r="Y63"/>
      <c r="Z63"/>
      <c r="AA63"/>
    </row>
    <row r="64" spans="2:27" x14ac:dyDescent="0.3">
      <c r="B64" s="174" t="s">
        <v>269</v>
      </c>
      <c r="C64" s="204" t="s">
        <v>270</v>
      </c>
      <c r="D64" s="114" t="s">
        <v>277</v>
      </c>
      <c r="E64" s="114" t="s">
        <v>89</v>
      </c>
      <c r="F64" s="114">
        <v>10009</v>
      </c>
      <c r="G64" s="157" t="s">
        <v>164</v>
      </c>
      <c r="H64" s="114" t="s">
        <v>164</v>
      </c>
      <c r="I64" s="153">
        <v>1045992.1499999999</v>
      </c>
      <c r="J64" s="160" t="s">
        <v>278</v>
      </c>
      <c r="K64" s="161" t="s">
        <v>164</v>
      </c>
      <c r="L64" s="160" t="s">
        <v>52</v>
      </c>
      <c r="P64"/>
      <c r="Q64"/>
      <c r="R64"/>
      <c r="S64"/>
      <c r="T64"/>
      <c r="U64"/>
      <c r="V64"/>
      <c r="W64"/>
      <c r="X64"/>
      <c r="Y64"/>
      <c r="Z64"/>
      <c r="AA64"/>
    </row>
    <row r="65" spans="2:27" x14ac:dyDescent="0.3">
      <c r="B65" s="174" t="s">
        <v>269</v>
      </c>
      <c r="C65" s="204" t="s">
        <v>279</v>
      </c>
      <c r="D65" s="114" t="s">
        <v>280</v>
      </c>
      <c r="E65" s="114" t="s">
        <v>88</v>
      </c>
      <c r="F65" s="114" t="s">
        <v>159</v>
      </c>
      <c r="G65" s="157" t="s">
        <v>23</v>
      </c>
      <c r="H65" s="114" t="s">
        <v>141</v>
      </c>
      <c r="I65" s="153">
        <v>2150000</v>
      </c>
      <c r="J65" s="160" t="s">
        <v>86</v>
      </c>
      <c r="K65" s="161">
        <v>2017589</v>
      </c>
      <c r="L65" s="160" t="s">
        <v>60</v>
      </c>
      <c r="P65"/>
      <c r="Q65"/>
      <c r="R65"/>
      <c r="S65"/>
      <c r="T65"/>
      <c r="U65"/>
      <c r="V65"/>
      <c r="W65"/>
      <c r="X65"/>
      <c r="Y65"/>
      <c r="Z65"/>
      <c r="AA65"/>
    </row>
    <row r="66" spans="2:27" x14ac:dyDescent="0.3">
      <c r="B66" s="174" t="s">
        <v>269</v>
      </c>
      <c r="C66" s="204" t="s">
        <v>279</v>
      </c>
      <c r="D66" s="114" t="s">
        <v>281</v>
      </c>
      <c r="E66" s="114" t="s">
        <v>88</v>
      </c>
      <c r="F66" s="114" t="s">
        <v>159</v>
      </c>
      <c r="G66" s="157" t="s">
        <v>164</v>
      </c>
      <c r="H66" s="114" t="s">
        <v>164</v>
      </c>
      <c r="I66" s="153">
        <v>6450000</v>
      </c>
      <c r="J66" s="160" t="s">
        <v>86</v>
      </c>
      <c r="K66" s="161" t="s">
        <v>164</v>
      </c>
      <c r="L66" s="160" t="s">
        <v>52</v>
      </c>
      <c r="P66"/>
      <c r="Q66"/>
      <c r="R66"/>
      <c r="S66"/>
      <c r="T66"/>
      <c r="U66"/>
      <c r="V66"/>
      <c r="W66"/>
      <c r="X66"/>
      <c r="Y66"/>
      <c r="Z66"/>
      <c r="AA66"/>
    </row>
    <row r="67" spans="2:27" x14ac:dyDescent="0.3">
      <c r="B67" s="174" t="s">
        <v>269</v>
      </c>
      <c r="C67" s="204" t="s">
        <v>279</v>
      </c>
      <c r="D67" s="114" t="s">
        <v>282</v>
      </c>
      <c r="E67" s="114" t="s">
        <v>89</v>
      </c>
      <c r="F67" s="114">
        <v>10009</v>
      </c>
      <c r="G67" s="157" t="s">
        <v>164</v>
      </c>
      <c r="H67" s="114" t="s">
        <v>164</v>
      </c>
      <c r="I67" s="153">
        <v>225213.44999999998</v>
      </c>
      <c r="J67" s="160" t="s">
        <v>283</v>
      </c>
      <c r="K67" s="161" t="s">
        <v>164</v>
      </c>
      <c r="L67" s="160" t="s">
        <v>52</v>
      </c>
      <c r="P67"/>
      <c r="Q67"/>
      <c r="R67"/>
      <c r="S67"/>
      <c r="T67"/>
      <c r="U67"/>
      <c r="V67"/>
      <c r="W67"/>
      <c r="X67"/>
      <c r="Y67"/>
      <c r="Z67"/>
      <c r="AA67"/>
    </row>
    <row r="68" spans="2:27" x14ac:dyDescent="0.3">
      <c r="B68" s="174" t="s">
        <v>269</v>
      </c>
      <c r="C68" s="204" t="s">
        <v>279</v>
      </c>
      <c r="D68" s="114" t="s">
        <v>284</v>
      </c>
      <c r="E68" s="114" t="s">
        <v>89</v>
      </c>
      <c r="F68" s="114">
        <v>10008</v>
      </c>
      <c r="G68" s="157" t="s">
        <v>164</v>
      </c>
      <c r="H68" s="114" t="s">
        <v>164</v>
      </c>
      <c r="I68" s="153">
        <v>452562.95</v>
      </c>
      <c r="J68" s="160" t="s">
        <v>285</v>
      </c>
      <c r="K68" s="161" t="s">
        <v>164</v>
      </c>
      <c r="L68" s="160" t="s">
        <v>52</v>
      </c>
      <c r="P68"/>
      <c r="Q68"/>
      <c r="R68"/>
      <c r="S68"/>
      <c r="T68"/>
      <c r="U68"/>
      <c r="V68"/>
      <c r="W68"/>
      <c r="X68"/>
      <c r="Y68"/>
      <c r="Z68"/>
      <c r="AA68"/>
    </row>
    <row r="69" spans="2:27" x14ac:dyDescent="0.3">
      <c r="B69" s="174" t="s">
        <v>269</v>
      </c>
      <c r="C69" s="204" t="s">
        <v>279</v>
      </c>
      <c r="D69" s="114" t="s">
        <v>286</v>
      </c>
      <c r="E69" s="114" t="s">
        <v>89</v>
      </c>
      <c r="F69" s="114">
        <v>10008</v>
      </c>
      <c r="G69" s="157" t="s">
        <v>164</v>
      </c>
      <c r="H69" s="114" t="s">
        <v>164</v>
      </c>
      <c r="I69" s="153">
        <v>971468.82499999995</v>
      </c>
      <c r="J69" s="160" t="s">
        <v>287</v>
      </c>
      <c r="K69" s="161" t="s">
        <v>164</v>
      </c>
      <c r="L69" s="160" t="s">
        <v>52</v>
      </c>
      <c r="P69"/>
      <c r="Q69"/>
      <c r="R69"/>
      <c r="S69"/>
      <c r="T69"/>
      <c r="U69"/>
      <c r="V69"/>
      <c r="W69"/>
      <c r="X69"/>
      <c r="Y69"/>
      <c r="Z69"/>
      <c r="AA69"/>
    </row>
    <row r="70" spans="2:27" x14ac:dyDescent="0.3">
      <c r="B70" s="174" t="s">
        <v>269</v>
      </c>
      <c r="C70" s="204" t="s">
        <v>288</v>
      </c>
      <c r="D70" s="114" t="s">
        <v>289</v>
      </c>
      <c r="E70" s="114" t="s">
        <v>89</v>
      </c>
      <c r="F70" s="114">
        <v>10009</v>
      </c>
      <c r="G70" s="157" t="s">
        <v>164</v>
      </c>
      <c r="H70" s="114" t="s">
        <v>164</v>
      </c>
      <c r="I70" s="153">
        <v>827341.55</v>
      </c>
      <c r="J70" s="160" t="s">
        <v>290</v>
      </c>
      <c r="K70" s="161" t="s">
        <v>164</v>
      </c>
      <c r="L70" s="160" t="s">
        <v>52</v>
      </c>
      <c r="P70"/>
      <c r="Q70"/>
      <c r="R70"/>
      <c r="S70"/>
      <c r="T70"/>
      <c r="U70"/>
      <c r="V70"/>
      <c r="W70"/>
      <c r="X70"/>
      <c r="Y70"/>
      <c r="Z70"/>
      <c r="AA70"/>
    </row>
    <row r="71" spans="2:27" x14ac:dyDescent="0.3">
      <c r="B71" s="174" t="s">
        <v>269</v>
      </c>
      <c r="C71" s="204" t="s">
        <v>288</v>
      </c>
      <c r="D71" s="114" t="s">
        <v>291</v>
      </c>
      <c r="E71" s="114" t="s">
        <v>89</v>
      </c>
      <c r="F71" s="114">
        <v>10008</v>
      </c>
      <c r="G71" s="157" t="s">
        <v>164</v>
      </c>
      <c r="H71" s="114" t="s">
        <v>164</v>
      </c>
      <c r="I71" s="153">
        <v>1038759.925</v>
      </c>
      <c r="J71" s="160" t="s">
        <v>292</v>
      </c>
      <c r="K71" s="161" t="s">
        <v>164</v>
      </c>
      <c r="L71" s="160" t="s">
        <v>52</v>
      </c>
      <c r="P71"/>
      <c r="Q71"/>
      <c r="R71"/>
      <c r="S71"/>
      <c r="T71"/>
      <c r="U71"/>
      <c r="V71"/>
      <c r="W71"/>
      <c r="X71"/>
      <c r="Y71"/>
      <c r="Z71"/>
      <c r="AA71"/>
    </row>
    <row r="72" spans="2:27" x14ac:dyDescent="0.3">
      <c r="B72" s="174" t="s">
        <v>269</v>
      </c>
      <c r="C72" s="204" t="s">
        <v>288</v>
      </c>
      <c r="D72" s="114" t="s">
        <v>293</v>
      </c>
      <c r="E72" s="114" t="s">
        <v>88</v>
      </c>
      <c r="F72" s="114" t="s">
        <v>159</v>
      </c>
      <c r="G72" s="157" t="s">
        <v>22</v>
      </c>
      <c r="H72" s="114" t="s">
        <v>134</v>
      </c>
      <c r="I72" s="153">
        <v>2150000</v>
      </c>
      <c r="J72" s="160" t="s">
        <v>86</v>
      </c>
      <c r="K72" s="161">
        <v>2045297</v>
      </c>
      <c r="L72" s="160" t="s">
        <v>60</v>
      </c>
      <c r="P72"/>
      <c r="Q72"/>
      <c r="R72"/>
      <c r="S72"/>
      <c r="T72"/>
      <c r="U72"/>
      <c r="V72"/>
      <c r="W72"/>
      <c r="X72"/>
      <c r="Y72"/>
      <c r="Z72"/>
      <c r="AA72"/>
    </row>
    <row r="73" spans="2:27" x14ac:dyDescent="0.3">
      <c r="B73" s="174" t="s">
        <v>269</v>
      </c>
      <c r="C73" s="204" t="s">
        <v>294</v>
      </c>
      <c r="D73" s="114" t="s">
        <v>295</v>
      </c>
      <c r="E73" s="114" t="s">
        <v>89</v>
      </c>
      <c r="F73" s="114">
        <v>10008</v>
      </c>
      <c r="G73" s="157" t="s">
        <v>164</v>
      </c>
      <c r="H73" s="114" t="s">
        <v>164</v>
      </c>
      <c r="I73" s="153">
        <v>9559901.125</v>
      </c>
      <c r="J73" s="160" t="s">
        <v>296</v>
      </c>
      <c r="K73" s="161" t="s">
        <v>164</v>
      </c>
      <c r="L73" s="160" t="s">
        <v>52</v>
      </c>
      <c r="P73"/>
      <c r="Q73"/>
      <c r="R73"/>
      <c r="S73"/>
      <c r="T73"/>
      <c r="U73"/>
      <c r="V73"/>
      <c r="W73"/>
      <c r="X73"/>
      <c r="Y73"/>
      <c r="Z73"/>
      <c r="AA73"/>
    </row>
    <row r="74" spans="2:27" x14ac:dyDescent="0.3">
      <c r="B74" s="174" t="s">
        <v>269</v>
      </c>
      <c r="C74" s="204" t="s">
        <v>294</v>
      </c>
      <c r="D74" s="114" t="s">
        <v>297</v>
      </c>
      <c r="E74" s="114" t="s">
        <v>89</v>
      </c>
      <c r="F74" s="114">
        <v>10009</v>
      </c>
      <c r="G74" s="157" t="s">
        <v>164</v>
      </c>
      <c r="H74" s="114" t="s">
        <v>164</v>
      </c>
      <c r="I74" s="153">
        <v>3436493.8999999994</v>
      </c>
      <c r="J74" s="160" t="s">
        <v>298</v>
      </c>
      <c r="K74" s="161" t="s">
        <v>164</v>
      </c>
      <c r="L74" s="160" t="s">
        <v>52</v>
      </c>
      <c r="P74"/>
      <c r="Q74"/>
      <c r="R74"/>
      <c r="S74"/>
      <c r="T74"/>
      <c r="U74"/>
      <c r="V74"/>
      <c r="W74"/>
      <c r="X74"/>
      <c r="Y74"/>
      <c r="Z74"/>
      <c r="AA74"/>
    </row>
    <row r="75" spans="2:27" x14ac:dyDescent="0.3">
      <c r="B75" s="174" t="s">
        <v>269</v>
      </c>
      <c r="C75" s="204" t="s">
        <v>299</v>
      </c>
      <c r="D75" s="114" t="s">
        <v>300</v>
      </c>
      <c r="E75" s="114" t="s">
        <v>89</v>
      </c>
      <c r="F75" s="114">
        <v>10008</v>
      </c>
      <c r="G75" s="157" t="s">
        <v>164</v>
      </c>
      <c r="H75" s="114" t="s">
        <v>164</v>
      </c>
      <c r="I75" s="153">
        <v>7270957.7999999989</v>
      </c>
      <c r="J75" s="160" t="s">
        <v>301</v>
      </c>
      <c r="K75" s="161" t="s">
        <v>164</v>
      </c>
      <c r="L75" s="160" t="s">
        <v>52</v>
      </c>
      <c r="P75"/>
      <c r="Q75"/>
      <c r="R75"/>
      <c r="S75"/>
      <c r="T75"/>
      <c r="U75"/>
      <c r="V75"/>
      <c r="W75"/>
      <c r="X75"/>
      <c r="Y75"/>
      <c r="Z75"/>
      <c r="AA75"/>
    </row>
    <row r="76" spans="2:27" x14ac:dyDescent="0.3">
      <c r="B76" s="174" t="s">
        <v>269</v>
      </c>
      <c r="C76" s="204" t="s">
        <v>299</v>
      </c>
      <c r="D76" s="114" t="s">
        <v>302</v>
      </c>
      <c r="E76" s="114" t="s">
        <v>89</v>
      </c>
      <c r="F76" s="114">
        <v>10009</v>
      </c>
      <c r="G76" s="157" t="s">
        <v>164</v>
      </c>
      <c r="H76" s="114" t="s">
        <v>164</v>
      </c>
      <c r="I76" s="153">
        <v>290925.25</v>
      </c>
      <c r="J76" s="160" t="s">
        <v>303</v>
      </c>
      <c r="K76" s="161" t="s">
        <v>164</v>
      </c>
      <c r="L76" s="160" t="s">
        <v>52</v>
      </c>
      <c r="P76"/>
      <c r="Q76"/>
      <c r="R76"/>
      <c r="S76"/>
      <c r="T76"/>
      <c r="U76"/>
      <c r="V76"/>
      <c r="W76"/>
      <c r="X76"/>
      <c r="Y76"/>
      <c r="Z76"/>
      <c r="AA76"/>
    </row>
    <row r="77" spans="2:27" x14ac:dyDescent="0.3">
      <c r="B77" s="174" t="s">
        <v>269</v>
      </c>
      <c r="C77" s="204" t="s">
        <v>299</v>
      </c>
      <c r="D77" s="114" t="s">
        <v>304</v>
      </c>
      <c r="E77" s="114" t="s">
        <v>89</v>
      </c>
      <c r="F77" s="114">
        <v>10009</v>
      </c>
      <c r="G77" s="157" t="s">
        <v>164</v>
      </c>
      <c r="H77" s="114" t="s">
        <v>164</v>
      </c>
      <c r="I77" s="153">
        <v>3611144.25</v>
      </c>
      <c r="J77" s="160" t="s">
        <v>305</v>
      </c>
      <c r="K77" s="161" t="s">
        <v>164</v>
      </c>
      <c r="L77" s="160" t="s">
        <v>52</v>
      </c>
      <c r="P77"/>
      <c r="Q77"/>
      <c r="R77"/>
      <c r="S77"/>
      <c r="T77"/>
      <c r="U77"/>
      <c r="V77"/>
      <c r="W77"/>
      <c r="X77"/>
      <c r="Y77"/>
      <c r="Z77"/>
      <c r="AA77"/>
    </row>
    <row r="78" spans="2:27" x14ac:dyDescent="0.3">
      <c r="B78" s="174" t="s">
        <v>269</v>
      </c>
      <c r="C78" s="204" t="s">
        <v>299</v>
      </c>
      <c r="D78" s="114" t="s">
        <v>306</v>
      </c>
      <c r="E78" s="114" t="s">
        <v>88</v>
      </c>
      <c r="F78" s="114" t="s">
        <v>159</v>
      </c>
      <c r="G78" s="157" t="s">
        <v>64</v>
      </c>
      <c r="H78" s="114" t="s">
        <v>70</v>
      </c>
      <c r="I78" s="153">
        <v>2150000</v>
      </c>
      <c r="J78" s="160" t="s">
        <v>86</v>
      </c>
      <c r="K78" s="161">
        <v>2035343</v>
      </c>
      <c r="L78" s="160" t="s">
        <v>52</v>
      </c>
      <c r="P78"/>
      <c r="Q78"/>
      <c r="R78"/>
      <c r="S78"/>
      <c r="T78"/>
      <c r="U78"/>
      <c r="V78"/>
      <c r="W78"/>
      <c r="X78"/>
      <c r="Y78"/>
      <c r="Z78"/>
      <c r="AA78"/>
    </row>
    <row r="79" spans="2:27" x14ac:dyDescent="0.3">
      <c r="B79" s="174" t="s">
        <v>269</v>
      </c>
      <c r="C79" s="204" t="s">
        <v>311</v>
      </c>
      <c r="D79" s="114" t="s">
        <v>308</v>
      </c>
      <c r="E79" s="114" t="s">
        <v>88</v>
      </c>
      <c r="F79" s="114" t="s">
        <v>159</v>
      </c>
      <c r="G79" s="157" t="s">
        <v>164</v>
      </c>
      <c r="H79" s="114" t="s">
        <v>164</v>
      </c>
      <c r="I79" s="153">
        <v>4300000</v>
      </c>
      <c r="J79" s="160" t="s">
        <v>86</v>
      </c>
      <c r="K79" s="161" t="s">
        <v>164</v>
      </c>
      <c r="L79" s="160" t="s">
        <v>60</v>
      </c>
      <c r="P79"/>
      <c r="Q79"/>
      <c r="R79"/>
      <c r="S79"/>
      <c r="T79"/>
      <c r="U79"/>
      <c r="V79"/>
      <c r="W79"/>
      <c r="X79"/>
      <c r="Y79"/>
      <c r="Z79"/>
      <c r="AA79"/>
    </row>
    <row r="80" spans="2:27" x14ac:dyDescent="0.3">
      <c r="B80" s="174" t="s">
        <v>269</v>
      </c>
      <c r="C80" s="204" t="s">
        <v>311</v>
      </c>
      <c r="D80" s="114" t="s">
        <v>309</v>
      </c>
      <c r="E80" s="114" t="s">
        <v>89</v>
      </c>
      <c r="F80" s="114">
        <v>10008</v>
      </c>
      <c r="G80" s="157" t="s">
        <v>164</v>
      </c>
      <c r="H80" s="114" t="s">
        <v>164</v>
      </c>
      <c r="I80" s="153">
        <v>2762278.15</v>
      </c>
      <c r="J80" s="160" t="s">
        <v>312</v>
      </c>
      <c r="K80" s="161" t="s">
        <v>164</v>
      </c>
      <c r="L80" s="160" t="s">
        <v>52</v>
      </c>
      <c r="Q80" s="152"/>
      <c r="S80" s="114"/>
    </row>
    <row r="81" spans="2:25" x14ac:dyDescent="0.3">
      <c r="B81" s="174" t="s">
        <v>269</v>
      </c>
      <c r="C81" s="204" t="s">
        <v>311</v>
      </c>
      <c r="D81" s="114" t="s">
        <v>310</v>
      </c>
      <c r="E81" s="114" t="s">
        <v>89</v>
      </c>
      <c r="F81" s="114">
        <v>10009</v>
      </c>
      <c r="G81" s="157" t="s">
        <v>164</v>
      </c>
      <c r="H81" s="114" t="s">
        <v>164</v>
      </c>
      <c r="I81" s="153">
        <v>2222194.1</v>
      </c>
      <c r="J81" s="160" t="s">
        <v>313</v>
      </c>
      <c r="K81" s="161" t="s">
        <v>164</v>
      </c>
      <c r="L81" s="160" t="s">
        <v>52</v>
      </c>
      <c r="Q81" s="152"/>
      <c r="S81" s="114"/>
    </row>
    <row r="82" spans="2:25" x14ac:dyDescent="0.3">
      <c r="B82" s="174" t="s">
        <v>269</v>
      </c>
      <c r="C82" s="204" t="s">
        <v>314</v>
      </c>
      <c r="D82" s="114" t="s">
        <v>315</v>
      </c>
      <c r="E82" s="114" t="s">
        <v>88</v>
      </c>
      <c r="F82" s="114" t="s">
        <v>159</v>
      </c>
      <c r="G82" s="157" t="s">
        <v>22</v>
      </c>
      <c r="H82" s="114" t="s">
        <v>134</v>
      </c>
      <c r="I82" s="153">
        <v>2150000</v>
      </c>
      <c r="J82" s="160" t="s">
        <v>86</v>
      </c>
      <c r="K82" s="161">
        <v>20037223</v>
      </c>
      <c r="L82" s="160" t="s">
        <v>60</v>
      </c>
      <c r="M82" s="228"/>
    </row>
    <row r="83" spans="2:25" x14ac:dyDescent="0.3">
      <c r="B83" s="174" t="s">
        <v>269</v>
      </c>
      <c r="C83" s="204" t="s">
        <v>316</v>
      </c>
      <c r="D83" s="114" t="s">
        <v>317</v>
      </c>
      <c r="E83" s="114" t="s">
        <v>88</v>
      </c>
      <c r="F83" s="114" t="s">
        <v>159</v>
      </c>
      <c r="G83" s="157" t="s">
        <v>63</v>
      </c>
      <c r="H83" s="114" t="s">
        <v>69</v>
      </c>
      <c r="I83" s="153">
        <v>2150000</v>
      </c>
      <c r="J83" s="160" t="s">
        <v>86</v>
      </c>
      <c r="K83" s="161">
        <v>2003662</v>
      </c>
      <c r="L83" s="160" t="s">
        <v>60</v>
      </c>
      <c r="P83" s="291" t="s">
        <v>129</v>
      </c>
      <c r="Q83" s="177" t="s">
        <v>72</v>
      </c>
      <c r="R83" s="178" t="s">
        <v>94</v>
      </c>
      <c r="S83" s="178" t="s">
        <v>95</v>
      </c>
      <c r="T83" s="188" t="s">
        <v>91</v>
      </c>
    </row>
    <row r="84" spans="2:25" x14ac:dyDescent="0.3">
      <c r="B84" s="174" t="s">
        <v>269</v>
      </c>
      <c r="C84" s="204" t="s">
        <v>316</v>
      </c>
      <c r="D84" s="114" t="s">
        <v>319</v>
      </c>
      <c r="E84" s="114" t="s">
        <v>89</v>
      </c>
      <c r="F84" s="114">
        <v>10008</v>
      </c>
      <c r="G84" s="157" t="s">
        <v>164</v>
      </c>
      <c r="H84" s="114" t="s">
        <v>164</v>
      </c>
      <c r="I84" s="153">
        <v>12807870</v>
      </c>
      <c r="J84" s="160" t="s">
        <v>318</v>
      </c>
      <c r="K84" s="161" t="s">
        <v>164</v>
      </c>
      <c r="L84" s="160" t="s">
        <v>52</v>
      </c>
      <c r="P84" s="291"/>
      <c r="Q84" s="182">
        <v>43284</v>
      </c>
      <c r="R84" s="193" t="s">
        <v>126</v>
      </c>
      <c r="S84" s="183" t="s">
        <v>88</v>
      </c>
      <c r="T84" s="189">
        <v>2150000</v>
      </c>
      <c r="Y84" s="196"/>
    </row>
    <row r="85" spans="2:25" x14ac:dyDescent="0.3">
      <c r="B85" s="174" t="s">
        <v>269</v>
      </c>
      <c r="C85" s="204" t="s">
        <v>316</v>
      </c>
      <c r="D85" s="114" t="s">
        <v>321</v>
      </c>
      <c r="E85" s="114" t="s">
        <v>89</v>
      </c>
      <c r="F85" s="114">
        <v>10009</v>
      </c>
      <c r="G85" s="157" t="s">
        <v>164</v>
      </c>
      <c r="H85" s="114" t="s">
        <v>164</v>
      </c>
      <c r="I85" s="153">
        <v>2430813</v>
      </c>
      <c r="J85" s="160" t="s">
        <v>320</v>
      </c>
      <c r="K85" s="161" t="s">
        <v>164</v>
      </c>
      <c r="L85" s="160" t="s">
        <v>52</v>
      </c>
      <c r="P85" s="291"/>
      <c r="Q85" s="179">
        <v>43284</v>
      </c>
      <c r="R85" s="194" t="s">
        <v>108</v>
      </c>
      <c r="S85" s="180" t="s">
        <v>89</v>
      </c>
      <c r="T85" s="190">
        <v>5086499.0250000004</v>
      </c>
    </row>
    <row r="86" spans="2:25" x14ac:dyDescent="0.3">
      <c r="B86" s="174" t="s">
        <v>269</v>
      </c>
      <c r="C86" s="204" t="s">
        <v>322</v>
      </c>
      <c r="D86" s="114" t="s">
        <v>324</v>
      </c>
      <c r="E86" s="114" t="s">
        <v>89</v>
      </c>
      <c r="F86" s="114">
        <v>10009</v>
      </c>
      <c r="G86" s="157" t="s">
        <v>164</v>
      </c>
      <c r="H86" s="114" t="s">
        <v>164</v>
      </c>
      <c r="I86" s="153">
        <v>520779.70000000007</v>
      </c>
      <c r="J86" s="160" t="s">
        <v>323</v>
      </c>
      <c r="K86" s="161" t="s">
        <v>164</v>
      </c>
      <c r="L86" s="160" t="s">
        <v>52</v>
      </c>
      <c r="P86" s="291"/>
      <c r="Q86" s="179">
        <v>43284</v>
      </c>
      <c r="R86" s="194" t="s">
        <v>109</v>
      </c>
      <c r="S86" s="180" t="s">
        <v>89</v>
      </c>
      <c r="T86" s="190">
        <v>5035223.1999999983</v>
      </c>
    </row>
    <row r="87" spans="2:25" x14ac:dyDescent="0.3">
      <c r="B87" s="174" t="s">
        <v>269</v>
      </c>
      <c r="C87" s="204" t="s">
        <v>322</v>
      </c>
      <c r="D87" s="114" t="s">
        <v>326</v>
      </c>
      <c r="E87" s="114" t="s">
        <v>89</v>
      </c>
      <c r="F87" s="114">
        <v>10008</v>
      </c>
      <c r="G87" s="157" t="s">
        <v>164</v>
      </c>
      <c r="H87" s="114" t="s">
        <v>164</v>
      </c>
      <c r="I87" s="153">
        <v>3427476.6750000003</v>
      </c>
      <c r="J87" s="160" t="s">
        <v>325</v>
      </c>
      <c r="K87" s="161" t="s">
        <v>164</v>
      </c>
      <c r="L87" s="160" t="s">
        <v>52</v>
      </c>
      <c r="P87" s="291"/>
      <c r="Q87" s="179">
        <v>43285</v>
      </c>
      <c r="R87" s="194" t="s">
        <v>110</v>
      </c>
      <c r="S87" s="180" t="s">
        <v>88</v>
      </c>
      <c r="T87" s="190">
        <v>2150000</v>
      </c>
    </row>
    <row r="88" spans="2:25" x14ac:dyDescent="0.3">
      <c r="B88" s="174" t="s">
        <v>269</v>
      </c>
      <c r="C88" s="204" t="s">
        <v>327</v>
      </c>
      <c r="D88" s="114" t="s">
        <v>328</v>
      </c>
      <c r="E88" s="114" t="s">
        <v>88</v>
      </c>
      <c r="F88" s="114" t="s">
        <v>159</v>
      </c>
      <c r="G88" s="157" t="s">
        <v>27</v>
      </c>
      <c r="H88" s="114" t="s">
        <v>90</v>
      </c>
      <c r="I88" s="153">
        <v>2150000</v>
      </c>
      <c r="J88" s="160" t="s">
        <v>86</v>
      </c>
      <c r="K88" s="161">
        <v>1041276</v>
      </c>
      <c r="L88" s="160" t="s">
        <v>52</v>
      </c>
      <c r="P88" s="291"/>
      <c r="Q88" s="179">
        <v>43286</v>
      </c>
      <c r="R88" s="194" t="s">
        <v>115</v>
      </c>
      <c r="S88" s="180" t="s">
        <v>88</v>
      </c>
      <c r="T88" s="190">
        <v>2150000</v>
      </c>
    </row>
    <row r="89" spans="2:25" x14ac:dyDescent="0.3">
      <c r="B89" s="174" t="s">
        <v>329</v>
      </c>
      <c r="C89" s="204" t="s">
        <v>330</v>
      </c>
      <c r="D89" s="114" t="s">
        <v>331</v>
      </c>
      <c r="E89" s="114" t="s">
        <v>89</v>
      </c>
      <c r="F89" s="114">
        <v>10009</v>
      </c>
      <c r="G89" s="157" t="s">
        <v>164</v>
      </c>
      <c r="H89" s="114" t="s">
        <v>164</v>
      </c>
      <c r="I89" s="153">
        <v>1738328.2</v>
      </c>
      <c r="J89" s="160" t="s">
        <v>332</v>
      </c>
      <c r="K89" s="161" t="s">
        <v>164</v>
      </c>
      <c r="L89" s="160" t="s">
        <v>52</v>
      </c>
      <c r="P89" s="291"/>
      <c r="Q89" s="179">
        <v>43287</v>
      </c>
      <c r="R89" s="194" t="s">
        <v>119</v>
      </c>
      <c r="S89" s="180" t="s">
        <v>88</v>
      </c>
      <c r="T89" s="190">
        <v>2150000</v>
      </c>
    </row>
    <row r="90" spans="2:25" x14ac:dyDescent="0.3">
      <c r="B90" s="174" t="s">
        <v>329</v>
      </c>
      <c r="C90" s="204" t="s">
        <v>330</v>
      </c>
      <c r="D90" s="114" t="s">
        <v>333</v>
      </c>
      <c r="E90" s="114" t="s">
        <v>89</v>
      </c>
      <c r="F90" s="114">
        <v>10008</v>
      </c>
      <c r="G90" s="157" t="s">
        <v>164</v>
      </c>
      <c r="H90" s="114" t="s">
        <v>164</v>
      </c>
      <c r="I90" s="153">
        <v>464967.42499999999</v>
      </c>
      <c r="J90" s="160" t="s">
        <v>334</v>
      </c>
      <c r="K90" s="161" t="s">
        <v>164</v>
      </c>
      <c r="L90" s="160" t="s">
        <v>52</v>
      </c>
      <c r="P90" s="291"/>
      <c r="Q90" s="179">
        <v>43295</v>
      </c>
      <c r="R90" s="194" t="s">
        <v>120</v>
      </c>
      <c r="S90" s="180" t="s">
        <v>88</v>
      </c>
      <c r="T90" s="190">
        <v>2150000</v>
      </c>
    </row>
    <row r="91" spans="2:25" x14ac:dyDescent="0.3">
      <c r="B91" s="174" t="s">
        <v>329</v>
      </c>
      <c r="C91" s="204" t="s">
        <v>330</v>
      </c>
      <c r="D91" s="114" t="s">
        <v>335</v>
      </c>
      <c r="E91" s="114" t="s">
        <v>89</v>
      </c>
      <c r="F91" s="114">
        <v>10008</v>
      </c>
      <c r="G91" s="157" t="s">
        <v>164</v>
      </c>
      <c r="H91" s="114" t="s">
        <v>164</v>
      </c>
      <c r="I91" s="153">
        <v>9400187.4000000004</v>
      </c>
      <c r="J91" s="160" t="s">
        <v>336</v>
      </c>
      <c r="K91" s="161" t="s">
        <v>164</v>
      </c>
      <c r="L91" s="160" t="s">
        <v>52</v>
      </c>
      <c r="P91" s="291"/>
      <c r="Q91" s="179">
        <v>43295</v>
      </c>
      <c r="R91" s="194" t="s">
        <v>121</v>
      </c>
      <c r="S91" s="180" t="s">
        <v>89</v>
      </c>
      <c r="T91" s="190">
        <v>1600311.9999999998</v>
      </c>
    </row>
    <row r="92" spans="2:25" x14ac:dyDescent="0.3">
      <c r="B92" s="174" t="s">
        <v>329</v>
      </c>
      <c r="C92" s="204" t="s">
        <v>339</v>
      </c>
      <c r="D92" s="114" t="s">
        <v>340</v>
      </c>
      <c r="E92" s="114" t="s">
        <v>89</v>
      </c>
      <c r="F92" s="114">
        <v>10009</v>
      </c>
      <c r="G92" s="157" t="s">
        <v>164</v>
      </c>
      <c r="H92" s="114" t="s">
        <v>164</v>
      </c>
      <c r="I92" s="153">
        <v>194166.35000000003</v>
      </c>
      <c r="J92" s="160" t="s">
        <v>341</v>
      </c>
      <c r="K92" s="161" t="s">
        <v>164</v>
      </c>
      <c r="L92" s="160" t="s">
        <v>52</v>
      </c>
      <c r="P92" s="291"/>
      <c r="Q92" s="179">
        <v>43295</v>
      </c>
      <c r="R92" s="194" t="s">
        <v>122</v>
      </c>
      <c r="S92" s="180" t="s">
        <v>89</v>
      </c>
      <c r="T92" s="190">
        <v>264394.2</v>
      </c>
    </row>
    <row r="93" spans="2:25" x14ac:dyDescent="0.3">
      <c r="B93" s="174" t="s">
        <v>329</v>
      </c>
      <c r="C93" s="204" t="s">
        <v>339</v>
      </c>
      <c r="D93" s="114" t="s">
        <v>342</v>
      </c>
      <c r="E93" s="114" t="s">
        <v>88</v>
      </c>
      <c r="F93" s="114" t="s">
        <v>159</v>
      </c>
      <c r="G93" s="157" t="s">
        <v>23</v>
      </c>
      <c r="H93" s="114" t="s">
        <v>141</v>
      </c>
      <c r="I93" s="153">
        <v>2150000</v>
      </c>
      <c r="J93" s="160" t="s">
        <v>86</v>
      </c>
      <c r="K93" s="161">
        <v>2003740</v>
      </c>
      <c r="L93" s="160" t="s">
        <v>60</v>
      </c>
      <c r="P93" s="291"/>
      <c r="Q93" s="179">
        <v>43295</v>
      </c>
      <c r="R93" s="194" t="s">
        <v>123</v>
      </c>
      <c r="S93" s="180" t="s">
        <v>89</v>
      </c>
      <c r="T93" s="190">
        <v>1616841.0999999999</v>
      </c>
    </row>
    <row r="94" spans="2:25" x14ac:dyDescent="0.3">
      <c r="B94" s="174" t="s">
        <v>329</v>
      </c>
      <c r="C94" s="204" t="s">
        <v>339</v>
      </c>
      <c r="D94" s="114" t="s">
        <v>343</v>
      </c>
      <c r="E94" s="114" t="s">
        <v>88</v>
      </c>
      <c r="F94" s="114" t="s">
        <v>159</v>
      </c>
      <c r="G94" s="157" t="s">
        <v>45</v>
      </c>
      <c r="H94" s="114" t="s">
        <v>68</v>
      </c>
      <c r="I94" s="153">
        <v>4300000</v>
      </c>
      <c r="J94" s="160" t="s">
        <v>86</v>
      </c>
      <c r="K94" s="161">
        <v>2003696</v>
      </c>
      <c r="L94" s="160" t="s">
        <v>60</v>
      </c>
      <c r="P94" s="291"/>
      <c r="Q94" s="179">
        <v>43295</v>
      </c>
      <c r="R94" s="194" t="s">
        <v>124</v>
      </c>
      <c r="S94" s="180" t="s">
        <v>89</v>
      </c>
      <c r="T94" s="190">
        <v>5343913.8749999991</v>
      </c>
    </row>
    <row r="95" spans="2:25" x14ac:dyDescent="0.3">
      <c r="B95" s="174" t="s">
        <v>329</v>
      </c>
      <c r="C95" s="204" t="s">
        <v>344</v>
      </c>
      <c r="D95" s="114" t="s">
        <v>345</v>
      </c>
      <c r="E95" s="114" t="s">
        <v>88</v>
      </c>
      <c r="F95" s="114" t="s">
        <v>159</v>
      </c>
      <c r="G95" s="157" t="s">
        <v>62</v>
      </c>
      <c r="H95" s="114" t="s">
        <v>133</v>
      </c>
      <c r="I95" s="153">
        <v>2150000</v>
      </c>
      <c r="J95" s="160" t="s">
        <v>86</v>
      </c>
      <c r="K95" s="161">
        <v>2003695</v>
      </c>
      <c r="L95" s="160" t="s">
        <v>60</v>
      </c>
      <c r="P95" s="291"/>
      <c r="Q95" s="179">
        <v>43300</v>
      </c>
      <c r="R95" s="194" t="s">
        <v>125</v>
      </c>
      <c r="S95" s="180" t="s">
        <v>88</v>
      </c>
      <c r="T95" s="190">
        <v>2150000</v>
      </c>
    </row>
    <row r="96" spans="2:25" x14ac:dyDescent="0.3">
      <c r="B96" s="174" t="s">
        <v>329</v>
      </c>
      <c r="C96" s="204" t="s">
        <v>349</v>
      </c>
      <c r="D96" s="114" t="s">
        <v>350</v>
      </c>
      <c r="E96" s="114" t="s">
        <v>89</v>
      </c>
      <c r="F96" s="114">
        <v>10009</v>
      </c>
      <c r="G96" s="157" t="s">
        <v>164</v>
      </c>
      <c r="H96" s="114" t="s">
        <v>164</v>
      </c>
      <c r="I96" s="153">
        <v>2474587</v>
      </c>
      <c r="J96" s="160" t="s">
        <v>351</v>
      </c>
      <c r="K96" s="161" t="s">
        <v>164</v>
      </c>
      <c r="L96" s="160" t="s">
        <v>52</v>
      </c>
      <c r="P96" s="291"/>
      <c r="Q96" s="179">
        <v>43301</v>
      </c>
      <c r="R96" s="194" t="s">
        <v>127</v>
      </c>
      <c r="S96" s="180" t="s">
        <v>89</v>
      </c>
      <c r="T96" s="190">
        <v>3189802.6500000004</v>
      </c>
    </row>
    <row r="97" spans="2:20" x14ac:dyDescent="0.3">
      <c r="B97" s="174" t="s">
        <v>329</v>
      </c>
      <c r="C97" s="204" t="s">
        <v>349</v>
      </c>
      <c r="D97" s="114" t="s">
        <v>352</v>
      </c>
      <c r="E97" s="114" t="s">
        <v>89</v>
      </c>
      <c r="F97" s="114">
        <v>10008</v>
      </c>
      <c r="G97" s="157" t="s">
        <v>164</v>
      </c>
      <c r="H97" s="114" t="s">
        <v>164</v>
      </c>
      <c r="I97" s="153">
        <v>1413816.9</v>
      </c>
      <c r="J97" s="160" t="s">
        <v>353</v>
      </c>
      <c r="K97" s="161" t="s">
        <v>164</v>
      </c>
      <c r="L97" s="160" t="s">
        <v>52</v>
      </c>
      <c r="P97" s="291"/>
      <c r="Q97" s="184">
        <v>43301</v>
      </c>
      <c r="R97" s="195" t="s">
        <v>128</v>
      </c>
      <c r="S97" s="185" t="s">
        <v>89</v>
      </c>
      <c r="T97" s="191">
        <v>2768719.4499999997</v>
      </c>
    </row>
    <row r="98" spans="2:20" x14ac:dyDescent="0.3">
      <c r="B98" s="174" t="s">
        <v>329</v>
      </c>
      <c r="C98" s="204" t="s">
        <v>354</v>
      </c>
      <c r="D98" s="114" t="s">
        <v>355</v>
      </c>
      <c r="E98" s="114" t="s">
        <v>88</v>
      </c>
      <c r="F98" s="114" t="s">
        <v>159</v>
      </c>
      <c r="G98" s="157" t="s">
        <v>48</v>
      </c>
      <c r="H98" s="114" t="s">
        <v>71</v>
      </c>
      <c r="I98" s="153">
        <v>2150000</v>
      </c>
      <c r="J98" s="160" t="s">
        <v>356</v>
      </c>
      <c r="K98" s="161">
        <v>2003770</v>
      </c>
      <c r="L98" s="160" t="s">
        <v>60</v>
      </c>
      <c r="P98" s="291"/>
      <c r="Q98" s="186"/>
      <c r="R98" s="181"/>
      <c r="S98" s="187"/>
      <c r="T98" s="192">
        <f>SUM(T84:T97)</f>
        <v>37805705.5</v>
      </c>
    </row>
    <row r="99" spans="2:20" x14ac:dyDescent="0.3">
      <c r="B99" s="174" t="s">
        <v>329</v>
      </c>
      <c r="C99" s="204" t="s">
        <v>357</v>
      </c>
      <c r="D99" s="114" t="s">
        <v>358</v>
      </c>
      <c r="E99" s="114" t="s">
        <v>89</v>
      </c>
      <c r="F99" s="114">
        <v>10009</v>
      </c>
      <c r="G99" s="157" t="s">
        <v>164</v>
      </c>
      <c r="H99" s="114" t="s">
        <v>164</v>
      </c>
      <c r="I99" s="153">
        <v>3250788.45</v>
      </c>
      <c r="J99" s="160" t="s">
        <v>359</v>
      </c>
      <c r="K99" s="161" t="s">
        <v>164</v>
      </c>
      <c r="L99" s="160" t="s">
        <v>52</v>
      </c>
    </row>
    <row r="100" spans="2:20" x14ac:dyDescent="0.3">
      <c r="B100" s="174" t="s">
        <v>329</v>
      </c>
      <c r="C100" s="204" t="s">
        <v>357</v>
      </c>
      <c r="D100" s="114" t="s">
        <v>360</v>
      </c>
      <c r="E100" s="114" t="s">
        <v>89</v>
      </c>
      <c r="F100" s="114">
        <v>10008</v>
      </c>
      <c r="G100" s="157" t="s">
        <v>164</v>
      </c>
      <c r="H100" s="114" t="s">
        <v>164</v>
      </c>
      <c r="I100" s="153">
        <v>457303.82500000001</v>
      </c>
      <c r="J100" s="160" t="s">
        <v>361</v>
      </c>
      <c r="K100" s="161" t="s">
        <v>164</v>
      </c>
      <c r="L100" s="160" t="s">
        <v>52</v>
      </c>
    </row>
    <row r="101" spans="2:20" x14ac:dyDescent="0.3">
      <c r="B101" s="174" t="s">
        <v>329</v>
      </c>
      <c r="C101" s="204" t="s">
        <v>357</v>
      </c>
      <c r="D101" s="114" t="s">
        <v>362</v>
      </c>
      <c r="E101" s="114" t="s">
        <v>88</v>
      </c>
      <c r="F101" s="114" t="s">
        <v>159</v>
      </c>
      <c r="G101" s="157" t="s">
        <v>63</v>
      </c>
      <c r="H101" s="114" t="s">
        <v>69</v>
      </c>
      <c r="I101" s="153">
        <v>2150000</v>
      </c>
      <c r="J101" s="160" t="s">
        <v>356</v>
      </c>
      <c r="K101" s="161">
        <v>1051270</v>
      </c>
      <c r="L101" s="160" t="s">
        <v>52</v>
      </c>
    </row>
    <row r="102" spans="2:20" x14ac:dyDescent="0.3">
      <c r="B102" s="174" t="s">
        <v>329</v>
      </c>
      <c r="C102" s="204" t="s">
        <v>357</v>
      </c>
      <c r="D102" s="114" t="s">
        <v>363</v>
      </c>
      <c r="E102" s="114" t="s">
        <v>89</v>
      </c>
      <c r="F102" s="114">
        <v>10008</v>
      </c>
      <c r="G102" s="157" t="s">
        <v>164</v>
      </c>
      <c r="H102" s="114" t="s">
        <v>164</v>
      </c>
      <c r="I102" s="153">
        <v>7141771.4000000013</v>
      </c>
      <c r="J102" s="160" t="s">
        <v>364</v>
      </c>
      <c r="K102" s="161" t="s">
        <v>164</v>
      </c>
      <c r="L102" s="160" t="s">
        <v>52</v>
      </c>
    </row>
    <row r="103" spans="2:20" x14ac:dyDescent="0.3">
      <c r="B103" s="174" t="s">
        <v>329</v>
      </c>
      <c r="C103" s="204" t="s">
        <v>365</v>
      </c>
      <c r="D103" s="114" t="s">
        <v>366</v>
      </c>
      <c r="E103" s="114" t="s">
        <v>88</v>
      </c>
      <c r="F103" s="114" t="s">
        <v>159</v>
      </c>
      <c r="G103" s="157" t="s">
        <v>164</v>
      </c>
      <c r="H103" s="114" t="s">
        <v>164</v>
      </c>
      <c r="I103" s="153">
        <v>4300000</v>
      </c>
      <c r="J103" s="160" t="s">
        <v>356</v>
      </c>
      <c r="K103" s="161" t="s">
        <v>164</v>
      </c>
      <c r="L103" s="160" t="s">
        <v>60</v>
      </c>
    </row>
    <row r="104" spans="2:20" x14ac:dyDescent="0.3">
      <c r="B104" s="174" t="s">
        <v>329</v>
      </c>
      <c r="C104" s="204" t="s">
        <v>365</v>
      </c>
      <c r="D104" s="114" t="s">
        <v>368</v>
      </c>
      <c r="E104" s="114" t="s">
        <v>89</v>
      </c>
      <c r="F104" s="114">
        <v>10009</v>
      </c>
      <c r="G104" s="157" t="s">
        <v>164</v>
      </c>
      <c r="H104" s="114" t="s">
        <v>164</v>
      </c>
      <c r="I104" s="153">
        <v>1064532.3500000001</v>
      </c>
      <c r="J104" s="160" t="s">
        <v>367</v>
      </c>
      <c r="K104" s="161" t="s">
        <v>164</v>
      </c>
      <c r="L104" s="160" t="s">
        <v>52</v>
      </c>
    </row>
    <row r="105" spans="2:20" x14ac:dyDescent="0.3">
      <c r="B105" s="174" t="s">
        <v>329</v>
      </c>
      <c r="C105" s="204" t="s">
        <v>365</v>
      </c>
      <c r="D105" s="114" t="s">
        <v>370</v>
      </c>
      <c r="E105" s="114" t="s">
        <v>89</v>
      </c>
      <c r="F105" s="114">
        <v>10008</v>
      </c>
      <c r="G105" s="157" t="s">
        <v>164</v>
      </c>
      <c r="H105" s="114" t="s">
        <v>164</v>
      </c>
      <c r="I105" s="153">
        <v>3459323.625</v>
      </c>
      <c r="J105" s="160" t="s">
        <v>369</v>
      </c>
      <c r="K105" s="161" t="s">
        <v>164</v>
      </c>
      <c r="L105" s="160" t="s">
        <v>52</v>
      </c>
    </row>
    <row r="106" spans="2:20" x14ac:dyDescent="0.3">
      <c r="B106" s="174" t="s">
        <v>329</v>
      </c>
      <c r="C106" s="204" t="s">
        <v>371</v>
      </c>
      <c r="D106" s="114" t="s">
        <v>373</v>
      </c>
      <c r="E106" s="114" t="s">
        <v>88</v>
      </c>
      <c r="F106" s="114" t="s">
        <v>159</v>
      </c>
      <c r="G106" s="157" t="s">
        <v>47</v>
      </c>
      <c r="H106" s="114" t="s">
        <v>348</v>
      </c>
      <c r="I106" s="153">
        <v>2150000</v>
      </c>
      <c r="J106" s="160" t="s">
        <v>372</v>
      </c>
      <c r="K106" s="251">
        <v>2003745</v>
      </c>
      <c r="L106" s="160" t="s">
        <v>60</v>
      </c>
    </row>
    <row r="107" spans="2:20" x14ac:dyDescent="0.3">
      <c r="B107" s="174" t="s">
        <v>329</v>
      </c>
      <c r="C107" s="204" t="s">
        <v>374</v>
      </c>
      <c r="D107" s="114" t="s">
        <v>376</v>
      </c>
      <c r="E107" s="114" t="s">
        <v>89</v>
      </c>
      <c r="F107" s="114">
        <v>10008</v>
      </c>
      <c r="G107" s="157" t="s">
        <v>164</v>
      </c>
      <c r="H107" s="114" t="s">
        <v>164</v>
      </c>
      <c r="I107" s="153">
        <v>1127907.925</v>
      </c>
      <c r="J107" s="160" t="s">
        <v>375</v>
      </c>
      <c r="K107" s="161" t="s">
        <v>164</v>
      </c>
      <c r="L107" s="160" t="s">
        <v>52</v>
      </c>
    </row>
    <row r="108" spans="2:20" x14ac:dyDescent="0.3">
      <c r="B108" s="174" t="s">
        <v>329</v>
      </c>
      <c r="C108" s="204" t="s">
        <v>374</v>
      </c>
      <c r="D108" s="114" t="s">
        <v>378</v>
      </c>
      <c r="E108" s="114" t="s">
        <v>89</v>
      </c>
      <c r="F108" s="114">
        <v>10009</v>
      </c>
      <c r="G108" s="157" t="s">
        <v>164</v>
      </c>
      <c r="H108" s="114" t="s">
        <v>164</v>
      </c>
      <c r="I108" s="153">
        <v>2226805.35</v>
      </c>
      <c r="J108" s="160" t="s">
        <v>377</v>
      </c>
      <c r="K108" s="161" t="s">
        <v>164</v>
      </c>
      <c r="L108" s="160" t="s">
        <v>52</v>
      </c>
    </row>
    <row r="109" spans="2:20" x14ac:dyDescent="0.3">
      <c r="B109" s="174" t="s">
        <v>87</v>
      </c>
      <c r="C109" s="204" t="s">
        <v>374</v>
      </c>
      <c r="D109" s="114" t="s">
        <v>379</v>
      </c>
      <c r="E109" s="114" t="s">
        <v>88</v>
      </c>
      <c r="F109" s="114" t="s">
        <v>159</v>
      </c>
      <c r="G109" s="157" t="s">
        <v>164</v>
      </c>
      <c r="H109" s="114" t="s">
        <v>164</v>
      </c>
      <c r="I109" s="153">
        <v>4300000</v>
      </c>
      <c r="J109" s="160" t="s">
        <v>356</v>
      </c>
      <c r="K109" s="161" t="s">
        <v>164</v>
      </c>
      <c r="L109" s="160" t="s">
        <v>60</v>
      </c>
    </row>
    <row r="110" spans="2:20" x14ac:dyDescent="0.3">
      <c r="B110" s="174" t="s">
        <v>329</v>
      </c>
      <c r="C110" s="204" t="s">
        <v>380</v>
      </c>
      <c r="D110" s="114" t="s">
        <v>381</v>
      </c>
      <c r="E110" s="114" t="s">
        <v>88</v>
      </c>
      <c r="F110" s="114" t="s">
        <v>159</v>
      </c>
      <c r="G110" s="157" t="s">
        <v>22</v>
      </c>
      <c r="H110" s="114" t="s">
        <v>134</v>
      </c>
      <c r="I110" s="153">
        <v>2150000</v>
      </c>
      <c r="J110" s="160" t="s">
        <v>356</v>
      </c>
      <c r="K110" s="161">
        <v>2003764</v>
      </c>
      <c r="L110" s="160" t="s">
        <v>60</v>
      </c>
    </row>
    <row r="111" spans="2:20" x14ac:dyDescent="0.3">
      <c r="B111" s="174" t="s">
        <v>87</v>
      </c>
      <c r="C111" s="204" t="s">
        <v>382</v>
      </c>
      <c r="D111" s="114" t="s">
        <v>383</v>
      </c>
      <c r="E111" s="114" t="s">
        <v>89</v>
      </c>
      <c r="F111" s="114">
        <v>10008</v>
      </c>
      <c r="G111" s="157" t="s">
        <v>164</v>
      </c>
      <c r="H111" s="114" t="s">
        <v>164</v>
      </c>
      <c r="I111" s="153">
        <v>765411.82499999995</v>
      </c>
      <c r="J111" s="160" t="s">
        <v>384</v>
      </c>
      <c r="K111" s="161" t="s">
        <v>164</v>
      </c>
      <c r="L111" s="160" t="s">
        <v>52</v>
      </c>
    </row>
    <row r="112" spans="2:20" x14ac:dyDescent="0.3">
      <c r="B112" s="174" t="s">
        <v>87</v>
      </c>
      <c r="C112" s="204" t="s">
        <v>382</v>
      </c>
      <c r="D112" s="114" t="s">
        <v>385</v>
      </c>
      <c r="E112" s="114" t="s">
        <v>88</v>
      </c>
      <c r="F112" s="114" t="s">
        <v>159</v>
      </c>
      <c r="G112" s="157" t="s">
        <v>64</v>
      </c>
      <c r="H112" s="114" t="s">
        <v>70</v>
      </c>
      <c r="I112" s="153">
        <v>2150000</v>
      </c>
      <c r="J112" s="160" t="s">
        <v>356</v>
      </c>
      <c r="K112" s="161">
        <v>1051287</v>
      </c>
      <c r="L112" s="160" t="s">
        <v>52</v>
      </c>
    </row>
    <row r="113" spans="2:12" x14ac:dyDescent="0.3">
      <c r="B113" s="174" t="s">
        <v>87</v>
      </c>
      <c r="C113" s="204" t="s">
        <v>386</v>
      </c>
      <c r="D113" s="114" t="s">
        <v>387</v>
      </c>
      <c r="E113" s="114" t="s">
        <v>388</v>
      </c>
      <c r="F113" s="114">
        <v>10008</v>
      </c>
      <c r="G113" s="157" t="s">
        <v>389</v>
      </c>
      <c r="H113" s="114" t="s">
        <v>389</v>
      </c>
      <c r="I113" s="153">
        <v>293289.09999999998</v>
      </c>
      <c r="J113" s="160" t="s">
        <v>390</v>
      </c>
      <c r="K113" s="161" t="s">
        <v>389</v>
      </c>
      <c r="L113" s="160" t="s">
        <v>52</v>
      </c>
    </row>
    <row r="114" spans="2:12" x14ac:dyDescent="0.3">
      <c r="B114" s="174" t="s">
        <v>87</v>
      </c>
      <c r="C114" s="204" t="s">
        <v>386</v>
      </c>
      <c r="D114" s="114" t="s">
        <v>391</v>
      </c>
      <c r="E114" s="114" t="s">
        <v>388</v>
      </c>
      <c r="F114" s="114">
        <v>10009</v>
      </c>
      <c r="G114" s="157" t="s">
        <v>389</v>
      </c>
      <c r="H114" s="114" t="s">
        <v>389</v>
      </c>
      <c r="I114" s="153">
        <v>2423518.3000000003</v>
      </c>
      <c r="J114" s="160" t="s">
        <v>392</v>
      </c>
      <c r="K114" s="161" t="s">
        <v>389</v>
      </c>
      <c r="L114" s="160" t="s">
        <v>52</v>
      </c>
    </row>
    <row r="115" spans="2:12" x14ac:dyDescent="0.3">
      <c r="B115" s="174" t="s">
        <v>87</v>
      </c>
      <c r="C115" s="204" t="s">
        <v>386</v>
      </c>
      <c r="D115" s="114" t="s">
        <v>394</v>
      </c>
      <c r="E115" s="114" t="s">
        <v>88</v>
      </c>
      <c r="F115" s="114" t="s">
        <v>159</v>
      </c>
      <c r="G115" s="157" t="s">
        <v>23</v>
      </c>
      <c r="H115" s="114" t="s">
        <v>393</v>
      </c>
      <c r="I115" s="153">
        <v>2150000</v>
      </c>
      <c r="J115" s="160" t="s">
        <v>372</v>
      </c>
      <c r="K115" s="161">
        <v>2003799</v>
      </c>
      <c r="L115" s="160" t="s">
        <v>60</v>
      </c>
    </row>
    <row r="116" spans="2:12" x14ac:dyDescent="0.3">
      <c r="B116" s="174" t="s">
        <v>87</v>
      </c>
      <c r="C116" s="204" t="s">
        <v>395</v>
      </c>
      <c r="D116" s="114" t="s">
        <v>396</v>
      </c>
      <c r="E116" s="114" t="s">
        <v>88</v>
      </c>
      <c r="F116" s="114" t="s">
        <v>159</v>
      </c>
      <c r="G116" s="157" t="s">
        <v>27</v>
      </c>
      <c r="H116" s="114" t="s">
        <v>346</v>
      </c>
      <c r="I116" s="153">
        <v>2150000</v>
      </c>
      <c r="J116" s="160" t="s">
        <v>356</v>
      </c>
      <c r="K116" s="161">
        <v>2006306</v>
      </c>
      <c r="L116" s="160" t="s">
        <v>52</v>
      </c>
    </row>
    <row r="117" spans="2:12" x14ac:dyDescent="0.3">
      <c r="B117" s="174" t="s">
        <v>87</v>
      </c>
      <c r="C117" s="204" t="s">
        <v>397</v>
      </c>
      <c r="D117" s="114" t="s">
        <v>398</v>
      </c>
      <c r="E117" s="114" t="s">
        <v>88</v>
      </c>
      <c r="F117" s="114" t="s">
        <v>159</v>
      </c>
      <c r="G117" s="157" t="s">
        <v>63</v>
      </c>
      <c r="H117" s="114" t="s">
        <v>69</v>
      </c>
      <c r="I117" s="153">
        <v>2150000</v>
      </c>
      <c r="J117" s="160" t="s">
        <v>356</v>
      </c>
      <c r="K117" s="161">
        <v>2006329</v>
      </c>
      <c r="L117" s="160" t="s">
        <v>52</v>
      </c>
    </row>
    <row r="118" spans="2:12" x14ac:dyDescent="0.3">
      <c r="B118" s="174" t="s">
        <v>87</v>
      </c>
      <c r="C118" s="204" t="s">
        <v>397</v>
      </c>
      <c r="D118" s="114" t="s">
        <v>399</v>
      </c>
      <c r="E118" s="114" t="s">
        <v>89</v>
      </c>
      <c r="F118" s="114">
        <v>10009</v>
      </c>
      <c r="G118" s="157" t="s">
        <v>164</v>
      </c>
      <c r="H118" s="114" t="s">
        <v>164</v>
      </c>
      <c r="I118" s="153">
        <v>4133227</v>
      </c>
      <c r="J118" s="160" t="s">
        <v>400</v>
      </c>
      <c r="K118" s="161" t="s">
        <v>164</v>
      </c>
      <c r="L118" s="160" t="s">
        <v>52</v>
      </c>
    </row>
    <row r="119" spans="2:12" x14ac:dyDescent="0.3">
      <c r="B119" s="174" t="s">
        <v>87</v>
      </c>
      <c r="C119" s="204" t="s">
        <v>401</v>
      </c>
      <c r="D119" s="114" t="s">
        <v>402</v>
      </c>
      <c r="E119" s="114" t="s">
        <v>89</v>
      </c>
      <c r="F119" s="114">
        <v>10010</v>
      </c>
      <c r="G119" s="157" t="s">
        <v>164</v>
      </c>
      <c r="H119" s="114" t="s">
        <v>164</v>
      </c>
      <c r="I119" s="153">
        <v>543020.80000000005</v>
      </c>
      <c r="J119" s="160" t="s">
        <v>403</v>
      </c>
      <c r="K119" s="161" t="s">
        <v>164</v>
      </c>
      <c r="L119" s="160" t="s">
        <v>52</v>
      </c>
    </row>
    <row r="120" spans="2:12" x14ac:dyDescent="0.3">
      <c r="B120" s="174" t="s">
        <v>87</v>
      </c>
      <c r="C120" s="204" t="s">
        <v>401</v>
      </c>
      <c r="D120" s="114" t="s">
        <v>404</v>
      </c>
      <c r="E120" s="114" t="s">
        <v>88</v>
      </c>
      <c r="F120" s="114" t="s">
        <v>159</v>
      </c>
      <c r="G120" s="157" t="s">
        <v>48</v>
      </c>
      <c r="H120" s="114" t="s">
        <v>71</v>
      </c>
      <c r="I120" s="153">
        <v>2150000</v>
      </c>
      <c r="J120" s="160" t="s">
        <v>356</v>
      </c>
      <c r="K120" s="161">
        <v>2006344</v>
      </c>
      <c r="L120" s="160" t="s">
        <v>52</v>
      </c>
    </row>
    <row r="121" spans="2:12" x14ac:dyDescent="0.3">
      <c r="B121" s="174" t="s">
        <v>87</v>
      </c>
      <c r="C121" s="204" t="s">
        <v>405</v>
      </c>
      <c r="D121" s="114" t="s">
        <v>406</v>
      </c>
      <c r="E121" s="114" t="s">
        <v>88</v>
      </c>
      <c r="F121" s="114" t="s">
        <v>159</v>
      </c>
      <c r="G121" s="157" t="s">
        <v>389</v>
      </c>
      <c r="H121" s="114" t="s">
        <v>389</v>
      </c>
      <c r="I121" s="153">
        <v>6450000</v>
      </c>
      <c r="J121" s="160" t="s">
        <v>372</v>
      </c>
      <c r="K121" s="161" t="s">
        <v>389</v>
      </c>
      <c r="L121" s="160" t="s">
        <v>52</v>
      </c>
    </row>
    <row r="122" spans="2:12" x14ac:dyDescent="0.3">
      <c r="B122" s="174" t="s">
        <v>87</v>
      </c>
      <c r="C122" s="204" t="s">
        <v>405</v>
      </c>
      <c r="D122" s="114" t="s">
        <v>407</v>
      </c>
      <c r="E122" s="114" t="s">
        <v>388</v>
      </c>
      <c r="F122" s="114">
        <v>10010</v>
      </c>
      <c r="G122" s="157" t="s">
        <v>389</v>
      </c>
      <c r="H122" s="114" t="s">
        <v>389</v>
      </c>
      <c r="I122" s="153">
        <v>2257061.0999999996</v>
      </c>
      <c r="J122" s="160" t="s">
        <v>408</v>
      </c>
      <c r="K122" s="161" t="s">
        <v>389</v>
      </c>
      <c r="L122" s="160" t="s">
        <v>52</v>
      </c>
    </row>
    <row r="123" spans="2:12" x14ac:dyDescent="0.3">
      <c r="B123" s="174" t="s">
        <v>87</v>
      </c>
      <c r="C123" s="204" t="s">
        <v>405</v>
      </c>
      <c r="D123" s="114" t="s">
        <v>409</v>
      </c>
      <c r="E123" s="114" t="s">
        <v>89</v>
      </c>
      <c r="F123" s="114">
        <v>10010</v>
      </c>
      <c r="G123" s="157" t="s">
        <v>164</v>
      </c>
      <c r="H123" s="114" t="s">
        <v>164</v>
      </c>
      <c r="I123" s="153">
        <v>1607416.3</v>
      </c>
      <c r="J123" s="160" t="s">
        <v>410</v>
      </c>
      <c r="K123" s="161" t="s">
        <v>164</v>
      </c>
      <c r="L123" s="160" t="s">
        <v>52</v>
      </c>
    </row>
    <row r="124" spans="2:12" x14ac:dyDescent="0.3">
      <c r="B124" s="174" t="s">
        <v>87</v>
      </c>
      <c r="C124" s="204" t="s">
        <v>405</v>
      </c>
      <c r="D124" s="114" t="s">
        <v>412</v>
      </c>
      <c r="E124" s="114" t="s">
        <v>88</v>
      </c>
      <c r="F124" s="114" t="s">
        <v>411</v>
      </c>
      <c r="G124" s="157" t="s">
        <v>164</v>
      </c>
      <c r="H124" s="114" t="s">
        <v>164</v>
      </c>
      <c r="I124" s="153">
        <v>2989950</v>
      </c>
      <c r="J124" s="160" t="s">
        <v>356</v>
      </c>
      <c r="K124" s="161" t="s">
        <v>164</v>
      </c>
      <c r="L124" s="160" t="s">
        <v>52</v>
      </c>
    </row>
    <row r="125" spans="2:12" x14ac:dyDescent="0.3">
      <c r="B125" s="174" t="s">
        <v>87</v>
      </c>
      <c r="C125" s="204" t="s">
        <v>413</v>
      </c>
      <c r="D125" s="114" t="s">
        <v>414</v>
      </c>
      <c r="E125" s="114" t="s">
        <v>88</v>
      </c>
      <c r="F125" s="114" t="s">
        <v>159</v>
      </c>
      <c r="G125" s="157" t="s">
        <v>46</v>
      </c>
      <c r="H125" s="114" t="s">
        <v>135</v>
      </c>
      <c r="I125" s="153">
        <v>2150000</v>
      </c>
      <c r="J125" s="160" t="s">
        <v>356</v>
      </c>
      <c r="K125" s="161">
        <v>2006387</v>
      </c>
      <c r="L125" s="160" t="s">
        <v>52</v>
      </c>
    </row>
    <row r="126" spans="2:12" x14ac:dyDescent="0.3">
      <c r="B126" s="174" t="s">
        <v>87</v>
      </c>
      <c r="C126" s="204" t="s">
        <v>413</v>
      </c>
      <c r="D126" s="114" t="s">
        <v>415</v>
      </c>
      <c r="E126" s="114" t="s">
        <v>89</v>
      </c>
      <c r="F126" s="114">
        <v>10010</v>
      </c>
      <c r="G126" s="157" t="s">
        <v>164</v>
      </c>
      <c r="H126" s="114" t="s">
        <v>164</v>
      </c>
      <c r="I126" s="153">
        <v>1032259.5499999999</v>
      </c>
      <c r="J126" s="160" t="s">
        <v>416</v>
      </c>
      <c r="K126" s="161" t="s">
        <v>164</v>
      </c>
      <c r="L126" s="160" t="s">
        <v>52</v>
      </c>
    </row>
    <row r="127" spans="2:12" x14ac:dyDescent="0.3">
      <c r="B127" s="174" t="s">
        <v>87</v>
      </c>
      <c r="C127" s="204" t="s">
        <v>418</v>
      </c>
      <c r="D127" s="114" t="s">
        <v>420</v>
      </c>
      <c r="E127" s="114" t="s">
        <v>89</v>
      </c>
      <c r="F127" s="114">
        <v>10010</v>
      </c>
      <c r="G127" s="157" t="s">
        <v>164</v>
      </c>
      <c r="H127" s="114" t="s">
        <v>164</v>
      </c>
      <c r="I127" s="153">
        <v>2014378.4500000002</v>
      </c>
      <c r="J127" s="160" t="s">
        <v>419</v>
      </c>
      <c r="K127" s="161" t="s">
        <v>164</v>
      </c>
      <c r="L127" s="160" t="s">
        <v>52</v>
      </c>
    </row>
    <row r="128" spans="2:12" x14ac:dyDescent="0.3">
      <c r="B128" s="174" t="s">
        <v>417</v>
      </c>
      <c r="C128" s="204" t="s">
        <v>418</v>
      </c>
      <c r="D128" s="114" t="s">
        <v>421</v>
      </c>
      <c r="E128" s="114" t="s">
        <v>88</v>
      </c>
      <c r="F128" s="114" t="s">
        <v>159</v>
      </c>
      <c r="G128" s="157" t="s">
        <v>45</v>
      </c>
      <c r="H128" s="114" t="s">
        <v>68</v>
      </c>
      <c r="I128" s="153">
        <v>2150000</v>
      </c>
      <c r="J128" s="160" t="s">
        <v>356</v>
      </c>
      <c r="K128" s="161">
        <v>2042351</v>
      </c>
      <c r="L128" s="160" t="s">
        <v>52</v>
      </c>
    </row>
    <row r="129" spans="2:12" x14ac:dyDescent="0.3">
      <c r="B129" s="174" t="s">
        <v>417</v>
      </c>
      <c r="C129" s="204" t="s">
        <v>422</v>
      </c>
      <c r="D129" s="114" t="s">
        <v>423</v>
      </c>
      <c r="E129" s="114" t="s">
        <v>89</v>
      </c>
      <c r="F129" s="114">
        <v>10010</v>
      </c>
      <c r="G129" s="157" t="s">
        <v>164</v>
      </c>
      <c r="H129" s="114" t="s">
        <v>164</v>
      </c>
      <c r="I129" s="153">
        <v>1621577.2999999998</v>
      </c>
      <c r="J129" s="160" t="s">
        <v>424</v>
      </c>
      <c r="K129" s="161" t="s">
        <v>164</v>
      </c>
      <c r="L129" s="160" t="s">
        <v>52</v>
      </c>
    </row>
    <row r="130" spans="2:12" x14ac:dyDescent="0.3">
      <c r="B130" s="174" t="s">
        <v>417</v>
      </c>
      <c r="C130" s="204" t="s">
        <v>425</v>
      </c>
      <c r="D130" s="114" t="s">
        <v>426</v>
      </c>
      <c r="E130" s="114" t="s">
        <v>88</v>
      </c>
      <c r="F130" s="114" t="s">
        <v>159</v>
      </c>
      <c r="G130" s="157" t="s">
        <v>164</v>
      </c>
      <c r="H130" s="114" t="s">
        <v>164</v>
      </c>
      <c r="I130" s="153">
        <v>4300000</v>
      </c>
      <c r="J130" s="160" t="s">
        <v>356</v>
      </c>
      <c r="K130" s="161" t="s">
        <v>164</v>
      </c>
      <c r="L130" s="160" t="s">
        <v>52</v>
      </c>
    </row>
    <row r="131" spans="2:12" x14ac:dyDescent="0.3">
      <c r="B131" s="174" t="s">
        <v>417</v>
      </c>
      <c r="C131" s="204" t="s">
        <v>425</v>
      </c>
      <c r="D131" s="114" t="s">
        <v>427</v>
      </c>
      <c r="E131" s="114" t="s">
        <v>88</v>
      </c>
      <c r="F131" s="114" t="s">
        <v>159</v>
      </c>
      <c r="G131" s="157" t="s">
        <v>48</v>
      </c>
      <c r="H131" s="114" t="s">
        <v>71</v>
      </c>
      <c r="I131" s="153">
        <v>2150000</v>
      </c>
      <c r="J131" s="160" t="s">
        <v>356</v>
      </c>
      <c r="K131" s="161">
        <v>1070453</v>
      </c>
      <c r="L131" s="160" t="s">
        <v>60</v>
      </c>
    </row>
    <row r="132" spans="2:12" x14ac:dyDescent="0.3">
      <c r="B132" s="174" t="s">
        <v>417</v>
      </c>
      <c r="C132" s="204" t="s">
        <v>425</v>
      </c>
      <c r="D132" s="114" t="s">
        <v>428</v>
      </c>
      <c r="E132" s="114" t="s">
        <v>88</v>
      </c>
      <c r="F132" s="114" t="s">
        <v>159</v>
      </c>
      <c r="G132" s="157" t="s">
        <v>12</v>
      </c>
      <c r="H132" s="114" t="s">
        <v>148</v>
      </c>
      <c r="I132" s="153">
        <v>2150000</v>
      </c>
      <c r="J132" s="160" t="s">
        <v>356</v>
      </c>
      <c r="K132" s="161">
        <v>1070452</v>
      </c>
      <c r="L132" s="160" t="s">
        <v>60</v>
      </c>
    </row>
    <row r="133" spans="2:12" x14ac:dyDescent="0.3">
      <c r="B133" s="174" t="s">
        <v>417</v>
      </c>
      <c r="C133" s="204" t="s">
        <v>429</v>
      </c>
      <c r="D133" s="114" t="s">
        <v>430</v>
      </c>
      <c r="E133" s="114" t="s">
        <v>88</v>
      </c>
      <c r="F133" s="114" t="s">
        <v>159</v>
      </c>
      <c r="G133" s="157" t="s">
        <v>23</v>
      </c>
      <c r="H133" s="114" t="s">
        <v>431</v>
      </c>
      <c r="I133" s="153">
        <v>4300000</v>
      </c>
      <c r="J133" s="160" t="s">
        <v>356</v>
      </c>
      <c r="K133" s="161" t="s">
        <v>164</v>
      </c>
      <c r="L133" s="160" t="s">
        <v>52</v>
      </c>
    </row>
    <row r="134" spans="2:12" x14ac:dyDescent="0.3">
      <c r="B134" s="174" t="s">
        <v>417</v>
      </c>
      <c r="C134" s="204" t="s">
        <v>438</v>
      </c>
      <c r="D134" s="114" t="s">
        <v>439</v>
      </c>
      <c r="E134" s="114" t="s">
        <v>88</v>
      </c>
      <c r="F134" s="114" t="s">
        <v>411</v>
      </c>
      <c r="G134" s="157" t="s">
        <v>164</v>
      </c>
      <c r="H134" s="114" t="s">
        <v>164</v>
      </c>
      <c r="I134" s="153">
        <v>3131460</v>
      </c>
      <c r="J134" s="160" t="s">
        <v>356</v>
      </c>
      <c r="K134" s="161" t="s">
        <v>164</v>
      </c>
      <c r="L134" s="160" t="s">
        <v>52</v>
      </c>
    </row>
    <row r="135" spans="2:12" x14ac:dyDescent="0.3">
      <c r="B135" s="174" t="s">
        <v>417</v>
      </c>
      <c r="C135" s="204" t="s">
        <v>438</v>
      </c>
      <c r="D135" s="114" t="s">
        <v>441</v>
      </c>
      <c r="E135" s="114" t="s">
        <v>89</v>
      </c>
      <c r="F135" s="114">
        <v>10010</v>
      </c>
      <c r="G135" s="157" t="s">
        <v>164</v>
      </c>
      <c r="H135" s="114" t="s">
        <v>164</v>
      </c>
      <c r="I135" s="153">
        <v>911046.14999999991</v>
      </c>
      <c r="J135" s="160" t="s">
        <v>444</v>
      </c>
      <c r="K135" s="161" t="s">
        <v>164</v>
      </c>
      <c r="L135" s="160" t="s">
        <v>52</v>
      </c>
    </row>
    <row r="136" spans="2:12" x14ac:dyDescent="0.3">
      <c r="B136" s="174" t="s">
        <v>417</v>
      </c>
      <c r="C136" s="204" t="s">
        <v>438</v>
      </c>
      <c r="D136" s="114" t="s">
        <v>443</v>
      </c>
      <c r="E136" s="114" t="s">
        <v>89</v>
      </c>
      <c r="F136" s="114">
        <v>10009</v>
      </c>
      <c r="G136" s="157" t="s">
        <v>164</v>
      </c>
      <c r="H136" s="114" t="s">
        <v>164</v>
      </c>
      <c r="I136" s="153">
        <v>256367.65000000002</v>
      </c>
      <c r="J136" s="160" t="s">
        <v>442</v>
      </c>
      <c r="K136" s="161" t="s">
        <v>164</v>
      </c>
      <c r="L136" s="160" t="s">
        <v>52</v>
      </c>
    </row>
    <row r="137" spans="2:12" x14ac:dyDescent="0.3">
      <c r="B137" s="174" t="s">
        <v>417</v>
      </c>
      <c r="C137" s="204" t="s">
        <v>438</v>
      </c>
      <c r="D137" s="114" t="s">
        <v>445</v>
      </c>
      <c r="E137" s="114" t="s">
        <v>89</v>
      </c>
      <c r="F137" s="114">
        <v>10010</v>
      </c>
      <c r="G137" s="157" t="s">
        <v>164</v>
      </c>
      <c r="H137" s="114" t="s">
        <v>164</v>
      </c>
      <c r="I137" s="153">
        <v>305627.7</v>
      </c>
      <c r="J137" s="160" t="s">
        <v>440</v>
      </c>
      <c r="K137" s="161" t="s">
        <v>164</v>
      </c>
      <c r="L137" s="160" t="s">
        <v>52</v>
      </c>
    </row>
    <row r="138" spans="2:12" x14ac:dyDescent="0.3">
      <c r="B138" s="174" t="s">
        <v>417</v>
      </c>
      <c r="C138" s="204" t="s">
        <v>446</v>
      </c>
      <c r="D138" s="114" t="s">
        <v>447</v>
      </c>
      <c r="E138" s="114" t="s">
        <v>88</v>
      </c>
      <c r="F138" s="114" t="s">
        <v>411</v>
      </c>
      <c r="G138" s="157" t="s">
        <v>164</v>
      </c>
      <c r="H138" s="114" t="s">
        <v>164</v>
      </c>
      <c r="I138" s="153">
        <v>2916930</v>
      </c>
      <c r="J138" s="160" t="s">
        <v>356</v>
      </c>
      <c r="K138" s="161" t="s">
        <v>164</v>
      </c>
      <c r="L138" s="160" t="s">
        <v>52</v>
      </c>
    </row>
    <row r="139" spans="2:12" x14ac:dyDescent="0.3">
      <c r="B139" s="174" t="s">
        <v>417</v>
      </c>
      <c r="C139" s="204" t="s">
        <v>448</v>
      </c>
      <c r="D139" s="114" t="s">
        <v>449</v>
      </c>
      <c r="E139" s="114" t="s">
        <v>88</v>
      </c>
      <c r="F139" s="114" t="s">
        <v>411</v>
      </c>
      <c r="G139" s="157" t="s">
        <v>164</v>
      </c>
      <c r="H139" s="114" t="s">
        <v>164</v>
      </c>
      <c r="I139" s="153">
        <v>3225900</v>
      </c>
      <c r="J139" s="160" t="s">
        <v>356</v>
      </c>
      <c r="K139" s="161" t="s">
        <v>164</v>
      </c>
      <c r="L139" s="160" t="s">
        <v>60</v>
      </c>
    </row>
    <row r="140" spans="2:12" x14ac:dyDescent="0.3">
      <c r="B140" s="174" t="s">
        <v>417</v>
      </c>
      <c r="C140" s="204" t="s">
        <v>448</v>
      </c>
      <c r="D140" s="114" t="s">
        <v>450</v>
      </c>
      <c r="E140" s="114" t="s">
        <v>89</v>
      </c>
      <c r="F140" s="114">
        <v>10010</v>
      </c>
      <c r="G140" s="157" t="s">
        <v>164</v>
      </c>
      <c r="H140" s="114" t="s">
        <v>164</v>
      </c>
      <c r="I140" s="153">
        <v>673908.9</v>
      </c>
      <c r="J140" s="160" t="s">
        <v>451</v>
      </c>
      <c r="K140" s="161" t="s">
        <v>164</v>
      </c>
      <c r="L140" s="160" t="s">
        <v>52</v>
      </c>
    </row>
    <row r="141" spans="2:12" x14ac:dyDescent="0.3">
      <c r="B141" s="174" t="s">
        <v>417</v>
      </c>
      <c r="C141" s="204" t="s">
        <v>452</v>
      </c>
      <c r="D141" s="114" t="s">
        <v>453</v>
      </c>
      <c r="E141" s="114" t="s">
        <v>89</v>
      </c>
      <c r="F141" s="114">
        <v>10009</v>
      </c>
      <c r="G141" s="157" t="s">
        <v>164</v>
      </c>
      <c r="H141" s="114" t="s">
        <v>164</v>
      </c>
      <c r="I141" s="153">
        <v>763908.6</v>
      </c>
      <c r="J141" s="160" t="s">
        <v>454</v>
      </c>
      <c r="K141" s="161" t="s">
        <v>164</v>
      </c>
      <c r="L141" s="160" t="s">
        <v>52</v>
      </c>
    </row>
    <row r="142" spans="2:12" x14ac:dyDescent="0.3">
      <c r="B142" s="174" t="s">
        <v>417</v>
      </c>
      <c r="C142" s="204" t="s">
        <v>452</v>
      </c>
      <c r="D142" s="114" t="s">
        <v>455</v>
      </c>
      <c r="E142" s="114" t="s">
        <v>89</v>
      </c>
      <c r="F142" s="114">
        <v>10010</v>
      </c>
      <c r="G142" s="157" t="s">
        <v>164</v>
      </c>
      <c r="H142" s="114" t="s">
        <v>164</v>
      </c>
      <c r="I142" s="153">
        <v>680340.85</v>
      </c>
      <c r="J142" s="160" t="s">
        <v>456</v>
      </c>
      <c r="K142" s="161" t="s">
        <v>164</v>
      </c>
      <c r="L142" s="160" t="s">
        <v>52</v>
      </c>
    </row>
    <row r="143" spans="2:12" x14ac:dyDescent="0.3">
      <c r="B143" s="174" t="s">
        <v>417</v>
      </c>
      <c r="C143" s="204" t="s">
        <v>457</v>
      </c>
      <c r="D143" s="114" t="s">
        <v>458</v>
      </c>
      <c r="E143" s="114" t="s">
        <v>88</v>
      </c>
      <c r="F143" s="114" t="s">
        <v>159</v>
      </c>
      <c r="G143" s="157" t="s">
        <v>48</v>
      </c>
      <c r="H143" s="114" t="s">
        <v>437</v>
      </c>
      <c r="I143" s="153">
        <v>2150000</v>
      </c>
      <c r="J143" s="160" t="s">
        <v>372</v>
      </c>
      <c r="K143" s="161">
        <v>1087077</v>
      </c>
      <c r="L143" s="160" t="s">
        <v>60</v>
      </c>
    </row>
    <row r="144" spans="2:12" x14ac:dyDescent="0.3">
      <c r="B144" s="174" t="s">
        <v>417</v>
      </c>
      <c r="C144" s="204" t="s">
        <v>459</v>
      </c>
      <c r="D144" s="114" t="s">
        <v>460</v>
      </c>
      <c r="E144" s="114" t="s">
        <v>89</v>
      </c>
      <c r="F144" s="114">
        <v>10009</v>
      </c>
      <c r="G144" s="157" t="s">
        <v>164</v>
      </c>
      <c r="H144" s="114" t="s">
        <v>164</v>
      </c>
      <c r="I144" s="153">
        <v>273569.09999999998</v>
      </c>
      <c r="J144" s="160" t="s">
        <v>461</v>
      </c>
      <c r="K144" s="161" t="s">
        <v>164</v>
      </c>
      <c r="L144" s="160" t="s">
        <v>52</v>
      </c>
    </row>
    <row r="145" spans="2:12" x14ac:dyDescent="0.3">
      <c r="B145" s="174" t="s">
        <v>417</v>
      </c>
      <c r="C145" s="204" t="s">
        <v>459</v>
      </c>
      <c r="D145" s="114" t="s">
        <v>462</v>
      </c>
      <c r="E145" s="114" t="s">
        <v>89</v>
      </c>
      <c r="F145" s="114">
        <v>10010</v>
      </c>
      <c r="G145" s="157" t="s">
        <v>164</v>
      </c>
      <c r="H145" s="114" t="s">
        <v>164</v>
      </c>
      <c r="I145" s="153">
        <v>2125816</v>
      </c>
      <c r="J145" s="160" t="s">
        <v>463</v>
      </c>
      <c r="K145" s="161" t="s">
        <v>164</v>
      </c>
      <c r="L145" s="160" t="s">
        <v>52</v>
      </c>
    </row>
    <row r="146" spans="2:12" x14ac:dyDescent="0.3">
      <c r="B146" s="174" t="s">
        <v>417</v>
      </c>
      <c r="C146" s="204" t="s">
        <v>459</v>
      </c>
      <c r="D146" s="114" t="s">
        <v>464</v>
      </c>
      <c r="E146" s="114" t="s">
        <v>88</v>
      </c>
      <c r="F146" s="114" t="s">
        <v>411</v>
      </c>
      <c r="G146" s="157" t="s">
        <v>46</v>
      </c>
      <c r="H146" s="114" t="s">
        <v>135</v>
      </c>
      <c r="I146" s="153">
        <v>1470150</v>
      </c>
      <c r="J146" s="160" t="s">
        <v>356</v>
      </c>
      <c r="K146" s="161">
        <v>1104416</v>
      </c>
      <c r="L146" s="160" t="s">
        <v>52</v>
      </c>
    </row>
    <row r="147" spans="2:12" x14ac:dyDescent="0.3">
      <c r="B147" s="174" t="s">
        <v>417</v>
      </c>
      <c r="C147" s="204" t="s">
        <v>465</v>
      </c>
      <c r="D147" s="114" t="s">
        <v>466</v>
      </c>
      <c r="E147" s="114" t="s">
        <v>88</v>
      </c>
      <c r="F147" s="114" t="s">
        <v>159</v>
      </c>
      <c r="G147" s="157" t="s">
        <v>23</v>
      </c>
      <c r="H147" s="114" t="s">
        <v>134</v>
      </c>
      <c r="I147" s="153">
        <v>2150000</v>
      </c>
      <c r="J147" s="160" t="s">
        <v>372</v>
      </c>
      <c r="K147" s="161">
        <v>1104411</v>
      </c>
      <c r="L147" s="160" t="s">
        <v>52</v>
      </c>
    </row>
    <row r="148" spans="2:12" x14ac:dyDescent="0.3">
      <c r="B148" s="174" t="s">
        <v>417</v>
      </c>
      <c r="C148" s="204" t="s">
        <v>467</v>
      </c>
      <c r="D148" s="114" t="s">
        <v>469</v>
      </c>
      <c r="E148" s="114" t="s">
        <v>89</v>
      </c>
      <c r="F148" s="114">
        <v>10009</v>
      </c>
      <c r="G148" s="157" t="s">
        <v>164</v>
      </c>
      <c r="H148" s="114" t="s">
        <v>164</v>
      </c>
      <c r="I148" s="153">
        <v>2192051.4</v>
      </c>
      <c r="J148" s="160" t="s">
        <v>468</v>
      </c>
      <c r="K148" s="161" t="s">
        <v>164</v>
      </c>
      <c r="L148" s="160" t="s">
        <v>52</v>
      </c>
    </row>
    <row r="149" spans="2:12" x14ac:dyDescent="0.3">
      <c r="B149" s="174" t="s">
        <v>417</v>
      </c>
      <c r="C149" s="204" t="s">
        <v>467</v>
      </c>
      <c r="D149" s="114" t="s">
        <v>470</v>
      </c>
      <c r="E149" s="114" t="s">
        <v>88</v>
      </c>
      <c r="F149" s="114" t="s">
        <v>159</v>
      </c>
      <c r="G149" s="157" t="s">
        <v>63</v>
      </c>
      <c r="H149" s="114" t="s">
        <v>436</v>
      </c>
      <c r="I149" s="153">
        <v>2150000</v>
      </c>
      <c r="J149" s="160" t="s">
        <v>356</v>
      </c>
      <c r="K149" s="161">
        <v>1102816</v>
      </c>
      <c r="L149" s="160" t="s">
        <v>52</v>
      </c>
    </row>
    <row r="150" spans="2:12" x14ac:dyDescent="0.3">
      <c r="B150" s="174" t="s">
        <v>417</v>
      </c>
      <c r="C150" s="204" t="s">
        <v>467</v>
      </c>
      <c r="D150" s="114" t="s">
        <v>472</v>
      </c>
      <c r="E150" s="114" t="s">
        <v>89</v>
      </c>
      <c r="F150" s="114">
        <v>10010</v>
      </c>
      <c r="G150" s="157" t="s">
        <v>164</v>
      </c>
      <c r="H150" s="114" t="s">
        <v>164</v>
      </c>
      <c r="I150" s="153">
        <v>6203529.5000000009</v>
      </c>
      <c r="J150" s="160" t="s">
        <v>471</v>
      </c>
      <c r="K150" s="161" t="s">
        <v>164</v>
      </c>
      <c r="L150" s="160" t="s">
        <v>52</v>
      </c>
    </row>
    <row r="151" spans="2:12" x14ac:dyDescent="0.3">
      <c r="B151" s="174" t="s">
        <v>473</v>
      </c>
      <c r="C151" s="204" t="s">
        <v>474</v>
      </c>
      <c r="D151" s="114" t="s">
        <v>475</v>
      </c>
      <c r="E151" s="114" t="s">
        <v>88</v>
      </c>
      <c r="F151" s="114" t="s">
        <v>159</v>
      </c>
      <c r="G151" s="157" t="s">
        <v>47</v>
      </c>
      <c r="H151" s="114" t="s">
        <v>348</v>
      </c>
      <c r="I151" s="153">
        <v>2150000</v>
      </c>
      <c r="J151" s="160" t="s">
        <v>356</v>
      </c>
      <c r="K151" s="161">
        <v>1091149</v>
      </c>
      <c r="L151" s="160" t="s">
        <v>60</v>
      </c>
    </row>
    <row r="152" spans="2:12" x14ac:dyDescent="0.3">
      <c r="B152" s="174" t="s">
        <v>473</v>
      </c>
      <c r="C152" s="204" t="s">
        <v>474</v>
      </c>
      <c r="D152" s="114" t="s">
        <v>476</v>
      </c>
      <c r="E152" s="114" t="s">
        <v>88</v>
      </c>
      <c r="F152" s="114" t="s">
        <v>159</v>
      </c>
      <c r="G152" s="157" t="s">
        <v>164</v>
      </c>
      <c r="H152" s="114" t="s">
        <v>164</v>
      </c>
      <c r="I152" s="153">
        <v>4300000</v>
      </c>
      <c r="J152" s="160" t="s">
        <v>356</v>
      </c>
      <c r="K152" s="161" t="s">
        <v>164</v>
      </c>
      <c r="L152" s="160" t="s">
        <v>52</v>
      </c>
    </row>
    <row r="153" spans="2:12" x14ac:dyDescent="0.3">
      <c r="B153" s="174" t="s">
        <v>473</v>
      </c>
      <c r="C153" s="204" t="s">
        <v>482</v>
      </c>
      <c r="D153" s="114" t="s">
        <v>483</v>
      </c>
      <c r="E153" s="114" t="s">
        <v>89</v>
      </c>
      <c r="F153" s="114">
        <v>10009</v>
      </c>
      <c r="G153" s="157" t="s">
        <v>164</v>
      </c>
      <c r="H153" s="114" t="s">
        <v>164</v>
      </c>
      <c r="I153" s="153">
        <v>1488999.4</v>
      </c>
      <c r="J153" s="160" t="s">
        <v>484</v>
      </c>
      <c r="K153" s="161" t="s">
        <v>164</v>
      </c>
      <c r="L153" s="160" t="s">
        <v>52</v>
      </c>
    </row>
    <row r="154" spans="2:12" x14ac:dyDescent="0.3">
      <c r="B154" s="174" t="s">
        <v>473</v>
      </c>
      <c r="C154" s="204" t="s">
        <v>482</v>
      </c>
      <c r="D154" s="114" t="s">
        <v>485</v>
      </c>
      <c r="E154" s="114" t="s">
        <v>89</v>
      </c>
      <c r="F154" s="114">
        <v>10010</v>
      </c>
      <c r="G154" s="157" t="s">
        <v>164</v>
      </c>
      <c r="H154" s="114" t="s">
        <v>164</v>
      </c>
      <c r="I154" s="153">
        <v>859251.39999999991</v>
      </c>
      <c r="J154" s="160" t="s">
        <v>486</v>
      </c>
      <c r="K154" s="161" t="s">
        <v>164</v>
      </c>
      <c r="L154" s="160" t="s">
        <v>52</v>
      </c>
    </row>
    <row r="155" spans="2:12" x14ac:dyDescent="0.3">
      <c r="B155" s="174" t="s">
        <v>473</v>
      </c>
      <c r="C155" s="204" t="s">
        <v>482</v>
      </c>
      <c r="D155" s="114" t="s">
        <v>487</v>
      </c>
      <c r="E155" s="114" t="s">
        <v>89</v>
      </c>
      <c r="F155" s="114">
        <v>10009</v>
      </c>
      <c r="G155" s="157" t="s">
        <v>164</v>
      </c>
      <c r="H155" s="114" t="s">
        <v>164</v>
      </c>
      <c r="I155" s="153">
        <v>2882483.4499999997</v>
      </c>
      <c r="J155" s="160" t="s">
        <v>488</v>
      </c>
      <c r="K155" s="161" t="s">
        <v>164</v>
      </c>
      <c r="L155" s="160" t="s">
        <v>52</v>
      </c>
    </row>
    <row r="156" spans="2:12" x14ac:dyDescent="0.3">
      <c r="B156" s="174" t="s">
        <v>473</v>
      </c>
      <c r="C156" s="204" t="s">
        <v>482</v>
      </c>
      <c r="D156" s="114" t="s">
        <v>489</v>
      </c>
      <c r="E156" s="114" t="s">
        <v>89</v>
      </c>
      <c r="F156" s="114">
        <v>10010</v>
      </c>
      <c r="G156" s="157" t="s">
        <v>164</v>
      </c>
      <c r="H156" s="114" t="s">
        <v>164</v>
      </c>
      <c r="I156" s="153">
        <v>3093625.15</v>
      </c>
      <c r="J156" s="160" t="s">
        <v>490</v>
      </c>
      <c r="K156" s="161" t="s">
        <v>164</v>
      </c>
      <c r="L156" s="160" t="s">
        <v>52</v>
      </c>
    </row>
    <row r="157" spans="2:12" x14ac:dyDescent="0.3">
      <c r="B157" s="174" t="s">
        <v>473</v>
      </c>
      <c r="C157" s="204" t="s">
        <v>482</v>
      </c>
      <c r="D157" s="114" t="s">
        <v>491</v>
      </c>
      <c r="E157" s="114" t="s">
        <v>88</v>
      </c>
      <c r="F157" s="114" t="s">
        <v>159</v>
      </c>
      <c r="G157" s="157" t="s">
        <v>164</v>
      </c>
      <c r="H157" s="114" t="s">
        <v>164</v>
      </c>
      <c r="I157" s="153">
        <v>4300000</v>
      </c>
      <c r="J157" s="160" t="s">
        <v>356</v>
      </c>
      <c r="K157" s="161" t="s">
        <v>164</v>
      </c>
      <c r="L157" s="160" t="s">
        <v>52</v>
      </c>
    </row>
    <row r="158" spans="2:12" x14ac:dyDescent="0.3">
      <c r="B158" s="174" t="s">
        <v>473</v>
      </c>
      <c r="C158" s="204" t="s">
        <v>492</v>
      </c>
      <c r="D158" s="114" t="s">
        <v>493</v>
      </c>
      <c r="E158" s="114" t="s">
        <v>88</v>
      </c>
      <c r="F158" s="114" t="s">
        <v>159</v>
      </c>
      <c r="G158" s="157" t="s">
        <v>45</v>
      </c>
      <c r="H158" s="114" t="s">
        <v>68</v>
      </c>
      <c r="I158" s="153">
        <v>2150000</v>
      </c>
      <c r="J158" s="160" t="s">
        <v>356</v>
      </c>
      <c r="K158" s="161">
        <v>1102862</v>
      </c>
      <c r="L158" s="160" t="s">
        <v>52</v>
      </c>
    </row>
    <row r="159" spans="2:12" x14ac:dyDescent="0.3">
      <c r="B159" s="174" t="s">
        <v>473</v>
      </c>
      <c r="C159" s="204" t="s">
        <v>494</v>
      </c>
      <c r="D159" s="114" t="s">
        <v>495</v>
      </c>
      <c r="E159" s="114" t="s">
        <v>89</v>
      </c>
      <c r="F159" s="114">
        <v>10010</v>
      </c>
      <c r="G159" s="157" t="s">
        <v>164</v>
      </c>
      <c r="H159" s="114" t="s">
        <v>164</v>
      </c>
      <c r="I159" s="153">
        <v>1510740.7000000002</v>
      </c>
      <c r="J159" s="160" t="s">
        <v>496</v>
      </c>
      <c r="K159" s="161" t="s">
        <v>164</v>
      </c>
      <c r="L159" s="160" t="s">
        <v>52</v>
      </c>
    </row>
    <row r="160" spans="2:12" x14ac:dyDescent="0.3">
      <c r="B160" s="174" t="s">
        <v>473</v>
      </c>
      <c r="C160" s="204" t="s">
        <v>494</v>
      </c>
      <c r="D160" s="114" t="s">
        <v>497</v>
      </c>
      <c r="E160" s="114" t="s">
        <v>89</v>
      </c>
      <c r="F160" s="114">
        <v>10009</v>
      </c>
      <c r="G160" s="157" t="s">
        <v>164</v>
      </c>
      <c r="H160" s="114" t="s">
        <v>164</v>
      </c>
      <c r="I160" s="153">
        <v>488149.9</v>
      </c>
      <c r="J160" s="160" t="s">
        <v>498</v>
      </c>
      <c r="K160" s="161" t="s">
        <v>164</v>
      </c>
      <c r="L160" s="160" t="s">
        <v>52</v>
      </c>
    </row>
    <row r="161" spans="2:12" x14ac:dyDescent="0.3">
      <c r="B161" s="174" t="s">
        <v>473</v>
      </c>
      <c r="C161" s="204" t="s">
        <v>499</v>
      </c>
      <c r="D161" s="114" t="s">
        <v>500</v>
      </c>
      <c r="E161" s="114" t="s">
        <v>88</v>
      </c>
      <c r="F161" s="114" t="s">
        <v>159</v>
      </c>
      <c r="G161" s="157" t="s">
        <v>23</v>
      </c>
      <c r="H161" s="114" t="s">
        <v>134</v>
      </c>
      <c r="I161" s="153">
        <v>2150000</v>
      </c>
      <c r="J161" s="160" t="s">
        <v>356</v>
      </c>
      <c r="K161" s="161">
        <v>1102887</v>
      </c>
      <c r="L161" s="160" t="s">
        <v>52</v>
      </c>
    </row>
    <row r="162" spans="2:12" x14ac:dyDescent="0.3">
      <c r="B162" s="174" t="s">
        <v>473</v>
      </c>
      <c r="C162" s="204" t="s">
        <v>502</v>
      </c>
      <c r="D162" s="114" t="s">
        <v>504</v>
      </c>
      <c r="E162" s="114" t="s">
        <v>89</v>
      </c>
      <c r="F162" s="114">
        <v>10010</v>
      </c>
      <c r="G162" s="157" t="s">
        <v>164</v>
      </c>
      <c r="H162" s="114" t="s">
        <v>164</v>
      </c>
      <c r="I162" s="153">
        <v>4701214</v>
      </c>
      <c r="J162" s="160" t="s">
        <v>503</v>
      </c>
      <c r="K162" s="161" t="s">
        <v>164</v>
      </c>
      <c r="L162" s="160" t="s">
        <v>52</v>
      </c>
    </row>
    <row r="163" spans="2:12" x14ac:dyDescent="0.3">
      <c r="B163" s="174" t="s">
        <v>473</v>
      </c>
      <c r="C163" s="204" t="s">
        <v>502</v>
      </c>
      <c r="D163" s="114" t="s">
        <v>506</v>
      </c>
      <c r="E163" s="114" t="s">
        <v>89</v>
      </c>
      <c r="F163" s="114">
        <v>10009</v>
      </c>
      <c r="G163" s="157" t="s">
        <v>164</v>
      </c>
      <c r="H163" s="114" t="s">
        <v>164</v>
      </c>
      <c r="I163" s="153">
        <v>1667868.2999999998</v>
      </c>
      <c r="J163" s="160" t="s">
        <v>505</v>
      </c>
      <c r="K163" s="161" t="s">
        <v>164</v>
      </c>
      <c r="L163" s="160" t="s">
        <v>52</v>
      </c>
    </row>
    <row r="164" spans="2:12" x14ac:dyDescent="0.3">
      <c r="B164" s="174" t="s">
        <v>501</v>
      </c>
      <c r="C164" s="204" t="s">
        <v>502</v>
      </c>
      <c r="D164" s="114" t="s">
        <v>507</v>
      </c>
      <c r="E164" s="114" t="s">
        <v>89</v>
      </c>
      <c r="F164" s="114">
        <v>10010</v>
      </c>
      <c r="G164" s="157" t="s">
        <v>164</v>
      </c>
      <c r="H164" s="114" t="s">
        <v>164</v>
      </c>
      <c r="I164" s="153">
        <v>450742.25</v>
      </c>
      <c r="J164" s="160" t="s">
        <v>508</v>
      </c>
      <c r="K164" s="161" t="s">
        <v>164</v>
      </c>
      <c r="L164" s="160" t="s">
        <v>52</v>
      </c>
    </row>
    <row r="165" spans="2:12" x14ac:dyDescent="0.3">
      <c r="B165" s="174" t="s">
        <v>501</v>
      </c>
      <c r="C165" s="204" t="s">
        <v>502</v>
      </c>
      <c r="D165" s="114" t="s">
        <v>509</v>
      </c>
      <c r="E165" s="114" t="s">
        <v>89</v>
      </c>
      <c r="F165" s="114">
        <v>10009</v>
      </c>
      <c r="G165" s="157" t="s">
        <v>164</v>
      </c>
      <c r="H165" s="114" t="s">
        <v>164</v>
      </c>
      <c r="I165" s="153">
        <v>181861.75000000003</v>
      </c>
      <c r="J165" s="160" t="s">
        <v>510</v>
      </c>
      <c r="K165" s="161" t="s">
        <v>164</v>
      </c>
      <c r="L165" s="160" t="s">
        <v>52</v>
      </c>
    </row>
    <row r="166" spans="2:12" x14ac:dyDescent="0.3">
      <c r="B166" s="174" t="s">
        <v>501</v>
      </c>
      <c r="C166" s="204" t="s">
        <v>511</v>
      </c>
      <c r="D166" s="114" t="s">
        <v>512</v>
      </c>
      <c r="E166" s="114" t="s">
        <v>89</v>
      </c>
      <c r="F166" s="114">
        <v>10010</v>
      </c>
      <c r="G166" s="157" t="s">
        <v>164</v>
      </c>
      <c r="H166" s="114" t="s">
        <v>164</v>
      </c>
      <c r="I166" s="153">
        <v>628147.44999999995</v>
      </c>
      <c r="J166" s="160" t="s">
        <v>513</v>
      </c>
      <c r="K166" s="161" t="s">
        <v>164</v>
      </c>
      <c r="L166" s="160" t="s">
        <v>52</v>
      </c>
    </row>
    <row r="167" spans="2:12" x14ac:dyDescent="0.3">
      <c r="B167" s="174" t="s">
        <v>501</v>
      </c>
      <c r="C167" s="204" t="s">
        <v>511</v>
      </c>
      <c r="D167" s="114" t="s">
        <v>514</v>
      </c>
      <c r="E167" s="114" t="s">
        <v>89</v>
      </c>
      <c r="F167" s="114">
        <v>10009</v>
      </c>
      <c r="G167" s="157" t="s">
        <v>164</v>
      </c>
      <c r="H167" s="114" t="s">
        <v>164</v>
      </c>
      <c r="I167" s="153">
        <v>475006.35</v>
      </c>
      <c r="J167" s="160" t="s">
        <v>515</v>
      </c>
      <c r="K167" s="161" t="s">
        <v>164</v>
      </c>
      <c r="L167" s="160" t="s">
        <v>52</v>
      </c>
    </row>
    <row r="168" spans="2:12" x14ac:dyDescent="0.3">
      <c r="B168" s="174" t="s">
        <v>501</v>
      </c>
      <c r="C168" s="204" t="s">
        <v>511</v>
      </c>
      <c r="D168" s="114" t="s">
        <v>516</v>
      </c>
      <c r="E168" s="114" t="s">
        <v>89</v>
      </c>
      <c r="F168" s="114">
        <v>10009</v>
      </c>
      <c r="G168" s="157" t="s">
        <v>164</v>
      </c>
      <c r="H168" s="114" t="s">
        <v>164</v>
      </c>
      <c r="I168" s="153">
        <v>250090.4</v>
      </c>
      <c r="J168" s="160" t="s">
        <v>517</v>
      </c>
      <c r="K168" s="161" t="s">
        <v>164</v>
      </c>
      <c r="L168" s="160" t="s">
        <v>52</v>
      </c>
    </row>
    <row r="169" spans="2:12" x14ac:dyDescent="0.3">
      <c r="B169" s="174" t="s">
        <v>501</v>
      </c>
      <c r="C169" s="204" t="s">
        <v>511</v>
      </c>
      <c r="D169" s="114" t="s">
        <v>518</v>
      </c>
      <c r="E169" s="114" t="s">
        <v>89</v>
      </c>
      <c r="F169" s="114">
        <v>10010</v>
      </c>
      <c r="G169" s="157" t="s">
        <v>164</v>
      </c>
      <c r="H169" s="114" t="s">
        <v>164</v>
      </c>
      <c r="I169" s="153">
        <v>3883499.5500000003</v>
      </c>
      <c r="J169" s="160" t="s">
        <v>519</v>
      </c>
      <c r="K169" s="161" t="s">
        <v>164</v>
      </c>
      <c r="L169" s="160" t="s">
        <v>52</v>
      </c>
    </row>
    <row r="170" spans="2:12" x14ac:dyDescent="0.3">
      <c r="B170" s="174" t="s">
        <v>501</v>
      </c>
      <c r="C170" s="204" t="s">
        <v>511</v>
      </c>
      <c r="D170" s="114" t="s">
        <v>520</v>
      </c>
      <c r="E170" s="114" t="s">
        <v>89</v>
      </c>
      <c r="F170" s="114">
        <v>10012</v>
      </c>
      <c r="G170" s="157" t="s">
        <v>164</v>
      </c>
      <c r="H170" s="114" t="s">
        <v>164</v>
      </c>
      <c r="I170" s="153">
        <v>2451832.875</v>
      </c>
      <c r="J170" s="160" t="s">
        <v>521</v>
      </c>
      <c r="K170" s="161" t="s">
        <v>164</v>
      </c>
      <c r="L170" s="160" t="s">
        <v>52</v>
      </c>
    </row>
    <row r="171" spans="2:12" x14ac:dyDescent="0.3">
      <c r="B171" s="174" t="s">
        <v>501</v>
      </c>
      <c r="C171" s="204" t="s">
        <v>511</v>
      </c>
      <c r="D171" s="114" t="s">
        <v>522</v>
      </c>
      <c r="E171" s="114" t="s">
        <v>89</v>
      </c>
      <c r="F171" s="114">
        <v>10012</v>
      </c>
      <c r="G171" s="157" t="s">
        <v>164</v>
      </c>
      <c r="H171" s="114" t="s">
        <v>164</v>
      </c>
      <c r="I171" s="153">
        <v>2712929.625</v>
      </c>
      <c r="J171" s="160" t="s">
        <v>523</v>
      </c>
      <c r="K171" s="161" t="s">
        <v>164</v>
      </c>
      <c r="L171" s="160" t="s">
        <v>52</v>
      </c>
    </row>
    <row r="172" spans="2:12" x14ac:dyDescent="0.3">
      <c r="B172" s="174" t="s">
        <v>501</v>
      </c>
      <c r="C172" s="204" t="s">
        <v>524</v>
      </c>
      <c r="D172" s="114" t="s">
        <v>525</v>
      </c>
      <c r="E172" s="114" t="s">
        <v>89</v>
      </c>
      <c r="F172" s="114">
        <v>10012</v>
      </c>
      <c r="G172" s="157" t="s">
        <v>164</v>
      </c>
      <c r="H172" s="114" t="s">
        <v>164</v>
      </c>
      <c r="I172" s="153">
        <v>3506817.375</v>
      </c>
      <c r="J172" s="160" t="s">
        <v>526</v>
      </c>
      <c r="K172" s="161" t="s">
        <v>164</v>
      </c>
      <c r="L172" s="160" t="s">
        <v>52</v>
      </c>
    </row>
    <row r="173" spans="2:12" x14ac:dyDescent="0.3">
      <c r="B173" s="174" t="s">
        <v>501</v>
      </c>
      <c r="C173" s="204" t="s">
        <v>524</v>
      </c>
      <c r="D173" s="114" t="s">
        <v>527</v>
      </c>
      <c r="E173" s="114" t="s">
        <v>89</v>
      </c>
      <c r="F173" s="114">
        <v>10010</v>
      </c>
      <c r="G173" s="157" t="s">
        <v>164</v>
      </c>
      <c r="H173" s="114" t="s">
        <v>164</v>
      </c>
      <c r="I173" s="153">
        <v>2890414.8000000003</v>
      </c>
      <c r="J173" s="160" t="s">
        <v>528</v>
      </c>
      <c r="K173" s="161" t="s">
        <v>164</v>
      </c>
      <c r="L173" s="160" t="s">
        <v>52</v>
      </c>
    </row>
    <row r="174" spans="2:12" x14ac:dyDescent="0.3">
      <c r="B174" s="174" t="s">
        <v>501</v>
      </c>
      <c r="C174" s="204">
        <v>43714</v>
      </c>
      <c r="D174" s="114" t="s">
        <v>531</v>
      </c>
      <c r="E174" s="114" t="s">
        <v>89</v>
      </c>
      <c r="F174" s="114">
        <v>10012</v>
      </c>
      <c r="G174" s="157" t="s">
        <v>164</v>
      </c>
      <c r="H174" s="114" t="s">
        <v>164</v>
      </c>
      <c r="I174" s="153">
        <v>3759300.75</v>
      </c>
      <c r="J174" s="160" t="s">
        <v>530</v>
      </c>
      <c r="K174" s="161" t="s">
        <v>164</v>
      </c>
      <c r="L174" s="160" t="s">
        <v>52</v>
      </c>
    </row>
    <row r="175" spans="2:12" x14ac:dyDescent="0.3">
      <c r="B175" s="174" t="s">
        <v>501</v>
      </c>
      <c r="C175" s="204">
        <v>43714</v>
      </c>
      <c r="D175" s="114" t="s">
        <v>533</v>
      </c>
      <c r="E175" s="114" t="s">
        <v>89</v>
      </c>
      <c r="F175" s="114">
        <v>10010</v>
      </c>
      <c r="G175" s="157" t="s">
        <v>164</v>
      </c>
      <c r="H175" s="114" t="s">
        <v>164</v>
      </c>
      <c r="I175" s="153">
        <v>1265451.9500000002</v>
      </c>
      <c r="J175" s="160" t="s">
        <v>532</v>
      </c>
      <c r="K175" s="161" t="s">
        <v>164</v>
      </c>
      <c r="L175" s="160" t="s">
        <v>52</v>
      </c>
    </row>
    <row r="176" spans="2:12" x14ac:dyDescent="0.3">
      <c r="B176" s="174" t="s">
        <v>529</v>
      </c>
      <c r="C176" s="204">
        <v>43714</v>
      </c>
      <c r="D176" s="114" t="s">
        <v>534</v>
      </c>
      <c r="E176" s="114" t="s">
        <v>89</v>
      </c>
      <c r="F176" s="114">
        <v>10012</v>
      </c>
      <c r="G176" s="157" t="s">
        <v>164</v>
      </c>
      <c r="H176" s="114" t="s">
        <v>164</v>
      </c>
      <c r="I176" s="153">
        <v>312619.5</v>
      </c>
      <c r="J176" s="160" t="s">
        <v>535</v>
      </c>
      <c r="K176" s="161" t="s">
        <v>164</v>
      </c>
      <c r="L176" s="160" t="s">
        <v>52</v>
      </c>
    </row>
    <row r="177" spans="2:12" x14ac:dyDescent="0.3">
      <c r="B177" s="174" t="s">
        <v>529</v>
      </c>
      <c r="C177" s="204">
        <v>43724</v>
      </c>
      <c r="D177" s="114" t="s">
        <v>536</v>
      </c>
      <c r="E177" s="114" t="s">
        <v>89</v>
      </c>
      <c r="F177" s="114">
        <v>10010</v>
      </c>
      <c r="G177" s="157" t="s">
        <v>164</v>
      </c>
      <c r="H177" s="114" t="s">
        <v>164</v>
      </c>
      <c r="I177" s="153">
        <v>197694.69999999998</v>
      </c>
      <c r="J177" s="160" t="s">
        <v>537</v>
      </c>
      <c r="K177" s="161" t="s">
        <v>164</v>
      </c>
      <c r="L177" s="160" t="s">
        <v>52</v>
      </c>
    </row>
    <row r="178" spans="2:12" x14ac:dyDescent="0.3">
      <c r="B178" s="174" t="s">
        <v>529</v>
      </c>
      <c r="C178" s="204">
        <v>43724</v>
      </c>
      <c r="D178" s="114" t="s">
        <v>538</v>
      </c>
      <c r="E178" s="114" t="s">
        <v>89</v>
      </c>
      <c r="F178" s="114">
        <v>10010</v>
      </c>
      <c r="G178" s="157" t="s">
        <v>164</v>
      </c>
      <c r="H178" s="114" t="s">
        <v>164</v>
      </c>
      <c r="I178" s="153">
        <v>3772936.65</v>
      </c>
      <c r="J178" s="160" t="s">
        <v>539</v>
      </c>
      <c r="K178" s="161" t="s">
        <v>164</v>
      </c>
      <c r="L178" s="160" t="s">
        <v>52</v>
      </c>
    </row>
    <row r="179" spans="2:12" x14ac:dyDescent="0.3">
      <c r="B179" s="174" t="s">
        <v>529</v>
      </c>
      <c r="C179" s="204">
        <v>43724</v>
      </c>
      <c r="D179" s="114" t="s">
        <v>540</v>
      </c>
      <c r="E179" s="114" t="s">
        <v>89</v>
      </c>
      <c r="F179" s="114">
        <v>10012</v>
      </c>
      <c r="G179" s="157" t="s">
        <v>164</v>
      </c>
      <c r="H179" s="114" t="s">
        <v>164</v>
      </c>
      <c r="I179" s="153">
        <v>3085539.75</v>
      </c>
      <c r="J179" s="160" t="s">
        <v>541</v>
      </c>
      <c r="K179" s="161" t="s">
        <v>164</v>
      </c>
      <c r="L179" s="160" t="s">
        <v>52</v>
      </c>
    </row>
    <row r="180" spans="2:12" x14ac:dyDescent="0.3">
      <c r="B180" s="174" t="s">
        <v>529</v>
      </c>
      <c r="C180" s="204">
        <v>43724</v>
      </c>
      <c r="D180" s="114" t="s">
        <v>542</v>
      </c>
      <c r="E180" s="114" t="s">
        <v>89</v>
      </c>
      <c r="F180" s="114">
        <v>10012</v>
      </c>
      <c r="G180" s="157" t="s">
        <v>164</v>
      </c>
      <c r="H180" s="114" t="s">
        <v>164</v>
      </c>
      <c r="I180" s="153">
        <v>2525502.375</v>
      </c>
      <c r="J180" s="160" t="s">
        <v>543</v>
      </c>
      <c r="K180" s="161" t="s">
        <v>164</v>
      </c>
      <c r="L180" s="160" t="s">
        <v>52</v>
      </c>
    </row>
    <row r="181" spans="2:12" x14ac:dyDescent="0.3">
      <c r="B181" s="174" t="s">
        <v>529</v>
      </c>
      <c r="C181" s="204">
        <v>43735</v>
      </c>
      <c r="D181" s="114" t="s">
        <v>544</v>
      </c>
      <c r="E181" s="114" t="s">
        <v>89</v>
      </c>
      <c r="F181" s="114">
        <v>10010</v>
      </c>
      <c r="G181" s="157" t="s">
        <v>164</v>
      </c>
      <c r="H181" s="114" t="s">
        <v>164</v>
      </c>
      <c r="I181" s="153">
        <v>4085710.3000000003</v>
      </c>
      <c r="J181" s="160" t="s">
        <v>545</v>
      </c>
      <c r="K181" s="161" t="s">
        <v>164</v>
      </c>
      <c r="L181" s="160" t="s">
        <v>52</v>
      </c>
    </row>
    <row r="182" spans="2:12" x14ac:dyDescent="0.3">
      <c r="B182" s="174" t="s">
        <v>529</v>
      </c>
      <c r="C182" s="204">
        <v>43735</v>
      </c>
      <c r="D182" s="114" t="s">
        <v>546</v>
      </c>
      <c r="E182" s="114" t="s">
        <v>89</v>
      </c>
      <c r="F182" s="114">
        <v>10012</v>
      </c>
      <c r="G182" s="157" t="s">
        <v>164</v>
      </c>
      <c r="H182" s="114" t="s">
        <v>164</v>
      </c>
      <c r="I182" s="153">
        <v>3480171.75</v>
      </c>
      <c r="J182" s="160" t="s">
        <v>547</v>
      </c>
      <c r="K182" s="161" t="s">
        <v>164</v>
      </c>
      <c r="L182" s="160" t="s">
        <v>52</v>
      </c>
    </row>
    <row r="183" spans="2:12" x14ac:dyDescent="0.3">
      <c r="B183" s="174" t="s">
        <v>529</v>
      </c>
      <c r="C183" s="204">
        <v>43745</v>
      </c>
      <c r="D183" s="114" t="s">
        <v>548</v>
      </c>
      <c r="E183" s="114" t="s">
        <v>88</v>
      </c>
      <c r="F183" s="114" t="s">
        <v>159</v>
      </c>
      <c r="G183" s="157" t="s">
        <v>23</v>
      </c>
      <c r="H183" s="114" t="s">
        <v>134</v>
      </c>
      <c r="I183" s="153">
        <v>2150000</v>
      </c>
      <c r="J183" s="160" t="s">
        <v>356</v>
      </c>
      <c r="K183" s="161">
        <v>1129174</v>
      </c>
      <c r="L183" s="160" t="s">
        <v>52</v>
      </c>
    </row>
    <row r="184" spans="2:12" x14ac:dyDescent="0.3">
      <c r="B184" s="174" t="s">
        <v>529</v>
      </c>
      <c r="C184" s="204">
        <v>43745</v>
      </c>
      <c r="D184" s="114" t="s">
        <v>549</v>
      </c>
      <c r="E184" s="114" t="s">
        <v>88</v>
      </c>
      <c r="F184" s="114" t="s">
        <v>159</v>
      </c>
      <c r="G184" s="157" t="s">
        <v>12</v>
      </c>
      <c r="H184" s="114" t="s">
        <v>435</v>
      </c>
      <c r="I184" s="153">
        <v>2150000</v>
      </c>
      <c r="J184" s="160" t="s">
        <v>356</v>
      </c>
      <c r="K184" s="161">
        <v>1129173</v>
      </c>
      <c r="L184" s="160" t="s">
        <v>52</v>
      </c>
    </row>
    <row r="185" spans="2:12" x14ac:dyDescent="0.3">
      <c r="B185" s="174" t="s">
        <v>529</v>
      </c>
      <c r="C185" s="204">
        <v>43745</v>
      </c>
      <c r="D185" s="114" t="s">
        <v>552</v>
      </c>
      <c r="E185" s="114" t="s">
        <v>89</v>
      </c>
      <c r="F185" s="114">
        <v>10010</v>
      </c>
      <c r="G185" s="157" t="s">
        <v>164</v>
      </c>
      <c r="H185" s="114" t="s">
        <v>164</v>
      </c>
      <c r="I185" s="153">
        <v>1693001.1</v>
      </c>
      <c r="J185" s="160" t="s">
        <v>551</v>
      </c>
      <c r="K185" s="161" t="s">
        <v>164</v>
      </c>
      <c r="L185" s="160" t="s">
        <v>52</v>
      </c>
    </row>
    <row r="186" spans="2:12" x14ac:dyDescent="0.3">
      <c r="B186" s="174" t="s">
        <v>529</v>
      </c>
      <c r="C186" s="204">
        <v>43745</v>
      </c>
      <c r="D186" s="114" t="s">
        <v>554</v>
      </c>
      <c r="E186" s="114" t="s">
        <v>89</v>
      </c>
      <c r="F186" s="114">
        <v>10012</v>
      </c>
      <c r="G186" s="157" t="s">
        <v>164</v>
      </c>
      <c r="H186" s="114" t="s">
        <v>164</v>
      </c>
      <c r="I186" s="153">
        <v>2551236.75</v>
      </c>
      <c r="J186" s="160" t="s">
        <v>553</v>
      </c>
      <c r="K186" s="161" t="s">
        <v>164</v>
      </c>
      <c r="L186" s="160" t="s">
        <v>52</v>
      </c>
    </row>
    <row r="187" spans="2:12" x14ac:dyDescent="0.3">
      <c r="B187" s="174" t="s">
        <v>529</v>
      </c>
      <c r="C187" s="204">
        <v>43750</v>
      </c>
      <c r="D187" s="114" t="s">
        <v>557</v>
      </c>
      <c r="E187" s="114" t="s">
        <v>89</v>
      </c>
      <c r="F187" s="114">
        <v>10012</v>
      </c>
      <c r="G187" s="157" t="s">
        <v>164</v>
      </c>
      <c r="H187" s="114" t="s">
        <v>164</v>
      </c>
      <c r="I187" s="153">
        <v>287431.875</v>
      </c>
      <c r="J187" s="160" t="s">
        <v>556</v>
      </c>
      <c r="K187" s="161" t="s">
        <v>164</v>
      </c>
      <c r="L187" s="160" t="s">
        <v>52</v>
      </c>
    </row>
    <row r="188" spans="2:12" x14ac:dyDescent="0.3">
      <c r="B188" s="174" t="s">
        <v>529</v>
      </c>
      <c r="C188" s="204">
        <v>43750</v>
      </c>
      <c r="D188" s="114" t="s">
        <v>558</v>
      </c>
      <c r="E188" s="114" t="s">
        <v>88</v>
      </c>
      <c r="F188" s="114" t="s">
        <v>159</v>
      </c>
      <c r="G188" s="157" t="s">
        <v>27</v>
      </c>
      <c r="H188" s="114" t="s">
        <v>433</v>
      </c>
      <c r="I188" s="153">
        <v>2150000</v>
      </c>
      <c r="J188" s="160" t="s">
        <v>356</v>
      </c>
      <c r="K188" s="161">
        <v>1129175</v>
      </c>
      <c r="L188" s="160" t="s">
        <v>52</v>
      </c>
    </row>
    <row r="189" spans="2:12" x14ac:dyDescent="0.3">
      <c r="B189" s="174" t="s">
        <v>555</v>
      </c>
      <c r="C189" s="204">
        <v>43750</v>
      </c>
      <c r="D189" s="114" t="s">
        <v>559</v>
      </c>
      <c r="E189" s="114" t="s">
        <v>89</v>
      </c>
      <c r="F189" s="114">
        <v>10012</v>
      </c>
      <c r="G189" s="157" t="s">
        <v>164</v>
      </c>
      <c r="H189" s="114" t="s">
        <v>164</v>
      </c>
      <c r="I189" s="153">
        <v>422280</v>
      </c>
      <c r="J189" s="160" t="s">
        <v>560</v>
      </c>
      <c r="K189" s="161" t="s">
        <v>164</v>
      </c>
      <c r="L189" s="160" t="s">
        <v>52</v>
      </c>
    </row>
    <row r="190" spans="2:12" x14ac:dyDescent="0.3">
      <c r="B190" s="174" t="s">
        <v>555</v>
      </c>
      <c r="C190" s="204">
        <v>43750</v>
      </c>
      <c r="D190" s="114" t="s">
        <v>561</v>
      </c>
      <c r="E190" s="114" t="s">
        <v>88</v>
      </c>
      <c r="F190" s="114" t="s">
        <v>159</v>
      </c>
      <c r="G190" s="157" t="s">
        <v>164</v>
      </c>
      <c r="H190" s="114" t="s">
        <v>164</v>
      </c>
      <c r="I190" s="153">
        <v>4300000</v>
      </c>
      <c r="J190" s="160" t="s">
        <v>356</v>
      </c>
      <c r="K190" s="161" t="s">
        <v>164</v>
      </c>
      <c r="L190" s="160" t="s">
        <v>52</v>
      </c>
    </row>
    <row r="191" spans="2:12" x14ac:dyDescent="0.3">
      <c r="B191" s="174" t="s">
        <v>555</v>
      </c>
      <c r="C191" s="204">
        <v>43752</v>
      </c>
      <c r="D191" s="114" t="s">
        <v>562</v>
      </c>
      <c r="E191" s="114" t="s">
        <v>88</v>
      </c>
      <c r="F191" s="114" t="s">
        <v>159</v>
      </c>
      <c r="G191" s="157" t="s">
        <v>45</v>
      </c>
      <c r="H191" s="114" t="s">
        <v>68</v>
      </c>
      <c r="I191" s="153">
        <v>2150000</v>
      </c>
      <c r="J191" s="160" t="s">
        <v>356</v>
      </c>
      <c r="K191" s="161">
        <v>1122299</v>
      </c>
      <c r="L191" s="160" t="s">
        <v>52</v>
      </c>
    </row>
    <row r="192" spans="2:12" x14ac:dyDescent="0.3">
      <c r="B192" s="174" t="s">
        <v>555</v>
      </c>
      <c r="C192" s="204">
        <v>43752</v>
      </c>
      <c r="D192" s="114" t="s">
        <v>563</v>
      </c>
      <c r="E192" s="114" t="s">
        <v>89</v>
      </c>
      <c r="F192" s="114">
        <v>10012</v>
      </c>
      <c r="G192" s="157" t="s">
        <v>164</v>
      </c>
      <c r="H192" s="114" t="s">
        <v>164</v>
      </c>
      <c r="I192" s="153">
        <v>258936.75</v>
      </c>
      <c r="J192" s="160" t="s">
        <v>564</v>
      </c>
      <c r="K192" s="161" t="s">
        <v>164</v>
      </c>
      <c r="L192" s="160" t="s">
        <v>52</v>
      </c>
    </row>
    <row r="193" spans="2:12" x14ac:dyDescent="0.3">
      <c r="B193" s="174" t="s">
        <v>555</v>
      </c>
      <c r="C193" s="204">
        <v>43756</v>
      </c>
      <c r="D193" s="114" t="s">
        <v>565</v>
      </c>
      <c r="E193" s="114" t="s">
        <v>89</v>
      </c>
      <c r="F193" s="114">
        <v>10012</v>
      </c>
      <c r="G193" s="157" t="s">
        <v>164</v>
      </c>
      <c r="H193" s="114" t="s">
        <v>164</v>
      </c>
      <c r="I193" s="153">
        <v>1849371.75</v>
      </c>
      <c r="J193" s="160" t="s">
        <v>364</v>
      </c>
      <c r="K193" s="161" t="s">
        <v>164</v>
      </c>
      <c r="L193" s="160" t="s">
        <v>52</v>
      </c>
    </row>
    <row r="194" spans="2:12" x14ac:dyDescent="0.3">
      <c r="B194" s="174" t="s">
        <v>555</v>
      </c>
      <c r="C194" s="204">
        <v>43756</v>
      </c>
      <c r="D194" s="114" t="s">
        <v>566</v>
      </c>
      <c r="E194" s="114" t="s">
        <v>88</v>
      </c>
      <c r="F194" s="114" t="s">
        <v>159</v>
      </c>
      <c r="G194" s="157" t="s">
        <v>47</v>
      </c>
      <c r="H194" s="114" t="s">
        <v>348</v>
      </c>
      <c r="I194" s="153">
        <v>2150000</v>
      </c>
      <c r="J194" s="160" t="s">
        <v>356</v>
      </c>
      <c r="K194" s="161">
        <v>1122300</v>
      </c>
      <c r="L194" s="160" t="s">
        <v>52</v>
      </c>
    </row>
    <row r="195" spans="2:12" x14ac:dyDescent="0.3">
      <c r="B195" s="174" t="s">
        <v>555</v>
      </c>
      <c r="C195" s="204">
        <v>43759</v>
      </c>
      <c r="D195" s="114" t="s">
        <v>567</v>
      </c>
      <c r="E195" s="114" t="s">
        <v>88</v>
      </c>
      <c r="F195" s="114" t="s">
        <v>159</v>
      </c>
      <c r="G195" s="157" t="s">
        <v>46</v>
      </c>
      <c r="H195" s="114" t="s">
        <v>135</v>
      </c>
      <c r="I195" s="153">
        <v>2150000</v>
      </c>
      <c r="J195" s="160" t="s">
        <v>356</v>
      </c>
      <c r="K195" s="161">
        <v>1129827</v>
      </c>
      <c r="L195" s="160" t="s">
        <v>52</v>
      </c>
    </row>
    <row r="196" spans="2:12" x14ac:dyDescent="0.3">
      <c r="B196" s="174" t="s">
        <v>555</v>
      </c>
      <c r="C196" s="204">
        <v>43764</v>
      </c>
      <c r="D196" s="114" t="s">
        <v>568</v>
      </c>
      <c r="E196" s="114" t="s">
        <v>88</v>
      </c>
      <c r="F196" s="114" t="s">
        <v>159</v>
      </c>
      <c r="G196" s="157" t="s">
        <v>63</v>
      </c>
      <c r="H196" s="114" t="s">
        <v>436</v>
      </c>
      <c r="I196" s="153">
        <v>2150000</v>
      </c>
      <c r="J196" s="160" t="s">
        <v>356</v>
      </c>
      <c r="K196" s="161">
        <v>1129871</v>
      </c>
      <c r="L196" s="160" t="s">
        <v>52</v>
      </c>
    </row>
    <row r="197" spans="2:12" x14ac:dyDescent="0.3">
      <c r="B197" s="174" t="s">
        <v>555</v>
      </c>
      <c r="C197" s="204">
        <v>43764</v>
      </c>
      <c r="D197" s="114" t="s">
        <v>569</v>
      </c>
      <c r="E197" s="114" t="s">
        <v>88</v>
      </c>
      <c r="F197" s="114" t="s">
        <v>159</v>
      </c>
      <c r="G197" s="157" t="s">
        <v>48</v>
      </c>
      <c r="H197" s="114" t="s">
        <v>437</v>
      </c>
      <c r="I197" s="153">
        <v>2150000</v>
      </c>
      <c r="J197" s="160" t="s">
        <v>372</v>
      </c>
      <c r="K197" s="161">
        <v>1129878</v>
      </c>
      <c r="L197" s="160" t="s">
        <v>52</v>
      </c>
    </row>
    <row r="198" spans="2:12" x14ac:dyDescent="0.3">
      <c r="B198" s="174" t="s">
        <v>555</v>
      </c>
      <c r="C198" s="204">
        <v>43765</v>
      </c>
      <c r="D198" s="114" t="s">
        <v>570</v>
      </c>
      <c r="E198" s="114" t="s">
        <v>89</v>
      </c>
      <c r="F198" s="114">
        <v>10012</v>
      </c>
      <c r="G198" s="157" t="s">
        <v>164</v>
      </c>
      <c r="H198" s="114" t="s">
        <v>164</v>
      </c>
      <c r="I198" s="153">
        <v>2363299.875</v>
      </c>
      <c r="J198" s="160" t="s">
        <v>571</v>
      </c>
      <c r="K198" s="161" t="s">
        <v>164</v>
      </c>
      <c r="L198" s="160" t="s">
        <v>52</v>
      </c>
    </row>
    <row r="199" spans="2:12" x14ac:dyDescent="0.3">
      <c r="B199" s="174" t="s">
        <v>555</v>
      </c>
      <c r="C199" s="204">
        <v>43765</v>
      </c>
      <c r="D199" s="114" t="s">
        <v>572</v>
      </c>
      <c r="E199" s="114" t="s">
        <v>88</v>
      </c>
      <c r="F199" s="114" t="s">
        <v>159</v>
      </c>
      <c r="G199" s="157" t="s">
        <v>164</v>
      </c>
      <c r="H199" s="114" t="s">
        <v>164</v>
      </c>
      <c r="I199" s="153">
        <v>8600000</v>
      </c>
      <c r="J199" s="160" t="s">
        <v>356</v>
      </c>
      <c r="K199" s="161" t="s">
        <v>164</v>
      </c>
      <c r="L199" s="160" t="s">
        <v>52</v>
      </c>
    </row>
    <row r="200" spans="2:12" x14ac:dyDescent="0.3">
      <c r="B200" s="174" t="s">
        <v>555</v>
      </c>
      <c r="C200" s="204">
        <v>43765</v>
      </c>
      <c r="D200" s="114" t="s">
        <v>574</v>
      </c>
      <c r="E200" s="114" t="s">
        <v>88</v>
      </c>
      <c r="F200" s="114" t="s">
        <v>159</v>
      </c>
      <c r="G200" s="157" t="s">
        <v>164</v>
      </c>
      <c r="H200" s="114" t="s">
        <v>164</v>
      </c>
      <c r="I200" s="153">
        <v>4300000</v>
      </c>
      <c r="J200" s="160" t="s">
        <v>356</v>
      </c>
      <c r="K200" s="161" t="s">
        <v>164</v>
      </c>
      <c r="L200" s="160" t="s">
        <v>52</v>
      </c>
    </row>
    <row r="201" spans="2:12" x14ac:dyDescent="0.3">
      <c r="B201" s="174" t="s">
        <v>555</v>
      </c>
      <c r="C201" s="204">
        <v>43773</v>
      </c>
      <c r="D201" s="114" t="s">
        <v>575</v>
      </c>
      <c r="E201" s="114" t="s">
        <v>88</v>
      </c>
      <c r="F201" s="114" t="s">
        <v>159</v>
      </c>
      <c r="G201" s="157" t="s">
        <v>389</v>
      </c>
      <c r="H201" s="114" t="s">
        <v>389</v>
      </c>
      <c r="I201" s="153">
        <v>4300000</v>
      </c>
      <c r="J201" s="160" t="s">
        <v>372</v>
      </c>
      <c r="K201" s="161" t="s">
        <v>389</v>
      </c>
      <c r="L201" s="160" t="s">
        <v>52</v>
      </c>
    </row>
    <row r="202" spans="2:12" x14ac:dyDescent="0.3">
      <c r="B202" s="174" t="s">
        <v>555</v>
      </c>
      <c r="C202" s="204">
        <v>43774</v>
      </c>
      <c r="D202" s="114" t="s">
        <v>578</v>
      </c>
      <c r="E202" s="114" t="s">
        <v>89</v>
      </c>
      <c r="F202" s="114">
        <v>10012</v>
      </c>
      <c r="G202" s="157" t="s">
        <v>164</v>
      </c>
      <c r="H202" s="114" t="s">
        <v>164</v>
      </c>
      <c r="I202" s="153">
        <v>140913.75</v>
      </c>
      <c r="J202" s="160" t="s">
        <v>577</v>
      </c>
      <c r="K202" s="161" t="s">
        <v>164</v>
      </c>
      <c r="L202" s="160" t="s">
        <v>52</v>
      </c>
    </row>
    <row r="203" spans="2:12" x14ac:dyDescent="0.3">
      <c r="B203" s="174" t="s">
        <v>576</v>
      </c>
      <c r="C203" s="204">
        <v>43774</v>
      </c>
      <c r="D203" s="114" t="s">
        <v>579</v>
      </c>
      <c r="E203" s="114" t="s">
        <v>88</v>
      </c>
      <c r="F203" s="114" t="s">
        <v>159</v>
      </c>
      <c r="G203" s="157" t="s">
        <v>45</v>
      </c>
      <c r="H203" s="114" t="s">
        <v>68</v>
      </c>
      <c r="I203" s="153">
        <v>2150000</v>
      </c>
      <c r="J203" s="160" t="s">
        <v>356</v>
      </c>
      <c r="K203" s="161">
        <v>1106641</v>
      </c>
      <c r="L203" s="160" t="s">
        <v>52</v>
      </c>
    </row>
    <row r="204" spans="2:12" x14ac:dyDescent="0.3">
      <c r="B204" s="174" t="s">
        <v>576</v>
      </c>
      <c r="C204" s="204">
        <v>43776</v>
      </c>
      <c r="D204" s="114" t="s">
        <v>581</v>
      </c>
      <c r="E204" s="114" t="s">
        <v>89</v>
      </c>
      <c r="F204" s="114">
        <v>10012</v>
      </c>
      <c r="G204" s="157" t="s">
        <v>164</v>
      </c>
      <c r="H204" s="114" t="s">
        <v>164</v>
      </c>
      <c r="I204" s="153">
        <v>314640</v>
      </c>
      <c r="J204" s="160" t="s">
        <v>582</v>
      </c>
      <c r="K204" s="161" t="s">
        <v>164</v>
      </c>
      <c r="L204" s="160" t="s">
        <v>52</v>
      </c>
    </row>
    <row r="205" spans="2:12" x14ac:dyDescent="0.3">
      <c r="B205" s="174" t="s">
        <v>576</v>
      </c>
      <c r="C205" s="204">
        <v>43776</v>
      </c>
      <c r="D205" s="114" t="s">
        <v>583</v>
      </c>
      <c r="E205" s="114" t="s">
        <v>88</v>
      </c>
      <c r="F205" s="114" t="s">
        <v>159</v>
      </c>
      <c r="G205" s="157" t="s">
        <v>164</v>
      </c>
      <c r="H205" s="114" t="s">
        <v>164</v>
      </c>
      <c r="I205" s="153">
        <v>4300000</v>
      </c>
      <c r="J205" s="160" t="s">
        <v>356</v>
      </c>
      <c r="K205" s="161" t="s">
        <v>164</v>
      </c>
      <c r="L205" s="160" t="s">
        <v>52</v>
      </c>
    </row>
    <row r="1048573" spans="2:4" x14ac:dyDescent="0.3">
      <c r="B1048573" s="174" t="s">
        <v>150</v>
      </c>
      <c r="D1048573" s="114" t="s">
        <v>151</v>
      </c>
    </row>
  </sheetData>
  <sheetProtection formatCells="0" selectLockedCells="1"/>
  <mergeCells count="1">
    <mergeCell ref="P83:P98"/>
  </mergeCells>
  <conditionalFormatting sqref="D1:D3 D5:D1048576">
    <cfRule type="duplicateValues" dxfId="0" priority="59"/>
  </conditionalFormatting>
  <pageMargins left="0.7" right="0.7" top="0.75" bottom="0.75" header="0.3" footer="0.3"/>
  <pageSetup paperSize="9" scale="80" orientation="landscape" horizontalDpi="300" verticalDpi="300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6145" r:id="rId4" name="Button 1">
              <controlPr defaultSize="0" print="0" autoFill="0" autoPict="0" macro="[0]!GoMenu">
                <anchor>
                  <from>
                    <xdr:col>12</xdr:col>
                    <xdr:colOff>114300</xdr:colOff>
                    <xdr:row>0</xdr:row>
                    <xdr:rowOff>66675</xdr:rowOff>
                  </from>
                  <to>
                    <xdr:col>14</xdr:col>
                    <xdr:colOff>161925</xdr:colOff>
                    <xdr:row>2</xdr:row>
                    <xdr:rowOff>19050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6"/>
  <dimension ref="A1:R642"/>
  <sheetViews>
    <sheetView showGridLines="0" showRowColHeaders="0" workbookViewId="0">
      <selection activeCell="D13" sqref="D13"/>
    </sheetView>
  </sheetViews>
  <sheetFormatPr baseColWidth="10" defaultRowHeight="15" x14ac:dyDescent="0.25"/>
  <cols>
    <col min="1" max="1" width="14.42578125" style="237" bestFit="1" customWidth="1"/>
    <col min="2" max="2" width="14" style="238" bestFit="1" customWidth="1"/>
    <col min="3" max="3" width="32" style="237" bestFit="1" customWidth="1"/>
    <col min="4" max="4" width="43.28515625" style="237" bestFit="1" customWidth="1"/>
    <col min="5" max="5" width="34.28515625" style="237" bestFit="1" customWidth="1"/>
    <col min="6" max="6" width="8.140625" style="239" bestFit="1" customWidth="1"/>
    <col min="7" max="7" width="15.140625" style="237" bestFit="1" customWidth="1"/>
    <col min="8" max="16384" width="11.42578125" style="237"/>
  </cols>
  <sheetData>
    <row r="1" spans="1:18" s="233" customFormat="1" x14ac:dyDescent="0.25">
      <c r="A1" s="230" t="s">
        <v>111</v>
      </c>
      <c r="B1" s="231" t="s">
        <v>112</v>
      </c>
      <c r="C1" s="230" t="s">
        <v>113</v>
      </c>
      <c r="D1" s="230" t="s">
        <v>114</v>
      </c>
      <c r="E1" s="230" t="s">
        <v>144</v>
      </c>
      <c r="F1" s="232" t="s">
        <v>145</v>
      </c>
      <c r="G1" s="230" t="s">
        <v>337</v>
      </c>
      <c r="H1" s="230"/>
      <c r="I1" s="230"/>
      <c r="J1" s="230"/>
      <c r="K1" s="230"/>
      <c r="L1" s="230"/>
      <c r="M1" s="230"/>
      <c r="N1" s="230"/>
      <c r="O1" s="230"/>
      <c r="P1" s="230"/>
      <c r="Q1" s="230"/>
      <c r="R1" s="230"/>
    </row>
    <row r="2" spans="1:18" x14ac:dyDescent="0.25">
      <c r="A2" s="292" t="s">
        <v>116</v>
      </c>
      <c r="B2" s="253" t="s">
        <v>117</v>
      </c>
      <c r="C2" s="292" t="s">
        <v>118</v>
      </c>
      <c r="D2" s="292" t="s">
        <v>580</v>
      </c>
      <c r="E2" s="292" t="s">
        <v>550</v>
      </c>
      <c r="F2" s="294">
        <f>IF(E2="","",IF((RIGHT(E2,8)-RIGHT(D2,8))&lt;0,-1*(RIGHT(E2,8)-RIGHT(D2,8)),RIGHT(E2,8)-RIGHT(D2,8)))</f>
        <v>0.14766203703703701</v>
      </c>
      <c r="G2" s="295" t="s">
        <v>338</v>
      </c>
      <c r="H2" s="292"/>
      <c r="I2" s="234"/>
      <c r="J2" s="234"/>
      <c r="K2" s="234"/>
      <c r="L2" s="234"/>
      <c r="M2" s="234"/>
      <c r="N2" s="234"/>
      <c r="O2" s="234"/>
      <c r="P2" s="234"/>
      <c r="Q2" s="234"/>
      <c r="R2" s="234"/>
    </row>
    <row r="3" spans="1:18" x14ac:dyDescent="0.25">
      <c r="A3" s="292" t="s">
        <v>130</v>
      </c>
      <c r="B3" s="253" t="s">
        <v>131</v>
      </c>
      <c r="C3" s="292" t="s">
        <v>132</v>
      </c>
      <c r="D3" s="292" t="s">
        <v>573</v>
      </c>
      <c r="E3" s="292" t="s">
        <v>307</v>
      </c>
      <c r="F3" s="294">
        <f>IF(E3="","",IF((RIGHT(E3,8)-RIGHT(D3,8))&lt;0,-1*(RIGHT(E3,8)-RIGHT(D3,8)),RIGHT(E3,8)-RIGHT(D3,8)))</f>
        <v>0.13559027777777788</v>
      </c>
      <c r="G3" s="295"/>
      <c r="H3" s="292"/>
      <c r="I3" s="234"/>
      <c r="J3" s="234"/>
      <c r="K3" s="234"/>
      <c r="L3" s="234"/>
      <c r="M3" s="234"/>
      <c r="N3" s="234"/>
      <c r="O3" s="234"/>
      <c r="P3" s="234"/>
      <c r="Q3" s="234"/>
      <c r="R3" s="234"/>
    </row>
    <row r="4" spans="1:18" x14ac:dyDescent="0.25">
      <c r="A4" s="292" t="s">
        <v>137</v>
      </c>
      <c r="B4" s="253" t="s">
        <v>138</v>
      </c>
      <c r="C4" s="293" t="s">
        <v>139</v>
      </c>
      <c r="D4" s="292" t="s">
        <v>140</v>
      </c>
      <c r="E4" s="292"/>
      <c r="F4" s="294" t="str">
        <f t="shared" ref="F4:F65" si="0">IF(E4="","",IF((RIGHT(E4,8)-RIGHT(D4,8))&lt;0,-1*(RIGHT(E4,8)-RIGHT(D4,8)),RIGHT(E4,8)-RIGHT(D4,8)))</f>
        <v/>
      </c>
      <c r="G4" s="292"/>
      <c r="H4" s="292"/>
      <c r="I4" s="234"/>
      <c r="J4" s="234"/>
      <c r="K4" s="234"/>
      <c r="L4" s="234"/>
      <c r="M4" s="234"/>
      <c r="N4" s="234"/>
      <c r="O4" s="234"/>
      <c r="P4" s="234"/>
      <c r="Q4" s="234"/>
      <c r="R4" s="234"/>
    </row>
    <row r="5" spans="1:18" x14ac:dyDescent="0.25">
      <c r="A5" s="292" t="s">
        <v>477</v>
      </c>
      <c r="B5" s="253" t="s">
        <v>478</v>
      </c>
      <c r="C5" s="293" t="s">
        <v>479</v>
      </c>
      <c r="D5" s="292" t="s">
        <v>480</v>
      </c>
      <c r="E5" s="292"/>
      <c r="F5" s="294" t="str">
        <f t="shared" si="0"/>
        <v/>
      </c>
      <c r="G5" s="292"/>
      <c r="H5" s="292"/>
      <c r="I5" s="234"/>
      <c r="J5" s="234"/>
      <c r="K5" s="234"/>
      <c r="L5" s="234"/>
      <c r="M5" s="234"/>
      <c r="N5" s="234"/>
      <c r="O5" s="234"/>
      <c r="P5" s="234"/>
      <c r="Q5" s="234"/>
      <c r="R5" s="234"/>
    </row>
    <row r="6" spans="1:18" x14ac:dyDescent="0.25">
      <c r="A6" s="292"/>
      <c r="B6" s="293"/>
      <c r="C6" s="292"/>
      <c r="D6" s="292"/>
      <c r="E6" s="292"/>
      <c r="F6" s="294" t="str">
        <f t="shared" si="0"/>
        <v/>
      </c>
      <c r="G6" s="292"/>
      <c r="H6" s="292"/>
      <c r="I6" s="234"/>
      <c r="J6" s="234"/>
      <c r="K6" s="234"/>
      <c r="L6" s="234"/>
      <c r="M6" s="234"/>
      <c r="N6" s="234"/>
      <c r="O6" s="234"/>
      <c r="P6" s="234"/>
      <c r="Q6" s="234"/>
      <c r="R6" s="234"/>
    </row>
    <row r="7" spans="1:18" x14ac:dyDescent="0.25">
      <c r="A7" s="292"/>
      <c r="B7" s="293"/>
      <c r="C7" s="292"/>
      <c r="D7" s="292"/>
      <c r="E7" s="292"/>
      <c r="F7" s="294" t="str">
        <f t="shared" si="0"/>
        <v/>
      </c>
      <c r="G7" s="292"/>
      <c r="H7" s="292"/>
      <c r="I7" s="234"/>
      <c r="J7" s="234"/>
      <c r="K7" s="234"/>
      <c r="L7" s="234"/>
      <c r="M7" s="234"/>
      <c r="N7" s="234"/>
      <c r="O7" s="234"/>
      <c r="P7" s="234"/>
      <c r="Q7" s="234"/>
      <c r="R7" s="234"/>
    </row>
    <row r="8" spans="1:18" x14ac:dyDescent="0.25">
      <c r="A8" s="292"/>
      <c r="B8" s="293"/>
      <c r="C8" s="292"/>
      <c r="D8" s="292"/>
      <c r="E8" s="292"/>
      <c r="F8" s="294" t="str">
        <f t="shared" si="0"/>
        <v/>
      </c>
      <c r="G8" s="292"/>
      <c r="H8" s="292"/>
      <c r="I8" s="234"/>
      <c r="J8" s="234"/>
      <c r="K8" s="234"/>
      <c r="L8" s="234"/>
      <c r="M8" s="234"/>
      <c r="N8" s="234"/>
      <c r="O8" s="234"/>
      <c r="P8" s="234"/>
      <c r="Q8" s="234"/>
      <c r="R8" s="234"/>
    </row>
    <row r="9" spans="1:18" x14ac:dyDescent="0.25">
      <c r="A9" s="292"/>
      <c r="B9" s="293"/>
      <c r="C9" s="292"/>
      <c r="D9" s="292"/>
      <c r="E9" s="292"/>
      <c r="F9" s="294" t="str">
        <f t="shared" si="0"/>
        <v/>
      </c>
      <c r="G9" s="292"/>
      <c r="H9" s="292"/>
      <c r="I9" s="234"/>
      <c r="J9" s="234"/>
      <c r="K9" s="234"/>
      <c r="L9" s="234"/>
      <c r="M9" s="234"/>
      <c r="N9" s="234"/>
      <c r="O9" s="234"/>
      <c r="P9" s="234"/>
      <c r="Q9" s="234"/>
      <c r="R9" s="234"/>
    </row>
    <row r="10" spans="1:18" x14ac:dyDescent="0.25">
      <c r="A10" s="292"/>
      <c r="B10" s="293"/>
      <c r="C10" s="292"/>
      <c r="D10" s="292"/>
      <c r="E10" s="292"/>
      <c r="F10" s="294" t="str">
        <f t="shared" si="0"/>
        <v/>
      </c>
      <c r="G10" s="292"/>
      <c r="H10" s="292"/>
      <c r="I10" s="234"/>
      <c r="J10" s="234"/>
      <c r="K10" s="234"/>
      <c r="L10" s="234"/>
      <c r="M10" s="234"/>
      <c r="N10" s="234"/>
      <c r="O10" s="234"/>
      <c r="P10" s="234"/>
      <c r="Q10" s="234"/>
      <c r="R10" s="234"/>
    </row>
    <row r="11" spans="1:18" x14ac:dyDescent="0.25">
      <c r="A11" s="292"/>
      <c r="B11" s="293"/>
      <c r="C11" s="292"/>
      <c r="D11" s="292"/>
      <c r="E11" s="292"/>
      <c r="F11" s="294" t="str">
        <f t="shared" si="0"/>
        <v/>
      </c>
      <c r="G11" s="292"/>
      <c r="H11" s="292"/>
      <c r="I11" s="234"/>
      <c r="J11" s="234"/>
      <c r="K11" s="234"/>
      <c r="L11" s="234"/>
      <c r="M11" s="234"/>
      <c r="N11" s="234"/>
      <c r="O11" s="234"/>
      <c r="P11" s="234"/>
      <c r="Q11" s="234"/>
      <c r="R11" s="234"/>
    </row>
    <row r="12" spans="1:18" x14ac:dyDescent="0.25">
      <c r="A12" s="292"/>
      <c r="B12" s="293"/>
      <c r="C12" s="292"/>
      <c r="D12" s="292"/>
      <c r="E12" s="292"/>
      <c r="F12" s="294" t="str">
        <f t="shared" si="0"/>
        <v/>
      </c>
      <c r="G12" s="292"/>
      <c r="H12" s="292"/>
      <c r="I12" s="234"/>
      <c r="J12" s="234"/>
      <c r="K12" s="234"/>
      <c r="L12" s="234"/>
      <c r="M12" s="234"/>
      <c r="N12" s="234"/>
      <c r="O12" s="234"/>
      <c r="P12" s="234"/>
      <c r="Q12" s="234"/>
      <c r="R12" s="234"/>
    </row>
    <row r="13" spans="1:18" x14ac:dyDescent="0.25">
      <c r="A13" s="234"/>
      <c r="B13" s="235"/>
      <c r="C13" s="234"/>
      <c r="D13" s="234"/>
      <c r="E13" s="234"/>
      <c r="F13" s="236" t="str">
        <f t="shared" si="0"/>
        <v/>
      </c>
      <c r="G13" s="234"/>
      <c r="H13" s="234"/>
      <c r="I13" s="234"/>
      <c r="J13" s="234"/>
      <c r="K13" s="234"/>
      <c r="L13" s="234"/>
      <c r="M13" s="234"/>
      <c r="N13" s="234"/>
      <c r="O13" s="234"/>
      <c r="P13" s="234"/>
      <c r="Q13" s="234"/>
      <c r="R13" s="234"/>
    </row>
    <row r="14" spans="1:18" x14ac:dyDescent="0.25">
      <c r="A14" s="234"/>
      <c r="B14" s="235"/>
      <c r="C14" s="234"/>
      <c r="D14" s="234"/>
      <c r="E14" s="234"/>
      <c r="F14" s="236" t="str">
        <f t="shared" si="0"/>
        <v/>
      </c>
      <c r="G14" s="234"/>
      <c r="H14" s="234"/>
      <c r="I14" s="234"/>
      <c r="J14" s="234"/>
      <c r="K14" s="234"/>
      <c r="L14" s="234"/>
      <c r="M14" s="234"/>
      <c r="N14" s="234"/>
      <c r="O14" s="234"/>
      <c r="P14" s="234"/>
      <c r="Q14" s="234"/>
      <c r="R14" s="234"/>
    </row>
    <row r="15" spans="1:18" x14ac:dyDescent="0.25">
      <c r="A15" s="234"/>
      <c r="B15" s="235"/>
      <c r="C15" s="234"/>
      <c r="D15" s="234"/>
      <c r="E15" s="234"/>
      <c r="F15" s="236" t="str">
        <f t="shared" si="0"/>
        <v/>
      </c>
      <c r="G15" s="234"/>
      <c r="H15" s="234"/>
      <c r="I15" s="234"/>
      <c r="J15" s="234"/>
      <c r="K15" s="234"/>
      <c r="L15" s="234"/>
      <c r="M15" s="234"/>
      <c r="N15" s="234"/>
      <c r="O15" s="234"/>
      <c r="P15" s="234"/>
      <c r="Q15" s="234"/>
      <c r="R15" s="234"/>
    </row>
    <row r="16" spans="1:18" x14ac:dyDescent="0.25">
      <c r="A16" s="234"/>
      <c r="B16" s="235"/>
      <c r="C16" s="234"/>
      <c r="D16" s="234"/>
      <c r="E16" s="234"/>
      <c r="F16" s="236" t="str">
        <f t="shared" si="0"/>
        <v/>
      </c>
      <c r="G16" s="234"/>
      <c r="H16" s="234"/>
      <c r="I16" s="234"/>
      <c r="J16" s="234"/>
      <c r="K16" s="234"/>
      <c r="L16" s="234"/>
      <c r="M16" s="234"/>
      <c r="N16" s="234"/>
      <c r="O16" s="234"/>
      <c r="P16" s="234"/>
      <c r="Q16" s="234"/>
      <c r="R16" s="234"/>
    </row>
    <row r="17" spans="1:18" x14ac:dyDescent="0.25">
      <c r="A17" s="234"/>
      <c r="B17" s="235"/>
      <c r="C17" s="234"/>
      <c r="D17" s="234"/>
      <c r="E17" s="234"/>
      <c r="F17" s="236" t="str">
        <f t="shared" si="0"/>
        <v/>
      </c>
      <c r="G17" s="234"/>
      <c r="H17" s="234"/>
      <c r="I17" s="234"/>
      <c r="J17" s="234"/>
      <c r="K17" s="234"/>
      <c r="L17" s="234"/>
      <c r="M17" s="234"/>
      <c r="N17" s="234"/>
      <c r="O17" s="234"/>
      <c r="P17" s="234"/>
      <c r="Q17" s="234"/>
      <c r="R17" s="234"/>
    </row>
    <row r="18" spans="1:18" x14ac:dyDescent="0.25">
      <c r="A18" s="234"/>
      <c r="B18" s="235"/>
      <c r="C18" s="234"/>
      <c r="D18" s="234"/>
      <c r="E18" s="234"/>
      <c r="F18" s="236" t="str">
        <f t="shared" si="0"/>
        <v/>
      </c>
      <c r="G18" s="234"/>
      <c r="H18" s="234"/>
      <c r="I18" s="234"/>
      <c r="J18" s="234"/>
      <c r="K18" s="234"/>
      <c r="L18" s="234"/>
      <c r="M18" s="234"/>
      <c r="N18" s="234"/>
      <c r="O18" s="234"/>
      <c r="P18" s="234"/>
      <c r="Q18" s="234"/>
      <c r="R18" s="234"/>
    </row>
    <row r="19" spans="1:18" x14ac:dyDescent="0.25">
      <c r="F19" s="239" t="str">
        <f t="shared" si="0"/>
        <v/>
      </c>
    </row>
    <row r="20" spans="1:18" x14ac:dyDescent="0.25">
      <c r="F20" s="239" t="str">
        <f t="shared" si="0"/>
        <v/>
      </c>
    </row>
    <row r="21" spans="1:18" x14ac:dyDescent="0.25">
      <c r="F21" s="239" t="str">
        <f t="shared" si="0"/>
        <v/>
      </c>
    </row>
    <row r="22" spans="1:18" x14ac:dyDescent="0.25">
      <c r="F22" s="239" t="str">
        <f t="shared" si="0"/>
        <v/>
      </c>
    </row>
    <row r="23" spans="1:18" x14ac:dyDescent="0.25">
      <c r="F23" s="239" t="str">
        <f t="shared" si="0"/>
        <v/>
      </c>
    </row>
    <row r="24" spans="1:18" x14ac:dyDescent="0.25">
      <c r="F24" s="239" t="str">
        <f t="shared" si="0"/>
        <v/>
      </c>
    </row>
    <row r="25" spans="1:18" x14ac:dyDescent="0.25">
      <c r="F25" s="239" t="str">
        <f t="shared" si="0"/>
        <v/>
      </c>
    </row>
    <row r="26" spans="1:18" x14ac:dyDescent="0.25">
      <c r="F26" s="239" t="str">
        <f t="shared" si="0"/>
        <v/>
      </c>
    </row>
    <row r="27" spans="1:18" x14ac:dyDescent="0.25">
      <c r="F27" s="239" t="str">
        <f t="shared" si="0"/>
        <v/>
      </c>
    </row>
    <row r="28" spans="1:18" x14ac:dyDescent="0.25">
      <c r="F28" s="239" t="str">
        <f t="shared" si="0"/>
        <v/>
      </c>
    </row>
    <row r="29" spans="1:18" x14ac:dyDescent="0.25">
      <c r="F29" s="239" t="str">
        <f t="shared" si="0"/>
        <v/>
      </c>
    </row>
    <row r="30" spans="1:18" x14ac:dyDescent="0.25">
      <c r="F30" s="239" t="str">
        <f t="shared" si="0"/>
        <v/>
      </c>
    </row>
    <row r="31" spans="1:18" x14ac:dyDescent="0.25">
      <c r="F31" s="239" t="str">
        <f t="shared" si="0"/>
        <v/>
      </c>
    </row>
    <row r="32" spans="1:18" x14ac:dyDescent="0.25">
      <c r="F32" s="239" t="str">
        <f t="shared" si="0"/>
        <v/>
      </c>
    </row>
    <row r="33" spans="6:6" x14ac:dyDescent="0.25">
      <c r="F33" s="239" t="str">
        <f t="shared" si="0"/>
        <v/>
      </c>
    </row>
    <row r="34" spans="6:6" x14ac:dyDescent="0.25">
      <c r="F34" s="239" t="str">
        <f t="shared" si="0"/>
        <v/>
      </c>
    </row>
    <row r="35" spans="6:6" x14ac:dyDescent="0.25">
      <c r="F35" s="239" t="str">
        <f t="shared" si="0"/>
        <v/>
      </c>
    </row>
    <row r="36" spans="6:6" x14ac:dyDescent="0.25">
      <c r="F36" s="239" t="str">
        <f t="shared" si="0"/>
        <v/>
      </c>
    </row>
    <row r="37" spans="6:6" x14ac:dyDescent="0.25">
      <c r="F37" s="239" t="str">
        <f t="shared" si="0"/>
        <v/>
      </c>
    </row>
    <row r="38" spans="6:6" x14ac:dyDescent="0.25">
      <c r="F38" s="239" t="str">
        <f t="shared" si="0"/>
        <v/>
      </c>
    </row>
    <row r="39" spans="6:6" x14ac:dyDescent="0.25">
      <c r="F39" s="239" t="str">
        <f t="shared" si="0"/>
        <v/>
      </c>
    </row>
    <row r="40" spans="6:6" x14ac:dyDescent="0.25">
      <c r="F40" s="239" t="str">
        <f t="shared" si="0"/>
        <v/>
      </c>
    </row>
    <row r="41" spans="6:6" x14ac:dyDescent="0.25">
      <c r="F41" s="239" t="str">
        <f t="shared" si="0"/>
        <v/>
      </c>
    </row>
    <row r="42" spans="6:6" x14ac:dyDescent="0.25">
      <c r="F42" s="239" t="str">
        <f t="shared" si="0"/>
        <v/>
      </c>
    </row>
    <row r="43" spans="6:6" x14ac:dyDescent="0.25">
      <c r="F43" s="239" t="str">
        <f t="shared" si="0"/>
        <v/>
      </c>
    </row>
    <row r="44" spans="6:6" x14ac:dyDescent="0.25">
      <c r="F44" s="239" t="str">
        <f t="shared" si="0"/>
        <v/>
      </c>
    </row>
    <row r="45" spans="6:6" x14ac:dyDescent="0.25">
      <c r="F45" s="239" t="str">
        <f t="shared" si="0"/>
        <v/>
      </c>
    </row>
    <row r="46" spans="6:6" x14ac:dyDescent="0.25">
      <c r="F46" s="239" t="str">
        <f t="shared" si="0"/>
        <v/>
      </c>
    </row>
    <row r="47" spans="6:6" x14ac:dyDescent="0.25">
      <c r="F47" s="239" t="str">
        <f t="shared" si="0"/>
        <v/>
      </c>
    </row>
    <row r="48" spans="6:6" x14ac:dyDescent="0.25">
      <c r="F48" s="239" t="str">
        <f t="shared" si="0"/>
        <v/>
      </c>
    </row>
    <row r="49" spans="6:6" x14ac:dyDescent="0.25">
      <c r="F49" s="239" t="str">
        <f t="shared" si="0"/>
        <v/>
      </c>
    </row>
    <row r="50" spans="6:6" x14ac:dyDescent="0.25">
      <c r="F50" s="239" t="str">
        <f t="shared" si="0"/>
        <v/>
      </c>
    </row>
    <row r="51" spans="6:6" x14ac:dyDescent="0.25">
      <c r="F51" s="239" t="str">
        <f t="shared" si="0"/>
        <v/>
      </c>
    </row>
    <row r="52" spans="6:6" x14ac:dyDescent="0.25">
      <c r="F52" s="239" t="str">
        <f t="shared" si="0"/>
        <v/>
      </c>
    </row>
    <row r="53" spans="6:6" x14ac:dyDescent="0.25">
      <c r="F53" s="239" t="str">
        <f t="shared" si="0"/>
        <v/>
      </c>
    </row>
    <row r="54" spans="6:6" x14ac:dyDescent="0.25">
      <c r="F54" s="239" t="str">
        <f t="shared" si="0"/>
        <v/>
      </c>
    </row>
    <row r="55" spans="6:6" x14ac:dyDescent="0.25">
      <c r="F55" s="239" t="str">
        <f t="shared" si="0"/>
        <v/>
      </c>
    </row>
    <row r="56" spans="6:6" x14ac:dyDescent="0.25">
      <c r="F56" s="239" t="str">
        <f t="shared" si="0"/>
        <v/>
      </c>
    </row>
    <row r="57" spans="6:6" x14ac:dyDescent="0.25">
      <c r="F57" s="239" t="str">
        <f t="shared" si="0"/>
        <v/>
      </c>
    </row>
    <row r="58" spans="6:6" x14ac:dyDescent="0.25">
      <c r="F58" s="239" t="str">
        <f t="shared" si="0"/>
        <v/>
      </c>
    </row>
    <row r="59" spans="6:6" x14ac:dyDescent="0.25">
      <c r="F59" s="239" t="str">
        <f t="shared" si="0"/>
        <v/>
      </c>
    </row>
    <row r="60" spans="6:6" x14ac:dyDescent="0.25">
      <c r="F60" s="239" t="str">
        <f t="shared" si="0"/>
        <v/>
      </c>
    </row>
    <row r="61" spans="6:6" x14ac:dyDescent="0.25">
      <c r="F61" s="239" t="str">
        <f t="shared" si="0"/>
        <v/>
      </c>
    </row>
    <row r="62" spans="6:6" x14ac:dyDescent="0.25">
      <c r="F62" s="239" t="str">
        <f t="shared" si="0"/>
        <v/>
      </c>
    </row>
    <row r="63" spans="6:6" x14ac:dyDescent="0.25">
      <c r="F63" s="239" t="str">
        <f t="shared" si="0"/>
        <v/>
      </c>
    </row>
    <row r="64" spans="6:6" x14ac:dyDescent="0.25">
      <c r="F64" s="239" t="str">
        <f t="shared" si="0"/>
        <v/>
      </c>
    </row>
    <row r="65" spans="6:6" x14ac:dyDescent="0.25">
      <c r="F65" s="239" t="str">
        <f t="shared" si="0"/>
        <v/>
      </c>
    </row>
    <row r="66" spans="6:6" x14ac:dyDescent="0.25">
      <c r="F66" s="239" t="str">
        <f t="shared" ref="F66:F129" si="1">IF(E66="","",IF((RIGHT(E66,8)-RIGHT(D66,8))&lt;0,-1*(RIGHT(E66,8)-RIGHT(D66,8)),RIGHT(E66,8)-RIGHT(D66,8)))</f>
        <v/>
      </c>
    </row>
    <row r="67" spans="6:6" x14ac:dyDescent="0.25">
      <c r="F67" s="239" t="str">
        <f t="shared" si="1"/>
        <v/>
      </c>
    </row>
    <row r="68" spans="6:6" x14ac:dyDescent="0.25">
      <c r="F68" s="239" t="str">
        <f t="shared" si="1"/>
        <v/>
      </c>
    </row>
    <row r="69" spans="6:6" x14ac:dyDescent="0.25">
      <c r="F69" s="239" t="str">
        <f t="shared" si="1"/>
        <v/>
      </c>
    </row>
    <row r="70" spans="6:6" x14ac:dyDescent="0.25">
      <c r="F70" s="239" t="str">
        <f t="shared" si="1"/>
        <v/>
      </c>
    </row>
    <row r="71" spans="6:6" x14ac:dyDescent="0.25">
      <c r="F71" s="239" t="str">
        <f t="shared" si="1"/>
        <v/>
      </c>
    </row>
    <row r="72" spans="6:6" x14ac:dyDescent="0.25">
      <c r="F72" s="239" t="str">
        <f t="shared" si="1"/>
        <v/>
      </c>
    </row>
    <row r="73" spans="6:6" x14ac:dyDescent="0.25">
      <c r="F73" s="239" t="str">
        <f t="shared" si="1"/>
        <v/>
      </c>
    </row>
    <row r="74" spans="6:6" x14ac:dyDescent="0.25">
      <c r="F74" s="239" t="str">
        <f t="shared" si="1"/>
        <v/>
      </c>
    </row>
    <row r="75" spans="6:6" x14ac:dyDescent="0.25">
      <c r="F75" s="239" t="str">
        <f t="shared" si="1"/>
        <v/>
      </c>
    </row>
    <row r="76" spans="6:6" x14ac:dyDescent="0.25">
      <c r="F76" s="239" t="str">
        <f t="shared" si="1"/>
        <v/>
      </c>
    </row>
    <row r="77" spans="6:6" x14ac:dyDescent="0.25">
      <c r="F77" s="239" t="str">
        <f t="shared" si="1"/>
        <v/>
      </c>
    </row>
    <row r="78" spans="6:6" x14ac:dyDescent="0.25">
      <c r="F78" s="239" t="str">
        <f t="shared" si="1"/>
        <v/>
      </c>
    </row>
    <row r="79" spans="6:6" x14ac:dyDescent="0.25">
      <c r="F79" s="239" t="str">
        <f t="shared" si="1"/>
        <v/>
      </c>
    </row>
    <row r="80" spans="6:6" x14ac:dyDescent="0.25">
      <c r="F80" s="239" t="str">
        <f t="shared" si="1"/>
        <v/>
      </c>
    </row>
    <row r="81" spans="6:6" x14ac:dyDescent="0.25">
      <c r="F81" s="239" t="str">
        <f t="shared" si="1"/>
        <v/>
      </c>
    </row>
    <row r="82" spans="6:6" x14ac:dyDescent="0.25">
      <c r="F82" s="239" t="str">
        <f t="shared" si="1"/>
        <v/>
      </c>
    </row>
    <row r="83" spans="6:6" x14ac:dyDescent="0.25">
      <c r="F83" s="239" t="str">
        <f t="shared" si="1"/>
        <v/>
      </c>
    </row>
    <row r="84" spans="6:6" x14ac:dyDescent="0.25">
      <c r="F84" s="239" t="str">
        <f t="shared" si="1"/>
        <v/>
      </c>
    </row>
    <row r="85" spans="6:6" x14ac:dyDescent="0.25">
      <c r="F85" s="239" t="str">
        <f t="shared" si="1"/>
        <v/>
      </c>
    </row>
    <row r="86" spans="6:6" x14ac:dyDescent="0.25">
      <c r="F86" s="239" t="str">
        <f t="shared" si="1"/>
        <v/>
      </c>
    </row>
    <row r="87" spans="6:6" x14ac:dyDescent="0.25">
      <c r="F87" s="239" t="str">
        <f t="shared" si="1"/>
        <v/>
      </c>
    </row>
    <row r="88" spans="6:6" x14ac:dyDescent="0.25">
      <c r="F88" s="239" t="str">
        <f t="shared" si="1"/>
        <v/>
      </c>
    </row>
    <row r="89" spans="6:6" x14ac:dyDescent="0.25">
      <c r="F89" s="239" t="str">
        <f t="shared" si="1"/>
        <v/>
      </c>
    </row>
    <row r="90" spans="6:6" x14ac:dyDescent="0.25">
      <c r="F90" s="239" t="str">
        <f t="shared" si="1"/>
        <v/>
      </c>
    </row>
    <row r="91" spans="6:6" x14ac:dyDescent="0.25">
      <c r="F91" s="239" t="str">
        <f t="shared" si="1"/>
        <v/>
      </c>
    </row>
    <row r="92" spans="6:6" x14ac:dyDescent="0.25">
      <c r="F92" s="239" t="str">
        <f t="shared" si="1"/>
        <v/>
      </c>
    </row>
    <row r="93" spans="6:6" x14ac:dyDescent="0.25">
      <c r="F93" s="239" t="str">
        <f t="shared" si="1"/>
        <v/>
      </c>
    </row>
    <row r="94" spans="6:6" x14ac:dyDescent="0.25">
      <c r="F94" s="239" t="str">
        <f t="shared" si="1"/>
        <v/>
      </c>
    </row>
    <row r="95" spans="6:6" x14ac:dyDescent="0.25">
      <c r="F95" s="239" t="str">
        <f t="shared" si="1"/>
        <v/>
      </c>
    </row>
    <row r="96" spans="6:6" x14ac:dyDescent="0.25">
      <c r="F96" s="239" t="str">
        <f t="shared" si="1"/>
        <v/>
      </c>
    </row>
    <row r="97" spans="6:6" x14ac:dyDescent="0.25">
      <c r="F97" s="239" t="str">
        <f t="shared" si="1"/>
        <v/>
      </c>
    </row>
    <row r="98" spans="6:6" x14ac:dyDescent="0.25">
      <c r="F98" s="239" t="str">
        <f t="shared" si="1"/>
        <v/>
      </c>
    </row>
    <row r="99" spans="6:6" x14ac:dyDescent="0.25">
      <c r="F99" s="239" t="str">
        <f t="shared" si="1"/>
        <v/>
      </c>
    </row>
    <row r="100" spans="6:6" x14ac:dyDescent="0.25">
      <c r="F100" s="239" t="str">
        <f t="shared" si="1"/>
        <v/>
      </c>
    </row>
    <row r="101" spans="6:6" x14ac:dyDescent="0.25">
      <c r="F101" s="239" t="str">
        <f t="shared" si="1"/>
        <v/>
      </c>
    </row>
    <row r="102" spans="6:6" x14ac:dyDescent="0.25">
      <c r="F102" s="239" t="str">
        <f t="shared" si="1"/>
        <v/>
      </c>
    </row>
    <row r="103" spans="6:6" x14ac:dyDescent="0.25">
      <c r="F103" s="239" t="str">
        <f t="shared" si="1"/>
        <v/>
      </c>
    </row>
    <row r="104" spans="6:6" x14ac:dyDescent="0.25">
      <c r="F104" s="239" t="str">
        <f t="shared" si="1"/>
        <v/>
      </c>
    </row>
    <row r="105" spans="6:6" x14ac:dyDescent="0.25">
      <c r="F105" s="239" t="str">
        <f t="shared" si="1"/>
        <v/>
      </c>
    </row>
    <row r="106" spans="6:6" x14ac:dyDescent="0.25">
      <c r="F106" s="239" t="str">
        <f t="shared" si="1"/>
        <v/>
      </c>
    </row>
    <row r="107" spans="6:6" x14ac:dyDescent="0.25">
      <c r="F107" s="239" t="str">
        <f t="shared" si="1"/>
        <v/>
      </c>
    </row>
    <row r="108" spans="6:6" x14ac:dyDescent="0.25">
      <c r="F108" s="239" t="str">
        <f t="shared" si="1"/>
        <v/>
      </c>
    </row>
    <row r="109" spans="6:6" x14ac:dyDescent="0.25">
      <c r="F109" s="239" t="str">
        <f t="shared" si="1"/>
        <v/>
      </c>
    </row>
    <row r="110" spans="6:6" x14ac:dyDescent="0.25">
      <c r="F110" s="239" t="str">
        <f t="shared" si="1"/>
        <v/>
      </c>
    </row>
    <row r="111" spans="6:6" x14ac:dyDescent="0.25">
      <c r="F111" s="239" t="str">
        <f t="shared" si="1"/>
        <v/>
      </c>
    </row>
    <row r="112" spans="6:6" x14ac:dyDescent="0.25">
      <c r="F112" s="239" t="str">
        <f t="shared" si="1"/>
        <v/>
      </c>
    </row>
    <row r="113" spans="6:6" x14ac:dyDescent="0.25">
      <c r="F113" s="239" t="str">
        <f t="shared" si="1"/>
        <v/>
      </c>
    </row>
    <row r="114" spans="6:6" x14ac:dyDescent="0.25">
      <c r="F114" s="239" t="str">
        <f t="shared" si="1"/>
        <v/>
      </c>
    </row>
    <row r="115" spans="6:6" x14ac:dyDescent="0.25">
      <c r="F115" s="239" t="str">
        <f t="shared" si="1"/>
        <v/>
      </c>
    </row>
    <row r="116" spans="6:6" x14ac:dyDescent="0.25">
      <c r="F116" s="239" t="str">
        <f t="shared" si="1"/>
        <v/>
      </c>
    </row>
    <row r="117" spans="6:6" x14ac:dyDescent="0.25">
      <c r="F117" s="239" t="str">
        <f t="shared" si="1"/>
        <v/>
      </c>
    </row>
    <row r="118" spans="6:6" x14ac:dyDescent="0.25">
      <c r="F118" s="239" t="str">
        <f t="shared" si="1"/>
        <v/>
      </c>
    </row>
    <row r="119" spans="6:6" x14ac:dyDescent="0.25">
      <c r="F119" s="239" t="str">
        <f t="shared" si="1"/>
        <v/>
      </c>
    </row>
    <row r="120" spans="6:6" x14ac:dyDescent="0.25">
      <c r="F120" s="239" t="str">
        <f t="shared" si="1"/>
        <v/>
      </c>
    </row>
    <row r="121" spans="6:6" x14ac:dyDescent="0.25">
      <c r="F121" s="239" t="str">
        <f t="shared" si="1"/>
        <v/>
      </c>
    </row>
    <row r="122" spans="6:6" x14ac:dyDescent="0.25">
      <c r="F122" s="239" t="str">
        <f t="shared" si="1"/>
        <v/>
      </c>
    </row>
    <row r="123" spans="6:6" x14ac:dyDescent="0.25">
      <c r="F123" s="239" t="str">
        <f t="shared" si="1"/>
        <v/>
      </c>
    </row>
    <row r="124" spans="6:6" x14ac:dyDescent="0.25">
      <c r="F124" s="239" t="str">
        <f t="shared" si="1"/>
        <v/>
      </c>
    </row>
    <row r="125" spans="6:6" x14ac:dyDescent="0.25">
      <c r="F125" s="239" t="str">
        <f t="shared" si="1"/>
        <v/>
      </c>
    </row>
    <row r="126" spans="6:6" x14ac:dyDescent="0.25">
      <c r="F126" s="239" t="str">
        <f t="shared" si="1"/>
        <v/>
      </c>
    </row>
    <row r="127" spans="6:6" x14ac:dyDescent="0.25">
      <c r="F127" s="239" t="str">
        <f t="shared" si="1"/>
        <v/>
      </c>
    </row>
    <row r="128" spans="6:6" x14ac:dyDescent="0.25">
      <c r="F128" s="239" t="str">
        <f t="shared" si="1"/>
        <v/>
      </c>
    </row>
    <row r="129" spans="6:6" x14ac:dyDescent="0.25">
      <c r="F129" s="239" t="str">
        <f t="shared" si="1"/>
        <v/>
      </c>
    </row>
    <row r="130" spans="6:6" x14ac:dyDescent="0.25">
      <c r="F130" s="239" t="str">
        <f t="shared" ref="F130:F193" si="2">IF(E130="","",IF((RIGHT(E130,8)-RIGHT(D130,8))&lt;0,-1*(RIGHT(E130,8)-RIGHT(D130,8)),RIGHT(E130,8)-RIGHT(D130,8)))</f>
        <v/>
      </c>
    </row>
    <row r="131" spans="6:6" x14ac:dyDescent="0.25">
      <c r="F131" s="239" t="str">
        <f t="shared" si="2"/>
        <v/>
      </c>
    </row>
    <row r="132" spans="6:6" x14ac:dyDescent="0.25">
      <c r="F132" s="239" t="str">
        <f t="shared" si="2"/>
        <v/>
      </c>
    </row>
    <row r="133" spans="6:6" x14ac:dyDescent="0.25">
      <c r="F133" s="239" t="str">
        <f t="shared" si="2"/>
        <v/>
      </c>
    </row>
    <row r="134" spans="6:6" x14ac:dyDescent="0.25">
      <c r="F134" s="239" t="str">
        <f t="shared" si="2"/>
        <v/>
      </c>
    </row>
    <row r="135" spans="6:6" x14ac:dyDescent="0.25">
      <c r="F135" s="239" t="str">
        <f t="shared" si="2"/>
        <v/>
      </c>
    </row>
    <row r="136" spans="6:6" x14ac:dyDescent="0.25">
      <c r="F136" s="239" t="str">
        <f t="shared" si="2"/>
        <v/>
      </c>
    </row>
    <row r="137" spans="6:6" x14ac:dyDescent="0.25">
      <c r="F137" s="239" t="str">
        <f t="shared" si="2"/>
        <v/>
      </c>
    </row>
    <row r="138" spans="6:6" x14ac:dyDescent="0.25">
      <c r="F138" s="239" t="str">
        <f t="shared" si="2"/>
        <v/>
      </c>
    </row>
    <row r="139" spans="6:6" x14ac:dyDescent="0.25">
      <c r="F139" s="239" t="str">
        <f t="shared" si="2"/>
        <v/>
      </c>
    </row>
    <row r="140" spans="6:6" x14ac:dyDescent="0.25">
      <c r="F140" s="239" t="str">
        <f t="shared" si="2"/>
        <v/>
      </c>
    </row>
    <row r="141" spans="6:6" x14ac:dyDescent="0.25">
      <c r="F141" s="239" t="str">
        <f t="shared" si="2"/>
        <v/>
      </c>
    </row>
    <row r="142" spans="6:6" x14ac:dyDescent="0.25">
      <c r="F142" s="239" t="str">
        <f t="shared" si="2"/>
        <v/>
      </c>
    </row>
    <row r="143" spans="6:6" x14ac:dyDescent="0.25">
      <c r="F143" s="239" t="str">
        <f t="shared" si="2"/>
        <v/>
      </c>
    </row>
    <row r="144" spans="6:6" x14ac:dyDescent="0.25">
      <c r="F144" s="239" t="str">
        <f t="shared" si="2"/>
        <v/>
      </c>
    </row>
    <row r="145" spans="6:6" x14ac:dyDescent="0.25">
      <c r="F145" s="239" t="str">
        <f t="shared" si="2"/>
        <v/>
      </c>
    </row>
    <row r="146" spans="6:6" x14ac:dyDescent="0.25">
      <c r="F146" s="239" t="str">
        <f t="shared" si="2"/>
        <v/>
      </c>
    </row>
    <row r="147" spans="6:6" x14ac:dyDescent="0.25">
      <c r="F147" s="239" t="str">
        <f t="shared" si="2"/>
        <v/>
      </c>
    </row>
    <row r="148" spans="6:6" x14ac:dyDescent="0.25">
      <c r="F148" s="239" t="str">
        <f t="shared" si="2"/>
        <v/>
      </c>
    </row>
    <row r="149" spans="6:6" x14ac:dyDescent="0.25">
      <c r="F149" s="239" t="str">
        <f t="shared" si="2"/>
        <v/>
      </c>
    </row>
    <row r="150" spans="6:6" x14ac:dyDescent="0.25">
      <c r="F150" s="239" t="str">
        <f t="shared" si="2"/>
        <v/>
      </c>
    </row>
    <row r="151" spans="6:6" x14ac:dyDescent="0.25">
      <c r="F151" s="239" t="str">
        <f t="shared" si="2"/>
        <v/>
      </c>
    </row>
    <row r="152" spans="6:6" x14ac:dyDescent="0.25">
      <c r="F152" s="239" t="str">
        <f t="shared" si="2"/>
        <v/>
      </c>
    </row>
    <row r="153" spans="6:6" x14ac:dyDescent="0.25">
      <c r="F153" s="239" t="str">
        <f t="shared" si="2"/>
        <v/>
      </c>
    </row>
    <row r="154" spans="6:6" x14ac:dyDescent="0.25">
      <c r="F154" s="239" t="str">
        <f t="shared" si="2"/>
        <v/>
      </c>
    </row>
    <row r="155" spans="6:6" x14ac:dyDescent="0.25">
      <c r="F155" s="239" t="str">
        <f t="shared" si="2"/>
        <v/>
      </c>
    </row>
    <row r="156" spans="6:6" x14ac:dyDescent="0.25">
      <c r="F156" s="239" t="str">
        <f t="shared" si="2"/>
        <v/>
      </c>
    </row>
    <row r="157" spans="6:6" x14ac:dyDescent="0.25">
      <c r="F157" s="239" t="str">
        <f t="shared" si="2"/>
        <v/>
      </c>
    </row>
    <row r="158" spans="6:6" x14ac:dyDescent="0.25">
      <c r="F158" s="239" t="str">
        <f t="shared" si="2"/>
        <v/>
      </c>
    </row>
    <row r="159" spans="6:6" x14ac:dyDescent="0.25">
      <c r="F159" s="239" t="str">
        <f t="shared" si="2"/>
        <v/>
      </c>
    </row>
    <row r="160" spans="6:6" x14ac:dyDescent="0.25">
      <c r="F160" s="239" t="str">
        <f t="shared" si="2"/>
        <v/>
      </c>
    </row>
    <row r="161" spans="6:6" x14ac:dyDescent="0.25">
      <c r="F161" s="239" t="str">
        <f t="shared" si="2"/>
        <v/>
      </c>
    </row>
    <row r="162" spans="6:6" x14ac:dyDescent="0.25">
      <c r="F162" s="239" t="str">
        <f t="shared" si="2"/>
        <v/>
      </c>
    </row>
    <row r="163" spans="6:6" x14ac:dyDescent="0.25">
      <c r="F163" s="239" t="str">
        <f t="shared" si="2"/>
        <v/>
      </c>
    </row>
    <row r="164" spans="6:6" x14ac:dyDescent="0.25">
      <c r="F164" s="239" t="str">
        <f t="shared" si="2"/>
        <v/>
      </c>
    </row>
    <row r="165" spans="6:6" x14ac:dyDescent="0.25">
      <c r="F165" s="239" t="str">
        <f t="shared" si="2"/>
        <v/>
      </c>
    </row>
    <row r="166" spans="6:6" x14ac:dyDescent="0.25">
      <c r="F166" s="239" t="str">
        <f t="shared" si="2"/>
        <v/>
      </c>
    </row>
    <row r="167" spans="6:6" x14ac:dyDescent="0.25">
      <c r="F167" s="239" t="str">
        <f t="shared" si="2"/>
        <v/>
      </c>
    </row>
    <row r="168" spans="6:6" x14ac:dyDescent="0.25">
      <c r="F168" s="239" t="str">
        <f t="shared" si="2"/>
        <v/>
      </c>
    </row>
    <row r="169" spans="6:6" x14ac:dyDescent="0.25">
      <c r="F169" s="239" t="str">
        <f t="shared" si="2"/>
        <v/>
      </c>
    </row>
    <row r="170" spans="6:6" x14ac:dyDescent="0.25">
      <c r="F170" s="239" t="str">
        <f t="shared" si="2"/>
        <v/>
      </c>
    </row>
    <row r="171" spans="6:6" x14ac:dyDescent="0.25">
      <c r="F171" s="239" t="str">
        <f t="shared" si="2"/>
        <v/>
      </c>
    </row>
    <row r="172" spans="6:6" x14ac:dyDescent="0.25">
      <c r="F172" s="239" t="str">
        <f t="shared" si="2"/>
        <v/>
      </c>
    </row>
    <row r="173" spans="6:6" x14ac:dyDescent="0.25">
      <c r="F173" s="239" t="str">
        <f t="shared" si="2"/>
        <v/>
      </c>
    </row>
    <row r="174" spans="6:6" x14ac:dyDescent="0.25">
      <c r="F174" s="239" t="str">
        <f t="shared" si="2"/>
        <v/>
      </c>
    </row>
    <row r="175" spans="6:6" x14ac:dyDescent="0.25">
      <c r="F175" s="239" t="str">
        <f t="shared" si="2"/>
        <v/>
      </c>
    </row>
    <row r="176" spans="6:6" x14ac:dyDescent="0.25">
      <c r="F176" s="239" t="str">
        <f t="shared" si="2"/>
        <v/>
      </c>
    </row>
    <row r="177" spans="6:6" x14ac:dyDescent="0.25">
      <c r="F177" s="239" t="str">
        <f t="shared" si="2"/>
        <v/>
      </c>
    </row>
    <row r="178" spans="6:6" x14ac:dyDescent="0.25">
      <c r="F178" s="239" t="str">
        <f t="shared" si="2"/>
        <v/>
      </c>
    </row>
    <row r="179" spans="6:6" x14ac:dyDescent="0.25">
      <c r="F179" s="239" t="str">
        <f t="shared" si="2"/>
        <v/>
      </c>
    </row>
    <row r="180" spans="6:6" x14ac:dyDescent="0.25">
      <c r="F180" s="239" t="str">
        <f t="shared" si="2"/>
        <v/>
      </c>
    </row>
    <row r="181" spans="6:6" x14ac:dyDescent="0.25">
      <c r="F181" s="239" t="str">
        <f t="shared" si="2"/>
        <v/>
      </c>
    </row>
    <row r="182" spans="6:6" x14ac:dyDescent="0.25">
      <c r="F182" s="239" t="str">
        <f t="shared" si="2"/>
        <v/>
      </c>
    </row>
    <row r="183" spans="6:6" x14ac:dyDescent="0.25">
      <c r="F183" s="239" t="str">
        <f t="shared" si="2"/>
        <v/>
      </c>
    </row>
    <row r="184" spans="6:6" x14ac:dyDescent="0.25">
      <c r="F184" s="239" t="str">
        <f t="shared" si="2"/>
        <v/>
      </c>
    </row>
    <row r="185" spans="6:6" x14ac:dyDescent="0.25">
      <c r="F185" s="239" t="str">
        <f t="shared" si="2"/>
        <v/>
      </c>
    </row>
    <row r="186" spans="6:6" x14ac:dyDescent="0.25">
      <c r="F186" s="239" t="str">
        <f t="shared" si="2"/>
        <v/>
      </c>
    </row>
    <row r="187" spans="6:6" x14ac:dyDescent="0.25">
      <c r="F187" s="239" t="str">
        <f t="shared" si="2"/>
        <v/>
      </c>
    </row>
    <row r="188" spans="6:6" x14ac:dyDescent="0.25">
      <c r="F188" s="239" t="str">
        <f t="shared" si="2"/>
        <v/>
      </c>
    </row>
    <row r="189" spans="6:6" x14ac:dyDescent="0.25">
      <c r="F189" s="239" t="str">
        <f t="shared" si="2"/>
        <v/>
      </c>
    </row>
    <row r="190" spans="6:6" x14ac:dyDescent="0.25">
      <c r="F190" s="239" t="str">
        <f t="shared" si="2"/>
        <v/>
      </c>
    </row>
    <row r="191" spans="6:6" x14ac:dyDescent="0.25">
      <c r="F191" s="239" t="str">
        <f t="shared" si="2"/>
        <v/>
      </c>
    </row>
    <row r="192" spans="6:6" x14ac:dyDescent="0.25">
      <c r="F192" s="239" t="str">
        <f t="shared" si="2"/>
        <v/>
      </c>
    </row>
    <row r="193" spans="6:6" x14ac:dyDescent="0.25">
      <c r="F193" s="239" t="str">
        <f t="shared" si="2"/>
        <v/>
      </c>
    </row>
    <row r="194" spans="6:6" x14ac:dyDescent="0.25">
      <c r="F194" s="239" t="str">
        <f t="shared" ref="F194:F257" si="3">IF(E194="","",IF((RIGHT(E194,8)-RIGHT(D194,8))&lt;0,-1*(RIGHT(E194,8)-RIGHT(D194,8)),RIGHT(E194,8)-RIGHT(D194,8)))</f>
        <v/>
      </c>
    </row>
    <row r="195" spans="6:6" x14ac:dyDescent="0.25">
      <c r="F195" s="239" t="str">
        <f t="shared" si="3"/>
        <v/>
      </c>
    </row>
    <row r="196" spans="6:6" x14ac:dyDescent="0.25">
      <c r="F196" s="239" t="str">
        <f t="shared" si="3"/>
        <v/>
      </c>
    </row>
    <row r="197" spans="6:6" x14ac:dyDescent="0.25">
      <c r="F197" s="239" t="str">
        <f t="shared" si="3"/>
        <v/>
      </c>
    </row>
    <row r="198" spans="6:6" x14ac:dyDescent="0.25">
      <c r="F198" s="239" t="str">
        <f t="shared" si="3"/>
        <v/>
      </c>
    </row>
    <row r="199" spans="6:6" x14ac:dyDescent="0.25">
      <c r="F199" s="239" t="str">
        <f t="shared" si="3"/>
        <v/>
      </c>
    </row>
    <row r="200" spans="6:6" x14ac:dyDescent="0.25">
      <c r="F200" s="239" t="str">
        <f t="shared" si="3"/>
        <v/>
      </c>
    </row>
    <row r="201" spans="6:6" x14ac:dyDescent="0.25">
      <c r="F201" s="239" t="str">
        <f t="shared" si="3"/>
        <v/>
      </c>
    </row>
    <row r="202" spans="6:6" x14ac:dyDescent="0.25">
      <c r="F202" s="239" t="str">
        <f t="shared" si="3"/>
        <v/>
      </c>
    </row>
    <row r="203" spans="6:6" x14ac:dyDescent="0.25">
      <c r="F203" s="239" t="str">
        <f t="shared" si="3"/>
        <v/>
      </c>
    </row>
    <row r="204" spans="6:6" x14ac:dyDescent="0.25">
      <c r="F204" s="239" t="str">
        <f t="shared" si="3"/>
        <v/>
      </c>
    </row>
    <row r="205" spans="6:6" x14ac:dyDescent="0.25">
      <c r="F205" s="239" t="str">
        <f t="shared" si="3"/>
        <v/>
      </c>
    </row>
    <row r="206" spans="6:6" x14ac:dyDescent="0.25">
      <c r="F206" s="239" t="str">
        <f t="shared" si="3"/>
        <v/>
      </c>
    </row>
    <row r="207" spans="6:6" x14ac:dyDescent="0.25">
      <c r="F207" s="239" t="str">
        <f t="shared" si="3"/>
        <v/>
      </c>
    </row>
    <row r="208" spans="6:6" x14ac:dyDescent="0.25">
      <c r="F208" s="239" t="str">
        <f t="shared" si="3"/>
        <v/>
      </c>
    </row>
    <row r="209" spans="6:6" x14ac:dyDescent="0.25">
      <c r="F209" s="239" t="str">
        <f t="shared" si="3"/>
        <v/>
      </c>
    </row>
    <row r="210" spans="6:6" x14ac:dyDescent="0.25">
      <c r="F210" s="239" t="str">
        <f t="shared" si="3"/>
        <v/>
      </c>
    </row>
    <row r="211" spans="6:6" x14ac:dyDescent="0.25">
      <c r="F211" s="239" t="str">
        <f t="shared" si="3"/>
        <v/>
      </c>
    </row>
    <row r="212" spans="6:6" x14ac:dyDescent="0.25">
      <c r="F212" s="239" t="str">
        <f t="shared" si="3"/>
        <v/>
      </c>
    </row>
    <row r="213" spans="6:6" x14ac:dyDescent="0.25">
      <c r="F213" s="239" t="str">
        <f t="shared" si="3"/>
        <v/>
      </c>
    </row>
    <row r="214" spans="6:6" x14ac:dyDescent="0.25">
      <c r="F214" s="239" t="str">
        <f t="shared" si="3"/>
        <v/>
      </c>
    </row>
    <row r="215" spans="6:6" x14ac:dyDescent="0.25">
      <c r="F215" s="239" t="str">
        <f t="shared" si="3"/>
        <v/>
      </c>
    </row>
    <row r="216" spans="6:6" x14ac:dyDescent="0.25">
      <c r="F216" s="239" t="str">
        <f t="shared" si="3"/>
        <v/>
      </c>
    </row>
    <row r="217" spans="6:6" x14ac:dyDescent="0.25">
      <c r="F217" s="239" t="str">
        <f t="shared" si="3"/>
        <v/>
      </c>
    </row>
    <row r="218" spans="6:6" x14ac:dyDescent="0.25">
      <c r="F218" s="239" t="str">
        <f t="shared" si="3"/>
        <v/>
      </c>
    </row>
    <row r="219" spans="6:6" x14ac:dyDescent="0.25">
      <c r="F219" s="239" t="str">
        <f t="shared" si="3"/>
        <v/>
      </c>
    </row>
    <row r="220" spans="6:6" x14ac:dyDescent="0.25">
      <c r="F220" s="239" t="str">
        <f t="shared" si="3"/>
        <v/>
      </c>
    </row>
    <row r="221" spans="6:6" x14ac:dyDescent="0.25">
      <c r="F221" s="239" t="str">
        <f t="shared" si="3"/>
        <v/>
      </c>
    </row>
    <row r="222" spans="6:6" x14ac:dyDescent="0.25">
      <c r="F222" s="239" t="str">
        <f t="shared" si="3"/>
        <v/>
      </c>
    </row>
    <row r="223" spans="6:6" x14ac:dyDescent="0.25">
      <c r="F223" s="239" t="str">
        <f t="shared" si="3"/>
        <v/>
      </c>
    </row>
    <row r="224" spans="6:6" x14ac:dyDescent="0.25">
      <c r="F224" s="239" t="str">
        <f t="shared" si="3"/>
        <v/>
      </c>
    </row>
    <row r="225" spans="6:6" x14ac:dyDescent="0.25">
      <c r="F225" s="239" t="str">
        <f t="shared" si="3"/>
        <v/>
      </c>
    </row>
    <row r="226" spans="6:6" x14ac:dyDescent="0.25">
      <c r="F226" s="239" t="str">
        <f t="shared" si="3"/>
        <v/>
      </c>
    </row>
    <row r="227" spans="6:6" x14ac:dyDescent="0.25">
      <c r="F227" s="239" t="str">
        <f t="shared" si="3"/>
        <v/>
      </c>
    </row>
    <row r="228" spans="6:6" x14ac:dyDescent="0.25">
      <c r="F228" s="239" t="str">
        <f t="shared" si="3"/>
        <v/>
      </c>
    </row>
    <row r="229" spans="6:6" x14ac:dyDescent="0.25">
      <c r="F229" s="239" t="str">
        <f t="shared" si="3"/>
        <v/>
      </c>
    </row>
    <row r="230" spans="6:6" x14ac:dyDescent="0.25">
      <c r="F230" s="239" t="str">
        <f t="shared" si="3"/>
        <v/>
      </c>
    </row>
    <row r="231" spans="6:6" x14ac:dyDescent="0.25">
      <c r="F231" s="239" t="str">
        <f t="shared" si="3"/>
        <v/>
      </c>
    </row>
    <row r="232" spans="6:6" x14ac:dyDescent="0.25">
      <c r="F232" s="239" t="str">
        <f t="shared" si="3"/>
        <v/>
      </c>
    </row>
    <row r="233" spans="6:6" x14ac:dyDescent="0.25">
      <c r="F233" s="239" t="str">
        <f t="shared" si="3"/>
        <v/>
      </c>
    </row>
    <row r="234" spans="6:6" x14ac:dyDescent="0.25">
      <c r="F234" s="239" t="str">
        <f t="shared" si="3"/>
        <v/>
      </c>
    </row>
    <row r="235" spans="6:6" x14ac:dyDescent="0.25">
      <c r="F235" s="239" t="str">
        <f t="shared" si="3"/>
        <v/>
      </c>
    </row>
    <row r="236" spans="6:6" x14ac:dyDescent="0.25">
      <c r="F236" s="239" t="str">
        <f t="shared" si="3"/>
        <v/>
      </c>
    </row>
    <row r="237" spans="6:6" x14ac:dyDescent="0.25">
      <c r="F237" s="239" t="str">
        <f t="shared" si="3"/>
        <v/>
      </c>
    </row>
    <row r="238" spans="6:6" x14ac:dyDescent="0.25">
      <c r="F238" s="239" t="str">
        <f t="shared" si="3"/>
        <v/>
      </c>
    </row>
    <row r="239" spans="6:6" x14ac:dyDescent="0.25">
      <c r="F239" s="239" t="str">
        <f t="shared" si="3"/>
        <v/>
      </c>
    </row>
    <row r="240" spans="6:6" x14ac:dyDescent="0.25">
      <c r="F240" s="239" t="str">
        <f t="shared" si="3"/>
        <v/>
      </c>
    </row>
    <row r="241" spans="6:6" x14ac:dyDescent="0.25">
      <c r="F241" s="239" t="str">
        <f t="shared" si="3"/>
        <v/>
      </c>
    </row>
    <row r="242" spans="6:6" x14ac:dyDescent="0.25">
      <c r="F242" s="239" t="str">
        <f t="shared" si="3"/>
        <v/>
      </c>
    </row>
    <row r="243" spans="6:6" x14ac:dyDescent="0.25">
      <c r="F243" s="239" t="str">
        <f t="shared" si="3"/>
        <v/>
      </c>
    </row>
    <row r="244" spans="6:6" x14ac:dyDescent="0.25">
      <c r="F244" s="239" t="str">
        <f t="shared" si="3"/>
        <v/>
      </c>
    </row>
    <row r="245" spans="6:6" x14ac:dyDescent="0.25">
      <c r="F245" s="239" t="str">
        <f t="shared" si="3"/>
        <v/>
      </c>
    </row>
    <row r="246" spans="6:6" x14ac:dyDescent="0.25">
      <c r="F246" s="239" t="str">
        <f t="shared" si="3"/>
        <v/>
      </c>
    </row>
    <row r="247" spans="6:6" x14ac:dyDescent="0.25">
      <c r="F247" s="239" t="str">
        <f t="shared" si="3"/>
        <v/>
      </c>
    </row>
    <row r="248" spans="6:6" x14ac:dyDescent="0.25">
      <c r="F248" s="239" t="str">
        <f t="shared" si="3"/>
        <v/>
      </c>
    </row>
    <row r="249" spans="6:6" x14ac:dyDescent="0.25">
      <c r="F249" s="239" t="str">
        <f t="shared" si="3"/>
        <v/>
      </c>
    </row>
    <row r="250" spans="6:6" x14ac:dyDescent="0.25">
      <c r="F250" s="239" t="str">
        <f t="shared" si="3"/>
        <v/>
      </c>
    </row>
    <row r="251" spans="6:6" x14ac:dyDescent="0.25">
      <c r="F251" s="239" t="str">
        <f t="shared" si="3"/>
        <v/>
      </c>
    </row>
    <row r="252" spans="6:6" x14ac:dyDescent="0.25">
      <c r="F252" s="239" t="str">
        <f t="shared" si="3"/>
        <v/>
      </c>
    </row>
    <row r="253" spans="6:6" x14ac:dyDescent="0.25">
      <c r="F253" s="239" t="str">
        <f t="shared" si="3"/>
        <v/>
      </c>
    </row>
    <row r="254" spans="6:6" x14ac:dyDescent="0.25">
      <c r="F254" s="239" t="str">
        <f t="shared" si="3"/>
        <v/>
      </c>
    </row>
    <row r="255" spans="6:6" x14ac:dyDescent="0.25">
      <c r="F255" s="239" t="str">
        <f t="shared" si="3"/>
        <v/>
      </c>
    </row>
    <row r="256" spans="6:6" x14ac:dyDescent="0.25">
      <c r="F256" s="239" t="str">
        <f t="shared" si="3"/>
        <v/>
      </c>
    </row>
    <row r="257" spans="6:6" x14ac:dyDescent="0.25">
      <c r="F257" s="239" t="str">
        <f t="shared" si="3"/>
        <v/>
      </c>
    </row>
    <row r="258" spans="6:6" x14ac:dyDescent="0.25">
      <c r="F258" s="239" t="str">
        <f t="shared" ref="F258:F321" si="4">IF(E258="","",IF((RIGHT(E258,8)-RIGHT(D258,8))&lt;0,-1*(RIGHT(E258,8)-RIGHT(D258,8)),RIGHT(E258,8)-RIGHT(D258,8)))</f>
        <v/>
      </c>
    </row>
    <row r="259" spans="6:6" x14ac:dyDescent="0.25">
      <c r="F259" s="239" t="str">
        <f t="shared" si="4"/>
        <v/>
      </c>
    </row>
    <row r="260" spans="6:6" x14ac:dyDescent="0.25">
      <c r="F260" s="239" t="str">
        <f t="shared" si="4"/>
        <v/>
      </c>
    </row>
    <row r="261" spans="6:6" x14ac:dyDescent="0.25">
      <c r="F261" s="239" t="str">
        <f t="shared" si="4"/>
        <v/>
      </c>
    </row>
    <row r="262" spans="6:6" x14ac:dyDescent="0.25">
      <c r="F262" s="239" t="str">
        <f t="shared" si="4"/>
        <v/>
      </c>
    </row>
    <row r="263" spans="6:6" x14ac:dyDescent="0.25">
      <c r="F263" s="239" t="str">
        <f t="shared" si="4"/>
        <v/>
      </c>
    </row>
    <row r="264" spans="6:6" x14ac:dyDescent="0.25">
      <c r="F264" s="239" t="str">
        <f t="shared" si="4"/>
        <v/>
      </c>
    </row>
    <row r="265" spans="6:6" x14ac:dyDescent="0.25">
      <c r="F265" s="239" t="str">
        <f t="shared" si="4"/>
        <v/>
      </c>
    </row>
    <row r="266" spans="6:6" x14ac:dyDescent="0.25">
      <c r="F266" s="239" t="str">
        <f t="shared" si="4"/>
        <v/>
      </c>
    </row>
    <row r="267" spans="6:6" x14ac:dyDescent="0.25">
      <c r="F267" s="239" t="str">
        <f t="shared" si="4"/>
        <v/>
      </c>
    </row>
    <row r="268" spans="6:6" x14ac:dyDescent="0.25">
      <c r="F268" s="239" t="str">
        <f t="shared" si="4"/>
        <v/>
      </c>
    </row>
    <row r="269" spans="6:6" x14ac:dyDescent="0.25">
      <c r="F269" s="239" t="str">
        <f t="shared" si="4"/>
        <v/>
      </c>
    </row>
    <row r="270" spans="6:6" x14ac:dyDescent="0.25">
      <c r="F270" s="239" t="str">
        <f t="shared" si="4"/>
        <v/>
      </c>
    </row>
    <row r="271" spans="6:6" x14ac:dyDescent="0.25">
      <c r="F271" s="239" t="str">
        <f t="shared" si="4"/>
        <v/>
      </c>
    </row>
    <row r="272" spans="6:6" x14ac:dyDescent="0.25">
      <c r="F272" s="239" t="str">
        <f t="shared" si="4"/>
        <v/>
      </c>
    </row>
    <row r="273" spans="6:6" x14ac:dyDescent="0.25">
      <c r="F273" s="239" t="str">
        <f t="shared" si="4"/>
        <v/>
      </c>
    </row>
    <row r="274" spans="6:6" x14ac:dyDescent="0.25">
      <c r="F274" s="239" t="str">
        <f t="shared" si="4"/>
        <v/>
      </c>
    </row>
    <row r="275" spans="6:6" x14ac:dyDescent="0.25">
      <c r="F275" s="239" t="str">
        <f t="shared" si="4"/>
        <v/>
      </c>
    </row>
    <row r="276" spans="6:6" x14ac:dyDescent="0.25">
      <c r="F276" s="239" t="str">
        <f t="shared" si="4"/>
        <v/>
      </c>
    </row>
    <row r="277" spans="6:6" x14ac:dyDescent="0.25">
      <c r="F277" s="239" t="str">
        <f t="shared" si="4"/>
        <v/>
      </c>
    </row>
    <row r="278" spans="6:6" x14ac:dyDescent="0.25">
      <c r="F278" s="239" t="str">
        <f t="shared" si="4"/>
        <v/>
      </c>
    </row>
    <row r="279" spans="6:6" x14ac:dyDescent="0.25">
      <c r="F279" s="239" t="str">
        <f t="shared" si="4"/>
        <v/>
      </c>
    </row>
    <row r="280" spans="6:6" x14ac:dyDescent="0.25">
      <c r="F280" s="239" t="str">
        <f t="shared" si="4"/>
        <v/>
      </c>
    </row>
    <row r="281" spans="6:6" x14ac:dyDescent="0.25">
      <c r="F281" s="239" t="str">
        <f t="shared" si="4"/>
        <v/>
      </c>
    </row>
    <row r="282" spans="6:6" x14ac:dyDescent="0.25">
      <c r="F282" s="239" t="str">
        <f t="shared" si="4"/>
        <v/>
      </c>
    </row>
    <row r="283" spans="6:6" x14ac:dyDescent="0.25">
      <c r="F283" s="239" t="str">
        <f t="shared" si="4"/>
        <v/>
      </c>
    </row>
    <row r="284" spans="6:6" x14ac:dyDescent="0.25">
      <c r="F284" s="239" t="str">
        <f t="shared" si="4"/>
        <v/>
      </c>
    </row>
    <row r="285" spans="6:6" x14ac:dyDescent="0.25">
      <c r="F285" s="239" t="str">
        <f t="shared" si="4"/>
        <v/>
      </c>
    </row>
    <row r="286" spans="6:6" x14ac:dyDescent="0.25">
      <c r="F286" s="239" t="str">
        <f t="shared" si="4"/>
        <v/>
      </c>
    </row>
    <row r="287" spans="6:6" x14ac:dyDescent="0.25">
      <c r="F287" s="239" t="str">
        <f t="shared" si="4"/>
        <v/>
      </c>
    </row>
    <row r="288" spans="6:6" x14ac:dyDescent="0.25">
      <c r="F288" s="239" t="str">
        <f t="shared" si="4"/>
        <v/>
      </c>
    </row>
    <row r="289" spans="6:6" x14ac:dyDescent="0.25">
      <c r="F289" s="239" t="str">
        <f t="shared" si="4"/>
        <v/>
      </c>
    </row>
    <row r="290" spans="6:6" x14ac:dyDescent="0.25">
      <c r="F290" s="239" t="str">
        <f t="shared" si="4"/>
        <v/>
      </c>
    </row>
    <row r="291" spans="6:6" x14ac:dyDescent="0.25">
      <c r="F291" s="239" t="str">
        <f t="shared" si="4"/>
        <v/>
      </c>
    </row>
    <row r="292" spans="6:6" x14ac:dyDescent="0.25">
      <c r="F292" s="239" t="str">
        <f t="shared" si="4"/>
        <v/>
      </c>
    </row>
    <row r="293" spans="6:6" x14ac:dyDescent="0.25">
      <c r="F293" s="239" t="str">
        <f t="shared" si="4"/>
        <v/>
      </c>
    </row>
    <row r="294" spans="6:6" x14ac:dyDescent="0.25">
      <c r="F294" s="239" t="str">
        <f t="shared" si="4"/>
        <v/>
      </c>
    </row>
    <row r="295" spans="6:6" x14ac:dyDescent="0.25">
      <c r="F295" s="239" t="str">
        <f t="shared" si="4"/>
        <v/>
      </c>
    </row>
    <row r="296" spans="6:6" x14ac:dyDescent="0.25">
      <c r="F296" s="239" t="str">
        <f t="shared" si="4"/>
        <v/>
      </c>
    </row>
    <row r="297" spans="6:6" x14ac:dyDescent="0.25">
      <c r="F297" s="239" t="str">
        <f t="shared" si="4"/>
        <v/>
      </c>
    </row>
    <row r="298" spans="6:6" x14ac:dyDescent="0.25">
      <c r="F298" s="239" t="str">
        <f t="shared" si="4"/>
        <v/>
      </c>
    </row>
    <row r="299" spans="6:6" x14ac:dyDescent="0.25">
      <c r="F299" s="239" t="str">
        <f t="shared" si="4"/>
        <v/>
      </c>
    </row>
    <row r="300" spans="6:6" x14ac:dyDescent="0.25">
      <c r="F300" s="239" t="str">
        <f t="shared" si="4"/>
        <v/>
      </c>
    </row>
    <row r="301" spans="6:6" x14ac:dyDescent="0.25">
      <c r="F301" s="239" t="str">
        <f t="shared" si="4"/>
        <v/>
      </c>
    </row>
    <row r="302" spans="6:6" x14ac:dyDescent="0.25">
      <c r="F302" s="239" t="str">
        <f t="shared" si="4"/>
        <v/>
      </c>
    </row>
    <row r="303" spans="6:6" x14ac:dyDescent="0.25">
      <c r="F303" s="239" t="str">
        <f t="shared" si="4"/>
        <v/>
      </c>
    </row>
    <row r="304" spans="6:6" x14ac:dyDescent="0.25">
      <c r="F304" s="239" t="str">
        <f t="shared" si="4"/>
        <v/>
      </c>
    </row>
    <row r="305" spans="6:6" x14ac:dyDescent="0.25">
      <c r="F305" s="239" t="str">
        <f t="shared" si="4"/>
        <v/>
      </c>
    </row>
    <row r="306" spans="6:6" x14ac:dyDescent="0.25">
      <c r="F306" s="239" t="str">
        <f t="shared" si="4"/>
        <v/>
      </c>
    </row>
    <row r="307" spans="6:6" x14ac:dyDescent="0.25">
      <c r="F307" s="239" t="str">
        <f t="shared" si="4"/>
        <v/>
      </c>
    </row>
    <row r="308" spans="6:6" x14ac:dyDescent="0.25">
      <c r="F308" s="239" t="str">
        <f t="shared" si="4"/>
        <v/>
      </c>
    </row>
    <row r="309" spans="6:6" x14ac:dyDescent="0.25">
      <c r="F309" s="239" t="str">
        <f t="shared" si="4"/>
        <v/>
      </c>
    </row>
    <row r="310" spans="6:6" x14ac:dyDescent="0.25">
      <c r="F310" s="239" t="str">
        <f t="shared" si="4"/>
        <v/>
      </c>
    </row>
    <row r="311" spans="6:6" x14ac:dyDescent="0.25">
      <c r="F311" s="239" t="str">
        <f t="shared" si="4"/>
        <v/>
      </c>
    </row>
    <row r="312" spans="6:6" x14ac:dyDescent="0.25">
      <c r="F312" s="239" t="str">
        <f t="shared" si="4"/>
        <v/>
      </c>
    </row>
    <row r="313" spans="6:6" x14ac:dyDescent="0.25">
      <c r="F313" s="239" t="str">
        <f t="shared" si="4"/>
        <v/>
      </c>
    </row>
    <row r="314" spans="6:6" x14ac:dyDescent="0.25">
      <c r="F314" s="239" t="str">
        <f t="shared" si="4"/>
        <v/>
      </c>
    </row>
    <row r="315" spans="6:6" x14ac:dyDescent="0.25">
      <c r="F315" s="239" t="str">
        <f t="shared" si="4"/>
        <v/>
      </c>
    </row>
    <row r="316" spans="6:6" x14ac:dyDescent="0.25">
      <c r="F316" s="239" t="str">
        <f t="shared" si="4"/>
        <v/>
      </c>
    </row>
    <row r="317" spans="6:6" x14ac:dyDescent="0.25">
      <c r="F317" s="239" t="str">
        <f t="shared" si="4"/>
        <v/>
      </c>
    </row>
    <row r="318" spans="6:6" x14ac:dyDescent="0.25">
      <c r="F318" s="239" t="str">
        <f t="shared" si="4"/>
        <v/>
      </c>
    </row>
    <row r="319" spans="6:6" x14ac:dyDescent="0.25">
      <c r="F319" s="239" t="str">
        <f t="shared" si="4"/>
        <v/>
      </c>
    </row>
    <row r="320" spans="6:6" x14ac:dyDescent="0.25">
      <c r="F320" s="239" t="str">
        <f t="shared" si="4"/>
        <v/>
      </c>
    </row>
    <row r="321" spans="6:6" x14ac:dyDescent="0.25">
      <c r="F321" s="239" t="str">
        <f t="shared" si="4"/>
        <v/>
      </c>
    </row>
    <row r="322" spans="6:6" x14ac:dyDescent="0.25">
      <c r="F322" s="239" t="str">
        <f t="shared" ref="F322:F385" si="5">IF(E322="","",IF((RIGHT(E322,8)-RIGHT(D322,8))&lt;0,-1*(RIGHT(E322,8)-RIGHT(D322,8)),RIGHT(E322,8)-RIGHT(D322,8)))</f>
        <v/>
      </c>
    </row>
    <row r="323" spans="6:6" x14ac:dyDescent="0.25">
      <c r="F323" s="239" t="str">
        <f t="shared" si="5"/>
        <v/>
      </c>
    </row>
    <row r="324" spans="6:6" x14ac:dyDescent="0.25">
      <c r="F324" s="239" t="str">
        <f t="shared" si="5"/>
        <v/>
      </c>
    </row>
    <row r="325" spans="6:6" x14ac:dyDescent="0.25">
      <c r="F325" s="239" t="str">
        <f t="shared" si="5"/>
        <v/>
      </c>
    </row>
    <row r="326" spans="6:6" x14ac:dyDescent="0.25">
      <c r="F326" s="239" t="str">
        <f t="shared" si="5"/>
        <v/>
      </c>
    </row>
    <row r="327" spans="6:6" x14ac:dyDescent="0.25">
      <c r="F327" s="239" t="str">
        <f t="shared" si="5"/>
        <v/>
      </c>
    </row>
    <row r="328" spans="6:6" x14ac:dyDescent="0.25">
      <c r="F328" s="239" t="str">
        <f t="shared" si="5"/>
        <v/>
      </c>
    </row>
    <row r="329" spans="6:6" x14ac:dyDescent="0.25">
      <c r="F329" s="239" t="str">
        <f t="shared" si="5"/>
        <v/>
      </c>
    </row>
    <row r="330" spans="6:6" x14ac:dyDescent="0.25">
      <c r="F330" s="239" t="str">
        <f t="shared" si="5"/>
        <v/>
      </c>
    </row>
    <row r="331" spans="6:6" x14ac:dyDescent="0.25">
      <c r="F331" s="239" t="str">
        <f t="shared" si="5"/>
        <v/>
      </c>
    </row>
    <row r="332" spans="6:6" x14ac:dyDescent="0.25">
      <c r="F332" s="239" t="str">
        <f t="shared" si="5"/>
        <v/>
      </c>
    </row>
    <row r="333" spans="6:6" x14ac:dyDescent="0.25">
      <c r="F333" s="239" t="str">
        <f t="shared" si="5"/>
        <v/>
      </c>
    </row>
    <row r="334" spans="6:6" x14ac:dyDescent="0.25">
      <c r="F334" s="239" t="str">
        <f t="shared" si="5"/>
        <v/>
      </c>
    </row>
    <row r="335" spans="6:6" x14ac:dyDescent="0.25">
      <c r="F335" s="239" t="str">
        <f t="shared" si="5"/>
        <v/>
      </c>
    </row>
    <row r="336" spans="6:6" x14ac:dyDescent="0.25">
      <c r="F336" s="239" t="str">
        <f t="shared" si="5"/>
        <v/>
      </c>
    </row>
    <row r="337" spans="6:6" x14ac:dyDescent="0.25">
      <c r="F337" s="239" t="str">
        <f t="shared" si="5"/>
        <v/>
      </c>
    </row>
    <row r="338" spans="6:6" x14ac:dyDescent="0.25">
      <c r="F338" s="239" t="str">
        <f t="shared" si="5"/>
        <v/>
      </c>
    </row>
    <row r="339" spans="6:6" x14ac:dyDescent="0.25">
      <c r="F339" s="239" t="str">
        <f t="shared" si="5"/>
        <v/>
      </c>
    </row>
    <row r="340" spans="6:6" x14ac:dyDescent="0.25">
      <c r="F340" s="239" t="str">
        <f t="shared" si="5"/>
        <v/>
      </c>
    </row>
    <row r="341" spans="6:6" x14ac:dyDescent="0.25">
      <c r="F341" s="239" t="str">
        <f t="shared" si="5"/>
        <v/>
      </c>
    </row>
    <row r="342" spans="6:6" x14ac:dyDescent="0.25">
      <c r="F342" s="239" t="str">
        <f t="shared" si="5"/>
        <v/>
      </c>
    </row>
    <row r="343" spans="6:6" x14ac:dyDescent="0.25">
      <c r="F343" s="239" t="str">
        <f t="shared" si="5"/>
        <v/>
      </c>
    </row>
    <row r="344" spans="6:6" x14ac:dyDescent="0.25">
      <c r="F344" s="239" t="str">
        <f t="shared" si="5"/>
        <v/>
      </c>
    </row>
    <row r="345" spans="6:6" x14ac:dyDescent="0.25">
      <c r="F345" s="239" t="str">
        <f t="shared" si="5"/>
        <v/>
      </c>
    </row>
    <row r="346" spans="6:6" x14ac:dyDescent="0.25">
      <c r="F346" s="239" t="str">
        <f t="shared" si="5"/>
        <v/>
      </c>
    </row>
    <row r="347" spans="6:6" x14ac:dyDescent="0.25">
      <c r="F347" s="239" t="str">
        <f t="shared" si="5"/>
        <v/>
      </c>
    </row>
    <row r="348" spans="6:6" x14ac:dyDescent="0.25">
      <c r="F348" s="239" t="str">
        <f t="shared" si="5"/>
        <v/>
      </c>
    </row>
    <row r="349" spans="6:6" x14ac:dyDescent="0.25">
      <c r="F349" s="239" t="str">
        <f t="shared" si="5"/>
        <v/>
      </c>
    </row>
    <row r="350" spans="6:6" x14ac:dyDescent="0.25">
      <c r="F350" s="239" t="str">
        <f t="shared" si="5"/>
        <v/>
      </c>
    </row>
    <row r="351" spans="6:6" x14ac:dyDescent="0.25">
      <c r="F351" s="239" t="str">
        <f t="shared" si="5"/>
        <v/>
      </c>
    </row>
    <row r="352" spans="6:6" x14ac:dyDescent="0.25">
      <c r="F352" s="239" t="str">
        <f t="shared" si="5"/>
        <v/>
      </c>
    </row>
    <row r="353" spans="6:6" x14ac:dyDescent="0.25">
      <c r="F353" s="239" t="str">
        <f t="shared" si="5"/>
        <v/>
      </c>
    </row>
    <row r="354" spans="6:6" x14ac:dyDescent="0.25">
      <c r="F354" s="239" t="str">
        <f t="shared" si="5"/>
        <v/>
      </c>
    </row>
    <row r="355" spans="6:6" x14ac:dyDescent="0.25">
      <c r="F355" s="239" t="str">
        <f t="shared" si="5"/>
        <v/>
      </c>
    </row>
    <row r="356" spans="6:6" x14ac:dyDescent="0.25">
      <c r="F356" s="239" t="str">
        <f t="shared" si="5"/>
        <v/>
      </c>
    </row>
    <row r="357" spans="6:6" x14ac:dyDescent="0.25">
      <c r="F357" s="239" t="str">
        <f t="shared" si="5"/>
        <v/>
      </c>
    </row>
    <row r="358" spans="6:6" x14ac:dyDescent="0.25">
      <c r="F358" s="239" t="str">
        <f t="shared" si="5"/>
        <v/>
      </c>
    </row>
    <row r="359" spans="6:6" x14ac:dyDescent="0.25">
      <c r="F359" s="239" t="str">
        <f t="shared" si="5"/>
        <v/>
      </c>
    </row>
    <row r="360" spans="6:6" x14ac:dyDescent="0.25">
      <c r="F360" s="239" t="str">
        <f t="shared" si="5"/>
        <v/>
      </c>
    </row>
    <row r="361" spans="6:6" x14ac:dyDescent="0.25">
      <c r="F361" s="239" t="str">
        <f t="shared" si="5"/>
        <v/>
      </c>
    </row>
    <row r="362" spans="6:6" x14ac:dyDescent="0.25">
      <c r="F362" s="239" t="str">
        <f t="shared" si="5"/>
        <v/>
      </c>
    </row>
    <row r="363" spans="6:6" x14ac:dyDescent="0.25">
      <c r="F363" s="239" t="str">
        <f t="shared" si="5"/>
        <v/>
      </c>
    </row>
    <row r="364" spans="6:6" x14ac:dyDescent="0.25">
      <c r="F364" s="239" t="str">
        <f t="shared" si="5"/>
        <v/>
      </c>
    </row>
    <row r="365" spans="6:6" x14ac:dyDescent="0.25">
      <c r="F365" s="239" t="str">
        <f t="shared" si="5"/>
        <v/>
      </c>
    </row>
    <row r="366" spans="6:6" x14ac:dyDescent="0.25">
      <c r="F366" s="239" t="str">
        <f t="shared" si="5"/>
        <v/>
      </c>
    </row>
    <row r="367" spans="6:6" x14ac:dyDescent="0.25">
      <c r="F367" s="239" t="str">
        <f t="shared" si="5"/>
        <v/>
      </c>
    </row>
    <row r="368" spans="6:6" x14ac:dyDescent="0.25">
      <c r="F368" s="239" t="str">
        <f t="shared" si="5"/>
        <v/>
      </c>
    </row>
    <row r="369" spans="6:6" x14ac:dyDescent="0.25">
      <c r="F369" s="239" t="str">
        <f t="shared" si="5"/>
        <v/>
      </c>
    </row>
    <row r="370" spans="6:6" x14ac:dyDescent="0.25">
      <c r="F370" s="239" t="str">
        <f t="shared" si="5"/>
        <v/>
      </c>
    </row>
    <row r="371" spans="6:6" x14ac:dyDescent="0.25">
      <c r="F371" s="239" t="str">
        <f t="shared" si="5"/>
        <v/>
      </c>
    </row>
    <row r="372" spans="6:6" x14ac:dyDescent="0.25">
      <c r="F372" s="239" t="str">
        <f t="shared" si="5"/>
        <v/>
      </c>
    </row>
    <row r="373" spans="6:6" x14ac:dyDescent="0.25">
      <c r="F373" s="239" t="str">
        <f t="shared" si="5"/>
        <v/>
      </c>
    </row>
    <row r="374" spans="6:6" x14ac:dyDescent="0.25">
      <c r="F374" s="239" t="str">
        <f t="shared" si="5"/>
        <v/>
      </c>
    </row>
    <row r="375" spans="6:6" x14ac:dyDescent="0.25">
      <c r="F375" s="239" t="str">
        <f t="shared" si="5"/>
        <v/>
      </c>
    </row>
    <row r="376" spans="6:6" x14ac:dyDescent="0.25">
      <c r="F376" s="239" t="str">
        <f t="shared" si="5"/>
        <v/>
      </c>
    </row>
    <row r="377" spans="6:6" x14ac:dyDescent="0.25">
      <c r="F377" s="239" t="str">
        <f t="shared" si="5"/>
        <v/>
      </c>
    </row>
    <row r="378" spans="6:6" x14ac:dyDescent="0.25">
      <c r="F378" s="239" t="str">
        <f t="shared" si="5"/>
        <v/>
      </c>
    </row>
    <row r="379" spans="6:6" x14ac:dyDescent="0.25">
      <c r="F379" s="239" t="str">
        <f t="shared" si="5"/>
        <v/>
      </c>
    </row>
    <row r="380" spans="6:6" x14ac:dyDescent="0.25">
      <c r="F380" s="239" t="str">
        <f t="shared" si="5"/>
        <v/>
      </c>
    </row>
    <row r="381" spans="6:6" x14ac:dyDescent="0.25">
      <c r="F381" s="239" t="str">
        <f t="shared" si="5"/>
        <v/>
      </c>
    </row>
    <row r="382" spans="6:6" x14ac:dyDescent="0.25">
      <c r="F382" s="239" t="str">
        <f t="shared" si="5"/>
        <v/>
      </c>
    </row>
    <row r="383" spans="6:6" x14ac:dyDescent="0.25">
      <c r="F383" s="239" t="str">
        <f t="shared" si="5"/>
        <v/>
      </c>
    </row>
    <row r="384" spans="6:6" x14ac:dyDescent="0.25">
      <c r="F384" s="239" t="str">
        <f t="shared" si="5"/>
        <v/>
      </c>
    </row>
    <row r="385" spans="6:6" x14ac:dyDescent="0.25">
      <c r="F385" s="239" t="str">
        <f t="shared" si="5"/>
        <v/>
      </c>
    </row>
    <row r="386" spans="6:6" x14ac:dyDescent="0.25">
      <c r="F386" s="239" t="str">
        <f t="shared" ref="F386:F449" si="6">IF(E386="","",IF((RIGHT(E386,8)-RIGHT(D386,8))&lt;0,-1*(RIGHT(E386,8)-RIGHT(D386,8)),RIGHT(E386,8)-RIGHT(D386,8)))</f>
        <v/>
      </c>
    </row>
    <row r="387" spans="6:6" x14ac:dyDescent="0.25">
      <c r="F387" s="239" t="str">
        <f t="shared" si="6"/>
        <v/>
      </c>
    </row>
    <row r="388" spans="6:6" x14ac:dyDescent="0.25">
      <c r="F388" s="239" t="str">
        <f t="shared" si="6"/>
        <v/>
      </c>
    </row>
    <row r="389" spans="6:6" x14ac:dyDescent="0.25">
      <c r="F389" s="239" t="str">
        <f t="shared" si="6"/>
        <v/>
      </c>
    </row>
    <row r="390" spans="6:6" x14ac:dyDescent="0.25">
      <c r="F390" s="239" t="str">
        <f t="shared" si="6"/>
        <v/>
      </c>
    </row>
    <row r="391" spans="6:6" x14ac:dyDescent="0.25">
      <c r="F391" s="239" t="str">
        <f t="shared" si="6"/>
        <v/>
      </c>
    </row>
    <row r="392" spans="6:6" x14ac:dyDescent="0.25">
      <c r="F392" s="239" t="str">
        <f t="shared" si="6"/>
        <v/>
      </c>
    </row>
    <row r="393" spans="6:6" x14ac:dyDescent="0.25">
      <c r="F393" s="239" t="str">
        <f t="shared" si="6"/>
        <v/>
      </c>
    </row>
    <row r="394" spans="6:6" x14ac:dyDescent="0.25">
      <c r="F394" s="239" t="str">
        <f t="shared" si="6"/>
        <v/>
      </c>
    </row>
    <row r="395" spans="6:6" x14ac:dyDescent="0.25">
      <c r="F395" s="239" t="str">
        <f t="shared" si="6"/>
        <v/>
      </c>
    </row>
    <row r="396" spans="6:6" x14ac:dyDescent="0.25">
      <c r="F396" s="239" t="str">
        <f t="shared" si="6"/>
        <v/>
      </c>
    </row>
    <row r="397" spans="6:6" x14ac:dyDescent="0.25">
      <c r="F397" s="239" t="str">
        <f t="shared" si="6"/>
        <v/>
      </c>
    </row>
    <row r="398" spans="6:6" x14ac:dyDescent="0.25">
      <c r="F398" s="239" t="str">
        <f t="shared" si="6"/>
        <v/>
      </c>
    </row>
    <row r="399" spans="6:6" x14ac:dyDescent="0.25">
      <c r="F399" s="239" t="str">
        <f t="shared" si="6"/>
        <v/>
      </c>
    </row>
    <row r="400" spans="6:6" x14ac:dyDescent="0.25">
      <c r="F400" s="239" t="str">
        <f t="shared" si="6"/>
        <v/>
      </c>
    </row>
    <row r="401" spans="6:6" x14ac:dyDescent="0.25">
      <c r="F401" s="239" t="str">
        <f t="shared" si="6"/>
        <v/>
      </c>
    </row>
    <row r="402" spans="6:6" x14ac:dyDescent="0.25">
      <c r="F402" s="239" t="str">
        <f t="shared" si="6"/>
        <v/>
      </c>
    </row>
    <row r="403" spans="6:6" x14ac:dyDescent="0.25">
      <c r="F403" s="239" t="str">
        <f t="shared" si="6"/>
        <v/>
      </c>
    </row>
    <row r="404" spans="6:6" x14ac:dyDescent="0.25">
      <c r="F404" s="239" t="str">
        <f t="shared" si="6"/>
        <v/>
      </c>
    </row>
    <row r="405" spans="6:6" x14ac:dyDescent="0.25">
      <c r="F405" s="239" t="str">
        <f t="shared" si="6"/>
        <v/>
      </c>
    </row>
    <row r="406" spans="6:6" x14ac:dyDescent="0.25">
      <c r="F406" s="239" t="str">
        <f t="shared" si="6"/>
        <v/>
      </c>
    </row>
    <row r="407" spans="6:6" x14ac:dyDescent="0.25">
      <c r="F407" s="239" t="str">
        <f t="shared" si="6"/>
        <v/>
      </c>
    </row>
    <row r="408" spans="6:6" x14ac:dyDescent="0.25">
      <c r="F408" s="239" t="str">
        <f t="shared" si="6"/>
        <v/>
      </c>
    </row>
    <row r="409" spans="6:6" x14ac:dyDescent="0.25">
      <c r="F409" s="239" t="str">
        <f t="shared" si="6"/>
        <v/>
      </c>
    </row>
    <row r="410" spans="6:6" x14ac:dyDescent="0.25">
      <c r="F410" s="239" t="str">
        <f t="shared" si="6"/>
        <v/>
      </c>
    </row>
    <row r="411" spans="6:6" x14ac:dyDescent="0.25">
      <c r="F411" s="239" t="str">
        <f t="shared" si="6"/>
        <v/>
      </c>
    </row>
    <row r="412" spans="6:6" x14ac:dyDescent="0.25">
      <c r="F412" s="239" t="str">
        <f t="shared" si="6"/>
        <v/>
      </c>
    </row>
    <row r="413" spans="6:6" x14ac:dyDescent="0.25">
      <c r="F413" s="239" t="str">
        <f t="shared" si="6"/>
        <v/>
      </c>
    </row>
    <row r="414" spans="6:6" x14ac:dyDescent="0.25">
      <c r="F414" s="239" t="str">
        <f t="shared" si="6"/>
        <v/>
      </c>
    </row>
    <row r="415" spans="6:6" x14ac:dyDescent="0.25">
      <c r="F415" s="239" t="str">
        <f t="shared" si="6"/>
        <v/>
      </c>
    </row>
    <row r="416" spans="6:6" x14ac:dyDescent="0.25">
      <c r="F416" s="239" t="str">
        <f t="shared" si="6"/>
        <v/>
      </c>
    </row>
    <row r="417" spans="6:6" x14ac:dyDescent="0.25">
      <c r="F417" s="239" t="str">
        <f t="shared" si="6"/>
        <v/>
      </c>
    </row>
    <row r="418" spans="6:6" x14ac:dyDescent="0.25">
      <c r="F418" s="239" t="str">
        <f t="shared" si="6"/>
        <v/>
      </c>
    </row>
    <row r="419" spans="6:6" x14ac:dyDescent="0.25">
      <c r="F419" s="239" t="str">
        <f t="shared" si="6"/>
        <v/>
      </c>
    </row>
    <row r="420" spans="6:6" x14ac:dyDescent="0.25">
      <c r="F420" s="239" t="str">
        <f t="shared" si="6"/>
        <v/>
      </c>
    </row>
    <row r="421" spans="6:6" x14ac:dyDescent="0.25">
      <c r="F421" s="239" t="str">
        <f t="shared" si="6"/>
        <v/>
      </c>
    </row>
    <row r="422" spans="6:6" x14ac:dyDescent="0.25">
      <c r="F422" s="239" t="str">
        <f t="shared" si="6"/>
        <v/>
      </c>
    </row>
    <row r="423" spans="6:6" x14ac:dyDescent="0.25">
      <c r="F423" s="239" t="str">
        <f t="shared" si="6"/>
        <v/>
      </c>
    </row>
    <row r="424" spans="6:6" x14ac:dyDescent="0.25">
      <c r="F424" s="239" t="str">
        <f t="shared" si="6"/>
        <v/>
      </c>
    </row>
    <row r="425" spans="6:6" x14ac:dyDescent="0.25">
      <c r="F425" s="239" t="str">
        <f t="shared" si="6"/>
        <v/>
      </c>
    </row>
    <row r="426" spans="6:6" x14ac:dyDescent="0.25">
      <c r="F426" s="239" t="str">
        <f t="shared" si="6"/>
        <v/>
      </c>
    </row>
    <row r="427" spans="6:6" x14ac:dyDescent="0.25">
      <c r="F427" s="239" t="str">
        <f t="shared" si="6"/>
        <v/>
      </c>
    </row>
    <row r="428" spans="6:6" x14ac:dyDescent="0.25">
      <c r="F428" s="239" t="str">
        <f t="shared" si="6"/>
        <v/>
      </c>
    </row>
    <row r="429" spans="6:6" x14ac:dyDescent="0.25">
      <c r="F429" s="239" t="str">
        <f t="shared" si="6"/>
        <v/>
      </c>
    </row>
    <row r="430" spans="6:6" x14ac:dyDescent="0.25">
      <c r="F430" s="239" t="str">
        <f t="shared" si="6"/>
        <v/>
      </c>
    </row>
    <row r="431" spans="6:6" x14ac:dyDescent="0.25">
      <c r="F431" s="239" t="str">
        <f t="shared" si="6"/>
        <v/>
      </c>
    </row>
    <row r="432" spans="6:6" x14ac:dyDescent="0.25">
      <c r="F432" s="239" t="str">
        <f t="shared" si="6"/>
        <v/>
      </c>
    </row>
    <row r="433" spans="6:6" x14ac:dyDescent="0.25">
      <c r="F433" s="239" t="str">
        <f t="shared" si="6"/>
        <v/>
      </c>
    </row>
    <row r="434" spans="6:6" x14ac:dyDescent="0.25">
      <c r="F434" s="239" t="str">
        <f t="shared" si="6"/>
        <v/>
      </c>
    </row>
    <row r="435" spans="6:6" x14ac:dyDescent="0.25">
      <c r="F435" s="239" t="str">
        <f t="shared" si="6"/>
        <v/>
      </c>
    </row>
    <row r="436" spans="6:6" x14ac:dyDescent="0.25">
      <c r="F436" s="239" t="str">
        <f t="shared" si="6"/>
        <v/>
      </c>
    </row>
    <row r="437" spans="6:6" x14ac:dyDescent="0.25">
      <c r="F437" s="239" t="str">
        <f t="shared" si="6"/>
        <v/>
      </c>
    </row>
    <row r="438" spans="6:6" x14ac:dyDescent="0.25">
      <c r="F438" s="239" t="str">
        <f t="shared" si="6"/>
        <v/>
      </c>
    </row>
    <row r="439" spans="6:6" x14ac:dyDescent="0.25">
      <c r="F439" s="239" t="str">
        <f t="shared" si="6"/>
        <v/>
      </c>
    </row>
    <row r="440" spans="6:6" x14ac:dyDescent="0.25">
      <c r="F440" s="239" t="str">
        <f t="shared" si="6"/>
        <v/>
      </c>
    </row>
    <row r="441" spans="6:6" x14ac:dyDescent="0.25">
      <c r="F441" s="239" t="str">
        <f t="shared" si="6"/>
        <v/>
      </c>
    </row>
    <row r="442" spans="6:6" x14ac:dyDescent="0.25">
      <c r="F442" s="239" t="str">
        <f t="shared" si="6"/>
        <v/>
      </c>
    </row>
    <row r="443" spans="6:6" x14ac:dyDescent="0.25">
      <c r="F443" s="239" t="str">
        <f t="shared" si="6"/>
        <v/>
      </c>
    </row>
    <row r="444" spans="6:6" x14ac:dyDescent="0.25">
      <c r="F444" s="239" t="str">
        <f t="shared" si="6"/>
        <v/>
      </c>
    </row>
    <row r="445" spans="6:6" x14ac:dyDescent="0.25">
      <c r="F445" s="239" t="str">
        <f t="shared" si="6"/>
        <v/>
      </c>
    </row>
    <row r="446" spans="6:6" x14ac:dyDescent="0.25">
      <c r="F446" s="239" t="str">
        <f t="shared" si="6"/>
        <v/>
      </c>
    </row>
    <row r="447" spans="6:6" x14ac:dyDescent="0.25">
      <c r="F447" s="239" t="str">
        <f t="shared" si="6"/>
        <v/>
      </c>
    </row>
    <row r="448" spans="6:6" x14ac:dyDescent="0.25">
      <c r="F448" s="239" t="str">
        <f t="shared" si="6"/>
        <v/>
      </c>
    </row>
    <row r="449" spans="6:6" x14ac:dyDescent="0.25">
      <c r="F449" s="239" t="str">
        <f t="shared" si="6"/>
        <v/>
      </c>
    </row>
    <row r="450" spans="6:6" x14ac:dyDescent="0.25">
      <c r="F450" s="239" t="str">
        <f t="shared" ref="F450:F513" si="7">IF(E450="","",IF((RIGHT(E450,8)-RIGHT(D450,8))&lt;0,-1*(RIGHT(E450,8)-RIGHT(D450,8)),RIGHT(E450,8)-RIGHT(D450,8)))</f>
        <v/>
      </c>
    </row>
    <row r="451" spans="6:6" x14ac:dyDescent="0.25">
      <c r="F451" s="239" t="str">
        <f t="shared" si="7"/>
        <v/>
      </c>
    </row>
    <row r="452" spans="6:6" x14ac:dyDescent="0.25">
      <c r="F452" s="239" t="str">
        <f t="shared" si="7"/>
        <v/>
      </c>
    </row>
    <row r="453" spans="6:6" x14ac:dyDescent="0.25">
      <c r="F453" s="239" t="str">
        <f t="shared" si="7"/>
        <v/>
      </c>
    </row>
    <row r="454" spans="6:6" x14ac:dyDescent="0.25">
      <c r="F454" s="239" t="str">
        <f t="shared" si="7"/>
        <v/>
      </c>
    </row>
    <row r="455" spans="6:6" x14ac:dyDescent="0.25">
      <c r="F455" s="239" t="str">
        <f t="shared" si="7"/>
        <v/>
      </c>
    </row>
    <row r="456" spans="6:6" x14ac:dyDescent="0.25">
      <c r="F456" s="239" t="str">
        <f t="shared" si="7"/>
        <v/>
      </c>
    </row>
    <row r="457" spans="6:6" x14ac:dyDescent="0.25">
      <c r="F457" s="239" t="str">
        <f t="shared" si="7"/>
        <v/>
      </c>
    </row>
    <row r="458" spans="6:6" x14ac:dyDescent="0.25">
      <c r="F458" s="239" t="str">
        <f t="shared" si="7"/>
        <v/>
      </c>
    </row>
    <row r="459" spans="6:6" x14ac:dyDescent="0.25">
      <c r="F459" s="239" t="str">
        <f t="shared" si="7"/>
        <v/>
      </c>
    </row>
    <row r="460" spans="6:6" x14ac:dyDescent="0.25">
      <c r="F460" s="239" t="str">
        <f t="shared" si="7"/>
        <v/>
      </c>
    </row>
    <row r="461" spans="6:6" x14ac:dyDescent="0.25">
      <c r="F461" s="239" t="str">
        <f t="shared" si="7"/>
        <v/>
      </c>
    </row>
    <row r="462" spans="6:6" x14ac:dyDescent="0.25">
      <c r="F462" s="239" t="str">
        <f t="shared" si="7"/>
        <v/>
      </c>
    </row>
    <row r="463" spans="6:6" x14ac:dyDescent="0.25">
      <c r="F463" s="239" t="str">
        <f t="shared" si="7"/>
        <v/>
      </c>
    </row>
    <row r="464" spans="6:6" x14ac:dyDescent="0.25">
      <c r="F464" s="239" t="str">
        <f t="shared" si="7"/>
        <v/>
      </c>
    </row>
    <row r="465" spans="6:6" x14ac:dyDescent="0.25">
      <c r="F465" s="239" t="str">
        <f t="shared" si="7"/>
        <v/>
      </c>
    </row>
    <row r="466" spans="6:6" x14ac:dyDescent="0.25">
      <c r="F466" s="239" t="str">
        <f t="shared" si="7"/>
        <v/>
      </c>
    </row>
    <row r="467" spans="6:6" x14ac:dyDescent="0.25">
      <c r="F467" s="239" t="str">
        <f t="shared" si="7"/>
        <v/>
      </c>
    </row>
    <row r="468" spans="6:6" x14ac:dyDescent="0.25">
      <c r="F468" s="239" t="str">
        <f t="shared" si="7"/>
        <v/>
      </c>
    </row>
    <row r="469" spans="6:6" x14ac:dyDescent="0.25">
      <c r="F469" s="239" t="str">
        <f t="shared" si="7"/>
        <v/>
      </c>
    </row>
    <row r="470" spans="6:6" x14ac:dyDescent="0.25">
      <c r="F470" s="239" t="str">
        <f t="shared" si="7"/>
        <v/>
      </c>
    </row>
    <row r="471" spans="6:6" x14ac:dyDescent="0.25">
      <c r="F471" s="239" t="str">
        <f t="shared" si="7"/>
        <v/>
      </c>
    </row>
    <row r="472" spans="6:6" x14ac:dyDescent="0.25">
      <c r="F472" s="239" t="str">
        <f t="shared" si="7"/>
        <v/>
      </c>
    </row>
    <row r="473" spans="6:6" x14ac:dyDescent="0.25">
      <c r="F473" s="239" t="str">
        <f t="shared" si="7"/>
        <v/>
      </c>
    </row>
    <row r="474" spans="6:6" x14ac:dyDescent="0.25">
      <c r="F474" s="239" t="str">
        <f t="shared" si="7"/>
        <v/>
      </c>
    </row>
    <row r="475" spans="6:6" x14ac:dyDescent="0.25">
      <c r="F475" s="239" t="str">
        <f t="shared" si="7"/>
        <v/>
      </c>
    </row>
    <row r="476" spans="6:6" x14ac:dyDescent="0.25">
      <c r="F476" s="239" t="str">
        <f t="shared" si="7"/>
        <v/>
      </c>
    </row>
    <row r="477" spans="6:6" x14ac:dyDescent="0.25">
      <c r="F477" s="239" t="str">
        <f t="shared" si="7"/>
        <v/>
      </c>
    </row>
    <row r="478" spans="6:6" x14ac:dyDescent="0.25">
      <c r="F478" s="239" t="str">
        <f t="shared" si="7"/>
        <v/>
      </c>
    </row>
    <row r="479" spans="6:6" x14ac:dyDescent="0.25">
      <c r="F479" s="239" t="str">
        <f t="shared" si="7"/>
        <v/>
      </c>
    </row>
    <row r="480" spans="6:6" x14ac:dyDescent="0.25">
      <c r="F480" s="239" t="str">
        <f t="shared" si="7"/>
        <v/>
      </c>
    </row>
    <row r="481" spans="6:6" x14ac:dyDescent="0.25">
      <c r="F481" s="239" t="str">
        <f t="shared" si="7"/>
        <v/>
      </c>
    </row>
    <row r="482" spans="6:6" x14ac:dyDescent="0.25">
      <c r="F482" s="239" t="str">
        <f t="shared" si="7"/>
        <v/>
      </c>
    </row>
    <row r="483" spans="6:6" x14ac:dyDescent="0.25">
      <c r="F483" s="239" t="str">
        <f t="shared" si="7"/>
        <v/>
      </c>
    </row>
    <row r="484" spans="6:6" x14ac:dyDescent="0.25">
      <c r="F484" s="239" t="str">
        <f t="shared" si="7"/>
        <v/>
      </c>
    </row>
    <row r="485" spans="6:6" x14ac:dyDescent="0.25">
      <c r="F485" s="239" t="str">
        <f t="shared" si="7"/>
        <v/>
      </c>
    </row>
    <row r="486" spans="6:6" x14ac:dyDescent="0.25">
      <c r="F486" s="239" t="str">
        <f t="shared" si="7"/>
        <v/>
      </c>
    </row>
    <row r="487" spans="6:6" x14ac:dyDescent="0.25">
      <c r="F487" s="239" t="str">
        <f t="shared" si="7"/>
        <v/>
      </c>
    </row>
    <row r="488" spans="6:6" x14ac:dyDescent="0.25">
      <c r="F488" s="239" t="str">
        <f t="shared" si="7"/>
        <v/>
      </c>
    </row>
    <row r="489" spans="6:6" x14ac:dyDescent="0.25">
      <c r="F489" s="239" t="str">
        <f t="shared" si="7"/>
        <v/>
      </c>
    </row>
    <row r="490" spans="6:6" x14ac:dyDescent="0.25">
      <c r="F490" s="239" t="str">
        <f t="shared" si="7"/>
        <v/>
      </c>
    </row>
    <row r="491" spans="6:6" x14ac:dyDescent="0.25">
      <c r="F491" s="239" t="str">
        <f t="shared" si="7"/>
        <v/>
      </c>
    </row>
    <row r="492" spans="6:6" x14ac:dyDescent="0.25">
      <c r="F492" s="239" t="str">
        <f t="shared" si="7"/>
        <v/>
      </c>
    </row>
    <row r="493" spans="6:6" x14ac:dyDescent="0.25">
      <c r="F493" s="239" t="str">
        <f t="shared" si="7"/>
        <v/>
      </c>
    </row>
    <row r="494" spans="6:6" x14ac:dyDescent="0.25">
      <c r="F494" s="239" t="str">
        <f t="shared" si="7"/>
        <v/>
      </c>
    </row>
    <row r="495" spans="6:6" x14ac:dyDescent="0.25">
      <c r="F495" s="239" t="str">
        <f t="shared" si="7"/>
        <v/>
      </c>
    </row>
    <row r="496" spans="6:6" x14ac:dyDescent="0.25">
      <c r="F496" s="239" t="str">
        <f t="shared" si="7"/>
        <v/>
      </c>
    </row>
    <row r="497" spans="6:6" x14ac:dyDescent="0.25">
      <c r="F497" s="239" t="str">
        <f t="shared" si="7"/>
        <v/>
      </c>
    </row>
    <row r="498" spans="6:6" x14ac:dyDescent="0.25">
      <c r="F498" s="239" t="str">
        <f t="shared" si="7"/>
        <v/>
      </c>
    </row>
    <row r="499" spans="6:6" x14ac:dyDescent="0.25">
      <c r="F499" s="239" t="str">
        <f t="shared" si="7"/>
        <v/>
      </c>
    </row>
    <row r="500" spans="6:6" x14ac:dyDescent="0.25">
      <c r="F500" s="239" t="str">
        <f t="shared" si="7"/>
        <v/>
      </c>
    </row>
    <row r="501" spans="6:6" x14ac:dyDescent="0.25">
      <c r="F501" s="239" t="str">
        <f t="shared" si="7"/>
        <v/>
      </c>
    </row>
    <row r="502" spans="6:6" x14ac:dyDescent="0.25">
      <c r="F502" s="239" t="str">
        <f t="shared" si="7"/>
        <v/>
      </c>
    </row>
    <row r="503" spans="6:6" x14ac:dyDescent="0.25">
      <c r="F503" s="239" t="str">
        <f t="shared" si="7"/>
        <v/>
      </c>
    </row>
    <row r="504" spans="6:6" x14ac:dyDescent="0.25">
      <c r="F504" s="239" t="str">
        <f t="shared" si="7"/>
        <v/>
      </c>
    </row>
    <row r="505" spans="6:6" x14ac:dyDescent="0.25">
      <c r="F505" s="239" t="str">
        <f t="shared" si="7"/>
        <v/>
      </c>
    </row>
    <row r="506" spans="6:6" x14ac:dyDescent="0.25">
      <c r="F506" s="239" t="str">
        <f t="shared" si="7"/>
        <v/>
      </c>
    </row>
    <row r="507" spans="6:6" x14ac:dyDescent="0.25">
      <c r="F507" s="239" t="str">
        <f t="shared" si="7"/>
        <v/>
      </c>
    </row>
    <row r="508" spans="6:6" x14ac:dyDescent="0.25">
      <c r="F508" s="239" t="str">
        <f t="shared" si="7"/>
        <v/>
      </c>
    </row>
    <row r="509" spans="6:6" x14ac:dyDescent="0.25">
      <c r="F509" s="239" t="str">
        <f t="shared" si="7"/>
        <v/>
      </c>
    </row>
    <row r="510" spans="6:6" x14ac:dyDescent="0.25">
      <c r="F510" s="239" t="str">
        <f t="shared" si="7"/>
        <v/>
      </c>
    </row>
    <row r="511" spans="6:6" x14ac:dyDescent="0.25">
      <c r="F511" s="239" t="str">
        <f t="shared" si="7"/>
        <v/>
      </c>
    </row>
    <row r="512" spans="6:6" x14ac:dyDescent="0.25">
      <c r="F512" s="239" t="str">
        <f t="shared" si="7"/>
        <v/>
      </c>
    </row>
    <row r="513" spans="6:6" x14ac:dyDescent="0.25">
      <c r="F513" s="239" t="str">
        <f t="shared" si="7"/>
        <v/>
      </c>
    </row>
    <row r="514" spans="6:6" x14ac:dyDescent="0.25">
      <c r="F514" s="239" t="str">
        <f t="shared" ref="F514:F577" si="8">IF(E514="","",IF((RIGHT(E514,8)-RIGHT(D514,8))&lt;0,-1*(RIGHT(E514,8)-RIGHT(D514,8)),RIGHT(E514,8)-RIGHT(D514,8)))</f>
        <v/>
      </c>
    </row>
    <row r="515" spans="6:6" x14ac:dyDescent="0.25">
      <c r="F515" s="239" t="str">
        <f t="shared" si="8"/>
        <v/>
      </c>
    </row>
    <row r="516" spans="6:6" x14ac:dyDescent="0.25">
      <c r="F516" s="239" t="str">
        <f t="shared" si="8"/>
        <v/>
      </c>
    </row>
    <row r="517" spans="6:6" x14ac:dyDescent="0.25">
      <c r="F517" s="239" t="str">
        <f t="shared" si="8"/>
        <v/>
      </c>
    </row>
    <row r="518" spans="6:6" x14ac:dyDescent="0.25">
      <c r="F518" s="239" t="str">
        <f t="shared" si="8"/>
        <v/>
      </c>
    </row>
    <row r="519" spans="6:6" x14ac:dyDescent="0.25">
      <c r="F519" s="239" t="str">
        <f t="shared" si="8"/>
        <v/>
      </c>
    </row>
    <row r="520" spans="6:6" x14ac:dyDescent="0.25">
      <c r="F520" s="239" t="str">
        <f t="shared" si="8"/>
        <v/>
      </c>
    </row>
    <row r="521" spans="6:6" x14ac:dyDescent="0.25">
      <c r="F521" s="239" t="str">
        <f t="shared" si="8"/>
        <v/>
      </c>
    </row>
    <row r="522" spans="6:6" x14ac:dyDescent="0.25">
      <c r="F522" s="239" t="str">
        <f t="shared" si="8"/>
        <v/>
      </c>
    </row>
    <row r="523" spans="6:6" x14ac:dyDescent="0.25">
      <c r="F523" s="239" t="str">
        <f t="shared" si="8"/>
        <v/>
      </c>
    </row>
    <row r="524" spans="6:6" x14ac:dyDescent="0.25">
      <c r="F524" s="239" t="str">
        <f t="shared" si="8"/>
        <v/>
      </c>
    </row>
    <row r="525" spans="6:6" x14ac:dyDescent="0.25">
      <c r="F525" s="239" t="str">
        <f t="shared" si="8"/>
        <v/>
      </c>
    </row>
    <row r="526" spans="6:6" x14ac:dyDescent="0.25">
      <c r="F526" s="239" t="str">
        <f t="shared" si="8"/>
        <v/>
      </c>
    </row>
    <row r="527" spans="6:6" x14ac:dyDescent="0.25">
      <c r="F527" s="239" t="str">
        <f t="shared" si="8"/>
        <v/>
      </c>
    </row>
    <row r="528" spans="6:6" x14ac:dyDescent="0.25">
      <c r="F528" s="239" t="str">
        <f t="shared" si="8"/>
        <v/>
      </c>
    </row>
    <row r="529" spans="6:6" x14ac:dyDescent="0.25">
      <c r="F529" s="239" t="str">
        <f t="shared" si="8"/>
        <v/>
      </c>
    </row>
    <row r="530" spans="6:6" x14ac:dyDescent="0.25">
      <c r="F530" s="239" t="str">
        <f t="shared" si="8"/>
        <v/>
      </c>
    </row>
    <row r="531" spans="6:6" x14ac:dyDescent="0.25">
      <c r="F531" s="239" t="str">
        <f t="shared" si="8"/>
        <v/>
      </c>
    </row>
    <row r="532" spans="6:6" x14ac:dyDescent="0.25">
      <c r="F532" s="239" t="str">
        <f t="shared" si="8"/>
        <v/>
      </c>
    </row>
    <row r="533" spans="6:6" x14ac:dyDescent="0.25">
      <c r="F533" s="239" t="str">
        <f t="shared" si="8"/>
        <v/>
      </c>
    </row>
    <row r="534" spans="6:6" x14ac:dyDescent="0.25">
      <c r="F534" s="239" t="str">
        <f t="shared" si="8"/>
        <v/>
      </c>
    </row>
    <row r="535" spans="6:6" x14ac:dyDescent="0.25">
      <c r="F535" s="239" t="str">
        <f t="shared" si="8"/>
        <v/>
      </c>
    </row>
    <row r="536" spans="6:6" x14ac:dyDescent="0.25">
      <c r="F536" s="239" t="str">
        <f t="shared" si="8"/>
        <v/>
      </c>
    </row>
    <row r="537" spans="6:6" x14ac:dyDescent="0.25">
      <c r="F537" s="239" t="str">
        <f t="shared" si="8"/>
        <v/>
      </c>
    </row>
    <row r="538" spans="6:6" x14ac:dyDescent="0.25">
      <c r="F538" s="239" t="str">
        <f t="shared" si="8"/>
        <v/>
      </c>
    </row>
    <row r="539" spans="6:6" x14ac:dyDescent="0.25">
      <c r="F539" s="239" t="str">
        <f t="shared" si="8"/>
        <v/>
      </c>
    </row>
    <row r="540" spans="6:6" x14ac:dyDescent="0.25">
      <c r="F540" s="239" t="str">
        <f t="shared" si="8"/>
        <v/>
      </c>
    </row>
    <row r="541" spans="6:6" x14ac:dyDescent="0.25">
      <c r="F541" s="239" t="str">
        <f t="shared" si="8"/>
        <v/>
      </c>
    </row>
    <row r="542" spans="6:6" x14ac:dyDescent="0.25">
      <c r="F542" s="239" t="str">
        <f t="shared" si="8"/>
        <v/>
      </c>
    </row>
    <row r="543" spans="6:6" x14ac:dyDescent="0.25">
      <c r="F543" s="239" t="str">
        <f t="shared" si="8"/>
        <v/>
      </c>
    </row>
    <row r="544" spans="6:6" x14ac:dyDescent="0.25">
      <c r="F544" s="239" t="str">
        <f t="shared" si="8"/>
        <v/>
      </c>
    </row>
    <row r="545" spans="6:6" x14ac:dyDescent="0.25">
      <c r="F545" s="239" t="str">
        <f t="shared" si="8"/>
        <v/>
      </c>
    </row>
    <row r="546" spans="6:6" x14ac:dyDescent="0.25">
      <c r="F546" s="239" t="str">
        <f t="shared" si="8"/>
        <v/>
      </c>
    </row>
    <row r="547" spans="6:6" x14ac:dyDescent="0.25">
      <c r="F547" s="239" t="str">
        <f t="shared" si="8"/>
        <v/>
      </c>
    </row>
    <row r="548" spans="6:6" x14ac:dyDescent="0.25">
      <c r="F548" s="239" t="str">
        <f t="shared" si="8"/>
        <v/>
      </c>
    </row>
    <row r="549" spans="6:6" x14ac:dyDescent="0.25">
      <c r="F549" s="239" t="str">
        <f t="shared" si="8"/>
        <v/>
      </c>
    </row>
    <row r="550" spans="6:6" x14ac:dyDescent="0.25">
      <c r="F550" s="239" t="str">
        <f t="shared" si="8"/>
        <v/>
      </c>
    </row>
    <row r="551" spans="6:6" x14ac:dyDescent="0.25">
      <c r="F551" s="239" t="str">
        <f t="shared" si="8"/>
        <v/>
      </c>
    </row>
    <row r="552" spans="6:6" x14ac:dyDescent="0.25">
      <c r="F552" s="239" t="str">
        <f t="shared" si="8"/>
        <v/>
      </c>
    </row>
    <row r="553" spans="6:6" x14ac:dyDescent="0.25">
      <c r="F553" s="239" t="str">
        <f t="shared" si="8"/>
        <v/>
      </c>
    </row>
    <row r="554" spans="6:6" x14ac:dyDescent="0.25">
      <c r="F554" s="239" t="str">
        <f t="shared" si="8"/>
        <v/>
      </c>
    </row>
    <row r="555" spans="6:6" x14ac:dyDescent="0.25">
      <c r="F555" s="239" t="str">
        <f t="shared" si="8"/>
        <v/>
      </c>
    </row>
    <row r="556" spans="6:6" x14ac:dyDescent="0.25">
      <c r="F556" s="239" t="str">
        <f t="shared" si="8"/>
        <v/>
      </c>
    </row>
    <row r="557" spans="6:6" x14ac:dyDescent="0.25">
      <c r="F557" s="239" t="str">
        <f t="shared" si="8"/>
        <v/>
      </c>
    </row>
    <row r="558" spans="6:6" x14ac:dyDescent="0.25">
      <c r="F558" s="239" t="str">
        <f t="shared" si="8"/>
        <v/>
      </c>
    </row>
    <row r="559" spans="6:6" x14ac:dyDescent="0.25">
      <c r="F559" s="239" t="str">
        <f t="shared" si="8"/>
        <v/>
      </c>
    </row>
    <row r="560" spans="6:6" x14ac:dyDescent="0.25">
      <c r="F560" s="239" t="str">
        <f t="shared" si="8"/>
        <v/>
      </c>
    </row>
    <row r="561" spans="6:6" x14ac:dyDescent="0.25">
      <c r="F561" s="239" t="str">
        <f t="shared" si="8"/>
        <v/>
      </c>
    </row>
    <row r="562" spans="6:6" x14ac:dyDescent="0.25">
      <c r="F562" s="239" t="str">
        <f t="shared" si="8"/>
        <v/>
      </c>
    </row>
    <row r="563" spans="6:6" x14ac:dyDescent="0.25">
      <c r="F563" s="239" t="str">
        <f t="shared" si="8"/>
        <v/>
      </c>
    </row>
    <row r="564" spans="6:6" x14ac:dyDescent="0.25">
      <c r="F564" s="239" t="str">
        <f t="shared" si="8"/>
        <v/>
      </c>
    </row>
    <row r="565" spans="6:6" x14ac:dyDescent="0.25">
      <c r="F565" s="239" t="str">
        <f t="shared" si="8"/>
        <v/>
      </c>
    </row>
    <row r="566" spans="6:6" x14ac:dyDescent="0.25">
      <c r="F566" s="239" t="str">
        <f t="shared" si="8"/>
        <v/>
      </c>
    </row>
    <row r="567" spans="6:6" x14ac:dyDescent="0.25">
      <c r="F567" s="239" t="str">
        <f t="shared" si="8"/>
        <v/>
      </c>
    </row>
    <row r="568" spans="6:6" x14ac:dyDescent="0.25">
      <c r="F568" s="239" t="str">
        <f t="shared" si="8"/>
        <v/>
      </c>
    </row>
    <row r="569" spans="6:6" x14ac:dyDescent="0.25">
      <c r="F569" s="239" t="str">
        <f t="shared" si="8"/>
        <v/>
      </c>
    </row>
    <row r="570" spans="6:6" x14ac:dyDescent="0.25">
      <c r="F570" s="239" t="str">
        <f t="shared" si="8"/>
        <v/>
      </c>
    </row>
    <row r="571" spans="6:6" x14ac:dyDescent="0.25">
      <c r="F571" s="239" t="str">
        <f t="shared" si="8"/>
        <v/>
      </c>
    </row>
    <row r="572" spans="6:6" x14ac:dyDescent="0.25">
      <c r="F572" s="239" t="str">
        <f t="shared" si="8"/>
        <v/>
      </c>
    </row>
    <row r="573" spans="6:6" x14ac:dyDescent="0.25">
      <c r="F573" s="239" t="str">
        <f t="shared" si="8"/>
        <v/>
      </c>
    </row>
    <row r="574" spans="6:6" x14ac:dyDescent="0.25">
      <c r="F574" s="239" t="str">
        <f t="shared" si="8"/>
        <v/>
      </c>
    </row>
    <row r="575" spans="6:6" x14ac:dyDescent="0.25">
      <c r="F575" s="239" t="str">
        <f t="shared" si="8"/>
        <v/>
      </c>
    </row>
    <row r="576" spans="6:6" x14ac:dyDescent="0.25">
      <c r="F576" s="239" t="str">
        <f t="shared" si="8"/>
        <v/>
      </c>
    </row>
    <row r="577" spans="6:6" x14ac:dyDescent="0.25">
      <c r="F577" s="239" t="str">
        <f t="shared" si="8"/>
        <v/>
      </c>
    </row>
    <row r="578" spans="6:6" x14ac:dyDescent="0.25">
      <c r="F578" s="239" t="str">
        <f t="shared" ref="F578:F641" si="9">IF(E578="","",IF((RIGHT(E578,8)-RIGHT(D578,8))&lt;0,-1*(RIGHT(E578,8)-RIGHT(D578,8)),RIGHT(E578,8)-RIGHT(D578,8)))</f>
        <v/>
      </c>
    </row>
    <row r="579" spans="6:6" x14ac:dyDescent="0.25">
      <c r="F579" s="239" t="str">
        <f t="shared" si="9"/>
        <v/>
      </c>
    </row>
    <row r="580" spans="6:6" x14ac:dyDescent="0.25">
      <c r="F580" s="239" t="str">
        <f t="shared" si="9"/>
        <v/>
      </c>
    </row>
    <row r="581" spans="6:6" x14ac:dyDescent="0.25">
      <c r="F581" s="239" t="str">
        <f t="shared" si="9"/>
        <v/>
      </c>
    </row>
    <row r="582" spans="6:6" x14ac:dyDescent="0.25">
      <c r="F582" s="239" t="str">
        <f t="shared" si="9"/>
        <v/>
      </c>
    </row>
    <row r="583" spans="6:6" x14ac:dyDescent="0.25">
      <c r="F583" s="239" t="str">
        <f t="shared" si="9"/>
        <v/>
      </c>
    </row>
    <row r="584" spans="6:6" x14ac:dyDescent="0.25">
      <c r="F584" s="239" t="str">
        <f t="shared" si="9"/>
        <v/>
      </c>
    </row>
    <row r="585" spans="6:6" x14ac:dyDescent="0.25">
      <c r="F585" s="239" t="str">
        <f t="shared" si="9"/>
        <v/>
      </c>
    </row>
    <row r="586" spans="6:6" x14ac:dyDescent="0.25">
      <c r="F586" s="239" t="str">
        <f t="shared" si="9"/>
        <v/>
      </c>
    </row>
    <row r="587" spans="6:6" x14ac:dyDescent="0.25">
      <c r="F587" s="239" t="str">
        <f t="shared" si="9"/>
        <v/>
      </c>
    </row>
    <row r="588" spans="6:6" x14ac:dyDescent="0.25">
      <c r="F588" s="239" t="str">
        <f t="shared" si="9"/>
        <v/>
      </c>
    </row>
    <row r="589" spans="6:6" x14ac:dyDescent="0.25">
      <c r="F589" s="239" t="str">
        <f t="shared" si="9"/>
        <v/>
      </c>
    </row>
    <row r="590" spans="6:6" x14ac:dyDescent="0.25">
      <c r="F590" s="239" t="str">
        <f t="shared" si="9"/>
        <v/>
      </c>
    </row>
    <row r="591" spans="6:6" x14ac:dyDescent="0.25">
      <c r="F591" s="239" t="str">
        <f t="shared" si="9"/>
        <v/>
      </c>
    </row>
    <row r="592" spans="6:6" x14ac:dyDescent="0.25">
      <c r="F592" s="239" t="str">
        <f t="shared" si="9"/>
        <v/>
      </c>
    </row>
    <row r="593" spans="6:6" x14ac:dyDescent="0.25">
      <c r="F593" s="239" t="str">
        <f t="shared" si="9"/>
        <v/>
      </c>
    </row>
    <row r="594" spans="6:6" x14ac:dyDescent="0.25">
      <c r="F594" s="239" t="str">
        <f t="shared" si="9"/>
        <v/>
      </c>
    </row>
    <row r="595" spans="6:6" x14ac:dyDescent="0.25">
      <c r="F595" s="239" t="str">
        <f t="shared" si="9"/>
        <v/>
      </c>
    </row>
    <row r="596" spans="6:6" x14ac:dyDescent="0.25">
      <c r="F596" s="239" t="str">
        <f t="shared" si="9"/>
        <v/>
      </c>
    </row>
    <row r="597" spans="6:6" x14ac:dyDescent="0.25">
      <c r="F597" s="239" t="str">
        <f t="shared" si="9"/>
        <v/>
      </c>
    </row>
    <row r="598" spans="6:6" x14ac:dyDescent="0.25">
      <c r="F598" s="239" t="str">
        <f t="shared" si="9"/>
        <v/>
      </c>
    </row>
    <row r="599" spans="6:6" x14ac:dyDescent="0.25">
      <c r="F599" s="239" t="str">
        <f t="shared" si="9"/>
        <v/>
      </c>
    </row>
    <row r="600" spans="6:6" x14ac:dyDescent="0.25">
      <c r="F600" s="239" t="str">
        <f t="shared" si="9"/>
        <v/>
      </c>
    </row>
    <row r="601" spans="6:6" x14ac:dyDescent="0.25">
      <c r="F601" s="239" t="str">
        <f t="shared" si="9"/>
        <v/>
      </c>
    </row>
    <row r="602" spans="6:6" x14ac:dyDescent="0.25">
      <c r="F602" s="239" t="str">
        <f t="shared" si="9"/>
        <v/>
      </c>
    </row>
    <row r="603" spans="6:6" x14ac:dyDescent="0.25">
      <c r="F603" s="239" t="str">
        <f t="shared" si="9"/>
        <v/>
      </c>
    </row>
    <row r="604" spans="6:6" x14ac:dyDescent="0.25">
      <c r="F604" s="239" t="str">
        <f t="shared" si="9"/>
        <v/>
      </c>
    </row>
    <row r="605" spans="6:6" x14ac:dyDescent="0.25">
      <c r="F605" s="239" t="str">
        <f t="shared" si="9"/>
        <v/>
      </c>
    </row>
    <row r="606" spans="6:6" x14ac:dyDescent="0.25">
      <c r="F606" s="239" t="str">
        <f t="shared" si="9"/>
        <v/>
      </c>
    </row>
    <row r="607" spans="6:6" x14ac:dyDescent="0.25">
      <c r="F607" s="239" t="str">
        <f t="shared" si="9"/>
        <v/>
      </c>
    </row>
    <row r="608" spans="6:6" x14ac:dyDescent="0.25">
      <c r="F608" s="239" t="str">
        <f t="shared" si="9"/>
        <v/>
      </c>
    </row>
    <row r="609" spans="6:6" x14ac:dyDescent="0.25">
      <c r="F609" s="239" t="str">
        <f t="shared" si="9"/>
        <v/>
      </c>
    </row>
    <row r="610" spans="6:6" x14ac:dyDescent="0.25">
      <c r="F610" s="239" t="str">
        <f t="shared" si="9"/>
        <v/>
      </c>
    </row>
    <row r="611" spans="6:6" x14ac:dyDescent="0.25">
      <c r="F611" s="239" t="str">
        <f t="shared" si="9"/>
        <v/>
      </c>
    </row>
    <row r="612" spans="6:6" x14ac:dyDescent="0.25">
      <c r="F612" s="239" t="str">
        <f t="shared" si="9"/>
        <v/>
      </c>
    </row>
    <row r="613" spans="6:6" x14ac:dyDescent="0.25">
      <c r="F613" s="239" t="str">
        <f t="shared" si="9"/>
        <v/>
      </c>
    </row>
    <row r="614" spans="6:6" x14ac:dyDescent="0.25">
      <c r="F614" s="239" t="str">
        <f t="shared" si="9"/>
        <v/>
      </c>
    </row>
    <row r="615" spans="6:6" x14ac:dyDescent="0.25">
      <c r="F615" s="239" t="str">
        <f t="shared" si="9"/>
        <v/>
      </c>
    </row>
    <row r="616" spans="6:6" x14ac:dyDescent="0.25">
      <c r="F616" s="239" t="str">
        <f t="shared" si="9"/>
        <v/>
      </c>
    </row>
    <row r="617" spans="6:6" x14ac:dyDescent="0.25">
      <c r="F617" s="239" t="str">
        <f t="shared" si="9"/>
        <v/>
      </c>
    </row>
    <row r="618" spans="6:6" x14ac:dyDescent="0.25">
      <c r="F618" s="239" t="str">
        <f t="shared" si="9"/>
        <v/>
      </c>
    </row>
    <row r="619" spans="6:6" x14ac:dyDescent="0.25">
      <c r="F619" s="239" t="str">
        <f t="shared" si="9"/>
        <v/>
      </c>
    </row>
    <row r="620" spans="6:6" x14ac:dyDescent="0.25">
      <c r="F620" s="239" t="str">
        <f t="shared" si="9"/>
        <v/>
      </c>
    </row>
    <row r="621" spans="6:6" x14ac:dyDescent="0.25">
      <c r="F621" s="239" t="str">
        <f t="shared" si="9"/>
        <v/>
      </c>
    </row>
    <row r="622" spans="6:6" x14ac:dyDescent="0.25">
      <c r="F622" s="239" t="str">
        <f t="shared" si="9"/>
        <v/>
      </c>
    </row>
    <row r="623" spans="6:6" x14ac:dyDescent="0.25">
      <c r="F623" s="239" t="str">
        <f t="shared" si="9"/>
        <v/>
      </c>
    </row>
    <row r="624" spans="6:6" x14ac:dyDescent="0.25">
      <c r="F624" s="239" t="str">
        <f t="shared" si="9"/>
        <v/>
      </c>
    </row>
    <row r="625" spans="6:6" x14ac:dyDescent="0.25">
      <c r="F625" s="239" t="str">
        <f t="shared" si="9"/>
        <v/>
      </c>
    </row>
    <row r="626" spans="6:6" x14ac:dyDescent="0.25">
      <c r="F626" s="239" t="str">
        <f t="shared" si="9"/>
        <v/>
      </c>
    </row>
    <row r="627" spans="6:6" x14ac:dyDescent="0.25">
      <c r="F627" s="239" t="str">
        <f t="shared" si="9"/>
        <v/>
      </c>
    </row>
    <row r="628" spans="6:6" x14ac:dyDescent="0.25">
      <c r="F628" s="239" t="str">
        <f t="shared" si="9"/>
        <v/>
      </c>
    </row>
    <row r="629" spans="6:6" x14ac:dyDescent="0.25">
      <c r="F629" s="239" t="str">
        <f t="shared" si="9"/>
        <v/>
      </c>
    </row>
    <row r="630" spans="6:6" x14ac:dyDescent="0.25">
      <c r="F630" s="239" t="str">
        <f t="shared" si="9"/>
        <v/>
      </c>
    </row>
    <row r="631" spans="6:6" x14ac:dyDescent="0.25">
      <c r="F631" s="239" t="str">
        <f t="shared" si="9"/>
        <v/>
      </c>
    </row>
    <row r="632" spans="6:6" x14ac:dyDescent="0.25">
      <c r="F632" s="239" t="str">
        <f t="shared" si="9"/>
        <v/>
      </c>
    </row>
    <row r="633" spans="6:6" x14ac:dyDescent="0.25">
      <c r="F633" s="239" t="str">
        <f t="shared" si="9"/>
        <v/>
      </c>
    </row>
    <row r="634" spans="6:6" x14ac:dyDescent="0.25">
      <c r="F634" s="239" t="str">
        <f t="shared" si="9"/>
        <v/>
      </c>
    </row>
    <row r="635" spans="6:6" x14ac:dyDescent="0.25">
      <c r="F635" s="239" t="str">
        <f t="shared" si="9"/>
        <v/>
      </c>
    </row>
    <row r="636" spans="6:6" x14ac:dyDescent="0.25">
      <c r="F636" s="239" t="str">
        <f t="shared" si="9"/>
        <v/>
      </c>
    </row>
    <row r="637" spans="6:6" x14ac:dyDescent="0.25">
      <c r="F637" s="239" t="str">
        <f t="shared" si="9"/>
        <v/>
      </c>
    </row>
    <row r="638" spans="6:6" x14ac:dyDescent="0.25">
      <c r="F638" s="239" t="str">
        <f t="shared" si="9"/>
        <v/>
      </c>
    </row>
    <row r="639" spans="6:6" x14ac:dyDescent="0.25">
      <c r="F639" s="239" t="str">
        <f t="shared" si="9"/>
        <v/>
      </c>
    </row>
    <row r="640" spans="6:6" x14ac:dyDescent="0.25">
      <c r="F640" s="239" t="str">
        <f t="shared" si="9"/>
        <v/>
      </c>
    </row>
    <row r="641" spans="6:6" x14ac:dyDescent="0.25">
      <c r="F641" s="239" t="str">
        <f t="shared" si="9"/>
        <v/>
      </c>
    </row>
    <row r="642" spans="6:6" x14ac:dyDescent="0.25">
      <c r="F642" s="239" t="str">
        <f>IF(E642="","",IF((RIGHT(E642,8)-RIGHT(D642,8))&lt;0,-1*(RIGHT(E642,8)-RIGHT(D642,8)),RIGHT(E642,8)-RIGHT(D642,8)))</f>
        <v/>
      </c>
    </row>
  </sheetData>
  <sheetProtection formatCells="0" selectLockedCells="1"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6</vt:i4>
      </vt:variant>
      <vt:variant>
        <vt:lpstr>Plages nommées</vt:lpstr>
      </vt:variant>
      <vt:variant>
        <vt:i4>66</vt:i4>
      </vt:variant>
    </vt:vector>
  </HeadingPairs>
  <TitlesOfParts>
    <vt:vector size="72" baseType="lpstr">
      <vt:lpstr>FAC SEFAC</vt:lpstr>
      <vt:lpstr>FAC SEBAC</vt:lpstr>
      <vt:lpstr>Feuil3</vt:lpstr>
      <vt:lpstr>Menu</vt:lpstr>
      <vt:lpstr>Commissions</vt:lpstr>
      <vt:lpstr>Identification</vt:lpstr>
      <vt:lpstr>ArMaj</vt:lpstr>
      <vt:lpstr>Buton</vt:lpstr>
      <vt:lpstr>Camions</vt:lpstr>
      <vt:lpstr>CLangue</vt:lpstr>
      <vt:lpstr>Clients</vt:lpstr>
      <vt:lpstr>Clients1</vt:lpstr>
      <vt:lpstr>Cubage_Moyen</vt:lpstr>
      <vt:lpstr>DATE1</vt:lpstr>
      <vt:lpstr>DATE2</vt:lpstr>
      <vt:lpstr>DateInf</vt:lpstr>
      <vt:lpstr>DateSup</vt:lpstr>
      <vt:lpstr>Décompte</vt:lpstr>
      <vt:lpstr>DernInit</vt:lpstr>
      <vt:lpstr>Dexp</vt:lpstr>
      <vt:lpstr>DNav</vt:lpstr>
      <vt:lpstr>Entete_Liste</vt:lpstr>
      <vt:lpstr>Entete_Liste2</vt:lpstr>
      <vt:lpstr>eRange</vt:lpstr>
      <vt:lpstr>eRange1</vt:lpstr>
      <vt:lpstr>Etat</vt:lpstr>
      <vt:lpstr>ExCamion</vt:lpstr>
      <vt:lpstr>ExChauffeur</vt:lpstr>
      <vt:lpstr>ExpLV</vt:lpstr>
      <vt:lpstr>ExTVal</vt:lpstr>
      <vt:lpstr>Fexport</vt:lpstr>
      <vt:lpstr>Fmodifier</vt:lpstr>
      <vt:lpstr>FNavette</vt:lpstr>
      <vt:lpstr>Form</vt:lpstr>
      <vt:lpstr>Form1</vt:lpstr>
      <vt:lpstr>Feuil3!Historique</vt:lpstr>
      <vt:lpstr>Langue</vt:lpstr>
      <vt:lpstr>LVBC</vt:lpstr>
      <vt:lpstr>Menu</vt:lpstr>
      <vt:lpstr>Mois</vt:lpstr>
      <vt:lpstr>moiss</vt:lpstr>
      <vt:lpstr>Moiss1</vt:lpstr>
      <vt:lpstr>Motif</vt:lpstr>
      <vt:lpstr>motifF</vt:lpstr>
      <vt:lpstr>MyForm</vt:lpstr>
      <vt:lpstr>MyForm1</vt:lpstr>
      <vt:lpstr>MyForm2</vt:lpstr>
      <vt:lpstr>NavCam</vt:lpstr>
      <vt:lpstr>NavChauf</vt:lpstr>
      <vt:lpstr>NavLV</vt:lpstr>
      <vt:lpstr>NewM</vt:lpstr>
      <vt:lpstr>Numro</vt:lpstr>
      <vt:lpstr>numro1</vt:lpstr>
      <vt:lpstr>Numro2</vt:lpstr>
      <vt:lpstr>Ouvert</vt:lpstr>
      <vt:lpstr>P_Cube</vt:lpstr>
      <vt:lpstr>PTHT</vt:lpstr>
      <vt:lpstr>RefTab</vt:lpstr>
      <vt:lpstr>RefTab2</vt:lpstr>
      <vt:lpstr>Trajet</vt:lpstr>
      <vt:lpstr>Trajet1</vt:lpstr>
      <vt:lpstr>Userss</vt:lpstr>
      <vt:lpstr>Version</vt:lpstr>
      <vt:lpstr>Vides</vt:lpstr>
      <vt:lpstr>Vides1</vt:lpstr>
      <vt:lpstr>VTal</vt:lpstr>
      <vt:lpstr>Z_CLT</vt:lpstr>
      <vt:lpstr>Zone</vt:lpstr>
      <vt:lpstr>'FAC SEBAC'!Zone_d_impression</vt:lpstr>
      <vt:lpstr>'FAC SEFAC'!Zone_d_impression</vt:lpstr>
      <vt:lpstr>Menu!Zone_d_impression</vt:lpstr>
      <vt:lpstr>Zone1</vt:lpstr>
    </vt:vector>
  </TitlesOfParts>
  <Manager>M. NTENDA</Manager>
  <Company>GMS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title>iFacture</dc:title>
  <dc:subject>Montage, établissement et gestion des Factures</dc:subject>
  <dc:creator>Martial PITTUE MBOUGANG</dc:creator>
  <cp:keywords>Montage; Facture Auto; GMS; Facture; Camion</cp:keywords>
  <dc:description>L'élément-clé du projet iFacture</dc:description>
  <cp:lastModifiedBy>Ntenda Kuete</cp:lastModifiedBy>
  <cp:revision>1</cp:revision>
  <cp:lastPrinted>2019-10-12T10:29:25Z</cp:lastPrinted>
  <dcterms:created xsi:type="dcterms:W3CDTF">2015-08-28T14:30:33Z</dcterms:created>
  <dcterms:modified xsi:type="dcterms:W3CDTF">2019-11-07T10:50:41Z</dcterms:modified>
  <cp:contentStatus>En cours</cp:contentStatus>
  <dc:language>Français; Anglais</dc:language>
  <cp:version>V. 2.2</cp:version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WorkbookGuid">
    <vt:lpwstr>a68705c2-9fd9-4838-b531-617bff0d1435</vt:lpwstr>
  </property>
</Properties>
</file>