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/>
  <bookViews>
    <workbookView xWindow="0" yWindow="0" windowWidth="25095" windowHeight="12360" firstSheet="1" activeTab="10"/>
  </bookViews>
  <sheets>
    <sheet name="Dashbord" sheetId="13" r:id="rId1"/>
    <sheet name="Journal" sheetId="2" r:id="rId2"/>
    <sheet name="CAPI" sheetId="1" r:id="rId3"/>
    <sheet name="GICCOPACAM" sheetId="4" r:id="rId4"/>
    <sheet name="KENZO" sheetId="5" r:id="rId5"/>
    <sheet name="JET INDUSTRY" sheetId="6" r:id="rId6"/>
    <sheet name="JET INVESTMENT" sheetId="7" r:id="rId7"/>
    <sheet name="SCI-JET" sheetId="8" r:id="rId8"/>
    <sheet name="CFPM-JET" sheetId="9" r:id="rId9"/>
    <sheet name="EVOTA-T IMMO" sheetId="11" r:id="rId10"/>
    <sheet name="Listes" sheetId="12" r:id="rId11"/>
    <sheet name="SuiviJnal" sheetId="14" r:id="rId12"/>
  </sheets>
  <definedNames>
    <definedName name="_EntrepJ">Journal!$D$3</definedName>
    <definedName name="Entreprises" localSheetId="0">T_Entr[Entreprises]</definedName>
    <definedName name="Entreprises">T_Entr[Entreprises]</definedName>
    <definedName name="_xlnm.Print_Titles" localSheetId="2">CAPI!$6:$6</definedName>
    <definedName name="_xlnm.Print_Titles" localSheetId="8">'CFPM-JET'!$6:$6</definedName>
    <definedName name="_xlnm.Print_Titles" localSheetId="0">Dashbord!$7:$7</definedName>
    <definedName name="_xlnm.Print_Titles" localSheetId="9">'EVOTA-T IMMO'!$6:$6</definedName>
    <definedName name="_xlnm.Print_Titles" localSheetId="3">GICCOPACAM!$6:$6</definedName>
    <definedName name="_xlnm.Print_Titles" localSheetId="5">'JET INDUSTRY'!$6:$6</definedName>
    <definedName name="_xlnm.Print_Titles" localSheetId="6">'JET INVESTMENT'!$6:$6</definedName>
    <definedName name="_xlnm.Print_Titles" localSheetId="1">Journal!$7:$7</definedName>
    <definedName name="_xlnm.Print_Titles" localSheetId="4">KENZO!$6:$6</definedName>
    <definedName name="_xlnm.Print_Titles" localSheetId="7">'SCI-JET'!$6:$6</definedName>
    <definedName name="NroJournal">Journal!$F$2</definedName>
    <definedName name="_xlnm.Print_Area" localSheetId="2">CAPI!$A$1:$G$50</definedName>
    <definedName name="_xlnm.Print_Area" localSheetId="8">'CFPM-JET'!$A$1:$G$17</definedName>
    <definedName name="_xlnm.Print_Area" localSheetId="0">Dashbord!$A$1:$H$15</definedName>
    <definedName name="_xlnm.Print_Area" localSheetId="9">'EVOTA-T IMMO'!$A$1:$G$17</definedName>
    <definedName name="_xlnm.Print_Area" localSheetId="3">GICCOPACAM!$A$1:$F$50</definedName>
    <definedName name="_xlnm.Print_Area" localSheetId="5">'JET INDUSTRY'!$A$1:$G$17</definedName>
    <definedName name="_xlnm.Print_Area" localSheetId="6">'JET INVESTMENT'!$A$1:$G$17</definedName>
    <definedName name="_xlnm.Print_Area" localSheetId="1">Journal!$A$1:$H$15</definedName>
    <definedName name="_xlnm.Print_Area" localSheetId="4">KENZO!$A$1:$G$17</definedName>
    <definedName name="_xlnm.Print_Area" localSheetId="7">'SCI-JET'!$A$1:$G$17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2" l="1"/>
  <c r="E14" i="2"/>
  <c r="D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V7" i="11"/>
  <c r="V7" i="9"/>
  <c r="V7" i="8"/>
  <c r="V7" i="7"/>
  <c r="V7" i="6"/>
  <c r="V7" i="5"/>
  <c r="V7" i="4"/>
  <c r="G8" i="1"/>
  <c r="V8" i="1"/>
  <c r="C4" i="13" l="1"/>
  <c r="T14" i="13" l="1"/>
  <c r="S14" i="13"/>
  <c r="R14" i="13"/>
  <c r="Q14" i="13"/>
  <c r="P14" i="13"/>
  <c r="O14" i="13"/>
  <c r="N14" i="13"/>
  <c r="M14" i="13"/>
  <c r="L14" i="13"/>
  <c r="K14" i="13"/>
  <c r="J14" i="13"/>
  <c r="I14" i="13"/>
  <c r="H14" i="13"/>
  <c r="G14" i="13"/>
  <c r="E14" i="13"/>
  <c r="D14" i="13"/>
  <c r="C14" i="13"/>
  <c r="T13" i="13"/>
  <c r="S13" i="13"/>
  <c r="R13" i="13"/>
  <c r="Q13" i="13"/>
  <c r="P13" i="13"/>
  <c r="O13" i="13"/>
  <c r="N13" i="13"/>
  <c r="M13" i="13"/>
  <c r="L13" i="13"/>
  <c r="K13" i="13"/>
  <c r="J13" i="13"/>
  <c r="I13" i="13"/>
  <c r="H13" i="13"/>
  <c r="G13" i="13"/>
  <c r="E13" i="13"/>
  <c r="D13" i="13"/>
  <c r="C13" i="13"/>
  <c r="T12" i="13"/>
  <c r="S12" i="13"/>
  <c r="R12" i="13"/>
  <c r="Q12" i="13"/>
  <c r="P12" i="13"/>
  <c r="O12" i="13"/>
  <c r="N12" i="13"/>
  <c r="M12" i="13"/>
  <c r="L12" i="13"/>
  <c r="K12" i="13"/>
  <c r="J12" i="13"/>
  <c r="I12" i="13"/>
  <c r="H12" i="13"/>
  <c r="G12" i="13"/>
  <c r="E12" i="13"/>
  <c r="D12" i="13"/>
  <c r="C12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E11" i="13"/>
  <c r="D11" i="13"/>
  <c r="C11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E10" i="13"/>
  <c r="D10" i="13"/>
  <c r="C10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E9" i="13"/>
  <c r="D9" i="13"/>
  <c r="C9" i="13"/>
  <c r="T8" i="13"/>
  <c r="S8" i="13"/>
  <c r="R8" i="13"/>
  <c r="Q8" i="13"/>
  <c r="P8" i="13"/>
  <c r="O8" i="13"/>
  <c r="N8" i="13"/>
  <c r="M8" i="13"/>
  <c r="L8" i="13"/>
  <c r="K8" i="13"/>
  <c r="J8" i="13"/>
  <c r="I8" i="13"/>
  <c r="H8" i="13"/>
  <c r="G8" i="13"/>
  <c r="E8" i="13"/>
  <c r="D8" i="13"/>
  <c r="C8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E7" i="13"/>
  <c r="D7" i="13"/>
  <c r="C7" i="13"/>
  <c r="I15" i="13" l="1"/>
  <c r="K15" i="13"/>
  <c r="M15" i="13"/>
  <c r="O15" i="13"/>
  <c r="Q15" i="13"/>
  <c r="S15" i="13"/>
  <c r="H15" i="13"/>
  <c r="J15" i="13"/>
  <c r="L15" i="13"/>
  <c r="N15" i="13"/>
  <c r="P15" i="13"/>
  <c r="R15" i="13"/>
  <c r="T15" i="13"/>
  <c r="E15" i="13"/>
  <c r="G15" i="13"/>
  <c r="D15" i="13"/>
  <c r="V7" i="1" l="1"/>
  <c r="B1" i="2" l="1"/>
  <c r="E9" i="1"/>
  <c r="H9" i="1"/>
  <c r="D9" i="1" l="1"/>
  <c r="U8" i="11"/>
  <c r="T8" i="11"/>
  <c r="S8" i="11"/>
  <c r="R8" i="11"/>
  <c r="Q8" i="11"/>
  <c r="P8" i="11"/>
  <c r="O8" i="11"/>
  <c r="N8" i="11"/>
  <c r="M8" i="11"/>
  <c r="L8" i="11"/>
  <c r="K8" i="11"/>
  <c r="J8" i="11"/>
  <c r="I8" i="11"/>
  <c r="H8" i="11"/>
  <c r="F8" i="11"/>
  <c r="E8" i="11"/>
  <c r="D8" i="11"/>
  <c r="C3" i="11"/>
  <c r="U8" i="9"/>
  <c r="T8" i="9"/>
  <c r="S8" i="9"/>
  <c r="R8" i="9"/>
  <c r="Q8" i="9"/>
  <c r="P8" i="9"/>
  <c r="O8" i="9"/>
  <c r="N8" i="9"/>
  <c r="M8" i="9"/>
  <c r="L8" i="9"/>
  <c r="K8" i="9"/>
  <c r="J8" i="9"/>
  <c r="I8" i="9"/>
  <c r="H8" i="9"/>
  <c r="F8" i="9"/>
  <c r="E8" i="9"/>
  <c r="D8" i="9"/>
  <c r="G8" i="9"/>
  <c r="C3" i="9"/>
  <c r="U8" i="8"/>
  <c r="T8" i="8"/>
  <c r="S8" i="8"/>
  <c r="R8" i="8"/>
  <c r="Q8" i="8"/>
  <c r="P8" i="8"/>
  <c r="O8" i="8"/>
  <c r="N8" i="8"/>
  <c r="M8" i="8"/>
  <c r="L8" i="8"/>
  <c r="K8" i="8"/>
  <c r="J8" i="8"/>
  <c r="I8" i="8"/>
  <c r="H8" i="8"/>
  <c r="F8" i="8"/>
  <c r="E8" i="8"/>
  <c r="D8" i="8"/>
  <c r="G8" i="8"/>
  <c r="C3" i="8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F8" i="7"/>
  <c r="E8" i="7"/>
  <c r="D8" i="7"/>
  <c r="G8" i="7"/>
  <c r="C3" i="7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F8" i="6"/>
  <c r="E8" i="6"/>
  <c r="D8" i="6"/>
  <c r="G8" i="6"/>
  <c r="C3" i="6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F8" i="5"/>
  <c r="E8" i="5"/>
  <c r="D8" i="5"/>
  <c r="G8" i="5"/>
  <c r="C3" i="5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F8" i="4"/>
  <c r="E8" i="4"/>
  <c r="D8" i="4"/>
  <c r="C3" i="4"/>
  <c r="F4" i="5" l="1"/>
  <c r="F9" i="13" s="1"/>
  <c r="F4" i="7"/>
  <c r="F11" i="13" s="1"/>
  <c r="G8" i="11"/>
  <c r="F4" i="11"/>
  <c r="F14" i="13" s="1"/>
  <c r="F4" i="4"/>
  <c r="F8" i="13" s="1"/>
  <c r="F4" i="6"/>
  <c r="F10" i="13" s="1"/>
  <c r="F4" i="8"/>
  <c r="F12" i="13" s="1"/>
  <c r="V8" i="4"/>
  <c r="V8" i="5"/>
  <c r="V8" i="6"/>
  <c r="V8" i="7"/>
  <c r="V8" i="8"/>
  <c r="F4" i="9"/>
  <c r="F13" i="13" s="1"/>
  <c r="V8" i="11"/>
  <c r="V8" i="9"/>
  <c r="U9" i="1"/>
  <c r="O9" i="1"/>
  <c r="N9" i="1"/>
  <c r="L9" i="1"/>
  <c r="Q9" i="1"/>
  <c r="T9" i="1"/>
  <c r="P9" i="1"/>
  <c r="R9" i="1"/>
  <c r="S9" i="1"/>
  <c r="M9" i="1"/>
  <c r="I9" i="1"/>
  <c r="J9" i="1"/>
  <c r="K9" i="1"/>
  <c r="G7" i="1"/>
  <c r="C3" i="1"/>
  <c r="V9" i="1" l="1"/>
  <c r="G9" i="1"/>
  <c r="F9" i="1"/>
  <c r="F4" i="1" s="1"/>
  <c r="F7" i="13" l="1"/>
  <c r="F15" i="13" s="1"/>
</calcChain>
</file>

<file path=xl/sharedStrings.xml><?xml version="1.0" encoding="utf-8"?>
<sst xmlns="http://schemas.openxmlformats.org/spreadsheetml/2006/main" count="319" uniqueCount="96">
  <si>
    <t>Date</t>
  </si>
  <si>
    <t>Total</t>
  </si>
  <si>
    <t>Solde</t>
  </si>
  <si>
    <t>CAPI CAMEROUN</t>
  </si>
  <si>
    <t>Date :</t>
  </si>
  <si>
    <t>Solde d'ouverture</t>
  </si>
  <si>
    <t>Solde de clôture</t>
  </si>
  <si>
    <t>Libellé de l'opération</t>
  </si>
  <si>
    <t>Encaissement</t>
  </si>
  <si>
    <t>N° pièce</t>
  </si>
  <si>
    <t>Zone de ventilation</t>
  </si>
  <si>
    <t>Taxi/peage/PAD</t>
  </si>
  <si>
    <t>Carburant</t>
  </si>
  <si>
    <t>Entretien</t>
  </si>
  <si>
    <t>AG</t>
  </si>
  <si>
    <t>Banque</t>
  </si>
  <si>
    <t>Mat., mob.</t>
  </si>
  <si>
    <t>Nom et Signature du responsable</t>
  </si>
  <si>
    <t>Impot/Cnps</t>
  </si>
  <si>
    <t>Salaire</t>
  </si>
  <si>
    <t>Loyer</t>
  </si>
  <si>
    <t>Télécom</t>
  </si>
  <si>
    <t>Electricité</t>
  </si>
  <si>
    <t>Eau</t>
  </si>
  <si>
    <t>Autres</t>
  </si>
  <si>
    <t>Missions/MinCce</t>
  </si>
  <si>
    <t>GICCOPACAM</t>
  </si>
  <si>
    <t>KENZO &amp; Co.</t>
  </si>
  <si>
    <t>JET INDUSTRY</t>
  </si>
  <si>
    <t>JET INVESTMENT</t>
  </si>
  <si>
    <t>SCI-JET</t>
  </si>
  <si>
    <t>CFPM-JET</t>
  </si>
  <si>
    <t>TABLEAU RECAPITULATIF DES CAISSES</t>
  </si>
  <si>
    <t>EVORA-T</t>
  </si>
  <si>
    <t>CARBURANT+MISSION+TAXI</t>
  </si>
  <si>
    <t>Entreprise</t>
  </si>
  <si>
    <t>TOTAL CAISSE</t>
  </si>
  <si>
    <t>CAPI</t>
  </si>
  <si>
    <t>KENZO &amp; CO</t>
  </si>
  <si>
    <t>CFPM</t>
  </si>
  <si>
    <t>EVORA-T IMMO</t>
  </si>
  <si>
    <t>∑ Encaissements</t>
  </si>
  <si>
    <t>∑ Solde Initial</t>
  </si>
  <si>
    <t>∑ Décaissements</t>
  </si>
  <si>
    <t>∑ solde</t>
  </si>
  <si>
    <t>∑ AG</t>
  </si>
  <si>
    <t>∑ Carburant</t>
  </si>
  <si>
    <t>∑ Missions/MinCce</t>
  </si>
  <si>
    <t>∑ Taxi/peage/PAD</t>
  </si>
  <si>
    <t>∑ Télécom</t>
  </si>
  <si>
    <t>∑ Entretien</t>
  </si>
  <si>
    <t>∑ Électricité</t>
  </si>
  <si>
    <t>∑ Eau</t>
  </si>
  <si>
    <t>∑ Impot/Cnps</t>
  </si>
  <si>
    <t>∑ Loyer</t>
  </si>
  <si>
    <t>∑ Banque</t>
  </si>
  <si>
    <t>∑ Mat., mob.</t>
  </si>
  <si>
    <t>∑ Salaire</t>
  </si>
  <si>
    <t>∑ Autres</t>
  </si>
  <si>
    <t>Décaissement</t>
  </si>
  <si>
    <t>T_CAPI</t>
  </si>
  <si>
    <t>T_GICCOPACAM</t>
  </si>
  <si>
    <t>T_KENZO</t>
  </si>
  <si>
    <t>Entreprises</t>
  </si>
  <si>
    <r>
      <t>Listes des</t>
    </r>
    <r>
      <rPr>
        <sz val="10"/>
        <rFont val="Tableaux"/>
      </rPr>
      <t xml:space="preserve"> tableaux</t>
    </r>
  </si>
  <si>
    <t>KENZO</t>
  </si>
  <si>
    <t>EVOTA-T IMMO</t>
  </si>
  <si>
    <r>
      <t>GICCOPA</t>
    </r>
    <r>
      <rPr>
        <b/>
        <sz val="9"/>
        <rFont val="Constantia"/>
        <family val="1"/>
        <scheme val="major"/>
      </rPr>
      <t>C</t>
    </r>
    <r>
      <rPr>
        <b/>
        <sz val="9"/>
        <rFont val="Calibri"/>
        <family val="2"/>
      </rPr>
      <t>AM</t>
    </r>
  </si>
  <si>
    <t>T_EVORA</t>
  </si>
  <si>
    <t>T_CFPMJET</t>
  </si>
  <si>
    <t>T_SCIJET</t>
  </si>
  <si>
    <t>T_JETINVESTMENT</t>
  </si>
  <si>
    <t>T_JETINDUSTRY</t>
  </si>
  <si>
    <r>
      <t xml:space="preserve">Nom et Signature du </t>
    </r>
    <r>
      <rPr>
        <b/>
        <u/>
        <sz val="10"/>
        <rFont val="Aissier"/>
      </rPr>
      <t>caissier</t>
    </r>
  </si>
  <si>
    <t>Nom et Signature du caissier</t>
  </si>
  <si>
    <t>APPRO AG</t>
  </si>
  <si>
    <t>ENCAISSEMENT</t>
  </si>
  <si>
    <t>DECAISSEMENT</t>
  </si>
  <si>
    <t>TYPES D'OP</t>
  </si>
  <si>
    <t>Journal de caisse</t>
  </si>
  <si>
    <t>N°</t>
  </si>
  <si>
    <t>Encaissements</t>
  </si>
  <si>
    <t>N° Opération</t>
  </si>
  <si>
    <t>Libellé</t>
  </si>
  <si>
    <t>Décaissements</t>
  </si>
  <si>
    <t>La Caissière</t>
  </si>
  <si>
    <t>Le Responsable</t>
  </si>
  <si>
    <t>Report de solde à calculer</t>
  </si>
  <si>
    <t>N° Journal</t>
  </si>
  <si>
    <t>Date Journal</t>
  </si>
  <si>
    <t>Etat Impression</t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</si>
  <si>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Solde reporté</t>
    </r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</si>
  <si>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Encaissements</t>
    </r>
  </si>
  <si>
    <r>
      <rPr>
        <b/>
        <sz val="9"/>
        <rFont val="Calibri"/>
        <family val="2"/>
      </rPr>
      <t>∑</t>
    </r>
    <r>
      <rPr>
        <b/>
        <sz val="9"/>
        <rFont val="Arial"/>
        <family val="2"/>
      </rPr>
      <t xml:space="preserve"> Décaissements</t>
    </r>
  </si>
  <si>
    <t>Etat clôture</t>
  </si>
  <si>
    <t>Caissier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</si>
</sst>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&quot;€&quot;_-;\-* #,##0\ &quot;€&quot;_-;_-* &quot;-&quot;\ &quot;€&quot;_-;_-@_-"/>
    <numFmt numFmtId="165" formatCode="_-* #,##0.00\ &quot;€&quot;_-;\-* #,##0.00\ &quot;€&quot;_-;_-* &quot;-&quot;??\ &quot;€&quot;_-;_-@_-"/>
    <numFmt numFmtId="166" formatCode="_(* #,##0_);_(* \(#,##0\);_(* &quot;-&quot;_);_(@_)"/>
    <numFmt numFmtId="167" formatCode="_(* #,##0.00_);_(* \(#,##0.00\);_(* &quot;-&quot;??_);_(@_)"/>
  </numFmts>
  <fonts count="67">
    <font>
      <sz val="10"/>
      <name val="Arial"/>
      <family val="2"/>
    </font>
    <font>
      <sz val="11"/>
      <color theme="1"/>
      <name val="Franklin Gothic Book"/>
      <family val="2"/>
      <scheme val="minor"/>
    </font>
    <font>
      <sz val="12"/>
      <color theme="1"/>
      <name val="Franklin Gothic Book"/>
      <family val="2"/>
      <scheme val="minor"/>
    </font>
    <font>
      <sz val="8"/>
      <name val="Arial"/>
      <family val="2"/>
    </font>
    <font>
      <sz val="10"/>
      <name val="Franklin Gothic Book"/>
      <family val="2"/>
      <scheme val="minor"/>
    </font>
    <font>
      <b/>
      <sz val="12"/>
      <name val="Franklin Gothic Book"/>
      <family val="2"/>
      <scheme val="minor"/>
    </font>
    <font>
      <b/>
      <sz val="10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name val="Franklin Gothic Book"/>
      <family val="2"/>
      <scheme val="minor"/>
    </font>
    <font>
      <b/>
      <sz val="12"/>
      <color theme="5" tint="-0.24997711111789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sz val="12"/>
      <color theme="3"/>
      <name val="Franklin Gothic Book"/>
      <family val="2"/>
      <scheme val="minor"/>
    </font>
    <font>
      <sz val="18"/>
      <color theme="3"/>
      <name val="Constantia"/>
      <family val="2"/>
      <scheme val="major"/>
    </font>
    <font>
      <b/>
      <sz val="15"/>
      <color theme="3"/>
      <name val="Franklin Gothic Book"/>
      <family val="2"/>
      <scheme val="minor"/>
    </font>
    <font>
      <b/>
      <sz val="13"/>
      <color theme="3"/>
      <name val="Franklin Gothic Book"/>
      <family val="2"/>
      <scheme val="minor"/>
    </font>
    <font>
      <b/>
      <sz val="11"/>
      <color theme="3"/>
      <name val="Franklin Gothic Book"/>
      <family val="2"/>
      <scheme val="minor"/>
    </font>
    <font>
      <sz val="11"/>
      <color rgb="FF006100"/>
      <name val="Franklin Gothic Book"/>
      <family val="2"/>
      <scheme val="minor"/>
    </font>
    <font>
      <sz val="11"/>
      <color rgb="FF9C0006"/>
      <name val="Franklin Gothic Book"/>
      <family val="2"/>
      <scheme val="minor"/>
    </font>
    <font>
      <sz val="11"/>
      <color rgb="FF9C5700"/>
      <name val="Franklin Gothic Book"/>
      <family val="2"/>
      <scheme val="minor"/>
    </font>
    <font>
      <sz val="11"/>
      <color rgb="FF3F3F76"/>
      <name val="Franklin Gothic Book"/>
      <family val="2"/>
      <scheme val="minor"/>
    </font>
    <font>
      <b/>
      <sz val="11"/>
      <color rgb="FF3F3F3F"/>
      <name val="Franklin Gothic Book"/>
      <family val="2"/>
      <scheme val="minor"/>
    </font>
    <font>
      <b/>
      <sz val="11"/>
      <color rgb="FFFA7D00"/>
      <name val="Franklin Gothic Book"/>
      <family val="2"/>
      <scheme val="minor"/>
    </font>
    <font>
      <sz val="11"/>
      <color rgb="FFFA7D00"/>
      <name val="Franklin Gothic Book"/>
      <family val="2"/>
      <scheme val="minor"/>
    </font>
    <font>
      <b/>
      <sz val="11"/>
      <color theme="0"/>
      <name val="Franklin Gothic Book"/>
      <family val="2"/>
      <scheme val="minor"/>
    </font>
    <font>
      <sz val="11"/>
      <color rgb="FFFF0000"/>
      <name val="Franklin Gothic Book"/>
      <family val="2"/>
      <scheme val="minor"/>
    </font>
    <font>
      <i/>
      <sz val="11"/>
      <color rgb="FF7F7F7F"/>
      <name val="Franklin Gothic Book"/>
      <family val="2"/>
      <scheme val="minor"/>
    </font>
    <font>
      <b/>
      <sz val="11"/>
      <color theme="1"/>
      <name val="Franklin Gothic Book"/>
      <family val="2"/>
      <scheme val="minor"/>
    </font>
    <font>
      <sz val="11"/>
      <color theme="0"/>
      <name val="Franklin Gothic Book"/>
      <family val="2"/>
      <scheme val="minor"/>
    </font>
    <font>
      <sz val="10"/>
      <name val="Arial"/>
      <family val="2"/>
    </font>
    <font>
      <sz val="11"/>
      <name val="Franklin Gothic Book"/>
      <family val="2"/>
      <scheme val="minor"/>
    </font>
    <font>
      <b/>
      <sz val="11"/>
      <name val="Franklin Gothic Book"/>
      <family val="2"/>
      <scheme val="minor"/>
    </font>
    <font>
      <b/>
      <sz val="36"/>
      <name val="Franklin Gothic Book"/>
      <family val="2"/>
      <scheme val="minor"/>
    </font>
    <font>
      <sz val="12"/>
      <color theme="1"/>
      <name val="Arial Narrow"/>
      <family val="2"/>
    </font>
    <font>
      <b/>
      <u/>
      <sz val="10"/>
      <name val="Franklin Gothic Book"/>
      <family val="2"/>
      <scheme val="minor"/>
    </font>
    <font>
      <b/>
      <sz val="18"/>
      <name val="Arial Black"/>
      <family val="2"/>
    </font>
    <font>
      <b/>
      <sz val="10"/>
      <name val="Arial"/>
      <family val="2"/>
    </font>
    <font>
      <sz val="12"/>
      <name val="Arial"/>
      <family val="2"/>
    </font>
    <font>
      <b/>
      <sz val="11"/>
      <color theme="1" tint="4.9989318521683403E-2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name val="Arial Black"/>
      <family val="2"/>
    </font>
    <font>
      <b/>
      <sz val="9"/>
      <name val="Tahoma"/>
      <family val="2"/>
    </font>
    <font>
      <sz val="10"/>
      <name val="Arial"/>
      <family val="2"/>
    </font>
    <font>
      <sz val="10"/>
      <name val="Tableaux"/>
    </font>
    <font>
      <b/>
      <sz val="9"/>
      <name val="Constantia"/>
      <family val="1"/>
      <scheme val="maj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Franklin Gothic Book"/>
      <family val="2"/>
      <scheme val="minor"/>
    </font>
    <font>
      <b/>
      <sz val="12"/>
      <color theme="1"/>
      <name val="Franklin Gothic Book"/>
      <family val="2"/>
      <scheme val="minor"/>
    </font>
    <font>
      <sz val="12"/>
      <color theme="1"/>
      <name val="Arial Narrow"/>
      <family val="2"/>
    </font>
    <font>
      <b/>
      <sz val="12"/>
      <name val="Arial"/>
      <family val="2"/>
    </font>
    <font>
      <sz val="12"/>
      <color theme="3"/>
      <name val="Franklin Gothic Book"/>
      <family val="2"/>
      <scheme val="minor"/>
    </font>
    <font>
      <b/>
      <sz val="12"/>
      <color theme="3"/>
      <name val="Franklin Gothic Book"/>
      <family val="2"/>
      <scheme val="minor"/>
    </font>
    <font>
      <b/>
      <u/>
      <sz val="10"/>
      <name val="Aissier"/>
    </font>
    <font>
      <sz val="12"/>
      <name val="Arial"/>
    </font>
    <font>
      <sz val="12"/>
      <color theme="1"/>
      <name val="Franklin Gothic Book"/>
      <scheme val="minor"/>
    </font>
    <font>
      <sz val="12"/>
      <color theme="1"/>
      <name val="Arial Narrow"/>
    </font>
    <font>
      <sz val="10"/>
      <name val="Arial"/>
    </font>
    <font>
      <b/>
      <sz val="10"/>
      <name val="Arial"/>
    </font>
    <font>
      <sz val="12"/>
      <color theme="3"/>
      <name val="Franklin Gothic Book"/>
      <scheme val="minor"/>
    </font>
    <font>
      <b/>
      <sz val="12"/>
      <color theme="3"/>
      <name val="Franklin Gothic Book"/>
      <scheme val="minor"/>
    </font>
    <font>
      <b/>
      <sz val="10"/>
      <color theme="0"/>
      <name val="Arial"/>
      <family val="2"/>
    </font>
    <font>
      <b/>
      <sz val="14"/>
      <name val="Arial Black"/>
      <family val="2"/>
    </font>
    <font>
      <b/>
      <sz val="18"/>
      <name val="Rockwell Condensed"/>
      <family val="1"/>
    </font>
    <font>
      <b/>
      <u/>
      <sz val="10"/>
      <name val="Arial"/>
      <family val="2"/>
    </font>
    <font>
      <b/>
      <sz val="9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BBAB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 style="thin">
        <color rgb="FFCBD5E1"/>
      </right>
      <top/>
      <bottom style="thin">
        <color rgb="FFCBD5E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167" fontId="28" fillId="0" borderId="0" applyFont="0" applyFill="0" applyBorder="0" applyAlignment="0" applyProtection="0"/>
    <xf numFmtId="166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64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2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8" fillId="6" borderId="0" applyNumberFormat="0" applyBorder="0" applyAlignment="0" applyProtection="0"/>
    <xf numFmtId="0" fontId="19" fillId="7" borderId="5" applyNumberFormat="0" applyAlignment="0" applyProtection="0"/>
    <xf numFmtId="0" fontId="20" fillId="8" borderId="6" applyNumberFormat="0" applyAlignment="0" applyProtection="0"/>
    <xf numFmtId="0" fontId="21" fillId="8" borderId="5" applyNumberFormat="0" applyAlignment="0" applyProtection="0"/>
    <xf numFmtId="0" fontId="22" fillId="0" borderId="7" applyNumberFormat="0" applyFill="0" applyAlignment="0" applyProtection="0"/>
    <xf numFmtId="0" fontId="23" fillId="9" borderId="8" applyNumberFormat="0" applyAlignment="0" applyProtection="0"/>
    <xf numFmtId="0" fontId="24" fillId="0" borderId="0" applyNumberFormat="0" applyFill="0" applyBorder="0" applyAlignment="0" applyProtection="0"/>
    <xf numFmtId="0" fontId="28" fillId="10" borderId="9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</cellStyleXfs>
  <cellXfs count="139">
    <xf numFmtId="0" fontId="0" fillId="0" borderId="0" xfId="0"/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Border="1" applyAlignment="1">
      <alignment vertical="center" wrapText="1"/>
    </xf>
    <xf numFmtId="0" fontId="4" fillId="0" borderId="11" xfId="0" applyFont="1" applyBorder="1"/>
    <xf numFmtId="0" fontId="4" fillId="0" borderId="11" xfId="0" applyFont="1" applyBorder="1" applyAlignment="1">
      <alignment horizontal="left"/>
    </xf>
    <xf numFmtId="0" fontId="31" fillId="0" borderId="11" xfId="0" applyFont="1" applyBorder="1" applyAlignment="1">
      <alignment vertical="center"/>
    </xf>
    <xf numFmtId="0" fontId="29" fillId="0" borderId="0" xfId="0" applyFont="1"/>
    <xf numFmtId="14" fontId="30" fillId="0" borderId="0" xfId="0" applyNumberFormat="1" applyFont="1" applyAlignment="1">
      <alignment horizontal="left"/>
    </xf>
    <xf numFmtId="0" fontId="29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3" fontId="2" fillId="0" borderId="0" xfId="0" applyNumberFormat="1" applyFont="1" applyAlignment="1">
      <alignment vertical="center" wrapText="1"/>
    </xf>
    <xf numFmtId="3" fontId="10" fillId="0" borderId="1" xfId="0" applyNumberFormat="1" applyFont="1" applyBorder="1" applyAlignment="1">
      <alignment vertical="center" wrapText="1"/>
    </xf>
    <xf numFmtId="0" fontId="3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/>
    </xf>
    <xf numFmtId="0" fontId="33" fillId="0" borderId="0" xfId="0" applyFont="1"/>
    <xf numFmtId="0" fontId="33" fillId="0" borderId="0" xfId="0" applyFont="1" applyAlignment="1">
      <alignment horizontal="left"/>
    </xf>
    <xf numFmtId="3" fontId="2" fillId="0" borderId="0" xfId="0" applyNumberFormat="1" applyFont="1" applyAlignment="1">
      <alignment horizontal="right" vertical="center" wrapText="1"/>
    </xf>
    <xf numFmtId="3" fontId="0" fillId="0" borderId="0" xfId="0" applyNumberFormat="1" applyAlignment="1">
      <alignment horizontal="right" vertical="top" wrapText="1"/>
    </xf>
    <xf numFmtId="3" fontId="11" fillId="0" borderId="1" xfId="0" applyNumberFormat="1" applyFont="1" applyBorder="1" applyAlignment="1">
      <alignment horizontal="right" vertical="center" wrapText="1"/>
    </xf>
    <xf numFmtId="3" fontId="35" fillId="0" borderId="0" xfId="0" applyNumberFormat="1" applyFont="1" applyAlignment="1">
      <alignment horizontal="right" vertical="top" wrapText="1"/>
    </xf>
    <xf numFmtId="3" fontId="10" fillId="0" borderId="1" xfId="0" applyNumberFormat="1" applyFont="1" applyBorder="1" applyAlignment="1">
      <alignment horizontal="right" vertical="center" wrapText="1"/>
    </xf>
    <xf numFmtId="3" fontId="7" fillId="0" borderId="0" xfId="0" applyNumberFormat="1" applyFont="1" applyAlignment="1">
      <alignment vertical="center" wrapText="1"/>
    </xf>
    <xf numFmtId="14" fontId="7" fillId="2" borderId="14" xfId="0" applyNumberFormat="1" applyFont="1" applyFill="1" applyBorder="1" applyAlignment="1">
      <alignment vertical="center"/>
    </xf>
    <xf numFmtId="14" fontId="7" fillId="2" borderId="14" xfId="0" applyNumberFormat="1" applyFont="1" applyFill="1" applyBorder="1" applyAlignment="1">
      <alignment horizontal="right" vertical="center"/>
    </xf>
    <xf numFmtId="3" fontId="9" fillId="35" borderId="14" xfId="0" applyNumberFormat="1" applyFont="1" applyFill="1" applyBorder="1" applyAlignment="1">
      <alignment horizontal="right" vertical="center"/>
    </xf>
    <xf numFmtId="0" fontId="7" fillId="2" borderId="14" xfId="0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 wrapText="1"/>
    </xf>
    <xf numFmtId="14" fontId="36" fillId="0" borderId="0" xfId="0" applyNumberFormat="1" applyFont="1" applyAlignment="1">
      <alignment horizontal="right" vertical="top" wrapText="1"/>
    </xf>
    <xf numFmtId="0" fontId="9" fillId="2" borderId="14" xfId="0" applyFont="1" applyFill="1" applyBorder="1" applyAlignment="1">
      <alignment vertical="center"/>
    </xf>
    <xf numFmtId="0" fontId="3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37" fillId="2" borderId="18" xfId="0" applyFont="1" applyFill="1" applyBorder="1" applyAlignment="1">
      <alignment horizontal="center" vertical="center" wrapText="1"/>
    </xf>
    <xf numFmtId="0" fontId="38" fillId="0" borderId="18" xfId="0" applyFont="1" applyFill="1" applyBorder="1" applyAlignment="1">
      <alignment horizontal="right" vertical="center" wrapText="1"/>
    </xf>
    <xf numFmtId="3" fontId="39" fillId="0" borderId="18" xfId="0" applyNumberFormat="1" applyFont="1" applyFill="1" applyBorder="1" applyAlignment="1">
      <alignment horizontal="right" vertical="center"/>
    </xf>
    <xf numFmtId="3" fontId="38" fillId="36" borderId="18" xfId="0" applyNumberFormat="1" applyFont="1" applyFill="1" applyBorder="1" applyAlignment="1">
      <alignment horizontal="right" vertical="center" wrapText="1"/>
    </xf>
    <xf numFmtId="3" fontId="40" fillId="36" borderId="18" xfId="0" applyNumberFormat="1" applyFont="1" applyFill="1" applyBorder="1" applyAlignment="1">
      <alignment horizontal="right" vertical="center"/>
    </xf>
    <xf numFmtId="0" fontId="41" fillId="3" borderId="0" xfId="0" applyFont="1" applyFill="1" applyBorder="1" applyAlignment="1">
      <alignment horizontal="center"/>
    </xf>
    <xf numFmtId="0" fontId="39" fillId="0" borderId="0" xfId="0" applyFont="1"/>
    <xf numFmtId="0" fontId="37" fillId="2" borderId="18" xfId="0" applyFont="1" applyFill="1" applyBorder="1" applyAlignment="1">
      <alignment horizontal="center" vertical="center"/>
    </xf>
    <xf numFmtId="14" fontId="4" fillId="0" borderId="0" xfId="0" applyNumberFormat="1" applyFont="1"/>
    <xf numFmtId="3" fontId="38" fillId="0" borderId="18" xfId="0" applyNumberFormat="1" applyFont="1" applyFill="1" applyBorder="1" applyAlignment="1">
      <alignment horizontal="right" vertical="center" wrapText="1"/>
    </xf>
    <xf numFmtId="14" fontId="30" fillId="37" borderId="0" xfId="0" applyNumberFormat="1" applyFont="1" applyFill="1" applyAlignment="1">
      <alignment horizontal="center"/>
    </xf>
    <xf numFmtId="14" fontId="4" fillId="38" borderId="0" xfId="0" applyNumberFormat="1" applyFont="1" applyFill="1"/>
    <xf numFmtId="0" fontId="38" fillId="0" borderId="20" xfId="0" applyFont="1" applyFill="1" applyBorder="1" applyAlignment="1">
      <alignment horizontal="right" vertical="center" wrapText="1"/>
    </xf>
    <xf numFmtId="0" fontId="42" fillId="0" borderId="18" xfId="0" applyFont="1" applyFill="1" applyBorder="1" applyAlignment="1">
      <alignment horizontal="right" vertical="center" wrapText="1"/>
    </xf>
    <xf numFmtId="3" fontId="0" fillId="0" borderId="0" xfId="0" applyNumberFormat="1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38" fillId="0" borderId="21" xfId="0" applyFont="1" applyFill="1" applyBorder="1" applyAlignment="1">
      <alignment horizontal="right" vertical="center" wrapText="1"/>
    </xf>
    <xf numFmtId="0" fontId="2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vertical="center" wrapText="1"/>
    </xf>
    <xf numFmtId="3" fontId="2" fillId="0" borderId="0" xfId="0" applyNumberFormat="1" applyFont="1" applyFill="1" applyAlignment="1">
      <alignment horizontal="right" vertical="center" wrapText="1"/>
    </xf>
    <xf numFmtId="0" fontId="32" fillId="0" borderId="0" xfId="0" applyNumberFormat="1" applyFont="1" applyFill="1" applyAlignment="1">
      <alignment horizontal="left" vertical="center" wrapText="1"/>
    </xf>
    <xf numFmtId="0" fontId="2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right" vertical="top" wrapText="1"/>
    </xf>
    <xf numFmtId="3" fontId="2" fillId="0" borderId="1" xfId="0" applyNumberFormat="1" applyFont="1" applyFill="1" applyBorder="1" applyAlignment="1">
      <alignment horizontal="right" vertical="center" wrapText="1"/>
    </xf>
    <xf numFmtId="3" fontId="36" fillId="0" borderId="1" xfId="0" applyNumberFormat="1" applyFont="1" applyFill="1" applyBorder="1" applyAlignment="1">
      <alignment horizontal="right" vertical="top" wrapText="1"/>
    </xf>
    <xf numFmtId="3" fontId="46" fillId="0" borderId="1" xfId="0" applyNumberFormat="1" applyFont="1" applyFill="1" applyBorder="1" applyAlignment="1">
      <alignment horizontal="right" vertical="top" wrapText="1"/>
    </xf>
    <xf numFmtId="3" fontId="7" fillId="0" borderId="0" xfId="0" applyNumberFormat="1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right" vertical="top" wrapText="1"/>
    </xf>
    <xf numFmtId="3" fontId="46" fillId="0" borderId="0" xfId="0" applyNumberFormat="1" applyFont="1" applyFill="1" applyAlignment="1">
      <alignment horizontal="right" vertical="top" wrapText="1"/>
    </xf>
    <xf numFmtId="0" fontId="5" fillId="0" borderId="0" xfId="0" applyFont="1" applyFill="1" applyAlignment="1">
      <alignment horizontal="center" vertical="center"/>
    </xf>
    <xf numFmtId="14" fontId="46" fillId="0" borderId="0" xfId="0" applyNumberFormat="1" applyFont="1" applyFill="1" applyAlignment="1">
      <alignment horizontal="right" vertical="top" wrapText="1"/>
    </xf>
    <xf numFmtId="14" fontId="36" fillId="0" borderId="1" xfId="0" applyNumberFormat="1" applyFont="1" applyFill="1" applyBorder="1" applyAlignment="1">
      <alignment horizontal="right" vertical="top" wrapText="1"/>
    </xf>
    <xf numFmtId="14" fontId="47" fillId="0" borderId="1" xfId="0" applyNumberFormat="1" applyFont="1" applyFill="1" applyBorder="1" applyAlignment="1">
      <alignment horizontal="right" vertical="top" wrapText="1"/>
    </xf>
    <xf numFmtId="0" fontId="48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vertical="center" wrapText="1"/>
    </xf>
    <xf numFmtId="3" fontId="49" fillId="0" borderId="1" xfId="0" applyNumberFormat="1" applyFont="1" applyFill="1" applyBorder="1" applyAlignment="1">
      <alignment vertical="center" wrapText="1"/>
    </xf>
    <xf numFmtId="3" fontId="48" fillId="0" borderId="1" xfId="0" applyNumberFormat="1" applyFont="1" applyFill="1" applyBorder="1" applyAlignment="1">
      <alignment horizontal="right" vertical="top" wrapText="1"/>
    </xf>
    <xf numFmtId="3" fontId="48" fillId="0" borderId="1" xfId="0" applyNumberFormat="1" applyFont="1" applyFill="1" applyBorder="1" applyAlignment="1">
      <alignment horizontal="right" vertical="center" wrapText="1"/>
    </xf>
    <xf numFmtId="3" fontId="47" fillId="0" borderId="1" xfId="0" applyNumberFormat="1" applyFont="1" applyFill="1" applyBorder="1" applyAlignment="1">
      <alignment horizontal="right" vertical="top" wrapText="1"/>
    </xf>
    <xf numFmtId="3" fontId="51" fillId="0" borderId="1" xfId="0" applyNumberFormat="1" applyFont="1" applyFill="1" applyBorder="1" applyAlignment="1">
      <alignment horizontal="right" vertical="top" wrapText="1"/>
    </xf>
    <xf numFmtId="14" fontId="51" fillId="0" borderId="0" xfId="0" applyNumberFormat="1" applyFont="1" applyFill="1" applyAlignment="1">
      <alignment horizontal="right" vertical="top" wrapText="1"/>
    </xf>
    <xf numFmtId="0" fontId="48" fillId="0" borderId="0" xfId="0" applyNumberFormat="1" applyFont="1" applyFill="1" applyAlignment="1">
      <alignment horizontal="center" vertical="center" wrapText="1"/>
    </xf>
    <xf numFmtId="0" fontId="50" fillId="0" borderId="0" xfId="0" applyNumberFormat="1" applyFont="1" applyFill="1" applyAlignment="1">
      <alignment horizontal="left" vertical="center" wrapText="1"/>
    </xf>
    <xf numFmtId="3" fontId="48" fillId="0" borderId="0" xfId="0" applyNumberFormat="1" applyFont="1" applyFill="1" applyAlignment="1">
      <alignment vertical="center" wrapText="1"/>
    </xf>
    <xf numFmtId="3" fontId="49" fillId="0" borderId="0" xfId="0" applyNumberFormat="1" applyFont="1" applyFill="1" applyAlignment="1">
      <alignment horizontal="center" vertical="center" wrapText="1"/>
    </xf>
    <xf numFmtId="3" fontId="49" fillId="0" borderId="0" xfId="0" applyNumberFormat="1" applyFont="1" applyFill="1" applyAlignment="1">
      <alignment horizontal="right" vertical="top" wrapText="1"/>
    </xf>
    <xf numFmtId="3" fontId="48" fillId="0" borderId="0" xfId="0" applyNumberFormat="1" applyFont="1" applyFill="1" applyAlignment="1">
      <alignment horizontal="right" vertical="center" wrapText="1"/>
    </xf>
    <xf numFmtId="3" fontId="51" fillId="0" borderId="0" xfId="0" applyNumberFormat="1" applyFont="1" applyFill="1" applyAlignment="1">
      <alignment horizontal="right" vertical="top" wrapText="1"/>
    </xf>
    <xf numFmtId="0" fontId="5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2" fillId="0" borderId="1" xfId="0" applyNumberFormat="1" applyFont="1" applyFill="1" applyBorder="1" applyAlignment="1">
      <alignment horizontal="center" vertical="center" wrapText="1"/>
    </xf>
    <xf numFmtId="0" fontId="52" fillId="0" borderId="0" xfId="0" applyFont="1" applyBorder="1" applyAlignment="1">
      <alignment horizontal="right" vertical="center" wrapText="1"/>
    </xf>
    <xf numFmtId="0" fontId="53" fillId="0" borderId="0" xfId="0" applyFont="1" applyBorder="1" applyAlignment="1">
      <alignment vertical="center" wrapText="1"/>
    </xf>
    <xf numFmtId="0" fontId="52" fillId="0" borderId="0" xfId="0" applyFont="1" applyBorder="1" applyAlignment="1">
      <alignment horizontal="center" vertical="center" wrapText="1"/>
    </xf>
    <xf numFmtId="3" fontId="52" fillId="0" borderId="0" xfId="0" applyNumberFormat="1" applyFont="1" applyBorder="1" applyAlignment="1">
      <alignment horizontal="right" vertical="center" wrapText="1"/>
    </xf>
    <xf numFmtId="3" fontId="53" fillId="0" borderId="0" xfId="0" applyNumberFormat="1" applyFont="1" applyBorder="1" applyAlignment="1">
      <alignment vertical="center" wrapText="1"/>
    </xf>
    <xf numFmtId="3" fontId="53" fillId="0" borderId="0" xfId="0" applyNumberFormat="1" applyFont="1" applyBorder="1" applyAlignment="1">
      <alignment horizontal="right" vertical="center" wrapText="1"/>
    </xf>
    <xf numFmtId="3" fontId="2" fillId="0" borderId="1" xfId="0" applyNumberFormat="1" applyFont="1" applyFill="1" applyBorder="1" applyAlignment="1">
      <alignment horizontal="left" vertical="center" wrapText="1"/>
    </xf>
    <xf numFmtId="3" fontId="2" fillId="0" borderId="0" xfId="0" applyNumberFormat="1" applyFont="1" applyFill="1" applyAlignment="1">
      <alignment horizontal="left" vertical="center" wrapText="1"/>
    </xf>
    <xf numFmtId="0" fontId="34" fillId="3" borderId="15" xfId="0" applyFont="1" applyFill="1" applyBorder="1" applyAlignment="1">
      <alignment horizontal="center" vertical="center"/>
    </xf>
    <xf numFmtId="0" fontId="34" fillId="3" borderId="19" xfId="0" applyFont="1" applyFill="1" applyBorder="1" applyAlignment="1">
      <alignment horizontal="center" vertical="center"/>
    </xf>
    <xf numFmtId="0" fontId="34" fillId="3" borderId="16" xfId="0" applyFont="1" applyFill="1" applyBorder="1" applyAlignment="1">
      <alignment horizontal="center" vertical="center"/>
    </xf>
    <xf numFmtId="0" fontId="34" fillId="3" borderId="17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center" vertical="center"/>
    </xf>
    <xf numFmtId="0" fontId="34" fillId="3" borderId="13" xfId="0" applyFont="1" applyFill="1" applyBorder="1" applyAlignment="1">
      <alignment horizontal="center" vertical="center"/>
    </xf>
    <xf numFmtId="14" fontId="55" fillId="0" borderId="0" xfId="0" applyNumberFormat="1" applyFont="1" applyFill="1" applyAlignment="1">
      <alignment horizontal="right" vertical="top" wrapText="1"/>
    </xf>
    <xf numFmtId="0" fontId="56" fillId="0" borderId="0" xfId="0" applyNumberFormat="1" applyFont="1" applyFill="1" applyAlignment="1">
      <alignment horizontal="center" vertical="center" wrapText="1"/>
    </xf>
    <xf numFmtId="0" fontId="57" fillId="0" borderId="0" xfId="0" applyNumberFormat="1" applyFont="1" applyFill="1" applyAlignment="1">
      <alignment vertical="center" wrapText="1"/>
    </xf>
    <xf numFmtId="3" fontId="56" fillId="0" borderId="0" xfId="0" applyNumberFormat="1" applyFont="1" applyFill="1" applyAlignment="1">
      <alignment horizontal="right" vertical="center" wrapText="1"/>
    </xf>
    <xf numFmtId="3" fontId="56" fillId="0" borderId="0" xfId="0" applyNumberFormat="1" applyFont="1" applyFill="1" applyAlignment="1">
      <alignment vertical="center" wrapText="1"/>
    </xf>
    <xf numFmtId="3" fontId="56" fillId="0" borderId="0" xfId="0" applyNumberFormat="1" applyFont="1" applyFill="1" applyAlignment="1">
      <alignment horizontal="right" vertical="top" wrapText="1"/>
    </xf>
    <xf numFmtId="3" fontId="58" fillId="0" borderId="0" xfId="0" applyNumberFormat="1" applyFont="1" applyFill="1" applyAlignment="1">
      <alignment horizontal="right" vertical="top" wrapText="1"/>
    </xf>
    <xf numFmtId="3" fontId="59" fillId="0" borderId="0" xfId="0" applyNumberFormat="1" applyFont="1" applyFill="1" applyAlignment="1">
      <alignment horizontal="right" vertical="top" wrapText="1"/>
    </xf>
    <xf numFmtId="0" fontId="60" fillId="0" borderId="1" xfId="0" applyFont="1" applyBorder="1" applyAlignment="1">
      <alignment horizontal="right" vertical="center" wrapText="1"/>
    </xf>
    <xf numFmtId="0" fontId="61" fillId="0" borderId="1" xfId="0" applyFont="1" applyBorder="1" applyAlignment="1">
      <alignment vertical="center" wrapText="1"/>
    </xf>
    <xf numFmtId="0" fontId="60" fillId="0" borderId="1" xfId="0" applyFont="1" applyBorder="1" applyAlignment="1">
      <alignment horizontal="center" vertical="center" wrapText="1"/>
    </xf>
    <xf numFmtId="3" fontId="60" fillId="0" borderId="1" xfId="0" applyNumberFormat="1" applyFont="1" applyBorder="1" applyAlignment="1">
      <alignment horizontal="right" vertical="center" wrapText="1"/>
    </xf>
    <xf numFmtId="3" fontId="61" fillId="0" borderId="1" xfId="0" applyNumberFormat="1" applyFont="1" applyBorder="1" applyAlignment="1">
      <alignment vertical="center" wrapText="1"/>
    </xf>
    <xf numFmtId="3" fontId="61" fillId="0" borderId="1" xfId="0" applyNumberFormat="1" applyFont="1" applyBorder="1" applyAlignment="1">
      <alignment horizontal="right" vertical="center" wrapText="1"/>
    </xf>
    <xf numFmtId="0" fontId="63" fillId="3" borderId="0" xfId="0" applyFont="1" applyFill="1" applyBorder="1" applyAlignment="1">
      <alignment horizontal="left" vertical="center"/>
    </xf>
    <xf numFmtId="0" fontId="34" fillId="3" borderId="19" xfId="0" applyFont="1" applyFill="1" applyBorder="1" applyAlignment="1">
      <alignment horizontal="left" vertical="center"/>
    </xf>
    <xf numFmtId="0" fontId="64" fillId="37" borderId="23" xfId="0" applyFont="1" applyFill="1" applyBorder="1" applyAlignment="1">
      <alignment horizontal="center" vertical="center"/>
    </xf>
    <xf numFmtId="0" fontId="34" fillId="3" borderId="12" xfId="0" applyFont="1" applyFill="1" applyBorder="1" applyAlignment="1">
      <alignment horizontal="left" vertical="center"/>
    </xf>
    <xf numFmtId="0" fontId="34" fillId="3" borderId="24" xfId="0" applyFont="1" applyFill="1" applyBorder="1" applyAlignment="1">
      <alignment horizontal="left" vertical="center"/>
    </xf>
    <xf numFmtId="0" fontId="37" fillId="2" borderId="18" xfId="0" applyFont="1" applyFill="1" applyBorder="1" applyAlignment="1">
      <alignment horizontal="left" vertical="center" wrapText="1"/>
    </xf>
    <xf numFmtId="0" fontId="35" fillId="0" borderId="26" xfId="0" applyFont="1" applyBorder="1"/>
    <xf numFmtId="0" fontId="34" fillId="3" borderId="16" xfId="0" applyFont="1" applyFill="1" applyBorder="1" applyAlignment="1">
      <alignment horizontal="right" vertical="center"/>
    </xf>
    <xf numFmtId="0" fontId="35" fillId="0" borderId="0" xfId="0" applyFont="1"/>
    <xf numFmtId="0" fontId="65" fillId="0" borderId="0" xfId="0" applyFont="1"/>
    <xf numFmtId="0" fontId="34" fillId="41" borderId="25" xfId="0" applyFont="1" applyFill="1" applyBorder="1" applyAlignment="1">
      <alignment horizontal="center" vertical="center"/>
    </xf>
    <xf numFmtId="0" fontId="34" fillId="41" borderId="13" xfId="0" applyFont="1" applyFill="1" applyBorder="1" applyAlignment="1">
      <alignment horizontal="center" vertical="center"/>
    </xf>
    <xf numFmtId="0" fontId="66" fillId="0" borderId="26" xfId="0" applyFont="1" applyBorder="1"/>
    <xf numFmtId="0" fontId="66" fillId="0" borderId="0" xfId="0" applyFont="1" applyAlignment="1">
      <alignment horizontal="center" vertical="center"/>
    </xf>
    <xf numFmtId="0" fontId="66" fillId="40" borderId="0" xfId="0" applyFont="1" applyFill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39" borderId="22" xfId="0" applyFont="1" applyFill="1" applyBorder="1" applyAlignment="1">
      <alignment horizontal="center" vertical="center"/>
    </xf>
  </cellXfs>
  <cellStyles count="47">
    <cellStyle name="20 % - Accent1" xfId="24" builtinId="30" customBuiltin="1"/>
    <cellStyle name="20 % - Accent2" xfId="28" builtinId="34" customBuiltin="1"/>
    <cellStyle name="20 % - Accent3" xfId="32" builtinId="38" customBuiltin="1"/>
    <cellStyle name="20 % - Accent4" xfId="36" builtinId="42" customBuiltin="1"/>
    <cellStyle name="20 % - Accent5" xfId="40" builtinId="46" customBuiltin="1"/>
    <cellStyle name="20 % - Accent6" xfId="44" builtinId="50" customBuiltin="1"/>
    <cellStyle name="40 % - Accent1" xfId="25" builtinId="31" customBuiltin="1"/>
    <cellStyle name="40 % - Accent2" xfId="29" builtinId="35" customBuiltin="1"/>
    <cellStyle name="40 % - Accent3" xfId="33" builtinId="39" customBuiltin="1"/>
    <cellStyle name="40 % - Accent4" xfId="37" builtinId="43" customBuiltin="1"/>
    <cellStyle name="40 % - Accent5" xfId="41" builtinId="47" customBuiltin="1"/>
    <cellStyle name="40 % - Accent6" xfId="45" builtinId="51" customBuiltin="1"/>
    <cellStyle name="60 % - Accent1" xfId="26" builtinId="32" customBuiltin="1"/>
    <cellStyle name="60 % - Accent2" xfId="30" builtinId="36" customBuiltin="1"/>
    <cellStyle name="60 % - Accent3" xfId="34" builtinId="40" customBuiltin="1"/>
    <cellStyle name="60 % - Accent4" xfId="38" builtinId="44" customBuiltin="1"/>
    <cellStyle name="60 % - Accent5" xfId="42" builtinId="48" customBuiltin="1"/>
    <cellStyle name="60 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Milliers" xfId="1" builtinId="3" customBuiltin="1"/>
    <cellStyle name="Milliers [0]" xfId="2" builtinId="6" customBuiltin="1"/>
    <cellStyle name="Monétaire" xfId="3" builtinId="4" customBuiltin="1"/>
    <cellStyle name="Monétaire [0]" xfId="4" builtinId="7" customBuiltin="1"/>
    <cellStyle name="Neutre" xfId="13" builtinId="28" customBuiltin="1"/>
    <cellStyle name="Normal" xfId="0" builtinId="0" customBuiltin="1"/>
    <cellStyle name="Pourcentage" xfId="5" builtinId="5" customBuiltin="1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365"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numFmt numFmtId="3" formatCode="#,##0"/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3"/>
        <name val="Franklin Gothic Book"/>
        <scheme val="minor"/>
      </font>
      <alignment horizontal="right" vertical="center" textRotation="0" wrapText="1" indent="0" justifyLastLine="0" shrinkToFit="0" readingOrder="0"/>
      <border diagonalUp="0" diagonalDown="0" outline="0">
        <left/>
        <right/>
        <top/>
        <bottom style="thick">
          <color theme="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rgb="FFCBD5E1"/>
        </left>
        <right style="thin">
          <color rgb="FFCBD5E1"/>
        </right>
        <top style="thin">
          <color rgb="FFCBD5E1"/>
        </top>
        <bottom style="thin">
          <color rgb="FFCBD5E1"/>
        </bottom>
        <vertical/>
        <horizontal/>
      </border>
    </dxf>
    <dxf>
      <border outline="0">
        <bottom style="thin">
          <color rgb="FFCBD5E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ranklin Gothic Book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numFmt numFmtId="19" formatCode="dd/mm/yyyy"/>
      <fill>
        <patternFill patternType="none">
          <fgColor indexed="64"/>
          <bgColor auto="1"/>
        </patternFill>
      </fill>
      <alignment horizontal="righ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3"/>
        <name val="Franklin Gothic Book"/>
        <scheme val="minor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Arial"/>
      </font>
      <fill>
        <patternFill patternType="none">
          <fgColor indexed="64"/>
          <bgColor auto="1"/>
        </patternFill>
      </fill>
      <alignment vertical="top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Franklin Gothic Book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AEAEA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990000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B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2" name="Flèche gauche 1"/>
        <xdr:cNvSpPr/>
      </xdr:nvSpPr>
      <xdr:spPr>
        <a:xfrm>
          <a:off x="175260" y="1045845"/>
          <a:ext cx="1351788" cy="478917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3" name="Flèche droite 2"/>
        <xdr:cNvSpPr/>
      </xdr:nvSpPr>
      <xdr:spPr>
        <a:xfrm>
          <a:off x="2592705" y="1076325"/>
          <a:ext cx="1274445" cy="478917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144781</xdr:colOff>
      <xdr:row>1</xdr:row>
      <xdr:rowOff>91440</xdr:rowOff>
    </xdr:from>
    <xdr:to>
      <xdr:col>10</xdr:col>
      <xdr:colOff>350520</xdr:colOff>
      <xdr:row>3</xdr:row>
      <xdr:rowOff>175260</xdr:rowOff>
    </xdr:to>
    <xdr:sp macro="[0]!Appel_Form" textlink="">
      <xdr:nvSpPr>
        <xdr:cNvPr id="4" name="Organigramme : Alternative 3"/>
        <xdr:cNvSpPr/>
      </xdr:nvSpPr>
      <xdr:spPr>
        <a:xfrm>
          <a:off x="6097906" y="281940"/>
          <a:ext cx="3310889" cy="109347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2</xdr:col>
      <xdr:colOff>800100</xdr:colOff>
      <xdr:row>16</xdr:row>
      <xdr:rowOff>161926</xdr:rowOff>
    </xdr:from>
    <xdr:to>
      <xdr:col>13</xdr:col>
      <xdr:colOff>542925</xdr:colOff>
      <xdr:row>19</xdr:row>
      <xdr:rowOff>9526</xdr:rowOff>
    </xdr:to>
    <xdr:sp macro="" textlink="">
      <xdr:nvSpPr>
        <xdr:cNvPr id="5" name="Rectangle 4"/>
        <xdr:cNvSpPr/>
      </xdr:nvSpPr>
      <xdr:spPr>
        <a:xfrm>
          <a:off x="2324100" y="3705226"/>
          <a:ext cx="9439275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Ici,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plus rien à faire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175260</xdr:colOff>
      <xdr:row>2</xdr:row>
      <xdr:rowOff>350520</xdr:rowOff>
    </xdr:from>
    <xdr:to>
      <xdr:col>1</xdr:col>
      <xdr:colOff>1222248</xdr:colOff>
      <xdr:row>4</xdr:row>
      <xdr:rowOff>134112</xdr:rowOff>
    </xdr:to>
    <xdr:sp macro="[0]!Feuil1.JourPrecedent" textlink="">
      <xdr:nvSpPr>
        <xdr:cNvPr id="3" name="Flèche gauche 2"/>
        <xdr:cNvSpPr/>
      </xdr:nvSpPr>
      <xdr:spPr>
        <a:xfrm>
          <a:off x="175260" y="1051560"/>
          <a:ext cx="1389888" cy="484632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Précédent</a:t>
          </a:r>
        </a:p>
      </xdr:txBody>
    </xdr:sp>
    <xdr:clientData/>
  </xdr:twoCellAnchor>
  <xdr:twoCellAnchor>
    <xdr:from>
      <xdr:col>3</xdr:col>
      <xdr:colOff>68580</xdr:colOff>
      <xdr:row>2</xdr:row>
      <xdr:rowOff>381000</xdr:rowOff>
    </xdr:from>
    <xdr:to>
      <xdr:col>4</xdr:col>
      <xdr:colOff>304800</xdr:colOff>
      <xdr:row>4</xdr:row>
      <xdr:rowOff>164592</xdr:rowOff>
    </xdr:to>
    <xdr:sp macro="[0]!Feuil1.JourSuivant" textlink="">
      <xdr:nvSpPr>
        <xdr:cNvPr id="4" name="Flèche droite 3"/>
        <xdr:cNvSpPr/>
      </xdr:nvSpPr>
      <xdr:spPr>
        <a:xfrm>
          <a:off x="2667000" y="1082040"/>
          <a:ext cx="1303020" cy="484632"/>
        </a:xfrm>
        <a:prstGeom prst="rightArrow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Jour Suivant</a:t>
          </a:r>
        </a:p>
      </xdr:txBody>
    </xdr:sp>
    <xdr:clientData/>
  </xdr:twoCellAnchor>
  <xdr:twoCellAnchor>
    <xdr:from>
      <xdr:col>7</xdr:col>
      <xdr:colOff>495300</xdr:colOff>
      <xdr:row>1</xdr:row>
      <xdr:rowOff>91440</xdr:rowOff>
    </xdr:from>
    <xdr:to>
      <xdr:col>10</xdr:col>
      <xdr:colOff>350520</xdr:colOff>
      <xdr:row>2</xdr:row>
      <xdr:rowOff>409575</xdr:rowOff>
    </xdr:to>
    <xdr:sp macro="[0]!Appel_Form" textlink="">
      <xdr:nvSpPr>
        <xdr:cNvPr id="2" name="Organigramme : Alternative 1"/>
        <xdr:cNvSpPr/>
      </xdr:nvSpPr>
      <xdr:spPr>
        <a:xfrm>
          <a:off x="6448425" y="281940"/>
          <a:ext cx="2960370" cy="822960"/>
        </a:xfrm>
        <a:prstGeom prst="flowChartAlternateProcess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solidFill>
                <a:srgbClr val="FF0000"/>
              </a:solidFill>
            </a:rPr>
            <a:t>APPEL FORMULAIRE</a:t>
          </a:r>
        </a:p>
        <a:p>
          <a:pPr algn="ctr"/>
          <a:r>
            <a:rPr lang="fr-FR" sz="2400">
              <a:solidFill>
                <a:srgbClr val="FF0000"/>
              </a:solidFill>
            </a:rPr>
            <a:t>de SAISIE</a:t>
          </a:r>
        </a:p>
      </xdr:txBody>
    </xdr:sp>
    <xdr:clientData/>
  </xdr:twoCellAnchor>
  <xdr:twoCellAnchor>
    <xdr:from>
      <xdr:col>1</xdr:col>
      <xdr:colOff>104775</xdr:colOff>
      <xdr:row>17</xdr:row>
      <xdr:rowOff>19050</xdr:rowOff>
    </xdr:from>
    <xdr:to>
      <xdr:col>13</xdr:col>
      <xdr:colOff>476250</xdr:colOff>
      <xdr:row>21</xdr:row>
      <xdr:rowOff>19049</xdr:rowOff>
    </xdr:to>
    <xdr:sp macro="" textlink="">
      <xdr:nvSpPr>
        <xdr:cNvPr id="5" name="Rectangle 4"/>
        <xdr:cNvSpPr/>
      </xdr:nvSpPr>
      <xdr:spPr>
        <a:xfrm>
          <a:off x="438150" y="3667125"/>
          <a:ext cx="11258550" cy="6857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Une fois l'entreprise et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la date renseignées, la macro extrait les éléments (de l'entreprise à la date sélectionnée et renseigne ici, ligne par ligne et selon les entêtes)</a:t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/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Puis après la dernière ligne, ajoute les totaux comme simulé ci-dessus, sachant que la hauteur des données peut être variable, je m'occuperai de la numérotation incrémentée du journal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114300</xdr:colOff>
      <xdr:row>21</xdr:row>
      <xdr:rowOff>114300</xdr:rowOff>
    </xdr:from>
    <xdr:to>
      <xdr:col>13</xdr:col>
      <xdr:colOff>485775</xdr:colOff>
      <xdr:row>26</xdr:row>
      <xdr:rowOff>28575</xdr:rowOff>
    </xdr:to>
    <xdr:sp macro="" textlink="">
      <xdr:nvSpPr>
        <xdr:cNvPr id="6" name="Rectangle 5"/>
        <xdr:cNvSpPr/>
      </xdr:nvSpPr>
      <xdr:spPr>
        <a:xfrm>
          <a:off x="447675" y="4448175"/>
          <a:ext cx="11258550" cy="771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Normalement</a:t>
          </a: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pour les opérations d'encaissements, les niveaux de ventilation sont juste soit AG, Banque, Autres tandit que les décaissements peuvent englober tous ces niveaux de ventiltion. Peux-tu me créer un petit formulaire de mouvements d'approvisionnement entre les caisses (Date, Caisse émettrice, Caisse réceptrice, Montant, Ventilation), à l'issue de l'opération, la caisse émettrice subit un décaissement et la caisse réceptrice recoit cet encaissement? </a:t>
          </a:r>
          <a:b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</a:br>
          <a:r>
            <a:rPr lang="fr-FR" sz="1100" b="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Vraiment Optionnel hein, STP  </a:t>
          </a:r>
          <a:endParaRPr lang="fr-FR" sz="11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161925</xdr:rowOff>
    </xdr:from>
    <xdr:to>
      <xdr:col>5</xdr:col>
      <xdr:colOff>1295400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2990850" y="161925"/>
          <a:ext cx="53149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34291</xdr:colOff>
      <xdr:row>10</xdr:row>
      <xdr:rowOff>167640</xdr:rowOff>
    </xdr:from>
    <xdr:to>
      <xdr:col>4</xdr:col>
      <xdr:colOff>419101</xdr:colOff>
      <xdr:row>16</xdr:row>
      <xdr:rowOff>1905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3036571" y="2971800"/>
          <a:ext cx="284607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15241</xdr:colOff>
      <xdr:row>10</xdr:row>
      <xdr:rowOff>144780</xdr:rowOff>
    </xdr:from>
    <xdr:to>
      <xdr:col>2</xdr:col>
      <xdr:colOff>1318261</xdr:colOff>
      <xdr:row>15</xdr:row>
      <xdr:rowOff>154305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358141" y="2743200"/>
          <a:ext cx="252984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47625</xdr:colOff>
      <xdr:row>0</xdr:row>
      <xdr:rowOff>161925</xdr:rowOff>
    </xdr:from>
    <xdr:to>
      <xdr:col>6</xdr:col>
      <xdr:colOff>340995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2962275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10</xdr:row>
      <xdr:rowOff>152400</xdr:rowOff>
    </xdr:from>
    <xdr:to>
      <xdr:col>5</xdr:col>
      <xdr:colOff>203835</xdr:colOff>
      <xdr:row>15</xdr:row>
      <xdr:rowOff>161925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3006090" y="2720340"/>
          <a:ext cx="333946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10</xdr:row>
      <xdr:rowOff>137160</xdr:rowOff>
    </xdr:from>
    <xdr:to>
      <xdr:col>2</xdr:col>
      <xdr:colOff>1402080</xdr:colOff>
      <xdr:row>15</xdr:row>
      <xdr:rowOff>152400</xdr:rowOff>
    </xdr:to>
    <xdr:sp macro="" textlink="">
      <xdr:nvSpPr>
        <xdr:cNvPr id="5" name="Rectangle 4"/>
        <xdr:cNvSpPr/>
      </xdr:nvSpPr>
      <xdr:spPr>
        <a:xfrm>
          <a:off x="342900" y="2910840"/>
          <a:ext cx="2628900" cy="89154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3810</xdr:colOff>
      <xdr:row>11</xdr:row>
      <xdr:rowOff>0</xdr:rowOff>
    </xdr:from>
    <xdr:to>
      <xdr:col>5</xdr:col>
      <xdr:colOff>203835</xdr:colOff>
      <xdr:row>16</xdr:row>
      <xdr:rowOff>9525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/>
      </xdr:nvSpPr>
      <xdr:spPr>
        <a:xfrm>
          <a:off x="3006090" y="253746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</xdr:colOff>
      <xdr:row>11</xdr:row>
      <xdr:rowOff>0</xdr:rowOff>
    </xdr:from>
    <xdr:to>
      <xdr:col>2</xdr:col>
      <xdr:colOff>1325881</xdr:colOff>
      <xdr:row>16</xdr:row>
      <xdr:rowOff>9525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42901" y="2537460"/>
          <a:ext cx="255270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11</xdr:row>
      <xdr:rowOff>22860</xdr:rowOff>
    </xdr:from>
    <xdr:to>
      <xdr:col>2</xdr:col>
      <xdr:colOff>1409701</xdr:colOff>
      <xdr:row>16</xdr:row>
      <xdr:rowOff>32385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/>
      </xdr:nvSpPr>
      <xdr:spPr>
        <a:xfrm>
          <a:off x="331471" y="2560320"/>
          <a:ext cx="26479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11</xdr:row>
      <xdr:rowOff>22860</xdr:rowOff>
    </xdr:from>
    <xdr:to>
      <xdr:col>5</xdr:col>
      <xdr:colOff>249555</xdr:colOff>
      <xdr:row>16</xdr:row>
      <xdr:rowOff>32385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/>
      </xdr:nvSpPr>
      <xdr:spPr>
        <a:xfrm>
          <a:off x="3051810" y="25603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152400</xdr:rowOff>
    </xdr:from>
    <xdr:to>
      <xdr:col>5</xdr:col>
      <xdr:colOff>1619250</xdr:colOff>
      <xdr:row>1</xdr:row>
      <xdr:rowOff>466725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2952750" y="15240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316231</xdr:colOff>
      <xdr:row>10</xdr:row>
      <xdr:rowOff>121920</xdr:rowOff>
    </xdr:from>
    <xdr:to>
      <xdr:col>2</xdr:col>
      <xdr:colOff>1341121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316231" y="2484120"/>
          <a:ext cx="259461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34290</xdr:colOff>
      <xdr:row>10</xdr:row>
      <xdr:rowOff>144780</xdr:rowOff>
    </xdr:from>
    <xdr:to>
      <xdr:col>5</xdr:col>
      <xdr:colOff>234315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303657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57150</xdr:colOff>
      <xdr:row>0</xdr:row>
      <xdr:rowOff>161925</xdr:rowOff>
    </xdr:from>
    <xdr:to>
      <xdr:col>5</xdr:col>
      <xdr:colOff>1638300</xdr:colOff>
      <xdr:row>1</xdr:row>
      <xdr:rowOff>476250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2971800" y="16192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3</xdr:col>
      <xdr:colOff>64770</xdr:colOff>
      <xdr:row>10</xdr:row>
      <xdr:rowOff>144780</xdr:rowOff>
    </xdr:from>
    <xdr:to>
      <xdr:col>5</xdr:col>
      <xdr:colOff>264795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SpPr/>
      </xdr:nvSpPr>
      <xdr:spPr>
        <a:xfrm>
          <a:off x="3067050" y="250698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323851</xdr:colOff>
      <xdr:row>10</xdr:row>
      <xdr:rowOff>129540</xdr:rowOff>
    </xdr:from>
    <xdr:to>
      <xdr:col>2</xdr:col>
      <xdr:colOff>1379221</xdr:colOff>
      <xdr:row>15</xdr:row>
      <xdr:rowOff>139065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SpPr/>
      </xdr:nvSpPr>
      <xdr:spPr>
        <a:xfrm>
          <a:off x="323851" y="2491740"/>
          <a:ext cx="262509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76200</xdr:colOff>
      <xdr:row>0</xdr:row>
      <xdr:rowOff>142875</xdr:rowOff>
    </xdr:from>
    <xdr:to>
      <xdr:col>5</xdr:col>
      <xdr:colOff>1657350</xdr:colOff>
      <xdr:row>1</xdr:row>
      <xdr:rowOff>457200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SpPr/>
      </xdr:nvSpPr>
      <xdr:spPr>
        <a:xfrm>
          <a:off x="2990850" y="142875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1</xdr:col>
      <xdr:colOff>3811</xdr:colOff>
      <xdr:row>10</xdr:row>
      <xdr:rowOff>121920</xdr:rowOff>
    </xdr:from>
    <xdr:to>
      <xdr:col>2</xdr:col>
      <xdr:colOff>1386841</xdr:colOff>
      <xdr:row>15</xdr:row>
      <xdr:rowOff>131445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SpPr/>
      </xdr:nvSpPr>
      <xdr:spPr>
        <a:xfrm>
          <a:off x="346711" y="2484120"/>
          <a:ext cx="260985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49530</xdr:colOff>
      <xdr:row>10</xdr:row>
      <xdr:rowOff>121920</xdr:rowOff>
    </xdr:from>
    <xdr:to>
      <xdr:col>5</xdr:col>
      <xdr:colOff>249555</xdr:colOff>
      <xdr:row>15</xdr:row>
      <xdr:rowOff>131445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SpPr/>
      </xdr:nvSpPr>
      <xdr:spPr>
        <a:xfrm>
          <a:off x="3051810" y="24841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0</xdr:row>
      <xdr:rowOff>171450</xdr:rowOff>
    </xdr:from>
    <xdr:to>
      <xdr:col>5</xdr:col>
      <xdr:colOff>1619250</xdr:colOff>
      <xdr:row>1</xdr:row>
      <xdr:rowOff>485775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SpPr/>
      </xdr:nvSpPr>
      <xdr:spPr>
        <a:xfrm>
          <a:off x="2952750" y="171450"/>
          <a:ext cx="469582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3200" b="1" cap="none" spc="0">
              <a:ln>
                <a:noFill/>
              </a:ln>
              <a:solidFill>
                <a:schemeClr val="tx1"/>
              </a:solidFill>
              <a:effectLst/>
            </a:rPr>
            <a:t>JOURNAL DE CAISSE</a:t>
          </a:r>
        </a:p>
      </xdr:txBody>
    </xdr:sp>
    <xdr:clientData/>
  </xdr:twoCellAnchor>
  <xdr:twoCellAnchor>
    <xdr:from>
      <xdr:col>0</xdr:col>
      <xdr:colOff>331471</xdr:colOff>
      <xdr:row>10</xdr:row>
      <xdr:rowOff>144780</xdr:rowOff>
    </xdr:from>
    <xdr:to>
      <xdr:col>2</xdr:col>
      <xdr:colOff>1325881</xdr:colOff>
      <xdr:row>15</xdr:row>
      <xdr:rowOff>154305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SpPr/>
      </xdr:nvSpPr>
      <xdr:spPr>
        <a:xfrm>
          <a:off x="331471" y="2506980"/>
          <a:ext cx="2564130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41910</xdr:colOff>
      <xdr:row>10</xdr:row>
      <xdr:rowOff>160020</xdr:rowOff>
    </xdr:from>
    <xdr:to>
      <xdr:col>5</xdr:col>
      <xdr:colOff>241935</xdr:colOff>
      <xdr:row>15</xdr:row>
      <xdr:rowOff>169545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00000000-0008-0000-0800-000005000000}"/>
            </a:ext>
          </a:extLst>
        </xdr:cNvPr>
        <xdr:cNvSpPr/>
      </xdr:nvSpPr>
      <xdr:spPr>
        <a:xfrm>
          <a:off x="3044190" y="2522220"/>
          <a:ext cx="3400425" cy="88582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_Capi" displayName="T_Capi" ref="B6:V9" totalsRowCount="1" headerRowDxfId="364" dataDxfId="363" totalsRowDxfId="362">
  <tableColumns count="21">
    <tableColumn id="21" name="Date" dataDxfId="361" totalsRowDxfId="168"/>
    <tableColumn id="1" name="N° pièce" totalsRowLabel="Total" dataDxfId="360" totalsRowDxfId="167"/>
    <tableColumn id="2" name="Libellé de l'opération" totalsRowFunction="count" dataDxfId="359" totalsRowDxfId="166"/>
    <tableColumn id="3" name="Encaissement" totalsRowFunction="sum" dataDxfId="358" totalsRowDxfId="165"/>
    <tableColumn id="4" name="Décaissement" totalsRowFunction="sum" dataDxfId="357" totalsRowDxfId="164"/>
    <tableColumn id="5" name="Solde" totalsRowFunction="sum" dataDxfId="356" totalsRowDxfId="163">
      <calculatedColumnFormula>D4+T_Capi[[#This Row],[Encaissement]]-T_Capi[[#This Row],[Décaissement]]</calculatedColumnFormula>
    </tableColumn>
    <tableColumn id="11" name="AG" totalsRowFunction="sum" dataDxfId="355" totalsRowDxfId="162"/>
    <tableColumn id="8" name="Carburant" totalsRowFunction="sum" dataDxfId="354" totalsRowDxfId="161"/>
    <tableColumn id="7" name="Missions/MinCce" totalsRowFunction="sum" dataDxfId="353" totalsRowDxfId="160"/>
    <tableColumn id="6" name="Taxi/peage/PAD" totalsRowFunction="sum" dataDxfId="352" totalsRowDxfId="159"/>
    <tableColumn id="16" name="Télécom" totalsRowFunction="sum" dataDxfId="351" totalsRowDxfId="158"/>
    <tableColumn id="9" name="Entretien" totalsRowFunction="sum" dataDxfId="350" totalsRowDxfId="157"/>
    <tableColumn id="17" name="Electricité" totalsRowFunction="sum" dataDxfId="349" totalsRowDxfId="156"/>
    <tableColumn id="18" name="Eau" totalsRowFunction="sum" dataDxfId="348" totalsRowDxfId="155"/>
    <tableColumn id="13" name="Impot/Cnps" totalsRowFunction="sum" dataDxfId="347" totalsRowDxfId="154"/>
    <tableColumn id="15" name="Loyer" totalsRowFunction="sum" dataDxfId="346" totalsRowDxfId="153"/>
    <tableColumn id="12" name="Banque" totalsRowFunction="sum" dataDxfId="345" totalsRowDxfId="152"/>
    <tableColumn id="10" name="Mat., mob." totalsRowFunction="sum" dataDxfId="344" totalsRowDxfId="151"/>
    <tableColumn id="14" name="Salaire" totalsRowFunction="sum" dataDxfId="343" totalsRowDxfId="150"/>
    <tableColumn id="19" name="Autres" totalsRowFunction="sum" dataDxfId="342" totalsRowDxfId="149"/>
    <tableColumn id="20" name="Total" totalsRowFunction="sum" dataDxfId="341" totalsRowDxfId="148">
      <calculatedColumnFormula>SUM(T_Capi[[#This Row],[AG]:[Autres]])</calculatedColumnFormula>
    </tableColumn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id="10" name="T_Giccopacam" displayName="T_Giccopacam" ref="B6:V8" totalsRowCount="1" headerRowDxfId="340" dataDxfId="339" totalsRowDxfId="338">
  <tableColumns count="21">
    <tableColumn id="21" name="Date" dataDxfId="337" totalsRowDxfId="147"/>
    <tableColumn id="1" name="N° pièce" totalsRowLabel="Total" dataDxfId="336" totalsRowDxfId="146"/>
    <tableColumn id="2" name="Libellé de l'opération" totalsRowFunction="count" dataDxfId="335" totalsRowDxfId="145"/>
    <tableColumn id="3" name="Encaissement" totalsRowFunction="sum" dataDxfId="334" totalsRowDxfId="144"/>
    <tableColumn id="4" name="Décaissement" totalsRowFunction="sum" dataDxfId="333" totalsRowDxfId="143"/>
    <tableColumn id="5" name="Solde" dataDxfId="332" totalsRowDxfId="142"/>
    <tableColumn id="11" name="AG" totalsRowFunction="sum" dataDxfId="331" totalsRowDxfId="141"/>
    <tableColumn id="8" name="Carburant" totalsRowFunction="sum" dataDxfId="330" totalsRowDxfId="140"/>
    <tableColumn id="7" name="Missions/MinCce" totalsRowFunction="sum" dataDxfId="329" totalsRowDxfId="139"/>
    <tableColumn id="6" name="Taxi/peage/PAD" totalsRowFunction="sum" dataDxfId="328" totalsRowDxfId="138"/>
    <tableColumn id="16" name="Télécom" totalsRowFunction="sum" dataDxfId="327" totalsRowDxfId="137"/>
    <tableColumn id="9" name="Entretien" totalsRowFunction="sum" dataDxfId="326" totalsRowDxfId="136"/>
    <tableColumn id="17" name="Electricité" totalsRowFunction="sum" dataDxfId="325" totalsRowDxfId="135"/>
    <tableColumn id="18" name="Eau" totalsRowFunction="sum" dataDxfId="324" totalsRowDxfId="134"/>
    <tableColumn id="13" name="Impot/Cnps" totalsRowFunction="sum" dataDxfId="323" totalsRowDxfId="133"/>
    <tableColumn id="15" name="Loyer" totalsRowFunction="sum" dataDxfId="322" totalsRowDxfId="132"/>
    <tableColumn id="12" name="Banque" totalsRowFunction="sum" dataDxfId="321" totalsRowDxfId="131"/>
    <tableColumn id="10" name="Mat., mob." totalsRowFunction="sum" dataDxfId="320" totalsRowDxfId="130"/>
    <tableColumn id="14" name="Salaire" totalsRowFunction="sum" dataDxfId="319" totalsRowDxfId="129"/>
    <tableColumn id="19" name="Autres" totalsRowFunction="sum" dataDxfId="318" totalsRowDxfId="128"/>
    <tableColumn id="20" name="Total" totalsRowFunction="sum" dataDxfId="317" totalsRowDxfId="127">
      <calculatedColumnFormula>SUM(T_Giccopacam[[#This Row],[AG]:[Autres]])</calculatedColumnFormula>
    </tableColumn>
  </tableColumns>
  <tableStyleInfo name="TableStyleLight4" showFirstColumn="0" showLastColumn="0" showRowStripes="1" showColumnStripes="0"/>
</table>
</file>

<file path=xl/tables/table3.xml><?xml version="1.0" encoding="utf-8"?>
<table xmlns="http://schemas.openxmlformats.org/spreadsheetml/2006/main" id="11" name="T_Kenzo" displayName="T_Kenzo" ref="B6:V8" totalsRowCount="1" headerRowDxfId="316" dataDxfId="315" totalsRowDxfId="314">
  <tableColumns count="21">
    <tableColumn id="21" name="Date" dataDxfId="313" totalsRowDxfId="126"/>
    <tableColumn id="1" name="N° pièce" totalsRowLabel="Total" dataDxfId="312" totalsRowDxfId="125"/>
    <tableColumn id="2" name="Libellé de l'opération" totalsRowFunction="count" dataDxfId="311" totalsRowDxfId="124"/>
    <tableColumn id="3" name="Encaissement" totalsRowFunction="sum" dataDxfId="310" totalsRowDxfId="123"/>
    <tableColumn id="4" name="Décaissement" totalsRowFunction="sum" dataDxfId="309" totalsRowDxfId="122"/>
    <tableColumn id="5" name="Solde" totalsRowFunction="sum" dataDxfId="308" totalsRowDxfId="121"/>
    <tableColumn id="11" name="AG" totalsRowFunction="sum" dataDxfId="307" totalsRowDxfId="120"/>
    <tableColumn id="8" name="Carburant" totalsRowFunction="sum" dataDxfId="306" totalsRowDxfId="119"/>
    <tableColumn id="7" name="Missions/MinCce" totalsRowFunction="sum" dataDxfId="305" totalsRowDxfId="118"/>
    <tableColumn id="6" name="Taxi/peage/PAD" totalsRowFunction="sum" dataDxfId="304" totalsRowDxfId="117"/>
    <tableColumn id="16" name="Télécom" totalsRowFunction="sum" dataDxfId="303" totalsRowDxfId="116"/>
    <tableColumn id="9" name="Entretien" totalsRowFunction="sum" dataDxfId="302" totalsRowDxfId="115"/>
    <tableColumn id="17" name="Electricité" totalsRowFunction="sum" dataDxfId="301" totalsRowDxfId="114"/>
    <tableColumn id="18" name="Eau" totalsRowFunction="sum" dataDxfId="300" totalsRowDxfId="113"/>
    <tableColumn id="13" name="Impot/Cnps" totalsRowFunction="sum" dataDxfId="299" totalsRowDxfId="112"/>
    <tableColumn id="15" name="Loyer" totalsRowFunction="sum" dataDxfId="298" totalsRowDxfId="111"/>
    <tableColumn id="12" name="Banque" totalsRowFunction="sum" dataDxfId="297" totalsRowDxfId="110"/>
    <tableColumn id="10" name="Mat., mob." totalsRowFunction="sum" dataDxfId="296" totalsRowDxfId="109"/>
    <tableColumn id="14" name="Salaire" totalsRowFunction="sum" dataDxfId="295" totalsRowDxfId="108"/>
    <tableColumn id="19" name="Autres" totalsRowFunction="sum" dataDxfId="294" totalsRowDxfId="107"/>
    <tableColumn id="20" name="Total" totalsRowFunction="sum" dataDxfId="293" totalsRowDxfId="106">
      <calculatedColumnFormula>SUM(T_Kenzo[[#This Row],[AG]:[Autres]])</calculatedColumnFormula>
    </tableColumn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2" name="T_JetIndustry" displayName="T_JetIndustry" ref="B6:V8" totalsRowCount="1" headerRowDxfId="292" dataDxfId="291" totalsRowDxfId="290">
  <tableColumns count="21">
    <tableColumn id="21" name="Date" dataDxfId="289" totalsRowDxfId="105"/>
    <tableColumn id="1" name="N° pièce" totalsRowLabel="Total" dataDxfId="288" totalsRowDxfId="104"/>
    <tableColumn id="2" name="Libellé de l'opération" totalsRowFunction="count" dataDxfId="287" totalsRowDxfId="103"/>
    <tableColumn id="3" name="Encaissement" totalsRowFunction="sum" dataDxfId="286" totalsRowDxfId="102"/>
    <tableColumn id="4" name="Décaissement" totalsRowFunction="sum" dataDxfId="285" totalsRowDxfId="101"/>
    <tableColumn id="5" name="Solde" totalsRowFunction="sum" dataDxfId="284" totalsRowDxfId="100"/>
    <tableColumn id="11" name="AG" totalsRowFunction="sum" dataDxfId="283" totalsRowDxfId="99"/>
    <tableColumn id="8" name="Carburant" totalsRowFunction="sum" dataDxfId="282" totalsRowDxfId="98"/>
    <tableColumn id="7" name="Missions/MinCce" totalsRowFunction="sum" dataDxfId="281" totalsRowDxfId="97"/>
    <tableColumn id="6" name="Taxi/peage/PAD" totalsRowFunction="sum" dataDxfId="280" totalsRowDxfId="96"/>
    <tableColumn id="16" name="Télécom" totalsRowFunction="sum" dataDxfId="279" totalsRowDxfId="95"/>
    <tableColumn id="9" name="Entretien" totalsRowFunction="sum" dataDxfId="278" totalsRowDxfId="94"/>
    <tableColumn id="17" name="Electricité" totalsRowFunction="sum" dataDxfId="277" totalsRowDxfId="93"/>
    <tableColumn id="18" name="Eau" totalsRowFunction="sum" dataDxfId="276" totalsRowDxfId="92"/>
    <tableColumn id="13" name="Impot/Cnps" totalsRowFunction="sum" dataDxfId="275" totalsRowDxfId="91"/>
    <tableColumn id="15" name="Loyer" totalsRowFunction="sum" dataDxfId="274" totalsRowDxfId="90"/>
    <tableColumn id="12" name="Banque" totalsRowFunction="sum" dataDxfId="273" totalsRowDxfId="89"/>
    <tableColumn id="10" name="Mat., mob." totalsRowFunction="sum" dataDxfId="272" totalsRowDxfId="88"/>
    <tableColumn id="14" name="Salaire" totalsRowFunction="sum" dataDxfId="271" totalsRowDxfId="87"/>
    <tableColumn id="19" name="Autres" totalsRowFunction="sum" dataDxfId="270" totalsRowDxfId="86"/>
    <tableColumn id="20" name="Total" totalsRowFunction="sum" dataDxfId="269" totalsRowDxfId="85">
      <calculatedColumnFormula>SUM(T_JetIndustry[[#This Row],[AG]:[Autres]])</calculatedColumnFormula>
    </tableColumn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3" name="T_JetInvestment" displayName="T_JetInvestment" ref="B6:V8" totalsRowCount="1" headerRowDxfId="268" dataDxfId="267" totalsRowDxfId="266">
  <tableColumns count="21">
    <tableColumn id="21" name="Date" dataDxfId="265" totalsRowDxfId="84"/>
    <tableColumn id="1" name="N° pièce" totalsRowLabel="Total" dataDxfId="264" totalsRowDxfId="83"/>
    <tableColumn id="2" name="Libellé de l'opération" totalsRowFunction="count" dataDxfId="263" totalsRowDxfId="82"/>
    <tableColumn id="3" name="Encaissement" totalsRowFunction="sum" dataDxfId="262" totalsRowDxfId="81"/>
    <tableColumn id="4" name="Décaissement" totalsRowFunction="sum" dataDxfId="261" totalsRowDxfId="80"/>
    <tableColumn id="5" name="Solde" totalsRowFunction="sum" dataDxfId="260" totalsRowDxfId="79"/>
    <tableColumn id="11" name="AG" totalsRowFunction="sum" dataDxfId="259" totalsRowDxfId="78"/>
    <tableColumn id="8" name="Carburant" totalsRowFunction="sum" dataDxfId="258" totalsRowDxfId="77"/>
    <tableColumn id="7" name="Missions/MinCce" totalsRowFunction="sum" dataDxfId="257" totalsRowDxfId="76"/>
    <tableColumn id="6" name="Taxi/peage/PAD" totalsRowFunction="sum" dataDxfId="256" totalsRowDxfId="75"/>
    <tableColumn id="16" name="Télécom" totalsRowFunction="sum" dataDxfId="255" totalsRowDxfId="74"/>
    <tableColumn id="9" name="Entretien" totalsRowFunction="sum" dataDxfId="254" totalsRowDxfId="73"/>
    <tableColumn id="17" name="Electricité" totalsRowFunction="sum" dataDxfId="253" totalsRowDxfId="72"/>
    <tableColumn id="18" name="Eau" totalsRowFunction="sum" dataDxfId="252" totalsRowDxfId="71"/>
    <tableColumn id="13" name="Impot/Cnps" totalsRowFunction="sum" dataDxfId="251" totalsRowDxfId="70"/>
    <tableColumn id="15" name="Loyer" totalsRowFunction="sum" dataDxfId="250" totalsRowDxfId="69"/>
    <tableColumn id="12" name="Banque" totalsRowFunction="sum" dataDxfId="249" totalsRowDxfId="68"/>
    <tableColumn id="10" name="Mat., mob." totalsRowFunction="sum" dataDxfId="248" totalsRowDxfId="67"/>
    <tableColumn id="14" name="Salaire" totalsRowFunction="sum" dataDxfId="247" totalsRowDxfId="66"/>
    <tableColumn id="19" name="Autres" totalsRowFunction="sum" dataDxfId="246" totalsRowDxfId="65"/>
    <tableColumn id="20" name="Total" totalsRowFunction="sum" dataDxfId="245" totalsRowDxfId="64">
      <calculatedColumnFormula>SUM(T_JetInvestment[[#This Row],[AG]:[Autres]])</calculatedColumnFormula>
    </tableColumn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4" name="T_SciJet" displayName="T_SciJet" ref="B6:V8" totalsRowCount="1" headerRowDxfId="244" dataDxfId="243" totalsRowDxfId="242">
  <tableColumns count="21">
    <tableColumn id="21" name="Date" dataDxfId="241" totalsRowDxfId="63"/>
    <tableColumn id="1" name="N° pièce" totalsRowLabel="Total" dataDxfId="240" totalsRowDxfId="62"/>
    <tableColumn id="2" name="Libellé de l'opération" totalsRowFunction="count" dataDxfId="239" totalsRowDxfId="61"/>
    <tableColumn id="3" name="Encaissement" totalsRowFunction="sum" dataDxfId="238" totalsRowDxfId="60"/>
    <tableColumn id="4" name="Décaissement" totalsRowFunction="sum" dataDxfId="237" totalsRowDxfId="59"/>
    <tableColumn id="5" name="Solde" totalsRowFunction="sum" dataDxfId="236" totalsRowDxfId="58"/>
    <tableColumn id="11" name="AG" totalsRowFunction="sum" dataDxfId="235" totalsRowDxfId="57"/>
    <tableColumn id="8" name="Carburant" totalsRowFunction="sum" dataDxfId="234" totalsRowDxfId="56"/>
    <tableColumn id="7" name="Missions/MinCce" totalsRowFunction="sum" dataDxfId="233" totalsRowDxfId="55"/>
    <tableColumn id="6" name="Taxi/peage/PAD" totalsRowFunction="sum" dataDxfId="232" totalsRowDxfId="54"/>
    <tableColumn id="16" name="Télécom" totalsRowFunction="sum" dataDxfId="231" totalsRowDxfId="53"/>
    <tableColumn id="9" name="Entretien" totalsRowFunction="sum" dataDxfId="230" totalsRowDxfId="52"/>
    <tableColumn id="17" name="Electricité" totalsRowFunction="sum" dataDxfId="229" totalsRowDxfId="51"/>
    <tableColumn id="18" name="Eau" totalsRowFunction="sum" dataDxfId="228" totalsRowDxfId="50"/>
    <tableColumn id="13" name="Impot/Cnps" totalsRowFunction="sum" dataDxfId="227" totalsRowDxfId="49"/>
    <tableColumn id="15" name="Loyer" totalsRowFunction="sum" dataDxfId="226" totalsRowDxfId="48"/>
    <tableColumn id="12" name="Banque" totalsRowFunction="sum" dataDxfId="225" totalsRowDxfId="47"/>
    <tableColumn id="10" name="Mat., mob." totalsRowFunction="sum" dataDxfId="224" totalsRowDxfId="46"/>
    <tableColumn id="14" name="Salaire" totalsRowFunction="sum" dataDxfId="223" totalsRowDxfId="45"/>
    <tableColumn id="19" name="Autres" totalsRowFunction="sum" dataDxfId="222" totalsRowDxfId="44"/>
    <tableColumn id="20" name="Total" totalsRowFunction="sum" dataDxfId="221" totalsRowDxfId="43">
      <calculatedColumnFormula>SUM(T_SciJet[[#This Row],[AG]:[Autres]])</calculatedColumnFormula>
    </tableColumn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6" name="T_CfpmJet" displayName="T_CfpmJet" ref="B6:V8" totalsRowCount="1" headerRowDxfId="220" dataDxfId="219" totalsRowDxfId="218">
  <tableColumns count="21">
    <tableColumn id="21" name="Date" dataDxfId="217" totalsRowDxfId="42"/>
    <tableColumn id="1" name="N° pièce" totalsRowLabel="Total" dataDxfId="216" totalsRowDxfId="41"/>
    <tableColumn id="2" name="Libellé de l'opération" totalsRowFunction="count" dataDxfId="215" totalsRowDxfId="40"/>
    <tableColumn id="3" name="Encaissement" totalsRowFunction="sum" dataDxfId="214" totalsRowDxfId="39"/>
    <tableColumn id="4" name="Décaissement" totalsRowFunction="sum" dataDxfId="213" totalsRowDxfId="38"/>
    <tableColumn id="5" name="Solde" totalsRowFunction="sum" dataDxfId="212" totalsRowDxfId="37"/>
    <tableColumn id="11" name="AG" totalsRowFunction="sum" dataDxfId="211" totalsRowDxfId="36"/>
    <tableColumn id="8" name="Carburant" totalsRowFunction="sum" dataDxfId="210" totalsRowDxfId="35"/>
    <tableColumn id="7" name="Missions/MinCce" totalsRowFunction="sum" dataDxfId="209" totalsRowDxfId="34"/>
    <tableColumn id="6" name="Taxi/peage/PAD" totalsRowFunction="sum" dataDxfId="208" totalsRowDxfId="33"/>
    <tableColumn id="16" name="Télécom" totalsRowFunction="sum" dataDxfId="207" totalsRowDxfId="32"/>
    <tableColumn id="9" name="Entretien" totalsRowFunction="sum" dataDxfId="206" totalsRowDxfId="31"/>
    <tableColumn id="17" name="Electricité" totalsRowFunction="sum" dataDxfId="205" totalsRowDxfId="30"/>
    <tableColumn id="18" name="Eau" totalsRowFunction="sum" dataDxfId="204" totalsRowDxfId="29"/>
    <tableColumn id="13" name="Impot/Cnps" totalsRowFunction="sum" dataDxfId="203" totalsRowDxfId="28"/>
    <tableColumn id="15" name="Loyer" totalsRowFunction="sum" dataDxfId="202" totalsRowDxfId="27"/>
    <tableColumn id="12" name="Banque" totalsRowFunction="sum" dataDxfId="201" totalsRowDxfId="26"/>
    <tableColumn id="10" name="Mat., mob." totalsRowFunction="sum" dataDxfId="200" totalsRowDxfId="25"/>
    <tableColumn id="14" name="Salaire" totalsRowFunction="sum" dataDxfId="199" totalsRowDxfId="24"/>
    <tableColumn id="19" name="Autres" totalsRowFunction="sum" dataDxfId="198" totalsRowDxfId="23"/>
    <tableColumn id="20" name="Total" totalsRowFunction="sum" dataDxfId="197" totalsRowDxfId="22">
      <calculatedColumnFormula>SUM(T_CfpmJet[[#This Row],[AG]:[Autres]])</calculatedColumnFormula>
    </tableColumn>
  </tableColumns>
  <tableStyleInfo name="TableStyleLight4" showFirstColumn="0" showLastColumn="0" showRowStripes="1" showColumnStripes="0"/>
</table>
</file>

<file path=xl/tables/table8.xml><?xml version="1.0" encoding="utf-8"?>
<table xmlns="http://schemas.openxmlformats.org/spreadsheetml/2006/main" id="17" name="T_Evora" displayName="T_Evora" ref="B6:V8" totalsRowCount="1" headerRowDxfId="196" dataDxfId="195" totalsRowDxfId="194">
  <tableColumns count="21">
    <tableColumn id="21" name="Date" dataDxfId="193" totalsRowDxfId="21"/>
    <tableColumn id="1" name="N° pièce" totalsRowLabel="Total" dataDxfId="192" totalsRowDxfId="20"/>
    <tableColumn id="2" name="Libellé de l'opération" totalsRowFunction="count" dataDxfId="191" totalsRowDxfId="19"/>
    <tableColumn id="3" name="Encaissement" totalsRowFunction="sum" dataDxfId="190" totalsRowDxfId="18"/>
    <tableColumn id="4" name="Décaissement" totalsRowFunction="sum" dataDxfId="189" totalsRowDxfId="17"/>
    <tableColumn id="5" name="Solde" totalsRowFunction="sum" dataDxfId="188" totalsRowDxfId="16"/>
    <tableColumn id="11" name="AG" totalsRowFunction="sum" dataDxfId="187" totalsRowDxfId="15"/>
    <tableColumn id="8" name="Carburant" totalsRowFunction="sum" dataDxfId="186" totalsRowDxfId="14"/>
    <tableColumn id="7" name="Missions/MinCce" totalsRowFunction="sum" dataDxfId="185" totalsRowDxfId="13"/>
    <tableColumn id="6" name="Taxi/peage/PAD" totalsRowFunction="sum" dataDxfId="184" totalsRowDxfId="12"/>
    <tableColumn id="16" name="Télécom" totalsRowFunction="sum" dataDxfId="183" totalsRowDxfId="11"/>
    <tableColumn id="9" name="Entretien" totalsRowFunction="sum" dataDxfId="182" totalsRowDxfId="10"/>
    <tableColumn id="17" name="Electricité" totalsRowFunction="sum" dataDxfId="181" totalsRowDxfId="9"/>
    <tableColumn id="18" name="Eau" totalsRowFunction="sum" dataDxfId="180" totalsRowDxfId="8"/>
    <tableColumn id="13" name="Impot/Cnps" totalsRowFunction="sum" dataDxfId="179" totalsRowDxfId="7"/>
    <tableColumn id="15" name="Loyer" totalsRowFunction="sum" dataDxfId="178" totalsRowDxfId="6"/>
    <tableColumn id="12" name="Banque" totalsRowFunction="sum" dataDxfId="177" totalsRowDxfId="5"/>
    <tableColumn id="10" name="Mat., mob." totalsRowFunction="sum" dataDxfId="176" totalsRowDxfId="4"/>
    <tableColumn id="14" name="Salaire" totalsRowFunction="sum" dataDxfId="175" totalsRowDxfId="3"/>
    <tableColumn id="19" name="Autres" totalsRowFunction="sum" dataDxfId="174" totalsRowDxfId="2"/>
    <tableColumn id="20" name="Total" totalsRowFunction="sum" dataDxfId="173" totalsRowDxfId="1">
      <calculatedColumnFormula>SUM(T_Evora[[#This Row],[AG]:[Autres]])</calculatedColumnFormula>
    </tableColumn>
  </tableColumns>
  <tableStyleInfo name="TableStyleLight4" showFirstColumn="0" showLastColumn="0" showRowStripes="1" showColumnStripes="0"/>
</table>
</file>

<file path=xl/tables/table9.xml><?xml version="1.0" encoding="utf-8"?>
<table xmlns="http://schemas.openxmlformats.org/spreadsheetml/2006/main" id="2" name="T_Entr" displayName="T_Entr" ref="A1:B9" totalsRowShown="0" headerRowDxfId="0" dataDxfId="172" tableBorderDxfId="171">
  <autoFilter ref="A1:B9"/>
  <tableColumns count="2">
    <tableColumn id="2" name="Entreprises" dataDxfId="170"/>
    <tableColumn id="1" name="Listes des tableaux" dataDxfId="169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eme1">
  <a:themeElements>
    <a:clrScheme name="BUS_Activity Based Cost Track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F7F5E6"/>
      </a:accent1>
      <a:accent2>
        <a:srgbClr val="333A56"/>
      </a:accent2>
      <a:accent3>
        <a:srgbClr val="52658F"/>
      </a:accent3>
      <a:accent4>
        <a:srgbClr val="E8E8E8"/>
      </a:accent4>
      <a:accent5>
        <a:srgbClr val="000000"/>
      </a:accent5>
      <a:accent6>
        <a:srgbClr val="8A8A8A"/>
      </a:accent6>
      <a:hlink>
        <a:srgbClr val="0096D2"/>
      </a:hlink>
      <a:folHlink>
        <a:srgbClr val="00578B"/>
      </a:folHlink>
    </a:clrScheme>
    <a:fontScheme name="BUS_Activity Based Cost Tracker">
      <a:majorFont>
        <a:latin typeface="Constantia"/>
        <a:ea typeface=""/>
        <a:cs typeface=""/>
      </a:majorFont>
      <a:minorFont>
        <a:latin typeface="Franklin Gothic Book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Dark" id="{D39323B7-B2D6-4C10-818B-A5CD4ACE85BD}" vid="{15FD9199-0511-4D87-8BFB-2FF3F0C5B55D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2.bin"/><Relationship Id="rId3" Type="http://schemas.openxmlformats.org/officeDocument/2006/relationships/externalLinkPath" Target="file:///X:\AA_DOSSIERS%20EN%20COURS%20GROUPE%20JET\CAPI\JET_JOURNAL%20DE%20CAISSE%20V02%20MINIMALISTE.xlsx" TargetMode="External"/><Relationship Id="rId7" Type="http://schemas.openxmlformats.org/officeDocument/2006/relationships/externalLinkPath" Target="file:///X:\AA_DOSSIERS%20EN%20COURS%20GROUPE%20JET\CAPI\JET_JOURNAL%20DE%20CAISSE%20V02%20MINIMALISTE.xlsx" TargetMode="External"/><Relationship Id="rId2" Type="http://schemas.openxmlformats.org/officeDocument/2006/relationships/externalLinkPath" Target="file:///X:\AA_DOSSIERS%20EN%20COURS%20GROUPE%20JET\CAPI\JET_JOURNAL%20DE%20CAISSE%20V02%20MINIMALISTE.xlsx" TargetMode="External"/><Relationship Id="rId1" Type="http://schemas.openxmlformats.org/officeDocument/2006/relationships/externalLinkPath" Target="file:///X:\AA_DOSSIERS%20EN%20COURS%20GROUPE%20JET\CAPI\JET_JOURNAL%20DE%20CAISSE%20V02%20MINIMALISTE.xlsx" TargetMode="External"/><Relationship Id="rId6" Type="http://schemas.openxmlformats.org/officeDocument/2006/relationships/externalLinkPath" Target="file:///X:\AA_DOSSIERS%20EN%20COURS%20GROUPE%20JET\CAPI\JET_JOURNAL%20DE%20CAISSE%20V02%20MINIMALISTE.xlsx" TargetMode="External"/><Relationship Id="rId5" Type="http://schemas.openxmlformats.org/officeDocument/2006/relationships/externalLinkPath" Target="file:///X:\AA_DOSSIERS%20EN%20COURS%20GROUPE%20JET\CAPI\JET_JOURNAL%20DE%20CAISSE%20V02%20MINIMALISTE.xlsx" TargetMode="External"/><Relationship Id="rId4" Type="http://schemas.openxmlformats.org/officeDocument/2006/relationships/externalLinkPath" Target="file:///X:\AA_DOSSIERS%20EN%20COURS%20GROUPE%20JET\CAPI\JET_JOURNAL%20DE%20CAISSE%20V02%20MINIMALISTE.xlsx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FF0000"/>
    <pageSetUpPr fitToPage="1"/>
  </sheetPr>
  <dimension ref="A1:V21"/>
  <sheetViews>
    <sheetView showGridLines="0" workbookViewId="0">
      <selection activeCell="G25" sqref="G25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15" style="1" bestFit="1" customWidth="1"/>
    <col min="4" max="4" width="15.5703125" style="1" bestFit="1" customWidth="1"/>
    <col min="5" max="5" width="15.85546875" style="3" bestFit="1" customWidth="1"/>
    <col min="6" max="6" width="10.7109375" style="1" bestFit="1" customWidth="1"/>
    <col min="7" max="7" width="9.28515625" style="1" customWidth="1"/>
    <col min="8" max="8" width="11.28515625" style="3" bestFit="1" customWidth="1"/>
    <col min="9" max="9" width="18.140625" style="3" bestFit="1" customWidth="1"/>
    <col min="10" max="10" width="17.140625" style="3" bestFit="1" customWidth="1"/>
    <col min="11" max="11" width="10.140625" style="1" bestFit="1" customWidth="1"/>
    <col min="12" max="12" width="10.85546875" style="1" bestFit="1" customWidth="1"/>
    <col min="13" max="13" width="11.42578125" style="1" bestFit="1" customWidth="1"/>
    <col min="14" max="14" width="10.85546875" style="1" customWidth="1"/>
    <col min="15" max="15" width="13" style="1" bestFit="1" customWidth="1"/>
    <col min="16" max="16" width="10.140625" style="1" customWidth="1"/>
    <col min="17" max="17" width="9.28515625" style="1" bestFit="1" customWidth="1"/>
    <col min="18" max="18" width="12.28515625" style="1" bestFit="1" customWidth="1"/>
    <col min="19" max="19" width="9.7109375" style="1" bestFit="1" customWidth="1"/>
    <col min="20" max="20" width="13" style="1" bestFit="1" customWidth="1"/>
    <col min="21" max="21" width="8.85546875" style="1" bestFit="1" customWidth="1"/>
    <col min="22" max="22" width="8.28515625" style="1" bestFit="1" customWidth="1"/>
    <col min="23" max="16384" width="9.140625" style="1"/>
  </cols>
  <sheetData>
    <row r="1" spans="1:22" ht="15" customHeight="1" thickBot="1">
      <c r="A1" s="47"/>
      <c r="B1" s="50"/>
    </row>
    <row r="2" spans="1:22" ht="40.15" customHeight="1" thickBot="1">
      <c r="B2" s="100" t="s">
        <v>32</v>
      </c>
      <c r="C2" s="101"/>
      <c r="D2" s="102"/>
      <c r="E2" s="102"/>
      <c r="F2" s="102"/>
      <c r="G2" s="103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15" customHeight="1">
      <c r="B3" s="36"/>
      <c r="C3" s="44"/>
      <c r="E3" s="36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f>Journal!C4</f>
        <v>46311</v>
      </c>
      <c r="E4" s="15"/>
      <c r="H4" s="15"/>
      <c r="I4" s="15"/>
      <c r="J4" s="15"/>
    </row>
    <row r="5" spans="1:22" customFormat="1" ht="19.899999999999999" customHeight="1"/>
    <row r="6" spans="1:22" customFormat="1" ht="15" customHeight="1">
      <c r="B6" s="39" t="s">
        <v>35</v>
      </c>
      <c r="C6" s="46" t="s">
        <v>42</v>
      </c>
      <c r="D6" s="39" t="s">
        <v>41</v>
      </c>
      <c r="E6" s="39" t="s">
        <v>43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  <c r="R6" s="39" t="s">
        <v>56</v>
      </c>
      <c r="S6" s="39" t="s">
        <v>57</v>
      </c>
      <c r="T6" s="39" t="s">
        <v>58</v>
      </c>
    </row>
    <row r="7" spans="1:22" customFormat="1" ht="19.899999999999999" customHeight="1">
      <c r="B7" s="40" t="s">
        <v>37</v>
      </c>
      <c r="C7" s="48">
        <f>CAPI!D4</f>
        <v>50000</v>
      </c>
      <c r="D7" s="41">
        <f>SUMIF(T_Capi[Date],$C$4,T_Capi[Encaissement])</f>
        <v>150000</v>
      </c>
      <c r="E7" s="41">
        <f>SUMIF(T_Capi[Date],$C$4,T_Capi[Décaissement])</f>
        <v>0</v>
      </c>
      <c r="F7" s="41">
        <f>CAPI!F4</f>
        <v>155000</v>
      </c>
      <c r="G7" s="41">
        <f>SUMIF(T_Capi[Date],$C$4,T_Capi[AG])</f>
        <v>150000</v>
      </c>
      <c r="H7" s="41">
        <f>SUMIF(T_Capi[Date],$C$4,T_Capi[Carburant])</f>
        <v>0</v>
      </c>
      <c r="I7" s="41">
        <f>SUMIF(T_Capi[Date],$C$4,T_Capi[Missions/MinCce])</f>
        <v>0</v>
      </c>
      <c r="J7" s="41">
        <f>SUMIF(T_Capi[Date],$C$4,T_Capi[Taxi/peage/PAD])</f>
        <v>0</v>
      </c>
      <c r="K7" s="41">
        <f>SUMIF(T_Capi[Date],$C$4,T_Capi[Télécom])</f>
        <v>0</v>
      </c>
      <c r="L7" s="41">
        <f>SUMIF(T_Capi[Date],$C$4,T_Capi[Entretien])</f>
        <v>0</v>
      </c>
      <c r="M7" s="41">
        <f>SUMIF(T_Capi[Date],$C$4,T_Capi[Electricité])</f>
        <v>0</v>
      </c>
      <c r="N7" s="41">
        <f>SUMIF(T_Capi[Date],$C$4,T_Capi[Eau])</f>
        <v>0</v>
      </c>
      <c r="O7" s="41">
        <f>SUMIF(T_Capi[Date],$C$4,T_Capi[Impot/Cnps])</f>
        <v>0</v>
      </c>
      <c r="P7" s="41">
        <f>SUMIF(T_Capi[Date],$C$4,T_Capi[Loyer])</f>
        <v>0</v>
      </c>
      <c r="Q7" s="41">
        <f>SUMIF(T_Capi[Date],$C$4,T_Capi[Banque])</f>
        <v>0</v>
      </c>
      <c r="R7" s="41">
        <f>SUMIF(T_Capi[Date],$C$4,T_Capi[Mat., mob.])</f>
        <v>0</v>
      </c>
      <c r="S7" s="41">
        <f>SUMIF(T_Capi[Date],$C$4,T_Capi[Salaire])</f>
        <v>0</v>
      </c>
      <c r="T7" s="41">
        <f>SUMIF(T_Capi[Date],$C$4,T_Capi[Autres])</f>
        <v>0</v>
      </c>
    </row>
    <row r="8" spans="1:22" customFormat="1" ht="12.75">
      <c r="B8" s="40" t="s">
        <v>26</v>
      </c>
      <c r="C8" s="48">
        <f>GICCOPACAM!D4</f>
        <v>50000</v>
      </c>
      <c r="D8" s="41">
        <f>SUMIF(T_Giccopacam[Date],$C$4,T_Giccopacam[Encaissement])</f>
        <v>0</v>
      </c>
      <c r="E8" s="41">
        <f>SUMIF(T_Giccopacam[Date],$C$4,T_Giccopacam[Décaissement])</f>
        <v>0</v>
      </c>
      <c r="F8" s="41">
        <f>GICCOPACAM!F4</f>
        <v>50000</v>
      </c>
      <c r="G8" s="41">
        <f>SUMIF(T_Giccopacam[Date],$C$4,T_Giccopacam[AG])</f>
        <v>0</v>
      </c>
      <c r="H8" s="41">
        <f>SUMIF(T_Giccopacam[Date],$C$4,T_Giccopacam[Carburant])</f>
        <v>0</v>
      </c>
      <c r="I8" s="41">
        <f>SUMIF(T_Giccopacam[Date],$C$4,T_Giccopacam[Missions/MinCce])</f>
        <v>0</v>
      </c>
      <c r="J8" s="41">
        <f>SUMIF(T_Giccopacam[Date],$C$4,T_Giccopacam[Taxi/peage/PAD])</f>
        <v>0</v>
      </c>
      <c r="K8" s="41">
        <f>SUMIF(T_Giccopacam[Date],$C$4,T_Giccopacam[Télécom])</f>
        <v>0</v>
      </c>
      <c r="L8" s="41">
        <f>SUMIF(T_Giccopacam[Date],$C$4,T_Giccopacam[Entretien])</f>
        <v>0</v>
      </c>
      <c r="M8" s="41">
        <f>SUMIF(T_Giccopacam[Date],$C$4,T_Giccopacam[Electricité])</f>
        <v>0</v>
      </c>
      <c r="N8" s="41">
        <f>SUMIF(T_Giccopacam[Date],$C$4,T_Giccopacam[Eau])</f>
        <v>0</v>
      </c>
      <c r="O8" s="41">
        <f>SUMIF(T_Giccopacam[Date],$C$4,T_Giccopacam[Impot/Cnps])</f>
        <v>0</v>
      </c>
      <c r="P8" s="41">
        <f>SUMIF(T_Giccopacam[Date],$C$4,T_Giccopacam[Loyer])</f>
        <v>0</v>
      </c>
      <c r="Q8" s="41">
        <f>SUMIF(T_Giccopacam[Date],$C$4,T_Giccopacam[Banque])</f>
        <v>0</v>
      </c>
      <c r="R8" s="41">
        <f>SUMIF(T_Giccopacam[Date],$C$4,T_Giccopacam[Mat., mob.])</f>
        <v>0</v>
      </c>
      <c r="S8" s="41">
        <f>SUMIF(T_Giccopacam[Date],$C$4,T_Giccopacam[Salaire])</f>
        <v>0</v>
      </c>
      <c r="T8" s="41">
        <f>SUMIF(T_Giccopacam[Date],$C$4,T_Giccopacam[Autres])</f>
        <v>0</v>
      </c>
    </row>
    <row r="9" spans="1:22" customFormat="1" ht="12.75">
      <c r="B9" s="40" t="s">
        <v>38</v>
      </c>
      <c r="C9" s="48">
        <f>KENZO!D4</f>
        <v>50000</v>
      </c>
      <c r="D9" s="41">
        <f>SUMIF(T_Kenzo[Date],$C$4,T_Kenzo[Encaissement])</f>
        <v>0</v>
      </c>
      <c r="E9" s="41">
        <f>SUMIF(T_Kenzo[Date],$C$4,T_Kenzo[Décaissement])</f>
        <v>0</v>
      </c>
      <c r="F9" s="41">
        <f>KENZO!F4</f>
        <v>50000</v>
      </c>
      <c r="G9" s="41">
        <f>SUMIF(T_Kenzo[Date],$C$4,T_Kenzo[AG])</f>
        <v>0</v>
      </c>
      <c r="H9" s="41">
        <f>SUMIF(T_Kenzo[Date],$C$4,T_Kenzo[Carburant])</f>
        <v>0</v>
      </c>
      <c r="I9" s="41">
        <f>SUMIF(T_Kenzo[Date],$C$4,T_Kenzo[Missions/MinCce])</f>
        <v>0</v>
      </c>
      <c r="J9" s="41">
        <f>SUMIF(T_Kenzo[Date],$C$4,T_Kenzo[Taxi/peage/PAD])</f>
        <v>0</v>
      </c>
      <c r="K9" s="41">
        <f>SUMIF(T_Kenzo[Date],$C$4,T_Kenzo[Télécom])</f>
        <v>0</v>
      </c>
      <c r="L9" s="41">
        <f>SUMIF(T_Kenzo[Date],$C$4,T_Kenzo[Entretien])</f>
        <v>0</v>
      </c>
      <c r="M9" s="41">
        <f>SUMIF(T_Kenzo[Date],$C$4,T_Kenzo[Electricité])</f>
        <v>0</v>
      </c>
      <c r="N9" s="41">
        <f>SUMIF(T_Kenzo[Date],$C$4,T_Kenzo[Eau])</f>
        <v>0</v>
      </c>
      <c r="O9" s="41">
        <f>SUMIF(T_Kenzo[Date],$C$4,T_Kenzo[Impot/Cnps])</f>
        <v>0</v>
      </c>
      <c r="P9" s="41">
        <f>SUMIF(T_Kenzo[Date],$C$4,T_Kenzo[Loyer])</f>
        <v>0</v>
      </c>
      <c r="Q9" s="41">
        <f>SUMIF(T_Kenzo[Date],$C$4,T_Kenzo[Banque])</f>
        <v>0</v>
      </c>
      <c r="R9" s="41">
        <f>SUMIF(T_Kenzo[Date],$C$4,T_Kenzo[Mat., mob.])</f>
        <v>0</v>
      </c>
      <c r="S9" s="41">
        <f>SUMIF(T_Kenzo[Date],$C$4,T_Kenzo[Salaire])</f>
        <v>0</v>
      </c>
      <c r="T9" s="41">
        <f>SUMIF(T_Kenzo[Date],$C$4,T_Kenzo[Autres])</f>
        <v>0</v>
      </c>
    </row>
    <row r="10" spans="1:22" customFormat="1" ht="12.75">
      <c r="B10" s="40" t="s">
        <v>28</v>
      </c>
      <c r="C10" s="48">
        <f>'JET INDUSTRY'!D4</f>
        <v>50000</v>
      </c>
      <c r="D10" s="41">
        <f>SUMIF(T_JetIndustry[Date],$C$4,T_JetIndustry[Encaissement])</f>
        <v>0</v>
      </c>
      <c r="E10" s="41">
        <f>SUMIF(T_JetIndustry[Date],$C$4,T_JetIndustry[Décaissement])</f>
        <v>0</v>
      </c>
      <c r="F10" s="41">
        <f>'JET INDUSTRY'!F4</f>
        <v>50000</v>
      </c>
      <c r="G10" s="41">
        <f>SUMIF(T_JetIndustry[Date],$C$4,T_JetIndustry[AG])</f>
        <v>0</v>
      </c>
      <c r="H10" s="41">
        <f>SUMIF(T_JetIndustry[Date],$C$4,T_JetIndustry[Carburant])</f>
        <v>0</v>
      </c>
      <c r="I10" s="41">
        <f>SUMIF(T_JetIndustry[Date],$C$4,T_JetIndustry[Missions/MinCce])</f>
        <v>0</v>
      </c>
      <c r="J10" s="41">
        <f>SUMIF(T_JetIndustry[Date],$C$4,T_JetIndustry[Taxi/peage/PAD])</f>
        <v>0</v>
      </c>
      <c r="K10" s="41">
        <f>SUMIF(T_JetIndustry[Date],$C$4,T_JetIndustry[Télécom])</f>
        <v>0</v>
      </c>
      <c r="L10" s="41">
        <f>SUMIF(T_JetIndustry[Date],$C$4,T_JetIndustry[Entretien])</f>
        <v>0</v>
      </c>
      <c r="M10" s="41">
        <f>SUMIF(T_JetIndustry[Date],$C$4,T_JetIndustry[Electricité])</f>
        <v>0</v>
      </c>
      <c r="N10" s="41">
        <f>SUMIF(T_JetIndustry[Date],$C$4,T_JetIndustry[Eau])</f>
        <v>0</v>
      </c>
      <c r="O10" s="41">
        <f>SUMIF(T_JetIndustry[Date],$C$4,T_JetIndustry[Impot/Cnps])</f>
        <v>0</v>
      </c>
      <c r="P10" s="41">
        <f>SUMIF(T_JetIndustry[Date],$C$4,T_JetIndustry[Loyer])</f>
        <v>0</v>
      </c>
      <c r="Q10" s="41">
        <f>SUMIF(T_JetIndustry[Date],$C$4,T_JetIndustry[Banque])</f>
        <v>0</v>
      </c>
      <c r="R10" s="41">
        <f>SUMIF(T_JetIndustry[Date],$C$4,T_JetIndustry[Mat., mob.])</f>
        <v>0</v>
      </c>
      <c r="S10" s="41">
        <f>SUMIF(T_JetIndustry[Date],$C$4,T_JetIndustry[Salaire])</f>
        <v>0</v>
      </c>
      <c r="T10" s="41">
        <f>SUMIF(T_JetIndustry[Date],$C$4,T_JetIndustry[Autres])</f>
        <v>0</v>
      </c>
    </row>
    <row r="11" spans="1:22" customFormat="1" ht="12.75">
      <c r="B11" s="40" t="s">
        <v>29</v>
      </c>
      <c r="C11" s="48">
        <f>'JET INVESTMENT'!D4</f>
        <v>50000</v>
      </c>
      <c r="D11" s="41">
        <f>SUMIF(T_JetInvestment[Date],$C$4,T_JetInvestment[Encaissement])</f>
        <v>0</v>
      </c>
      <c r="E11" s="41">
        <f>SUMIF(T_JetInvestment[Date],$C$4,T_JetInvestment[Décaissement])</f>
        <v>0</v>
      </c>
      <c r="F11" s="41">
        <f>'JET INVESTMENT'!F4</f>
        <v>50000</v>
      </c>
      <c r="G11" s="41">
        <f>SUMIF(T_JetInvestment[Date],$C$4,T_JetInvestment[AG])</f>
        <v>0</v>
      </c>
      <c r="H11" s="41">
        <f>SUMIF(T_JetInvestment[Date],$C$4,T_JetInvestment[Carburant])</f>
        <v>0</v>
      </c>
      <c r="I11" s="41">
        <f>SUMIF(T_JetInvestment[Date],$C$4,T_JetInvestment[Missions/MinCce])</f>
        <v>0</v>
      </c>
      <c r="J11" s="41">
        <f>SUMIF(T_JetInvestment[Date],$C$4,T_JetInvestment[Taxi/peage/PAD])</f>
        <v>0</v>
      </c>
      <c r="K11" s="41">
        <f>SUMIF(T_JetInvestment[Date],$C$4,T_JetInvestment[Télécom])</f>
        <v>0</v>
      </c>
      <c r="L11" s="41">
        <f>SUMIF(T_JetInvestment[Date],$C$4,T_JetInvestment[Entretien])</f>
        <v>0</v>
      </c>
      <c r="M11" s="41">
        <f>SUMIF(T_JetInvestment[Date],$C$4,T_JetInvestment[Electricité])</f>
        <v>0</v>
      </c>
      <c r="N11" s="41">
        <f>SUMIF(T_JetInvestment[Date],$C$4,T_JetInvestment[Eau])</f>
        <v>0</v>
      </c>
      <c r="O11" s="41">
        <f>SUMIF(T_JetInvestment[Date],$C$4,T_JetInvestment[Impot/Cnps])</f>
        <v>0</v>
      </c>
      <c r="P11" s="41">
        <f>SUMIF(T_JetInvestment[Date],$C$4,T_JetInvestment[Loyer])</f>
        <v>0</v>
      </c>
      <c r="Q11" s="41">
        <f>SUMIF(T_JetInvestment[Date],$C$4,T_JetInvestment[Banque])</f>
        <v>0</v>
      </c>
      <c r="R11" s="41">
        <f>SUMIF(T_JetInvestment[Date],$C$4,T_JetInvestment[Mat., mob.])</f>
        <v>0</v>
      </c>
      <c r="S11" s="41">
        <f>SUMIF(T_JetInvestment[Date],$C$4,T_JetInvestment[Salaire])</f>
        <v>0</v>
      </c>
      <c r="T11" s="41">
        <f>SUMIF(T_JetInvestment[Date],$C$4,T_JetInvestment[Autres])</f>
        <v>0</v>
      </c>
    </row>
    <row r="12" spans="1:22" customFormat="1" ht="12.75">
      <c r="B12" s="40" t="s">
        <v>30</v>
      </c>
      <c r="C12" s="48">
        <f>'SCI-JET'!D4</f>
        <v>50000</v>
      </c>
      <c r="D12" s="41">
        <f>SUMIF(T_SciJet[Date],$C$4,T_SciJet[Encaissement])</f>
        <v>0</v>
      </c>
      <c r="E12" s="41">
        <f>SUMIF(T_SciJet[Date],$C$4,T_SciJet[Décaissement])</f>
        <v>0</v>
      </c>
      <c r="F12" s="41">
        <f>'SCI-JET'!F4</f>
        <v>50000</v>
      </c>
      <c r="G12" s="41">
        <f>SUMIF(T_SciJet[Date],$C$4,T_SciJet[AG])</f>
        <v>0</v>
      </c>
      <c r="H12" s="41">
        <f>SUMIF(T_SciJet[Date],$C$4,T_SciJet[Carburant])</f>
        <v>0</v>
      </c>
      <c r="I12" s="41">
        <f>SUMIF(T_SciJet[Date],$C$4,T_SciJet[Missions/MinCce])</f>
        <v>0</v>
      </c>
      <c r="J12" s="41">
        <f>SUMIF(T_SciJet[Date],$C$4,T_SciJet[Taxi/peage/PAD])</f>
        <v>0</v>
      </c>
      <c r="K12" s="41">
        <f>SUMIF(T_SciJet[Date],$C$4,T_SciJet[Télécom])</f>
        <v>0</v>
      </c>
      <c r="L12" s="41">
        <f>SUMIF(T_SciJet[Date],$C$4,T_SciJet[Entretien])</f>
        <v>0</v>
      </c>
      <c r="M12" s="41">
        <f>SUMIF(T_SciJet[Date],$C$4,T_SciJet[Electricité])</f>
        <v>0</v>
      </c>
      <c r="N12" s="41">
        <f>SUMIF(T_SciJet[Date],$C$4,T_SciJet[Eau])</f>
        <v>0</v>
      </c>
      <c r="O12" s="41">
        <f>SUMIF(T_SciJet[Date],$C$4,T_SciJet[Impot/Cnps])</f>
        <v>0</v>
      </c>
      <c r="P12" s="41">
        <f>SUMIF(T_SciJet[Date],$C$4,T_SciJet[Loyer])</f>
        <v>0</v>
      </c>
      <c r="Q12" s="41">
        <f>SUMIF(T_SciJet[Date],$C$4,T_SciJet[Banque])</f>
        <v>0</v>
      </c>
      <c r="R12" s="41">
        <f>SUMIF(T_SciJet[Date],$C$4,T_SciJet[Mat., mob.])</f>
        <v>0</v>
      </c>
      <c r="S12" s="41">
        <f>SUMIF(T_SciJet[Date],$C$4,T_SciJet[Salaire])</f>
        <v>0</v>
      </c>
      <c r="T12" s="41">
        <f>SUMIF(T_SciJet[Date],$C$4,T_SciJet[Autres])</f>
        <v>0</v>
      </c>
    </row>
    <row r="13" spans="1:22" customFormat="1" ht="12.75">
      <c r="B13" s="40" t="s">
        <v>39</v>
      </c>
      <c r="C13" s="48">
        <f>'CFPM-JET'!D4</f>
        <v>50000</v>
      </c>
      <c r="D13" s="41">
        <f>SUMIF(T_CfpmJet[Date],$C$4,T_CfpmJet[Encaissement])</f>
        <v>0</v>
      </c>
      <c r="E13" s="41">
        <f>SUMIF(T_CfpmJet[Date],$C$4,T_CfpmJet[Décaissement])</f>
        <v>0</v>
      </c>
      <c r="F13" s="41">
        <f>'CFPM-JET'!F4</f>
        <v>50000</v>
      </c>
      <c r="G13" s="41">
        <f>SUMIF(T_CfpmJet[Date],$C$4,T_CfpmJet[AG])</f>
        <v>0</v>
      </c>
      <c r="H13" s="41">
        <f>SUMIF(T_CfpmJet[Date],$C$4,T_CfpmJet[Carburant])</f>
        <v>0</v>
      </c>
      <c r="I13" s="41">
        <f>SUMIF(T_CfpmJet[Date],$C$4,T_CfpmJet[Missions/MinCce])</f>
        <v>0</v>
      </c>
      <c r="J13" s="41">
        <f>SUMIF(T_CfpmJet[Date],$C$4,T_CfpmJet[Taxi/peage/PAD])</f>
        <v>0</v>
      </c>
      <c r="K13" s="41">
        <f>SUMIF(T_CfpmJet[Date],$C$4,T_CfpmJet[Télécom])</f>
        <v>0</v>
      </c>
      <c r="L13" s="41">
        <f>SUMIF(T_CfpmJet[Date],$C$4,T_CfpmJet[Entretien])</f>
        <v>0</v>
      </c>
      <c r="M13" s="41">
        <f>SUMIF(T_CfpmJet[Date],$C$4,T_CfpmJet[Electricité])</f>
        <v>0</v>
      </c>
      <c r="N13" s="41">
        <f>SUMIF(T_CfpmJet[Date],$C$4,T_CfpmJet[Eau])</f>
        <v>0</v>
      </c>
      <c r="O13" s="41">
        <f>SUMIF(T_CfpmJet[Date],$C$4,T_CfpmJet[Impot/Cnps])</f>
        <v>0</v>
      </c>
      <c r="P13" s="41">
        <f>SUMIF(T_CfpmJet[Date],$C$4,T_CfpmJet[Loyer])</f>
        <v>0</v>
      </c>
      <c r="Q13" s="41">
        <f>SUMIF(T_CfpmJet[Date],$C$4,T_CfpmJet[Banque])</f>
        <v>0</v>
      </c>
      <c r="R13" s="41">
        <f>SUMIF(T_CfpmJet[Date],$C$4,T_CfpmJet[Mat., mob.])</f>
        <v>0</v>
      </c>
      <c r="S13" s="41">
        <f>SUMIF(T_CfpmJet[Date],$C$4,T_CfpmJet[Salaire])</f>
        <v>0</v>
      </c>
      <c r="T13" s="41">
        <f>SUMIF(T_CfpmJet[Date],$C$4,T_CfpmJet[Autres])</f>
        <v>0</v>
      </c>
    </row>
    <row r="14" spans="1:22" customFormat="1" ht="12.75">
      <c r="B14" s="40" t="s">
        <v>40</v>
      </c>
      <c r="C14" s="48">
        <f>'EVOTA-T IMMO'!D4</f>
        <v>50000</v>
      </c>
      <c r="D14" s="41">
        <f>SUMIF(T_Evora[Date],$C$4,T_Evora[Encaissement])</f>
        <v>0</v>
      </c>
      <c r="E14" s="41">
        <f>SUMIF(T_Evora[Date],$C$4,T_Evora[Décaissement])</f>
        <v>0</v>
      </c>
      <c r="F14" s="41">
        <f>'EVOTA-T IMMO'!F4</f>
        <v>50000</v>
      </c>
      <c r="G14" s="41">
        <f>SUMIF(T_Evora[Date],$C$4,T_Evora[AG])</f>
        <v>0</v>
      </c>
      <c r="H14" s="41">
        <f>SUMIF(T_Evora[Date],$C$4,T_Evora[Carburant])</f>
        <v>0</v>
      </c>
      <c r="I14" s="41">
        <f>SUMIF(T_Evora[Date],$C$4,T_Evora[Missions/MinCce])</f>
        <v>0</v>
      </c>
      <c r="J14" s="41">
        <f>SUMIF(T_Evora[Date],$C$4,T_Evora[Taxi/peage/PAD])</f>
        <v>0</v>
      </c>
      <c r="K14" s="41">
        <f>SUMIF(T_Evora[Date],$C$4,T_Evora[Télécom])</f>
        <v>0</v>
      </c>
      <c r="L14" s="41">
        <f>SUMIF(T_Evora[Date],$C$4,T_Evora[Entretien])</f>
        <v>0</v>
      </c>
      <c r="M14" s="41">
        <f>SUMIF(T_Evora[Date],$C$4,T_Evora[Electricité])</f>
        <v>0</v>
      </c>
      <c r="N14" s="41">
        <f>SUMIF(T_Evora[Date],$C$4,T_Evora[Eau])</f>
        <v>0</v>
      </c>
      <c r="O14" s="41">
        <f>SUMIF(T_Evora[Date],$C$4,T_Evora[Impot/Cnps])</f>
        <v>0</v>
      </c>
      <c r="P14" s="41">
        <f>SUMIF(T_Evora[Date],$C$4,T_Evora[Loyer])</f>
        <v>0</v>
      </c>
      <c r="Q14" s="41">
        <f>SUMIF(T_Evora[Date],$C$4,T_Evora[Banque])</f>
        <v>0</v>
      </c>
      <c r="R14" s="41">
        <f>SUMIF(T_Evora[Date],$C$4,T_Evora[Mat., mob.])</f>
        <v>0</v>
      </c>
      <c r="S14" s="41">
        <f>SUMIF(T_Evora[Date],$C$4,T_Evora[Salaire])</f>
        <v>0</v>
      </c>
      <c r="T14" s="41">
        <f>SUMIF(T_Evora[Date],$C$4,T_Evora[Autres])</f>
        <v>0</v>
      </c>
    </row>
    <row r="15" spans="1:22" customFormat="1" ht="12.75">
      <c r="B15" s="42" t="s">
        <v>36</v>
      </c>
      <c r="C15" s="42"/>
      <c r="D15" s="43">
        <f t="shared" ref="D15:T15" si="0">SUM(D7:D14)</f>
        <v>150000</v>
      </c>
      <c r="E15" s="43">
        <f t="shared" si="0"/>
        <v>0</v>
      </c>
      <c r="F15" s="43">
        <f t="shared" si="0"/>
        <v>505000</v>
      </c>
      <c r="G15" s="43">
        <f t="shared" si="0"/>
        <v>150000</v>
      </c>
      <c r="H15" s="43">
        <f t="shared" si="0"/>
        <v>0</v>
      </c>
      <c r="I15" s="43">
        <f t="shared" si="0"/>
        <v>0</v>
      </c>
      <c r="J15" s="43">
        <f t="shared" si="0"/>
        <v>0</v>
      </c>
      <c r="K15" s="43">
        <f t="shared" si="0"/>
        <v>0</v>
      </c>
      <c r="L15" s="43">
        <f t="shared" si="0"/>
        <v>0</v>
      </c>
      <c r="M15" s="43">
        <f t="shared" si="0"/>
        <v>0</v>
      </c>
      <c r="N15" s="43">
        <f t="shared" si="0"/>
        <v>0</v>
      </c>
      <c r="O15" s="43">
        <f t="shared" si="0"/>
        <v>0</v>
      </c>
      <c r="P15" s="43">
        <f t="shared" si="0"/>
        <v>0</v>
      </c>
      <c r="Q15" s="43">
        <f t="shared" si="0"/>
        <v>0</v>
      </c>
      <c r="R15" s="43">
        <f t="shared" si="0"/>
        <v>0</v>
      </c>
      <c r="S15" s="43">
        <f t="shared" si="0"/>
        <v>0</v>
      </c>
      <c r="T15" s="43">
        <f t="shared" si="0"/>
        <v>0</v>
      </c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1">
    <mergeCell ref="B2:G2"/>
  </mergeCells>
  <printOptions horizontalCentered="1"/>
  <pageMargins left="0.75" right="0.75" top="1" bottom="1" header="0.5" footer="0.5"/>
  <pageSetup paperSize="9" scale="87" fitToHeight="0" orientation="portrait" r:id="rId8"/>
  <headerFooter alignWithMargins="0"/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V21"/>
  <sheetViews>
    <sheetView showGridLines="0" workbookViewId="0">
      <selection activeCell="J16" sqref="J16"/>
    </sheetView>
  </sheetViews>
  <sheetFormatPr baseColWidth="10" defaultColWidth="9.140625" defaultRowHeight="13.5"/>
  <cols>
    <col min="1" max="1" width="5" style="1" customWidth="1"/>
    <col min="2" max="2" width="23" style="1" customWidth="1"/>
    <col min="3" max="3" width="15" style="1" bestFit="1" customWidth="1"/>
    <col min="4" max="4" width="15.5703125" style="1" bestFit="1" customWidth="1"/>
    <col min="5" max="5" width="15.85546875" style="3" bestFit="1" customWidth="1"/>
    <col min="6" max="6" width="10.7109375" style="1" bestFit="1" customWidth="1"/>
    <col min="7" max="7" width="9.28515625" style="1" customWidth="1"/>
    <col min="8" max="8" width="11.28515625" style="3" bestFit="1" customWidth="1"/>
    <col min="9" max="9" width="18.140625" style="3" bestFit="1" customWidth="1"/>
    <col min="10" max="10" width="17.140625" style="3" bestFit="1" customWidth="1"/>
    <col min="11" max="11" width="10.140625" style="1" bestFit="1" customWidth="1"/>
    <col min="12" max="12" width="10.85546875" style="1" bestFit="1" customWidth="1"/>
    <col min="13" max="13" width="11.42578125" style="1" bestFit="1" customWidth="1"/>
    <col min="14" max="14" width="10.85546875" style="1" customWidth="1"/>
    <col min="15" max="15" width="13" style="1" bestFit="1" customWidth="1"/>
    <col min="16" max="16" width="10.140625" style="1" customWidth="1"/>
    <col min="17" max="17" width="9.28515625" style="1" bestFit="1" customWidth="1"/>
    <col min="18" max="18" width="12.28515625" style="1" bestFit="1" customWidth="1"/>
    <col min="19" max="19" width="9.7109375" style="1" bestFit="1" customWidth="1"/>
    <col min="20" max="20" width="13" style="1" bestFit="1" customWidth="1"/>
    <col min="21" max="21" width="8.85546875" style="1" bestFit="1" customWidth="1"/>
    <col min="22" max="22" width="8.28515625" style="1" bestFit="1" customWidth="1"/>
    <col min="23" max="16384" width="9.140625" style="1"/>
  </cols>
  <sheetData>
    <row r="1" spans="1:22" ht="15" customHeight="1" thickBot="1">
      <c r="A1" s="47"/>
      <c r="B1" s="50">
        <f ca="1">TODAY()</f>
        <v>46311</v>
      </c>
    </row>
    <row r="2" spans="1:22" ht="40.15" customHeight="1" thickBot="1">
      <c r="B2" s="123" t="s">
        <v>79</v>
      </c>
      <c r="C2" s="124"/>
      <c r="D2" s="121"/>
      <c r="E2" s="127" t="s">
        <v>80</v>
      </c>
      <c r="F2" s="130"/>
      <c r="G2" s="131"/>
      <c r="H2" s="11"/>
      <c r="I2" s="11"/>
      <c r="J2" s="11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22" ht="40.15" customHeight="1">
      <c r="B3" s="120" t="s">
        <v>35</v>
      </c>
      <c r="C3" s="44"/>
      <c r="D3" s="122" t="s">
        <v>37</v>
      </c>
      <c r="E3" s="122"/>
      <c r="F3" s="36"/>
      <c r="G3" s="36"/>
      <c r="H3" s="37"/>
      <c r="I3" s="37"/>
      <c r="J3" s="37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</row>
    <row r="4" spans="1:22" s="13" customFormat="1" ht="15" customHeight="1">
      <c r="C4" s="49">
        <v>46311</v>
      </c>
      <c r="E4" s="15"/>
      <c r="H4" s="15"/>
      <c r="I4" s="15"/>
      <c r="J4" s="15"/>
    </row>
    <row r="5" spans="1:22" customFormat="1" ht="19.899999999999999" customHeight="1"/>
    <row r="6" spans="1:22" customFormat="1" ht="15" customHeight="1">
      <c r="B6" s="46" t="s">
        <v>82</v>
      </c>
      <c r="C6" s="125" t="s">
        <v>83</v>
      </c>
      <c r="D6" s="39" t="s">
        <v>81</v>
      </c>
      <c r="E6" s="39" t="s">
        <v>84</v>
      </c>
      <c r="F6" s="39" t="s">
        <v>44</v>
      </c>
      <c r="G6" s="39" t="s">
        <v>45</v>
      </c>
      <c r="H6" s="39" t="s">
        <v>46</v>
      </c>
      <c r="I6" s="39" t="s">
        <v>47</v>
      </c>
      <c r="J6" s="39" t="s">
        <v>48</v>
      </c>
      <c r="K6" s="39" t="s">
        <v>49</v>
      </c>
      <c r="L6" s="39" t="s">
        <v>50</v>
      </c>
      <c r="M6" s="39" t="s">
        <v>51</v>
      </c>
      <c r="N6" s="39" t="s">
        <v>52</v>
      </c>
      <c r="O6" s="39" t="s">
        <v>53</v>
      </c>
      <c r="P6" s="39" t="s">
        <v>54</v>
      </c>
      <c r="Q6" s="39" t="s">
        <v>55</v>
      </c>
      <c r="R6" s="39" t="s">
        <v>56</v>
      </c>
      <c r="S6" s="39" t="s">
        <v>57</v>
      </c>
      <c r="T6" s="39" t="s">
        <v>58</v>
      </c>
    </row>
    <row r="7" spans="1:22" customFormat="1" ht="14.25" customHeight="1"/>
    <row r="8" spans="1:22" customFormat="1" ht="12.75"/>
    <row r="9" spans="1:22" customFormat="1" ht="12.75"/>
    <row r="10" spans="1:22" customFormat="1" ht="12.75"/>
    <row r="11" spans="1:22" customFormat="1" ht="12.75"/>
    <row r="12" spans="1:22" customFormat="1" ht="12.75"/>
    <row r="13" spans="1:22" customFormat="1" ht="12.75"/>
    <row r="14" spans="1:22" customFormat="1" ht="12.75">
      <c r="B14" s="132" t="s">
        <v>87</v>
      </c>
      <c r="C14" s="126">
        <v>0</v>
      </c>
      <c r="D14" s="126">
        <f>SUM(D7:D13)</f>
        <v>0</v>
      </c>
      <c r="E14" s="126">
        <f>SUM(E7:E13)</f>
        <v>0</v>
      </c>
      <c r="F14" s="126">
        <f>C14+D14-E14</f>
        <v>0</v>
      </c>
      <c r="G14" s="126">
        <f t="shared" ref="G14:T14" si="0">SUM(G7:G13)</f>
        <v>0</v>
      </c>
      <c r="H14" s="126">
        <f t="shared" si="0"/>
        <v>0</v>
      </c>
      <c r="I14" s="126">
        <f t="shared" si="0"/>
        <v>0</v>
      </c>
      <c r="J14" s="126">
        <f t="shared" si="0"/>
        <v>0</v>
      </c>
      <c r="K14" s="126">
        <f t="shared" si="0"/>
        <v>0</v>
      </c>
      <c r="L14" s="126">
        <f t="shared" si="0"/>
        <v>0</v>
      </c>
      <c r="M14" s="126">
        <f t="shared" si="0"/>
        <v>0</v>
      </c>
      <c r="N14" s="126">
        <f t="shared" si="0"/>
        <v>0</v>
      </c>
      <c r="O14" s="126">
        <f t="shared" si="0"/>
        <v>0</v>
      </c>
      <c r="P14" s="126">
        <f t="shared" si="0"/>
        <v>0</v>
      </c>
      <c r="Q14" s="126">
        <f t="shared" si="0"/>
        <v>0</v>
      </c>
      <c r="R14" s="126">
        <f t="shared" si="0"/>
        <v>0</v>
      </c>
      <c r="S14" s="126">
        <f t="shared" si="0"/>
        <v>0</v>
      </c>
      <c r="T14" s="126">
        <f t="shared" si="0"/>
        <v>0</v>
      </c>
    </row>
    <row r="15" spans="1:22" customFormat="1" ht="12.75"/>
    <row r="16" spans="1:22">
      <c r="B16" s="129" t="s">
        <v>85</v>
      </c>
      <c r="C16" s="128"/>
      <c r="D16" s="129" t="s">
        <v>86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21" spans="6:6">
      <c r="F21" s="45"/>
    </row>
  </sheetData>
  <dataConsolidate topLabels="1" link="1">
    <dataRefs count="7">
      <dataRef ref="B7:V8" sheet="CAPI" r:id="rId1"/>
      <dataRef ref="B7:V8" sheet="CFPM-JET" r:id="rId2"/>
      <dataRef ref="B7:V8" sheet="GICCOPACAM" r:id="rId3"/>
      <dataRef ref="B7:V8" sheet="JET INDUSTRY" r:id="rId4"/>
      <dataRef ref="B7:V8" sheet="JET INVESTMENT" r:id="rId5"/>
      <dataRef ref="B7:V8" sheet="KENZO" r:id="rId6"/>
      <dataRef ref="B7:V8" sheet="SCI-JET" r:id="rId7"/>
    </dataRefs>
  </dataConsolidate>
  <mergeCells count="3">
    <mergeCell ref="D3:E3"/>
    <mergeCell ref="B2:D2"/>
    <mergeCell ref="F2:G2"/>
  </mergeCells>
  <printOptions horizontalCentered="1"/>
  <pageMargins left="0.75" right="0.75" top="1" bottom="1" header="0.5" footer="0.5"/>
  <pageSetup paperSize="9" scale="86" fitToHeight="0" orientation="portrait" r:id="rId8"/>
  <headerFooter alignWithMargins="0"/>
  <drawing r:id="rId9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: " error="Entreprise sélectionnée incorecte !" promptTitle="Aide :" prompt="Sélectionnez l'entreprise et la date pour afficher son journal">
          <x14:formula1>
            <xm:f>Listes!$A$2:$A$9</xm:f>
          </x14:formula1>
          <xm:sqref>D3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  <pageSetUpPr fitToPage="1"/>
  </sheetPr>
  <dimension ref="B1:V11"/>
  <sheetViews>
    <sheetView showGridLines="0" workbookViewId="0">
      <selection activeCell="H14" sqref="H14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35.85546875" style="3" customWidth="1"/>
    <col min="5" max="5" width="25.5703125" style="1" customWidth="1"/>
    <col min="6" max="6" width="27.140625" style="1" customWidth="1"/>
    <col min="7" max="7" width="10.57031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3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D4+T_Capi[[#Totals],[Encaissement]]-T_Capi[[#Totals],[Décaissement]]</f>
        <v>155000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>
        <v>46296</v>
      </c>
      <c r="C7" s="54">
        <v>1</v>
      </c>
      <c r="D7" s="19" t="s">
        <v>34</v>
      </c>
      <c r="E7" s="23"/>
      <c r="F7" s="17">
        <v>45000</v>
      </c>
      <c r="G7" s="28">
        <f>D4+T_Capi[[#This Row],[Encaissement]]-T_Capi[[#This Row],[Décaissement]]</f>
        <v>5000</v>
      </c>
      <c r="H7" s="24"/>
      <c r="I7" s="23">
        <v>20000</v>
      </c>
      <c r="J7" s="23">
        <v>20000</v>
      </c>
      <c r="K7" s="23">
        <v>5000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53">
        <f>SUM(T_Capi[[#This Row],[AG]:[Autres]])</f>
        <v>45000</v>
      </c>
    </row>
    <row r="8" spans="2:22" s="8" customFormat="1" ht="16.5">
      <c r="B8" s="106">
        <v>46311</v>
      </c>
      <c r="C8" s="107">
        <v>2</v>
      </c>
      <c r="D8" s="108" t="s">
        <v>75</v>
      </c>
      <c r="E8" s="109">
        <v>150000</v>
      </c>
      <c r="F8" s="110"/>
      <c r="G8" s="28">
        <f>+G7+T_Capi[[#This Row],[Encaissement]]-T_Capi[[#This Row],[Décaissement]]</f>
        <v>155000</v>
      </c>
      <c r="H8" s="111">
        <v>150000</v>
      </c>
      <c r="I8" s="109"/>
      <c r="J8" s="109"/>
      <c r="K8" s="109"/>
      <c r="L8" s="111"/>
      <c r="M8" s="112"/>
      <c r="N8" s="112"/>
      <c r="O8" s="112"/>
      <c r="P8" s="112"/>
      <c r="Q8" s="111"/>
      <c r="R8" s="112"/>
      <c r="S8" s="112"/>
      <c r="T8" s="112"/>
      <c r="U8" s="112"/>
      <c r="V8" s="113">
        <f>SUM(T_Capi[[#This Row],[AG]:[Autres]])</f>
        <v>150000</v>
      </c>
    </row>
    <row r="9" spans="2:22" ht="17.25" thickBot="1">
      <c r="B9" s="114"/>
      <c r="C9" s="115" t="s">
        <v>1</v>
      </c>
      <c r="D9" s="116">
        <f>SUBTOTAL(103,T_Capi[Libellé de l''opération])</f>
        <v>2</v>
      </c>
      <c r="E9" s="117">
        <f>SUBTOTAL(109,T_Capi[Encaissement])</f>
        <v>150000</v>
      </c>
      <c r="F9" s="118">
        <f>SUBTOTAL(109,T_Capi[Décaissement])</f>
        <v>45000</v>
      </c>
      <c r="G9" s="118">
        <f>SUBTOTAL(109,T_Capi[Solde])</f>
        <v>160000</v>
      </c>
      <c r="H9" s="117">
        <f>SUBTOTAL(109,T_Capi[AG])</f>
        <v>150000</v>
      </c>
      <c r="I9" s="117">
        <f>SUBTOTAL(109,T_Capi[Carburant])</f>
        <v>20000</v>
      </c>
      <c r="J9" s="117">
        <f>SUBTOTAL(109,T_Capi[Missions/MinCce])</f>
        <v>20000</v>
      </c>
      <c r="K9" s="117">
        <f>SUBTOTAL(109,T_Capi[Taxi/peage/PAD])</f>
        <v>5000</v>
      </c>
      <c r="L9" s="117">
        <f>SUBTOTAL(109,T_Capi[Télécom])</f>
        <v>0</v>
      </c>
      <c r="M9" s="117">
        <f>SUBTOTAL(109,T_Capi[Entretien])</f>
        <v>0</v>
      </c>
      <c r="N9" s="117">
        <f>SUBTOTAL(109,T_Capi[Electricité])</f>
        <v>0</v>
      </c>
      <c r="O9" s="117">
        <f>SUBTOTAL(109,T_Capi[Eau])</f>
        <v>0</v>
      </c>
      <c r="P9" s="117">
        <f>SUBTOTAL(109,T_Capi[Impot/Cnps])</f>
        <v>0</v>
      </c>
      <c r="Q9" s="117">
        <f>SUBTOTAL(109,T_Capi[Loyer])</f>
        <v>0</v>
      </c>
      <c r="R9" s="117">
        <f>SUBTOTAL(109,T_Capi[Banque])</f>
        <v>0</v>
      </c>
      <c r="S9" s="117">
        <f>SUBTOTAL(109,T_Capi[Mat., mob.])</f>
        <v>0</v>
      </c>
      <c r="T9" s="117">
        <f>SUBTOTAL(109,T_Capi[Salaire])</f>
        <v>0</v>
      </c>
      <c r="U9" s="117">
        <f>SUBTOTAL(109,T_Capi[Autres])</f>
        <v>0</v>
      </c>
      <c r="V9" s="119">
        <f>SUBTOTAL(109,T_Capi[Total])</f>
        <v>195000</v>
      </c>
    </row>
    <row r="10" spans="2:22" ht="17.25" thickTop="1">
      <c r="B10" s="92"/>
      <c r="C10" s="93"/>
      <c r="D10" s="94"/>
      <c r="E10" s="95"/>
      <c r="F10" s="96"/>
      <c r="G10" s="96"/>
      <c r="H10" s="95"/>
      <c r="I10" s="95"/>
      <c r="J10" s="95"/>
      <c r="K10" s="95"/>
      <c r="L10" s="95"/>
      <c r="M10" s="95"/>
      <c r="N10" s="95"/>
      <c r="O10" s="95"/>
      <c r="P10" s="95"/>
      <c r="Q10" s="95"/>
      <c r="R10" s="95"/>
      <c r="S10" s="95"/>
      <c r="T10" s="95"/>
      <c r="U10" s="95"/>
      <c r="V10" s="97"/>
    </row>
    <row r="11" spans="2:22">
      <c r="B11" s="22" t="s">
        <v>73</v>
      </c>
      <c r="D11" s="22" t="s">
        <v>17</v>
      </c>
    </row>
  </sheetData>
  <mergeCells count="1">
    <mergeCell ref="B2:C2"/>
  </mergeCells>
  <phoneticPr fontId="3" type="noConversion"/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19685039370078741" right="0.19685039370078741" top="0.15748031496062992" bottom="0.15748031496062992" header="0.19685039370078741" footer="0.19685039370078741"/>
  <pageSetup paperSize="9" scale="71" fitToHeight="0" orientation="portrait" r:id="rId1"/>
  <headerFooter alignWithMargins="0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B1:V10"/>
  <sheetViews>
    <sheetView showGridLines="0" workbookViewId="0">
      <selection activeCell="D7" sqref="D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4.28515625" style="3" customWidth="1"/>
    <col min="5" max="5" width="21.42578125" style="1" customWidth="1"/>
    <col min="6" max="6" width="19.7109375" style="1" customWidth="1"/>
    <col min="7" max="7" width="10.7109375" style="3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26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D4+T_Giccopacam[[#Totals],[Encaissement]]-T_Giccopacam[[#Totals],[Décaissement]]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70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71"/>
      <c r="C7" s="56">
        <v>1</v>
      </c>
      <c r="D7" s="59"/>
      <c r="E7" s="99"/>
      <c r="F7" s="57"/>
      <c r="G7" s="67"/>
      <c r="H7" s="68"/>
      <c r="I7" s="58"/>
      <c r="J7" s="58"/>
      <c r="K7" s="58"/>
      <c r="L7" s="68"/>
      <c r="M7" s="69"/>
      <c r="N7" s="69"/>
      <c r="O7" s="69"/>
      <c r="P7" s="69"/>
      <c r="Q7" s="68"/>
      <c r="R7" s="69"/>
      <c r="S7" s="69"/>
      <c r="T7" s="69"/>
      <c r="U7" s="69"/>
      <c r="V7" s="69">
        <f>SUM(T_Giccopacam[[#This Row],[AG]:[Autres]])</f>
        <v>0</v>
      </c>
    </row>
    <row r="8" spans="2:22" s="8" customFormat="1" ht="17.25" thickBot="1">
      <c r="B8" s="72"/>
      <c r="C8" s="60" t="s">
        <v>1</v>
      </c>
      <c r="D8" s="91">
        <f>SUBTOTAL(103,T_Giccopacam[Libellé de l''opération])</f>
        <v>0</v>
      </c>
      <c r="E8" s="98">
        <f>SUBTOTAL(109,T_Giccopacam[Encaissement])</f>
        <v>0</v>
      </c>
      <c r="F8" s="61">
        <f>SUBTOTAL(109,T_Giccopacam[Décaissement])</f>
        <v>0</v>
      </c>
      <c r="G8" s="62"/>
      <c r="H8" s="63">
        <f>SUBTOTAL(109,T_Giccopacam[AG])</f>
        <v>0</v>
      </c>
      <c r="I8" s="64">
        <f>SUBTOTAL(109,T_Giccopacam[Carburant])</f>
        <v>0</v>
      </c>
      <c r="J8" s="64">
        <f>SUBTOTAL(109,T_Giccopacam[Missions/MinCce])</f>
        <v>0</v>
      </c>
      <c r="K8" s="64">
        <f>SUBTOTAL(109,T_Giccopacam[Taxi/peage/PAD])</f>
        <v>0</v>
      </c>
      <c r="L8" s="63">
        <f>SUBTOTAL(109,T_Giccopacam[Télécom])</f>
        <v>0</v>
      </c>
      <c r="M8" s="65">
        <f>SUBTOTAL(109,T_Giccopacam[Entretien])</f>
        <v>0</v>
      </c>
      <c r="N8" s="65">
        <f>SUBTOTAL(109,T_Giccopacam[Electricité])</f>
        <v>0</v>
      </c>
      <c r="O8" s="65">
        <f>SUBTOTAL(109,T_Giccopacam[Eau])</f>
        <v>0</v>
      </c>
      <c r="P8" s="65">
        <f>SUBTOTAL(109,T_Giccopacam[Impot/Cnps])</f>
        <v>0</v>
      </c>
      <c r="Q8" s="63">
        <f>SUBTOTAL(109,T_Giccopacam[Loyer])</f>
        <v>0</v>
      </c>
      <c r="R8" s="65">
        <f>SUBTOTAL(109,T_Giccopacam[Banque])</f>
        <v>0</v>
      </c>
      <c r="S8" s="65">
        <f>SUBTOTAL(109,T_Giccopacam[Mat., mob.])</f>
        <v>0</v>
      </c>
      <c r="T8" s="65">
        <f>SUBTOTAL(109,T_Giccopacam[Salaire])</f>
        <v>0</v>
      </c>
      <c r="U8" s="65">
        <f>SUBTOTAL(109,T_Giccopacam[Autres])</f>
        <v>0</v>
      </c>
      <c r="V8" s="66">
        <f>SUBTOTAL(109,T_Giccopacam[Total])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79" fitToHeight="0" orientation="portrait" r:id="rId1"/>
  <headerFooter alignWithMargins="0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4.9989318521683403E-2"/>
    <pageSetUpPr fitToPage="1"/>
  </sheetPr>
  <dimension ref="B1:V10"/>
  <sheetViews>
    <sheetView showGridLines="0" workbookViewId="0">
      <selection activeCell="D7" sqref="D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27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D4+T_Kenzo[[#Totals],[Encaissement]]-T_Kenzo[[#Totals],[Décaissement]]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>
        <v>1</v>
      </c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>
        <f>SUM(T_Kenzo[[#This Row],[AG]:[Autres]])</f>
        <v>0</v>
      </c>
    </row>
    <row r="8" spans="2:22" s="8" customFormat="1" ht="17.25" thickBot="1">
      <c r="B8" s="33"/>
      <c r="C8" s="9" t="s">
        <v>1</v>
      </c>
      <c r="D8" s="90">
        <f>SUBTOTAL(103,T_Kenzo[Libellé de l''opération])</f>
        <v>0</v>
      </c>
      <c r="E8" s="25">
        <f>SUBTOTAL(109,T_Kenzo[Encaissement])</f>
        <v>0</v>
      </c>
      <c r="F8" s="18">
        <f>SUBTOTAL(109,T_Kenzo[Décaissement])</f>
        <v>0</v>
      </c>
      <c r="G8" s="18">
        <f>SUBTOTAL(109,T_Kenzo[Solde])</f>
        <v>0</v>
      </c>
      <c r="H8" s="25">
        <f>SUBTOTAL(109,T_Kenzo[AG])</f>
        <v>0</v>
      </c>
      <c r="I8" s="25">
        <f>SUBTOTAL(109,T_Kenzo[Carburant])</f>
        <v>0</v>
      </c>
      <c r="J8" s="25">
        <f>SUBTOTAL(109,T_Kenzo[Missions/MinCce])</f>
        <v>0</v>
      </c>
      <c r="K8" s="25">
        <f>SUBTOTAL(109,T_Kenzo[Taxi/peage/PAD])</f>
        <v>0</v>
      </c>
      <c r="L8" s="25">
        <f>SUBTOTAL(109,T_Kenzo[Télécom])</f>
        <v>0</v>
      </c>
      <c r="M8" s="25">
        <f>SUBTOTAL(109,T_Kenzo[Entretien])</f>
        <v>0</v>
      </c>
      <c r="N8" s="25">
        <f>SUBTOTAL(109,T_Kenzo[Electricité])</f>
        <v>0</v>
      </c>
      <c r="O8" s="25">
        <f>SUBTOTAL(109,T_Kenzo[Eau])</f>
        <v>0</v>
      </c>
      <c r="P8" s="25">
        <f>SUBTOTAL(109,T_Kenzo[Impot/Cnps])</f>
        <v>0</v>
      </c>
      <c r="Q8" s="25">
        <f>SUBTOTAL(109,T_Kenzo[Loyer])</f>
        <v>0</v>
      </c>
      <c r="R8" s="25">
        <f>SUBTOTAL(109,T_Kenzo[Banque])</f>
        <v>0</v>
      </c>
      <c r="S8" s="25">
        <f>SUBTOTAL(109,T_Kenzo[Mat., mob.])</f>
        <v>0</v>
      </c>
      <c r="T8" s="25">
        <f>SUBTOTAL(109,T_Kenzo[Salaire])</f>
        <v>0</v>
      </c>
      <c r="U8" s="25">
        <f>SUBTOTAL(109,T_Kenzo[Autres])</f>
        <v>0</v>
      </c>
      <c r="V8" s="27">
        <f>SUBTOTAL(109,T_Kenzo[Total])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499984740745262"/>
    <pageSetUpPr fitToPage="1"/>
  </sheetPr>
  <dimension ref="B1:V10"/>
  <sheetViews>
    <sheetView showGridLines="0" workbookViewId="0">
      <selection activeCell="D7" sqref="D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28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D4+T_JetIndustry[[#Totals],[Encaissement]]-T_JetIndustry[[#Totals],[Décaissement]]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71"/>
      <c r="C7" s="56">
        <v>1</v>
      </c>
      <c r="D7" s="59"/>
      <c r="E7" s="58"/>
      <c r="F7" s="57"/>
      <c r="G7" s="67"/>
      <c r="H7" s="68"/>
      <c r="I7" s="58"/>
      <c r="J7" s="58"/>
      <c r="K7" s="58"/>
      <c r="L7" s="68"/>
      <c r="M7" s="69"/>
      <c r="N7" s="69"/>
      <c r="O7" s="69"/>
      <c r="P7" s="69"/>
      <c r="Q7" s="68"/>
      <c r="R7" s="69"/>
      <c r="S7" s="69"/>
      <c r="T7" s="69"/>
      <c r="U7" s="69"/>
      <c r="V7" s="69">
        <f>SUM(T_JetIndustry[[#This Row],[AG]:[Autres]])</f>
        <v>0</v>
      </c>
    </row>
    <row r="8" spans="2:22" s="8" customFormat="1" ht="17.25" thickBot="1">
      <c r="B8" s="72"/>
      <c r="C8" s="60" t="s">
        <v>1</v>
      </c>
      <c r="D8" s="91">
        <f>SUBTOTAL(103,T_JetIndustry[Libellé de l''opération])</f>
        <v>0</v>
      </c>
      <c r="E8" s="64">
        <f>SUBTOTAL(109,T_JetIndustry[Encaissement])</f>
        <v>0</v>
      </c>
      <c r="F8" s="61">
        <f>SUBTOTAL(109,T_JetIndustry[Décaissement])</f>
        <v>0</v>
      </c>
      <c r="G8" s="62">
        <f>SUBTOTAL(109,T_JetIndustry[Solde])</f>
        <v>0</v>
      </c>
      <c r="H8" s="63">
        <f>SUBTOTAL(109,T_JetIndustry[AG])</f>
        <v>0</v>
      </c>
      <c r="I8" s="64">
        <f>SUBTOTAL(109,T_JetIndustry[Carburant])</f>
        <v>0</v>
      </c>
      <c r="J8" s="64">
        <f>SUBTOTAL(109,T_JetIndustry[Missions/MinCce])</f>
        <v>0</v>
      </c>
      <c r="K8" s="64">
        <f>SUBTOTAL(109,T_JetIndustry[Taxi/peage/PAD])</f>
        <v>0</v>
      </c>
      <c r="L8" s="63">
        <f>SUBTOTAL(109,T_JetIndustry[Télécom])</f>
        <v>0</v>
      </c>
      <c r="M8" s="65">
        <f>SUBTOTAL(109,T_JetIndustry[Entretien])</f>
        <v>0</v>
      </c>
      <c r="N8" s="65">
        <f>SUBTOTAL(109,T_JetIndustry[Electricité])</f>
        <v>0</v>
      </c>
      <c r="O8" s="65">
        <f>SUBTOTAL(109,T_JetIndustry[Eau])</f>
        <v>0</v>
      </c>
      <c r="P8" s="65">
        <f>SUBTOTAL(109,T_JetIndustry[Impot/Cnps])</f>
        <v>0</v>
      </c>
      <c r="Q8" s="63">
        <f>SUBTOTAL(109,T_JetIndustry[Loyer])</f>
        <v>0</v>
      </c>
      <c r="R8" s="65">
        <f>SUBTOTAL(109,T_JetIndustry[Banque])</f>
        <v>0</v>
      </c>
      <c r="S8" s="65">
        <f>SUBTOTAL(109,T_JetIndustry[Mat., mob.])</f>
        <v>0</v>
      </c>
      <c r="T8" s="65">
        <f>SUBTOTAL(109,T_JetIndustry[Salaire])</f>
        <v>0</v>
      </c>
      <c r="U8" s="65">
        <f>SUBTOTAL(109,T_JetIndustry[Autres])</f>
        <v>0</v>
      </c>
      <c r="V8" s="66">
        <f>SUBTOTAL(109,T_JetIndustry[Total])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 tint="0.34998626667073579"/>
    <pageSetUpPr fitToPage="1"/>
  </sheetPr>
  <dimension ref="B1:V10"/>
  <sheetViews>
    <sheetView showGridLines="0" workbookViewId="0">
      <selection activeCell="D7" sqref="D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29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D4+T_JetInvestment[[#Totals],[Encaissement]]-T_JetInvestment[[#Totals],[Décaissement]]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>
        <v>1</v>
      </c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>
        <f>SUM(T_JetInvestment[[#This Row],[AG]:[Autres]])</f>
        <v>0</v>
      </c>
    </row>
    <row r="8" spans="2:22" s="8" customFormat="1" ht="17.25" thickBot="1">
      <c r="B8" s="33"/>
      <c r="C8" s="9" t="s">
        <v>1</v>
      </c>
      <c r="D8" s="90">
        <f>SUBTOTAL(103,T_JetInvestment[Libellé de l''opération])</f>
        <v>0</v>
      </c>
      <c r="E8" s="25">
        <f>SUBTOTAL(109,T_JetInvestment[Encaissement])</f>
        <v>0</v>
      </c>
      <c r="F8" s="18">
        <f>SUBTOTAL(109,T_JetInvestment[Décaissement])</f>
        <v>0</v>
      </c>
      <c r="G8" s="18">
        <f>SUBTOTAL(109,T_JetInvestment[Solde])</f>
        <v>0</v>
      </c>
      <c r="H8" s="25">
        <f>SUBTOTAL(109,T_JetInvestment[AG])</f>
        <v>0</v>
      </c>
      <c r="I8" s="25">
        <f>SUBTOTAL(109,T_JetInvestment[Carburant])</f>
        <v>0</v>
      </c>
      <c r="J8" s="25">
        <f>SUBTOTAL(109,T_JetInvestment[Missions/MinCce])</f>
        <v>0</v>
      </c>
      <c r="K8" s="25">
        <f>SUBTOTAL(109,T_JetInvestment[Taxi/peage/PAD])</f>
        <v>0</v>
      </c>
      <c r="L8" s="25">
        <f>SUBTOTAL(109,T_JetInvestment[Télécom])</f>
        <v>0</v>
      </c>
      <c r="M8" s="25">
        <f>SUBTOTAL(109,T_JetInvestment[Entretien])</f>
        <v>0</v>
      </c>
      <c r="N8" s="25">
        <f>SUBTOTAL(109,T_JetInvestment[Electricité])</f>
        <v>0</v>
      </c>
      <c r="O8" s="25">
        <f>SUBTOTAL(109,T_JetInvestment[Eau])</f>
        <v>0</v>
      </c>
      <c r="P8" s="25">
        <f>SUBTOTAL(109,T_JetInvestment[Impot/Cnps])</f>
        <v>0</v>
      </c>
      <c r="Q8" s="25">
        <f>SUBTOTAL(109,T_JetInvestment[Loyer])</f>
        <v>0</v>
      </c>
      <c r="R8" s="25">
        <f>SUBTOTAL(109,T_JetInvestment[Banque])</f>
        <v>0</v>
      </c>
      <c r="S8" s="25">
        <f>SUBTOTAL(109,T_JetInvestment[Mat., mob.])</f>
        <v>0</v>
      </c>
      <c r="T8" s="25">
        <f>SUBTOTAL(109,T_JetInvestment[Salaire])</f>
        <v>0</v>
      </c>
      <c r="U8" s="25">
        <f>SUBTOTAL(109,T_JetInvestment[Autres])</f>
        <v>0</v>
      </c>
      <c r="V8" s="27">
        <f>SUBTOTAL(109,T_JetInvestment[Total])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14999847407452621"/>
    <pageSetUpPr fitToPage="1"/>
  </sheetPr>
  <dimension ref="B1:V10"/>
  <sheetViews>
    <sheetView showGridLines="0" workbookViewId="0">
      <selection activeCell="D7" sqref="D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30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D4+T_SciJet[[#Totals],[Encaissement]]-T_SciJet[[#Totals],[Décaissement]]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>
        <v>1</v>
      </c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>
        <f>SUM(T_SciJet[[#This Row],[AG]:[Autres]])</f>
        <v>0</v>
      </c>
    </row>
    <row r="8" spans="2:22" s="8" customFormat="1" ht="17.25" thickBot="1">
      <c r="B8" s="33"/>
      <c r="C8" s="9" t="s">
        <v>1</v>
      </c>
      <c r="D8" s="90">
        <f>SUBTOTAL(103,T_SciJet[Libellé de l''opération])</f>
        <v>0</v>
      </c>
      <c r="E8" s="25">
        <f>SUBTOTAL(109,T_SciJet[Encaissement])</f>
        <v>0</v>
      </c>
      <c r="F8" s="18">
        <f>SUBTOTAL(109,T_SciJet[Décaissement])</f>
        <v>0</v>
      </c>
      <c r="G8" s="18">
        <f>SUBTOTAL(109,T_SciJet[Solde])</f>
        <v>0</v>
      </c>
      <c r="H8" s="25">
        <f>SUBTOTAL(109,T_SciJet[AG])</f>
        <v>0</v>
      </c>
      <c r="I8" s="25">
        <f>SUBTOTAL(109,T_SciJet[Carburant])</f>
        <v>0</v>
      </c>
      <c r="J8" s="25">
        <f>SUBTOTAL(109,T_SciJet[Missions/MinCce])</f>
        <v>0</v>
      </c>
      <c r="K8" s="25">
        <f>SUBTOTAL(109,T_SciJet[Taxi/peage/PAD])</f>
        <v>0</v>
      </c>
      <c r="L8" s="25">
        <f>SUBTOTAL(109,T_SciJet[Télécom])</f>
        <v>0</v>
      </c>
      <c r="M8" s="25">
        <f>SUBTOTAL(109,T_SciJet[Entretien])</f>
        <v>0</v>
      </c>
      <c r="N8" s="25">
        <f>SUBTOTAL(109,T_SciJet[Electricité])</f>
        <v>0</v>
      </c>
      <c r="O8" s="25">
        <f>SUBTOTAL(109,T_SciJet[Eau])</f>
        <v>0</v>
      </c>
      <c r="P8" s="25">
        <f>SUBTOTAL(109,T_SciJet[Impot/Cnps])</f>
        <v>0</v>
      </c>
      <c r="Q8" s="25">
        <f>SUBTOTAL(109,T_SciJet[Loyer])</f>
        <v>0</v>
      </c>
      <c r="R8" s="25">
        <f>SUBTOTAL(109,T_SciJet[Banque])</f>
        <v>0</v>
      </c>
      <c r="S8" s="25">
        <f>SUBTOTAL(109,T_SciJet[Mat., mob.])</f>
        <v>0</v>
      </c>
      <c r="T8" s="25">
        <f>SUBTOTAL(109,T_SciJet[Salaire])</f>
        <v>0</v>
      </c>
      <c r="U8" s="25">
        <f>SUBTOTAL(109,T_SciJet[Autres])</f>
        <v>0</v>
      </c>
      <c r="V8" s="27">
        <f>SUBTOTAL(109,T_SciJet[Total])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3" tint="0.39997558519241921"/>
    <pageSetUpPr fitToPage="1"/>
  </sheetPr>
  <dimension ref="B1:V10"/>
  <sheetViews>
    <sheetView showGridLines="0" workbookViewId="0">
      <selection activeCell="D7" sqref="D7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31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D4+T_CfpmJet[[#Totals],[Encaissement]]-T_CfpmJet[[#Totals],[Décaissement]]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34"/>
      <c r="C7" s="16">
        <v>1</v>
      </c>
      <c r="D7" s="19"/>
      <c r="E7" s="23"/>
      <c r="F7" s="17"/>
      <c r="G7" s="28"/>
      <c r="H7" s="24"/>
      <c r="I7" s="23"/>
      <c r="J7" s="23"/>
      <c r="K7" s="23"/>
      <c r="L7" s="24"/>
      <c r="M7" s="24"/>
      <c r="N7" s="24"/>
      <c r="O7" s="24"/>
      <c r="P7" s="24"/>
      <c r="Q7" s="24"/>
      <c r="R7" s="24"/>
      <c r="S7" s="24"/>
      <c r="T7" s="24"/>
      <c r="U7" s="24"/>
      <c r="V7" s="26">
        <f>SUM(T_CfpmJet[[#This Row],[AG]:[Autres]])</f>
        <v>0</v>
      </c>
    </row>
    <row r="8" spans="2:22" s="8" customFormat="1" ht="17.25" thickBot="1">
      <c r="B8" s="33"/>
      <c r="C8" s="9" t="s">
        <v>1</v>
      </c>
      <c r="D8" s="90">
        <f>SUBTOTAL(103,T_CfpmJet[Libellé de l''opération])</f>
        <v>0</v>
      </c>
      <c r="E8" s="25">
        <f>SUBTOTAL(109,T_CfpmJet[Encaissement])</f>
        <v>0</v>
      </c>
      <c r="F8" s="18">
        <f>SUBTOTAL(109,T_CfpmJet[Décaissement])</f>
        <v>0</v>
      </c>
      <c r="G8" s="18">
        <f>SUBTOTAL(109,T_CfpmJet[Solde])</f>
        <v>0</v>
      </c>
      <c r="H8" s="25">
        <f>SUBTOTAL(109,T_CfpmJet[AG])</f>
        <v>0</v>
      </c>
      <c r="I8" s="25">
        <f>SUBTOTAL(109,T_CfpmJet[Carburant])</f>
        <v>0</v>
      </c>
      <c r="J8" s="25">
        <f>SUBTOTAL(109,T_CfpmJet[Missions/MinCce])</f>
        <v>0</v>
      </c>
      <c r="K8" s="25">
        <f>SUBTOTAL(109,T_CfpmJet[Taxi/peage/PAD])</f>
        <v>0</v>
      </c>
      <c r="L8" s="25">
        <f>SUBTOTAL(109,T_CfpmJet[Télécom])</f>
        <v>0</v>
      </c>
      <c r="M8" s="25">
        <f>SUBTOTAL(109,T_CfpmJet[Entretien])</f>
        <v>0</v>
      </c>
      <c r="N8" s="25">
        <f>SUBTOTAL(109,T_CfpmJet[Electricité])</f>
        <v>0</v>
      </c>
      <c r="O8" s="25">
        <f>SUBTOTAL(109,T_CfpmJet[Eau])</f>
        <v>0</v>
      </c>
      <c r="P8" s="25">
        <f>SUBTOTAL(109,T_CfpmJet[Impot/Cnps])</f>
        <v>0</v>
      </c>
      <c r="Q8" s="25">
        <f>SUBTOTAL(109,T_CfpmJet[Loyer])</f>
        <v>0</v>
      </c>
      <c r="R8" s="25">
        <f>SUBTOTAL(109,T_CfpmJet[Banque])</f>
        <v>0</v>
      </c>
      <c r="S8" s="25">
        <f>SUBTOTAL(109,T_CfpmJet[Mat., mob.])</f>
        <v>0</v>
      </c>
      <c r="T8" s="25">
        <f>SUBTOTAL(109,T_CfpmJet[Salaire])</f>
        <v>0</v>
      </c>
      <c r="U8" s="25">
        <f>SUBTOTAL(109,T_CfpmJet[Autres])</f>
        <v>0</v>
      </c>
      <c r="V8" s="27">
        <f>SUBTOTAL(109,T_CfpmJet[Total])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B1:V10"/>
  <sheetViews>
    <sheetView showGridLines="0" workbookViewId="0">
      <selection activeCell="H15" sqref="H15"/>
    </sheetView>
  </sheetViews>
  <sheetFormatPr baseColWidth="10" defaultColWidth="9.140625" defaultRowHeight="13.5"/>
  <cols>
    <col min="1" max="1" width="5" style="1" customWidth="1"/>
    <col min="2" max="2" width="17.85546875" style="1" customWidth="1"/>
    <col min="3" max="3" width="20.85546875" style="1" customWidth="1"/>
    <col min="4" max="4" width="21.140625" style="3" bestFit="1" customWidth="1"/>
    <col min="5" max="5" width="25.5703125" style="1" customWidth="1"/>
    <col min="6" max="6" width="27.140625" style="1" customWidth="1"/>
    <col min="7" max="7" width="9.140625" style="3" bestFit="1" customWidth="1"/>
    <col min="8" max="8" width="11.28515625" style="3" customWidth="1"/>
    <col min="9" max="9" width="12.140625" style="3" bestFit="1" customWidth="1"/>
    <col min="10" max="10" width="20.140625" style="1" bestFit="1" customWidth="1"/>
    <col min="11" max="11" width="19.140625" style="1" bestFit="1" customWidth="1"/>
    <col min="12" max="12" width="10.28515625" style="1" bestFit="1" customWidth="1"/>
    <col min="13" max="13" width="11.42578125" style="1" bestFit="1" customWidth="1"/>
    <col min="14" max="14" width="12.28515625" style="1" bestFit="1" customWidth="1"/>
    <col min="15" max="15" width="5.42578125" style="1" bestFit="1" customWidth="1"/>
    <col min="16" max="16" width="14.140625" style="1" bestFit="1" customWidth="1"/>
    <col min="17" max="17" width="7.140625" style="1" bestFit="1" customWidth="1"/>
    <col min="18" max="18" width="9.7109375" style="1" bestFit="1" customWidth="1"/>
    <col min="19" max="19" width="13" style="1" bestFit="1" customWidth="1"/>
    <col min="20" max="20" width="8.85546875" style="1" bestFit="1" customWidth="1"/>
    <col min="21" max="21" width="8.28515625" style="1" bestFit="1" customWidth="1"/>
    <col min="22" max="16384" width="9.140625" style="1"/>
  </cols>
  <sheetData>
    <row r="1" spans="2:22" ht="15" customHeight="1" thickBot="1"/>
    <row r="2" spans="2:22" ht="40.15" customHeight="1" thickBot="1">
      <c r="B2" s="104" t="s">
        <v>33</v>
      </c>
      <c r="C2" s="105"/>
      <c r="D2" s="11"/>
      <c r="E2" s="12"/>
      <c r="F2" s="10"/>
      <c r="G2" s="11"/>
      <c r="H2" s="11"/>
      <c r="I2" s="11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</row>
    <row r="3" spans="2:22" s="13" customFormat="1" ht="15" customHeight="1">
      <c r="B3" s="13" t="s">
        <v>4</v>
      </c>
      <c r="C3" s="14">
        <f ca="1">TODAY()</f>
        <v>46311</v>
      </c>
      <c r="D3" s="15"/>
      <c r="G3" s="15"/>
      <c r="H3" s="15"/>
      <c r="I3" s="15"/>
    </row>
    <row r="4" spans="2:22" s="4" customFormat="1" ht="19.899999999999999" customHeight="1">
      <c r="B4" s="29"/>
      <c r="C4" s="30" t="s">
        <v>5</v>
      </c>
      <c r="D4" s="31">
        <v>50000</v>
      </c>
      <c r="E4" s="32" t="s">
        <v>6</v>
      </c>
      <c r="F4" s="31">
        <f>D4+T_Evora[[#Totals],[Encaissement]]-T_Evora[[#Totals],[Décaissement]]</f>
        <v>50000</v>
      </c>
      <c r="G4" s="35"/>
      <c r="H4" s="35" t="s">
        <v>10</v>
      </c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2:22" ht="15" customHeight="1">
      <c r="B5" s="2"/>
      <c r="C5" s="2"/>
    </row>
    <row r="6" spans="2:22" s="5" customFormat="1" ht="19.899999999999999" customHeight="1">
      <c r="B6" s="6" t="s">
        <v>0</v>
      </c>
      <c r="C6" s="6" t="s">
        <v>9</v>
      </c>
      <c r="D6" s="20" t="s">
        <v>7</v>
      </c>
      <c r="E6" s="6" t="s">
        <v>8</v>
      </c>
      <c r="F6" s="7" t="s">
        <v>59</v>
      </c>
      <c r="G6" s="7" t="s">
        <v>2</v>
      </c>
      <c r="H6" s="6" t="s">
        <v>14</v>
      </c>
      <c r="I6" s="6" t="s">
        <v>12</v>
      </c>
      <c r="J6" s="6" t="s">
        <v>25</v>
      </c>
      <c r="K6" s="6" t="s">
        <v>11</v>
      </c>
      <c r="L6" s="6" t="s">
        <v>21</v>
      </c>
      <c r="M6" s="6" t="s">
        <v>13</v>
      </c>
      <c r="N6" s="6" t="s">
        <v>22</v>
      </c>
      <c r="O6" s="6" t="s">
        <v>23</v>
      </c>
      <c r="P6" s="6" t="s">
        <v>18</v>
      </c>
      <c r="Q6" s="6" t="s">
        <v>20</v>
      </c>
      <c r="R6" s="6" t="s">
        <v>15</v>
      </c>
      <c r="S6" s="6" t="s">
        <v>16</v>
      </c>
      <c r="T6" s="6" t="s">
        <v>19</v>
      </c>
      <c r="U6" s="6" t="s">
        <v>24</v>
      </c>
      <c r="V6" s="6" t="s">
        <v>1</v>
      </c>
    </row>
    <row r="7" spans="2:22" s="8" customFormat="1" ht="16.5">
      <c r="B7" s="81"/>
      <c r="C7" s="82">
        <v>1</v>
      </c>
      <c r="D7" s="83"/>
      <c r="E7" s="87"/>
      <c r="F7" s="84"/>
      <c r="G7" s="85"/>
      <c r="H7" s="86"/>
      <c r="I7" s="87"/>
      <c r="J7" s="87"/>
      <c r="K7" s="87"/>
      <c r="L7" s="86"/>
      <c r="M7" s="88"/>
      <c r="N7" s="88"/>
      <c r="O7" s="88"/>
      <c r="P7" s="88"/>
      <c r="Q7" s="86"/>
      <c r="R7" s="88"/>
      <c r="S7" s="88"/>
      <c r="T7" s="88"/>
      <c r="U7" s="88"/>
      <c r="V7" s="88">
        <f>SUM(T_Evora[[#This Row],[AG]:[Autres]])</f>
        <v>0</v>
      </c>
    </row>
    <row r="8" spans="2:22" s="8" customFormat="1" ht="17.25" thickBot="1">
      <c r="B8" s="73"/>
      <c r="C8" s="74" t="s">
        <v>1</v>
      </c>
      <c r="D8" s="89">
        <f>SUBTOTAL(103,T_Evora[Libellé de l''opération])</f>
        <v>0</v>
      </c>
      <c r="E8" s="78">
        <f>SUBTOTAL(109,T_Evora[Encaissement])</f>
        <v>0</v>
      </c>
      <c r="F8" s="75">
        <f>SUBTOTAL(109,T_Evora[Décaissement])</f>
        <v>0</v>
      </c>
      <c r="G8" s="76">
        <f>SUBTOTAL(109,T_Evora[Solde])</f>
        <v>0</v>
      </c>
      <c r="H8" s="77">
        <f>SUBTOTAL(109,T_Evora[AG])</f>
        <v>0</v>
      </c>
      <c r="I8" s="78">
        <f>SUBTOTAL(109,T_Evora[Carburant])</f>
        <v>0</v>
      </c>
      <c r="J8" s="78">
        <f>SUBTOTAL(109,T_Evora[Missions/MinCce])</f>
        <v>0</v>
      </c>
      <c r="K8" s="78">
        <f>SUBTOTAL(109,T_Evora[Taxi/peage/PAD])</f>
        <v>0</v>
      </c>
      <c r="L8" s="77">
        <f>SUBTOTAL(109,T_Evora[Télécom])</f>
        <v>0</v>
      </c>
      <c r="M8" s="79">
        <f>SUBTOTAL(109,T_Evora[Entretien])</f>
        <v>0</v>
      </c>
      <c r="N8" s="79">
        <f>SUBTOTAL(109,T_Evora[Electricité])</f>
        <v>0</v>
      </c>
      <c r="O8" s="79">
        <f>SUBTOTAL(109,T_Evora[Eau])</f>
        <v>0</v>
      </c>
      <c r="P8" s="79">
        <f>SUBTOTAL(109,T_Evora[Impot/Cnps])</f>
        <v>0</v>
      </c>
      <c r="Q8" s="77">
        <f>SUBTOTAL(109,T_Evora[Loyer])</f>
        <v>0</v>
      </c>
      <c r="R8" s="79">
        <f>SUBTOTAL(109,T_Evora[Banque])</f>
        <v>0</v>
      </c>
      <c r="S8" s="79">
        <f>SUBTOTAL(109,T_Evora[Mat., mob.])</f>
        <v>0</v>
      </c>
      <c r="T8" s="79">
        <f>SUBTOTAL(109,T_Evora[Salaire])</f>
        <v>0</v>
      </c>
      <c r="U8" s="79">
        <f>SUBTOTAL(109,T_Evora[Autres])</f>
        <v>0</v>
      </c>
      <c r="V8" s="80">
        <f>SUBTOTAL(109,T_Evora[Total])</f>
        <v>0</v>
      </c>
    </row>
    <row r="9" spans="2:22" s="8" customFormat="1" ht="14.25" thickTop="1">
      <c r="B9" s="1"/>
      <c r="C9" s="1"/>
      <c r="D9" s="3"/>
      <c r="E9" s="1"/>
      <c r="F9" s="1"/>
      <c r="G9" s="3"/>
      <c r="H9" s="3"/>
      <c r="I9" s="3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2:22">
      <c r="B10" s="21" t="s">
        <v>74</v>
      </c>
      <c r="D10" s="22" t="s">
        <v>17</v>
      </c>
    </row>
  </sheetData>
  <mergeCells count="1">
    <mergeCell ref="B2:C2"/>
  </mergeCells>
  <dataValidations count="1">
    <dataValidation allowBlank="1" showInputMessage="1" showErrorMessage="1" prompt="La plage de dates est calculée automatiquement en fonction de la première date de la cellule B8 jusqu’à la dernière date du journal. Elle est mise à jour automatiquement lorsque les dates sont ajoutées." sqref="B4"/>
  </dataValidations>
  <printOptions horizontalCentered="1"/>
  <pageMargins left="0.75" right="0.75" top="1" bottom="1" header="0.5" footer="0.5"/>
  <pageSetup paperSize="9" scale="69" fitToHeight="0" orientation="portrait" r:id="rId1"/>
  <headerFooter alignWithMargins="0"/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9"/>
  <sheetViews>
    <sheetView tabSelected="1" workbookViewId="0">
      <selection activeCell="E8" sqref="E8"/>
    </sheetView>
  </sheetViews>
  <sheetFormatPr baseColWidth="10" defaultRowHeight="12.75"/>
  <cols>
    <col min="1" max="1" width="23.140625" customWidth="1"/>
    <col min="2" max="2" width="22.28515625" customWidth="1"/>
    <col min="3" max="3" width="11.42578125" customWidth="1"/>
    <col min="4" max="4" width="15.5703125" bestFit="1" customWidth="1"/>
  </cols>
  <sheetData>
    <row r="1" spans="1:4" s="137" customFormat="1">
      <c r="A1" s="135" t="s">
        <v>63</v>
      </c>
      <c r="B1" s="136" t="s">
        <v>64</v>
      </c>
      <c r="D1" s="138" t="s">
        <v>78</v>
      </c>
    </row>
    <row r="2" spans="1:4">
      <c r="A2" s="55" t="s">
        <v>37</v>
      </c>
      <c r="B2" s="40" t="s">
        <v>60</v>
      </c>
      <c r="D2" t="s">
        <v>76</v>
      </c>
    </row>
    <row r="3" spans="1:4">
      <c r="A3" s="40" t="s">
        <v>67</v>
      </c>
      <c r="B3" s="40" t="s">
        <v>61</v>
      </c>
      <c r="D3" t="s">
        <v>77</v>
      </c>
    </row>
    <row r="4" spans="1:4">
      <c r="A4" s="40" t="s">
        <v>65</v>
      </c>
      <c r="B4" s="52" t="s">
        <v>62</v>
      </c>
    </row>
    <row r="5" spans="1:4">
      <c r="A5" s="40" t="s">
        <v>28</v>
      </c>
      <c r="B5" s="40" t="s">
        <v>72</v>
      </c>
    </row>
    <row r="6" spans="1:4">
      <c r="A6" s="40" t="s">
        <v>29</v>
      </c>
      <c r="B6" s="40" t="s">
        <v>71</v>
      </c>
    </row>
    <row r="7" spans="1:4">
      <c r="A7" s="40" t="s">
        <v>30</v>
      </c>
      <c r="B7" s="40" t="s">
        <v>70</v>
      </c>
    </row>
    <row r="8" spans="1:4">
      <c r="A8" s="40" t="s">
        <v>31</v>
      </c>
      <c r="B8" s="40" t="s">
        <v>69</v>
      </c>
    </row>
    <row r="9" spans="1:4">
      <c r="A9" s="51" t="s">
        <v>66</v>
      </c>
      <c r="B9" s="51" t="s">
        <v>68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J29" sqref="J29"/>
    </sheetView>
  </sheetViews>
  <sheetFormatPr baseColWidth="10" defaultRowHeight="12.75"/>
  <cols>
    <col min="4" max="4" width="15" bestFit="1" customWidth="1"/>
    <col min="5" max="5" width="15.85546875" bestFit="1" customWidth="1"/>
    <col min="6" max="6" width="16.140625" bestFit="1" customWidth="1"/>
    <col min="7" max="7" width="14.85546875" bestFit="1" customWidth="1"/>
  </cols>
  <sheetData>
    <row r="1" spans="1:9" s="133" customFormat="1" ht="12">
      <c r="A1" s="134" t="s">
        <v>88</v>
      </c>
      <c r="B1" s="134" t="s">
        <v>89</v>
      </c>
      <c r="C1" s="134" t="s">
        <v>35</v>
      </c>
      <c r="D1" s="134" t="s">
        <v>91</v>
      </c>
      <c r="E1" s="134" t="s">
        <v>92</v>
      </c>
      <c r="F1" s="134" t="s">
        <v>93</v>
      </c>
      <c r="G1" s="134" t="s">
        <v>90</v>
      </c>
      <c r="H1" s="134" t="s">
        <v>94</v>
      </c>
      <c r="I1" s="134" t="s">
        <v>95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11" ma:contentTypeDescription="Create a new document." ma:contentTypeScope="" ma:versionID="1c2eb7a32e66fb6e4260f3771546a5e2">
  <xsd:schema xmlns:xsd="http://www.w3.org/2001/XMLSchema" xmlns:xs="http://www.w3.org/2001/XMLSchema" xmlns:p="http://schemas.microsoft.com/office/2006/metadata/properties" xmlns:ns2="71af3243-3dd4-4a8d-8c0d-dd76da1f02a5" xmlns:ns3="16c05727-aa75-4e4a-9b5f-8a80a1165891" targetNamespace="http://schemas.microsoft.com/office/2006/metadata/properties" ma:root="true" ma:fieldsID="04e1f6479c48b08974ba73b5ca973489" ns2:_="" ns3:_="">
    <xsd:import namespace="71af3243-3dd4-4a8d-8c0d-dd76da1f02a5"/>
    <xsd:import namespace="16c05727-aa75-4e4a-9b5f-8a80a11658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fals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F8C50E-0997-4B21-872E-71A9A4C173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39734D5-4621-4580-8094-85EF7AEC5F3D}">
  <ds:schemaRefs>
    <ds:schemaRef ds:uri="http://schemas.openxmlformats.org/package/2006/metadata/core-properties"/>
    <ds:schemaRef ds:uri="71af3243-3dd4-4a8d-8c0d-dd76da1f02a5"/>
    <ds:schemaRef ds:uri="http://purl.org/dc/dcmitype/"/>
    <ds:schemaRef ds:uri="http://purl.org/dc/elements/1.1/"/>
    <ds:schemaRef ds:uri="http://schemas.microsoft.com/office/infopath/2007/PartnerControls"/>
    <ds:schemaRef ds:uri="http://purl.org/dc/terms/"/>
    <ds:schemaRef ds:uri="http://schemas.microsoft.com/office/2006/documentManagement/types"/>
    <ds:schemaRef ds:uri="16c05727-aa75-4e4a-9b5f-8a80a1165891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53D61B8-4E29-4C00-81AC-C4AA036285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af3243-3dd4-4a8d-8c0d-dd76da1f02a5"/>
    <ds:schemaRef ds:uri="16c05727-aa75-4e4a-9b5f-8a80a11658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24</vt:i4>
      </vt:variant>
    </vt:vector>
  </HeadingPairs>
  <TitlesOfParts>
    <vt:vector size="36" baseType="lpstr">
      <vt:lpstr>Dashbord</vt:lpstr>
      <vt:lpstr>Journal</vt:lpstr>
      <vt:lpstr>CAPI</vt:lpstr>
      <vt:lpstr>GICCOPACAM</vt:lpstr>
      <vt:lpstr>KENZO</vt:lpstr>
      <vt:lpstr>JET INDUSTRY</vt:lpstr>
      <vt:lpstr>JET INVESTMENT</vt:lpstr>
      <vt:lpstr>SCI-JET</vt:lpstr>
      <vt:lpstr>CFPM-JET</vt:lpstr>
      <vt:lpstr>EVOTA-T IMMO</vt:lpstr>
      <vt:lpstr>Listes</vt:lpstr>
      <vt:lpstr>SuiviJnal</vt:lpstr>
      <vt:lpstr>_EntrepJ</vt:lpstr>
      <vt:lpstr>Dashbord!Entreprises</vt:lpstr>
      <vt:lpstr>Entreprises</vt:lpstr>
      <vt:lpstr>CAPI!Impression_des_titres</vt:lpstr>
      <vt:lpstr>'CFPM-JET'!Impression_des_titres</vt:lpstr>
      <vt:lpstr>Dashbord!Impression_des_titres</vt:lpstr>
      <vt:lpstr>'EVOTA-T IMMO'!Impression_des_titres</vt:lpstr>
      <vt:lpstr>GICCOPACAM!Impression_des_titres</vt:lpstr>
      <vt:lpstr>'JET INDUSTRY'!Impression_des_titres</vt:lpstr>
      <vt:lpstr>'JET INVESTMENT'!Impression_des_titres</vt:lpstr>
      <vt:lpstr>Journal!Impression_des_titres</vt:lpstr>
      <vt:lpstr>KENZO!Impression_des_titres</vt:lpstr>
      <vt:lpstr>'SCI-JET'!Impression_des_titres</vt:lpstr>
      <vt:lpstr>NroJournal</vt:lpstr>
      <vt:lpstr>CAPI!Zone_d_impression</vt:lpstr>
      <vt:lpstr>'CFPM-JET'!Zone_d_impression</vt:lpstr>
      <vt:lpstr>Dashbord!Zone_d_impression</vt:lpstr>
      <vt:lpstr>'EVOTA-T IMMO'!Zone_d_impression</vt:lpstr>
      <vt:lpstr>GICCOPACAM!Zone_d_impression</vt:lpstr>
      <vt:lpstr>'JET INDUSTRY'!Zone_d_impression</vt:lpstr>
      <vt:lpstr>'JET INVESTMENT'!Zone_d_impression</vt:lpstr>
      <vt:lpstr>Journal!Zone_d_impression</vt:lpstr>
      <vt:lpstr>KENZO!Zone_d_impression</vt:lpstr>
      <vt:lpstr>'SCI-JET'!Zone_d_impression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2019-02-19T20:17:25Z</dcterms:created>
  <dcterms:modified xsi:type="dcterms:W3CDTF">2026-10-16T11:45:54Z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</Properties>
</file>