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drawings/drawing8.xml" ContentType="application/vnd.openxmlformats-officedocument.drawing+xml"/>
  <Override PartName="/xl/tables/table6.xml" ContentType="application/vnd.openxmlformats-officedocument.spreadsheetml.table+xml"/>
  <Override PartName="/xl/drawings/drawing9.xml" ContentType="application/vnd.openxmlformats-officedocument.drawing+xml"/>
  <Override PartName="/xl/tables/table7.xml" ContentType="application/vnd.openxmlformats-officedocument.spreadsheetml.table+xml"/>
  <Override PartName="/xl/drawings/drawing10.xml" ContentType="application/vnd.openxmlformats-officedocument.drawing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/>
  <bookViews>
    <workbookView xWindow="0" yWindow="0" windowWidth="28800" windowHeight="12435" activeTab="1"/>
  </bookViews>
  <sheets>
    <sheet name="Dashbord" sheetId="13" r:id="rId1"/>
    <sheet name="Journal" sheetId="2" r:id="rId2"/>
    <sheet name="CAPI" sheetId="1" r:id="rId3"/>
    <sheet name="GICCOPACAM" sheetId="4" r:id="rId4"/>
    <sheet name="KENZO" sheetId="5" r:id="rId5"/>
    <sheet name="JET INDUSTRY" sheetId="6" r:id="rId6"/>
    <sheet name="JET INVESTMENT" sheetId="7" r:id="rId7"/>
    <sheet name="SCI-JET" sheetId="8" r:id="rId8"/>
    <sheet name="CFPM-JET" sheetId="9" r:id="rId9"/>
    <sheet name="EVOTA-T IMMO" sheetId="11" r:id="rId10"/>
    <sheet name="Listes" sheetId="12" r:id="rId11"/>
  </sheets>
  <definedNames>
    <definedName name="Entreprises" localSheetId="0">T_Entr[Entreprises]</definedName>
    <definedName name="Entreprises">T_Entr[Entreprises]</definedName>
    <definedName name="_xlnm.Print_Titles" localSheetId="2">CAPI!$6:$6</definedName>
    <definedName name="_xlnm.Print_Titles" localSheetId="8">'CFPM-JET'!$6:$6</definedName>
    <definedName name="_xlnm.Print_Titles" localSheetId="0">Dashbord!$7:$7</definedName>
    <definedName name="_xlnm.Print_Titles" localSheetId="9">'EVOTA-T IMMO'!$6:$6</definedName>
    <definedName name="_xlnm.Print_Titles" localSheetId="3">GICCOPACAM!$6:$6</definedName>
    <definedName name="_xlnm.Print_Titles" localSheetId="5">'JET INDUSTRY'!$6:$6</definedName>
    <definedName name="_xlnm.Print_Titles" localSheetId="6">'JET INVESTMENT'!$6:$6</definedName>
    <definedName name="_xlnm.Print_Titles" localSheetId="1">Journal!$7:$7</definedName>
    <definedName name="_xlnm.Print_Titles" localSheetId="4">KENZO!$6:$6</definedName>
    <definedName name="_xlnm.Print_Titles" localSheetId="7">'SCI-JET'!$6:$6</definedName>
    <definedName name="_xlnm.Print_Area" localSheetId="2">CAPI!$A$1:$G$16</definedName>
    <definedName name="_xlnm.Print_Area" localSheetId="8">'CFPM-JET'!$A$1:$G$17</definedName>
    <definedName name="_xlnm.Print_Area" localSheetId="0">Dashbord!$A$1:$H$15</definedName>
    <definedName name="_xlnm.Print_Area" localSheetId="9">'EVOTA-T IMMO'!$A$1:$G$17</definedName>
    <definedName name="_xlnm.Print_Area" localSheetId="3">GICCOPACAM!$A$1:$G$17</definedName>
    <definedName name="_xlnm.Print_Area" localSheetId="5">'JET INDUSTRY'!$A$1:$G$17</definedName>
    <definedName name="_xlnm.Print_Area" localSheetId="6">'JET INVESTMENT'!$A$1:$G$17</definedName>
    <definedName name="_xlnm.Print_Area" localSheetId="1">Journal!$A$1:$H$15</definedName>
    <definedName name="_xlnm.Print_Area" localSheetId="4">KENZO!$A$1:$G$17</definedName>
    <definedName name="_xlnm.Print_Area" localSheetId="7">'SCI-JET'!$A$1:$G$17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5" i="13" l="1"/>
  <c r="Q15" i="13"/>
  <c r="O15" i="13"/>
  <c r="M15" i="13"/>
  <c r="K15" i="13"/>
  <c r="I15" i="13"/>
  <c r="G15" i="13"/>
  <c r="E15" i="13"/>
  <c r="T14" i="13"/>
  <c r="S14" i="13"/>
  <c r="R14" i="13"/>
  <c r="Q14" i="13"/>
  <c r="P14" i="13"/>
  <c r="O14" i="13"/>
  <c r="N14" i="13"/>
  <c r="M14" i="13"/>
  <c r="L14" i="13"/>
  <c r="K14" i="13"/>
  <c r="J14" i="13"/>
  <c r="I14" i="13"/>
  <c r="H14" i="13"/>
  <c r="G14" i="13"/>
  <c r="F14" i="13"/>
  <c r="E14" i="13"/>
  <c r="D14" i="13"/>
  <c r="C14" i="13"/>
  <c r="T13" i="13"/>
  <c r="S13" i="13"/>
  <c r="R13" i="13"/>
  <c r="Q13" i="13"/>
  <c r="P13" i="13"/>
  <c r="O13" i="13"/>
  <c r="N13" i="13"/>
  <c r="M13" i="13"/>
  <c r="L13" i="13"/>
  <c r="K13" i="13"/>
  <c r="J13" i="13"/>
  <c r="I13" i="13"/>
  <c r="H13" i="13"/>
  <c r="G13" i="13"/>
  <c r="F13" i="13"/>
  <c r="E13" i="13"/>
  <c r="D13" i="13"/>
  <c r="C13" i="13"/>
  <c r="T12" i="13"/>
  <c r="S12" i="13"/>
  <c r="R12" i="13"/>
  <c r="Q12" i="13"/>
  <c r="P12" i="13"/>
  <c r="O12" i="13"/>
  <c r="N12" i="13"/>
  <c r="M12" i="13"/>
  <c r="L12" i="13"/>
  <c r="K12" i="13"/>
  <c r="J12" i="13"/>
  <c r="I12" i="13"/>
  <c r="H12" i="13"/>
  <c r="G12" i="13"/>
  <c r="F12" i="13"/>
  <c r="E12" i="13"/>
  <c r="D12" i="13"/>
  <c r="C12" i="13"/>
  <c r="T11" i="13"/>
  <c r="S11" i="13"/>
  <c r="R11" i="13"/>
  <c r="Q11" i="13"/>
  <c r="P11" i="13"/>
  <c r="O11" i="13"/>
  <c r="N11" i="13"/>
  <c r="M11" i="13"/>
  <c r="L11" i="13"/>
  <c r="K11" i="13"/>
  <c r="J11" i="13"/>
  <c r="I11" i="13"/>
  <c r="H11" i="13"/>
  <c r="G11" i="13"/>
  <c r="F11" i="13"/>
  <c r="E11" i="13"/>
  <c r="D11" i="13"/>
  <c r="C11" i="13"/>
  <c r="T10" i="13"/>
  <c r="S10" i="13"/>
  <c r="R10" i="13"/>
  <c r="Q10" i="13"/>
  <c r="P10" i="13"/>
  <c r="O10" i="13"/>
  <c r="N10" i="13"/>
  <c r="M10" i="13"/>
  <c r="L10" i="13"/>
  <c r="K10" i="13"/>
  <c r="J10" i="13"/>
  <c r="I10" i="13"/>
  <c r="H10" i="13"/>
  <c r="G10" i="13"/>
  <c r="F10" i="13"/>
  <c r="E10" i="13"/>
  <c r="D10" i="13"/>
  <c r="C10" i="13"/>
  <c r="T9" i="13"/>
  <c r="S9" i="13"/>
  <c r="R9" i="13"/>
  <c r="Q9" i="13"/>
  <c r="P9" i="13"/>
  <c r="O9" i="13"/>
  <c r="N9" i="13"/>
  <c r="M9" i="13"/>
  <c r="L9" i="13"/>
  <c r="K9" i="13"/>
  <c r="J9" i="13"/>
  <c r="I9" i="13"/>
  <c r="H9" i="13"/>
  <c r="G9" i="13"/>
  <c r="F9" i="13"/>
  <c r="E9" i="13"/>
  <c r="D9" i="13"/>
  <c r="C9" i="13"/>
  <c r="T8" i="13"/>
  <c r="S8" i="13"/>
  <c r="R8" i="13"/>
  <c r="Q8" i="13"/>
  <c r="P8" i="13"/>
  <c r="O8" i="13"/>
  <c r="N8" i="13"/>
  <c r="M8" i="13"/>
  <c r="L8" i="13"/>
  <c r="K8" i="13"/>
  <c r="J8" i="13"/>
  <c r="I8" i="13"/>
  <c r="H8" i="13"/>
  <c r="G8" i="13"/>
  <c r="F8" i="13"/>
  <c r="E8" i="13"/>
  <c r="D8" i="13"/>
  <c r="C8" i="13"/>
  <c r="T7" i="13"/>
  <c r="T15" i="13" s="1"/>
  <c r="S7" i="13"/>
  <c r="R7" i="13"/>
  <c r="R15" i="13" s="1"/>
  <c r="Q7" i="13"/>
  <c r="P7" i="13"/>
  <c r="P15" i="13" s="1"/>
  <c r="O7" i="13"/>
  <c r="N7" i="13"/>
  <c r="N15" i="13" s="1"/>
  <c r="M7" i="13"/>
  <c r="L7" i="13"/>
  <c r="L15" i="13" s="1"/>
  <c r="K7" i="13"/>
  <c r="J7" i="13"/>
  <c r="J15" i="13" s="1"/>
  <c r="I7" i="13"/>
  <c r="H7" i="13"/>
  <c r="H15" i="13" s="1"/>
  <c r="G7" i="13"/>
  <c r="F7" i="13"/>
  <c r="F15" i="13" s="1"/>
  <c r="E7" i="13"/>
  <c r="D7" i="13"/>
  <c r="D15" i="13" s="1"/>
  <c r="C7" i="13"/>
  <c r="B1" i="13"/>
  <c r="T14" i="2" l="1"/>
  <c r="T13" i="2"/>
  <c r="T12" i="2"/>
  <c r="T11" i="2"/>
  <c r="T10" i="2"/>
  <c r="T9" i="2"/>
  <c r="T8" i="2"/>
  <c r="S14" i="2"/>
  <c r="S13" i="2"/>
  <c r="S12" i="2"/>
  <c r="S11" i="2"/>
  <c r="S10" i="2"/>
  <c r="S9" i="2"/>
  <c r="S8" i="2"/>
  <c r="R14" i="2"/>
  <c r="R13" i="2"/>
  <c r="R12" i="2"/>
  <c r="R11" i="2"/>
  <c r="R10" i="2"/>
  <c r="R9" i="2"/>
  <c r="R8" i="2"/>
  <c r="Q14" i="2"/>
  <c r="Q13" i="2"/>
  <c r="Q12" i="2"/>
  <c r="Q11" i="2"/>
  <c r="Q10" i="2"/>
  <c r="Q9" i="2"/>
  <c r="Q8" i="2"/>
  <c r="P14" i="2"/>
  <c r="P13" i="2"/>
  <c r="P12" i="2"/>
  <c r="P11" i="2"/>
  <c r="P10" i="2"/>
  <c r="P9" i="2"/>
  <c r="P8" i="2"/>
  <c r="O14" i="2"/>
  <c r="O13" i="2"/>
  <c r="O12" i="2"/>
  <c r="O11" i="2"/>
  <c r="O10" i="2"/>
  <c r="O9" i="2"/>
  <c r="O8" i="2"/>
  <c r="N14" i="2"/>
  <c r="N13" i="2"/>
  <c r="N12" i="2"/>
  <c r="N11" i="2"/>
  <c r="N10" i="2"/>
  <c r="N9" i="2"/>
  <c r="N8" i="2"/>
  <c r="M14" i="2"/>
  <c r="M13" i="2"/>
  <c r="M12" i="2"/>
  <c r="M11" i="2"/>
  <c r="M10" i="2"/>
  <c r="M9" i="2"/>
  <c r="M8" i="2"/>
  <c r="L14" i="2"/>
  <c r="L13" i="2"/>
  <c r="L12" i="2"/>
  <c r="L11" i="2"/>
  <c r="L10" i="2"/>
  <c r="L9" i="2"/>
  <c r="L8" i="2"/>
  <c r="K14" i="2"/>
  <c r="K13" i="2"/>
  <c r="K12" i="2"/>
  <c r="K11" i="2"/>
  <c r="K10" i="2"/>
  <c r="K9" i="2"/>
  <c r="K8" i="2"/>
  <c r="J14" i="2"/>
  <c r="J13" i="2"/>
  <c r="J12" i="2"/>
  <c r="J11" i="2"/>
  <c r="J10" i="2"/>
  <c r="J9" i="2"/>
  <c r="J8" i="2"/>
  <c r="I14" i="2" l="1"/>
  <c r="I13" i="2"/>
  <c r="I12" i="2"/>
  <c r="I11" i="2"/>
  <c r="I10" i="2"/>
  <c r="I9" i="2"/>
  <c r="I8" i="2"/>
  <c r="H14" i="2"/>
  <c r="H13" i="2"/>
  <c r="H12" i="2"/>
  <c r="H11" i="2"/>
  <c r="H10" i="2"/>
  <c r="H9" i="2"/>
  <c r="H8" i="2"/>
  <c r="G14" i="2"/>
  <c r="G13" i="2"/>
  <c r="G12" i="2"/>
  <c r="G11" i="2"/>
  <c r="G10" i="2"/>
  <c r="G9" i="2"/>
  <c r="G8" i="2"/>
  <c r="E11" i="2"/>
  <c r="E14" i="2"/>
  <c r="E13" i="2"/>
  <c r="E12" i="2"/>
  <c r="E10" i="2"/>
  <c r="E9" i="2"/>
  <c r="E8" i="2"/>
  <c r="D14" i="2"/>
  <c r="D13" i="2"/>
  <c r="D12" i="2"/>
  <c r="D11" i="2"/>
  <c r="D10" i="2"/>
  <c r="D9" i="2"/>
  <c r="D7" i="2"/>
  <c r="D8" i="2"/>
  <c r="E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V7" i="1" l="1"/>
  <c r="C14" i="2" l="1"/>
  <c r="C13" i="2"/>
  <c r="C12" i="2"/>
  <c r="C11" i="2"/>
  <c r="C10" i="2"/>
  <c r="C9" i="2"/>
  <c r="C8" i="2"/>
  <c r="C7" i="2"/>
  <c r="B1" i="2" l="1"/>
  <c r="E8" i="1"/>
  <c r="H8" i="1"/>
  <c r="T15" i="2" l="1"/>
  <c r="Q15" i="2"/>
  <c r="M15" i="2"/>
  <c r="I15" i="2"/>
  <c r="S15" i="2"/>
  <c r="O15" i="2"/>
  <c r="K15" i="2"/>
  <c r="G15" i="2"/>
  <c r="H15" i="2"/>
  <c r="J15" i="2"/>
  <c r="L15" i="2"/>
  <c r="N15" i="2"/>
  <c r="P15" i="2"/>
  <c r="R15" i="2"/>
  <c r="D8" i="1" l="1"/>
  <c r="U8" i="11"/>
  <c r="T8" i="11"/>
  <c r="S8" i="11"/>
  <c r="R8" i="11"/>
  <c r="Q8" i="11"/>
  <c r="P8" i="11"/>
  <c r="O8" i="11"/>
  <c r="N8" i="11"/>
  <c r="M8" i="11"/>
  <c r="L8" i="11"/>
  <c r="K8" i="11"/>
  <c r="J8" i="11"/>
  <c r="I8" i="11"/>
  <c r="H8" i="11"/>
  <c r="F8" i="11"/>
  <c r="E8" i="11"/>
  <c r="D8" i="11"/>
  <c r="C3" i="11"/>
  <c r="U8" i="9"/>
  <c r="T8" i="9"/>
  <c r="S8" i="9"/>
  <c r="R8" i="9"/>
  <c r="Q8" i="9"/>
  <c r="P8" i="9"/>
  <c r="O8" i="9"/>
  <c r="N8" i="9"/>
  <c r="M8" i="9"/>
  <c r="L8" i="9"/>
  <c r="K8" i="9"/>
  <c r="J8" i="9"/>
  <c r="I8" i="9"/>
  <c r="H8" i="9"/>
  <c r="F8" i="9"/>
  <c r="E8" i="9"/>
  <c r="D8" i="9"/>
  <c r="G8" i="9"/>
  <c r="C3" i="9"/>
  <c r="U8" i="8"/>
  <c r="T8" i="8"/>
  <c r="S8" i="8"/>
  <c r="R8" i="8"/>
  <c r="Q8" i="8"/>
  <c r="P8" i="8"/>
  <c r="O8" i="8"/>
  <c r="N8" i="8"/>
  <c r="M8" i="8"/>
  <c r="L8" i="8"/>
  <c r="K8" i="8"/>
  <c r="J8" i="8"/>
  <c r="I8" i="8"/>
  <c r="H8" i="8"/>
  <c r="F8" i="8"/>
  <c r="E8" i="8"/>
  <c r="D8" i="8"/>
  <c r="G8" i="8"/>
  <c r="C3" i="8"/>
  <c r="U8" i="7"/>
  <c r="T8" i="7"/>
  <c r="S8" i="7"/>
  <c r="R8" i="7"/>
  <c r="Q8" i="7"/>
  <c r="P8" i="7"/>
  <c r="O8" i="7"/>
  <c r="N8" i="7"/>
  <c r="M8" i="7"/>
  <c r="L8" i="7"/>
  <c r="K8" i="7"/>
  <c r="J8" i="7"/>
  <c r="I8" i="7"/>
  <c r="H8" i="7"/>
  <c r="F8" i="7"/>
  <c r="E8" i="7"/>
  <c r="F4" i="7" s="1"/>
  <c r="F11" i="2" s="1"/>
  <c r="D8" i="7"/>
  <c r="G8" i="7"/>
  <c r="C3" i="7"/>
  <c r="U8" i="6"/>
  <c r="T8" i="6"/>
  <c r="S8" i="6"/>
  <c r="R8" i="6"/>
  <c r="Q8" i="6"/>
  <c r="P8" i="6"/>
  <c r="O8" i="6"/>
  <c r="N8" i="6"/>
  <c r="M8" i="6"/>
  <c r="L8" i="6"/>
  <c r="K8" i="6"/>
  <c r="J8" i="6"/>
  <c r="I8" i="6"/>
  <c r="H8" i="6"/>
  <c r="F8" i="6"/>
  <c r="E8" i="6"/>
  <c r="D8" i="6"/>
  <c r="G8" i="6"/>
  <c r="C3" i="6"/>
  <c r="U8" i="5"/>
  <c r="T8" i="5"/>
  <c r="S8" i="5"/>
  <c r="R8" i="5"/>
  <c r="Q8" i="5"/>
  <c r="P8" i="5"/>
  <c r="O8" i="5"/>
  <c r="N8" i="5"/>
  <c r="M8" i="5"/>
  <c r="L8" i="5"/>
  <c r="K8" i="5"/>
  <c r="J8" i="5"/>
  <c r="I8" i="5"/>
  <c r="H8" i="5"/>
  <c r="F8" i="5"/>
  <c r="E8" i="5"/>
  <c r="F4" i="5" s="1"/>
  <c r="F9" i="2" s="1"/>
  <c r="D8" i="5"/>
  <c r="G8" i="5"/>
  <c r="C3" i="5"/>
  <c r="U8" i="4"/>
  <c r="T8" i="4"/>
  <c r="S8" i="4"/>
  <c r="R8" i="4"/>
  <c r="Q8" i="4"/>
  <c r="P8" i="4"/>
  <c r="O8" i="4"/>
  <c r="N8" i="4"/>
  <c r="M8" i="4"/>
  <c r="L8" i="4"/>
  <c r="K8" i="4"/>
  <c r="J8" i="4"/>
  <c r="I8" i="4"/>
  <c r="H8" i="4"/>
  <c r="F8" i="4"/>
  <c r="E8" i="4"/>
  <c r="D8" i="4"/>
  <c r="G8" i="4"/>
  <c r="C3" i="4"/>
  <c r="G8" i="11" l="1"/>
  <c r="F4" i="11"/>
  <c r="F14" i="2" s="1"/>
  <c r="E15" i="2"/>
  <c r="D15" i="2"/>
  <c r="F4" i="4"/>
  <c r="F8" i="2" s="1"/>
  <c r="F4" i="6"/>
  <c r="F10" i="2" s="1"/>
  <c r="F4" i="8"/>
  <c r="F12" i="2" s="1"/>
  <c r="V8" i="4"/>
  <c r="V8" i="5"/>
  <c r="V8" i="6"/>
  <c r="V8" i="7"/>
  <c r="V8" i="8"/>
  <c r="F4" i="9"/>
  <c r="F13" i="2" s="1"/>
  <c r="V8" i="11"/>
  <c r="V8" i="9"/>
  <c r="U8" i="1"/>
  <c r="O8" i="1"/>
  <c r="N8" i="1"/>
  <c r="L8" i="1"/>
  <c r="Q8" i="1"/>
  <c r="T8" i="1"/>
  <c r="P8" i="1"/>
  <c r="R8" i="1"/>
  <c r="S8" i="1"/>
  <c r="M8" i="1"/>
  <c r="I8" i="1"/>
  <c r="J8" i="1"/>
  <c r="K8" i="1"/>
  <c r="G7" i="1"/>
  <c r="C3" i="1"/>
  <c r="V8" i="1" l="1"/>
  <c r="G8" i="1"/>
  <c r="F8" i="1"/>
  <c r="F4" i="1" s="1"/>
  <c r="F7" i="2" s="1"/>
  <c r="F15" i="2" s="1"/>
</calcChain>
</file>

<file path=xl/sharedStrings.xml><?xml version="1.0" encoding="utf-8"?>
<sst xmlns="http://schemas.openxmlformats.org/spreadsheetml/2006/main" count="310" uniqueCount="75">
  <si>
    <t>Date</t>
  </si>
  <si>
    <t>Total</t>
  </si>
  <si>
    <t>Solde</t>
  </si>
  <si>
    <t>CAPI CAMEROUN</t>
  </si>
  <si>
    <t>Date :</t>
  </si>
  <si>
    <t>Solde d'ouverture</t>
  </si>
  <si>
    <t>Solde de clôture</t>
  </si>
  <si>
    <t>Libellé de l'opération</t>
  </si>
  <si>
    <t>Encaissement</t>
  </si>
  <si>
    <t>N° pièce</t>
  </si>
  <si>
    <t>Zone de ventilation</t>
  </si>
  <si>
    <t>Taxi/peage/PAD</t>
  </si>
  <si>
    <t>Carburant</t>
  </si>
  <si>
    <t>Entretien</t>
  </si>
  <si>
    <t>AG</t>
  </si>
  <si>
    <t>Banque</t>
  </si>
  <si>
    <t>Mat., mob.</t>
  </si>
  <si>
    <t>Nom et ignature du caissier</t>
  </si>
  <si>
    <t>Nom et Signature du responsable</t>
  </si>
  <si>
    <t>Impot/Cnps</t>
  </si>
  <si>
    <t>Salaire</t>
  </si>
  <si>
    <t>Loyer</t>
  </si>
  <si>
    <t>Télécom</t>
  </si>
  <si>
    <t>Electricité</t>
  </si>
  <si>
    <t>Eau</t>
  </si>
  <si>
    <t>Autres</t>
  </si>
  <si>
    <t>Missions/MinCce</t>
  </si>
  <si>
    <t>GICCOPACAM</t>
  </si>
  <si>
    <t>KENZO &amp; Co.</t>
  </si>
  <si>
    <t>JET INDUSTRY</t>
  </si>
  <si>
    <t>JET INVESTMENT</t>
  </si>
  <si>
    <t>SCI-JET</t>
  </si>
  <si>
    <t>CFPM-JET</t>
  </si>
  <si>
    <t>TABLEAU RECAPITULATIF DES CAISSES</t>
  </si>
  <si>
    <t>EVORA-T</t>
  </si>
  <si>
    <t>CARBURANT+MISSION+TAXI</t>
  </si>
  <si>
    <t>Entreprise</t>
  </si>
  <si>
    <t>TOTAL CAISSE</t>
  </si>
  <si>
    <t>CAPI</t>
  </si>
  <si>
    <t>KENZO &amp; CO</t>
  </si>
  <si>
    <t>CFPM</t>
  </si>
  <si>
    <t>EVORA-T IMMO</t>
  </si>
  <si>
    <t>∑ Encaissements</t>
  </si>
  <si>
    <t>∑ Solde Initial</t>
  </si>
  <si>
    <t>∑ Décaissements</t>
  </si>
  <si>
    <t>∑ solde</t>
  </si>
  <si>
    <t>∑ AG</t>
  </si>
  <si>
    <t>∑ Carburant</t>
  </si>
  <si>
    <t>∑ Missions/MinCce</t>
  </si>
  <si>
    <t>∑ Taxi/peage/PAD</t>
  </si>
  <si>
    <t>∑ Télécom</t>
  </si>
  <si>
    <t>∑ Entretien</t>
  </si>
  <si>
    <t>∑ Électricité</t>
  </si>
  <si>
    <t>∑ Eau</t>
  </si>
  <si>
    <t>∑ Impot/Cnps</t>
  </si>
  <si>
    <t>∑ Loyer</t>
  </si>
  <si>
    <t>∑ Banque</t>
  </si>
  <si>
    <t>∑ Mat., mob.</t>
  </si>
  <si>
    <t>∑ Salaire</t>
  </si>
  <si>
    <t>∑ Autres</t>
  </si>
  <si>
    <t>Décaissement</t>
  </si>
  <si>
    <t>T_CAPI</t>
  </si>
  <si>
    <t>T_GICCOPACAM</t>
  </si>
  <si>
    <t>T_KENZO</t>
  </si>
  <si>
    <t>P1</t>
  </si>
  <si>
    <t>Entreprises</t>
  </si>
  <si>
    <r>
      <t>Listes des</t>
    </r>
    <r>
      <rPr>
        <sz val="10"/>
        <rFont val="Tableaux"/>
      </rPr>
      <t xml:space="preserve"> tableaux</t>
    </r>
  </si>
  <si>
    <t>KENZO</t>
  </si>
  <si>
    <t>EVOTA-T IMMO</t>
  </si>
  <si>
    <r>
      <t>GICCOPA</t>
    </r>
    <r>
      <rPr>
        <b/>
        <sz val="9"/>
        <rFont val="Constantia"/>
        <family val="1"/>
        <scheme val="major"/>
      </rPr>
      <t>C</t>
    </r>
    <r>
      <rPr>
        <b/>
        <sz val="9"/>
        <rFont val="Calibri"/>
        <family val="2"/>
      </rPr>
      <t>AM</t>
    </r>
  </si>
  <si>
    <t>T_EVORA</t>
  </si>
  <si>
    <t>T_CFPMJET</t>
  </si>
  <si>
    <t>T_SCIJET</t>
  </si>
  <si>
    <t>T_JETINVESTMENT</t>
  </si>
  <si>
    <t>T_JETINDUSTRY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</si>
</sst>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\ &quot;€&quot;_-;\-* #,##0\ &quot;€&quot;_-;_-* &quot;-&quot;\ &quot;€&quot;_-;_-@_-"/>
    <numFmt numFmtId="165" formatCode="_-* #,##0.00\ &quot;€&quot;_-;\-* #,##0.00\ &quot;€&quot;_-;_-* &quot;-&quot;??\ &quot;€&quot;_-;_-@_-"/>
    <numFmt numFmtId="166" formatCode="_(* #,##0_);_(* \(#,##0\);_(* &quot;-&quot;_);_(@_)"/>
    <numFmt numFmtId="167" formatCode="_(* #,##0.00_);_(* \(#,##0.00\);_(* &quot;-&quot;??_);_(@_)"/>
  </numFmts>
  <fonts count="54">
    <font>
      <sz val="10"/>
      <name val="Arial"/>
      <family val="2"/>
    </font>
    <font>
      <sz val="11"/>
      <color theme="1"/>
      <name val="Franklin Gothic Book"/>
      <family val="2"/>
      <scheme val="minor"/>
    </font>
    <font>
      <sz val="12"/>
      <color theme="1"/>
      <name val="Franklin Gothic Book"/>
      <family val="2"/>
      <scheme val="minor"/>
    </font>
    <font>
      <sz val="8"/>
      <name val="Arial"/>
      <family val="2"/>
    </font>
    <font>
      <sz val="10"/>
      <name val="Franklin Gothic Book"/>
      <family val="2"/>
      <scheme val="minor"/>
    </font>
    <font>
      <b/>
      <sz val="12"/>
      <name val="Franklin Gothic Book"/>
      <family val="2"/>
      <scheme val="minor"/>
    </font>
    <font>
      <b/>
      <sz val="10"/>
      <name val="Franklin Gothic Book"/>
      <family val="2"/>
      <scheme val="minor"/>
    </font>
    <font>
      <b/>
      <sz val="12"/>
      <color theme="1"/>
      <name val="Franklin Gothic Book"/>
      <family val="2"/>
      <scheme val="minor"/>
    </font>
    <font>
      <sz val="12"/>
      <name val="Franklin Gothic Book"/>
      <family val="2"/>
      <scheme val="minor"/>
    </font>
    <font>
      <b/>
      <sz val="12"/>
      <color theme="5" tint="-0.249977111117893"/>
      <name val="Franklin Gothic Book"/>
      <family val="2"/>
      <scheme val="minor"/>
    </font>
    <font>
      <b/>
      <sz val="12"/>
      <color theme="3"/>
      <name val="Franklin Gothic Book"/>
      <family val="2"/>
      <scheme val="minor"/>
    </font>
    <font>
      <sz val="12"/>
      <color theme="3"/>
      <name val="Franklin Gothic Book"/>
      <family val="2"/>
      <scheme val="minor"/>
    </font>
    <font>
      <sz val="18"/>
      <color theme="3"/>
      <name val="Constantia"/>
      <family val="2"/>
      <scheme val="major"/>
    </font>
    <font>
      <b/>
      <sz val="15"/>
      <color theme="3"/>
      <name val="Franklin Gothic Book"/>
      <family val="2"/>
      <scheme val="minor"/>
    </font>
    <font>
      <b/>
      <sz val="13"/>
      <color theme="3"/>
      <name val="Franklin Gothic Book"/>
      <family val="2"/>
      <scheme val="minor"/>
    </font>
    <font>
      <b/>
      <sz val="11"/>
      <color theme="3"/>
      <name val="Franklin Gothic Book"/>
      <family val="2"/>
      <scheme val="minor"/>
    </font>
    <font>
      <sz val="11"/>
      <color rgb="FF006100"/>
      <name val="Franklin Gothic Book"/>
      <family val="2"/>
      <scheme val="minor"/>
    </font>
    <font>
      <sz val="11"/>
      <color rgb="FF9C0006"/>
      <name val="Franklin Gothic Book"/>
      <family val="2"/>
      <scheme val="minor"/>
    </font>
    <font>
      <sz val="11"/>
      <color rgb="FF9C5700"/>
      <name val="Franklin Gothic Book"/>
      <family val="2"/>
      <scheme val="minor"/>
    </font>
    <font>
      <sz val="11"/>
      <color rgb="FF3F3F76"/>
      <name val="Franklin Gothic Book"/>
      <family val="2"/>
      <scheme val="minor"/>
    </font>
    <font>
      <b/>
      <sz val="11"/>
      <color rgb="FF3F3F3F"/>
      <name val="Franklin Gothic Book"/>
      <family val="2"/>
      <scheme val="minor"/>
    </font>
    <font>
      <b/>
      <sz val="11"/>
      <color rgb="FFFA7D00"/>
      <name val="Franklin Gothic Book"/>
      <family val="2"/>
      <scheme val="minor"/>
    </font>
    <font>
      <sz val="11"/>
      <color rgb="FFFA7D00"/>
      <name val="Franklin Gothic Book"/>
      <family val="2"/>
      <scheme val="minor"/>
    </font>
    <font>
      <b/>
      <sz val="11"/>
      <color theme="0"/>
      <name val="Franklin Gothic Book"/>
      <family val="2"/>
      <scheme val="minor"/>
    </font>
    <font>
      <sz val="11"/>
      <color rgb="FFFF0000"/>
      <name val="Franklin Gothic Book"/>
      <family val="2"/>
      <scheme val="minor"/>
    </font>
    <font>
      <i/>
      <sz val="11"/>
      <color rgb="FF7F7F7F"/>
      <name val="Franklin Gothic Book"/>
      <family val="2"/>
      <scheme val="minor"/>
    </font>
    <font>
      <b/>
      <sz val="11"/>
      <color theme="1"/>
      <name val="Franklin Gothic Book"/>
      <family val="2"/>
      <scheme val="minor"/>
    </font>
    <font>
      <sz val="11"/>
      <color theme="0"/>
      <name val="Franklin Gothic Book"/>
      <family val="2"/>
      <scheme val="minor"/>
    </font>
    <font>
      <sz val="10"/>
      <name val="Arial"/>
      <family val="2"/>
    </font>
    <font>
      <sz val="11"/>
      <name val="Franklin Gothic Book"/>
      <family val="2"/>
      <scheme val="minor"/>
    </font>
    <font>
      <b/>
      <sz val="11"/>
      <name val="Franklin Gothic Book"/>
      <family val="2"/>
      <scheme val="minor"/>
    </font>
    <font>
      <b/>
      <sz val="36"/>
      <name val="Franklin Gothic Book"/>
      <family val="2"/>
      <scheme val="minor"/>
    </font>
    <font>
      <sz val="12"/>
      <color theme="1"/>
      <name val="Arial Narrow"/>
      <family val="2"/>
    </font>
    <font>
      <b/>
      <u/>
      <sz val="10"/>
      <name val="Franklin Gothic Book"/>
      <family val="2"/>
      <scheme val="minor"/>
    </font>
    <font>
      <b/>
      <sz val="18"/>
      <name val="Arial Black"/>
      <family val="2"/>
    </font>
    <font>
      <b/>
      <sz val="10"/>
      <name val="Arial"/>
      <family val="2"/>
    </font>
    <font>
      <sz val="12"/>
      <name val="Arial"/>
      <family val="2"/>
    </font>
    <font>
      <b/>
      <sz val="11"/>
      <color theme="1" tint="4.9989318521683403E-2"/>
      <name val="Calibri"/>
      <family val="2"/>
    </font>
    <font>
      <b/>
      <sz val="9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1"/>
      <name val="Arial Black"/>
      <family val="2"/>
    </font>
    <font>
      <b/>
      <sz val="9"/>
      <name val="Tahoma"/>
      <family val="2"/>
    </font>
    <font>
      <sz val="10"/>
      <name val="Arial"/>
    </font>
    <font>
      <sz val="10"/>
      <name val="Tableaux"/>
    </font>
    <font>
      <b/>
      <sz val="9"/>
      <name val="Constantia"/>
      <family val="1"/>
      <scheme val="major"/>
    </font>
    <font>
      <b/>
      <sz val="12"/>
      <name val="Arial"/>
      <family val="2"/>
    </font>
    <font>
      <sz val="12"/>
      <name val="Arial"/>
    </font>
    <font>
      <sz val="12"/>
      <color theme="1"/>
      <name val="Franklin Gothic Book"/>
      <scheme val="minor"/>
    </font>
    <font>
      <b/>
      <sz val="12"/>
      <color theme="1"/>
      <name val="Franklin Gothic Book"/>
      <scheme val="minor"/>
    </font>
    <font>
      <sz val="12"/>
      <color theme="1"/>
      <name val="Arial Narrow"/>
    </font>
    <font>
      <b/>
      <sz val="12"/>
      <name val="Arial"/>
    </font>
    <font>
      <sz val="12"/>
      <color theme="3"/>
      <name val="Franklin Gothic Book"/>
      <scheme val="minor"/>
    </font>
    <font>
      <b/>
      <sz val="12"/>
      <color theme="3"/>
      <name val="Franklin Gothic Book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CBD5E1"/>
      </left>
      <right style="thin">
        <color rgb="FFCBD5E1"/>
      </right>
      <top style="thin">
        <color rgb="FFCBD5E1"/>
      </top>
      <bottom/>
      <diagonal/>
    </border>
    <border>
      <left style="thin">
        <color rgb="FFCBD5E1"/>
      </left>
      <right style="thin">
        <color rgb="FFCBD5E1"/>
      </right>
      <top/>
      <bottom style="thin">
        <color rgb="FFCBD5E1"/>
      </bottom>
      <diagonal/>
    </border>
  </borders>
  <cellStyleXfs count="47">
    <xf numFmtId="0" fontId="0" fillId="0" borderId="0"/>
    <xf numFmtId="167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8" fillId="6" borderId="0" applyNumberFormat="0" applyBorder="0" applyAlignment="0" applyProtection="0"/>
    <xf numFmtId="0" fontId="19" fillId="7" borderId="5" applyNumberFormat="0" applyAlignment="0" applyProtection="0"/>
    <xf numFmtId="0" fontId="20" fillId="8" borderId="6" applyNumberFormat="0" applyAlignment="0" applyProtection="0"/>
    <xf numFmtId="0" fontId="21" fillId="8" borderId="5" applyNumberFormat="0" applyAlignment="0" applyProtection="0"/>
    <xf numFmtId="0" fontId="22" fillId="0" borderId="7" applyNumberFormat="0" applyFill="0" applyAlignment="0" applyProtection="0"/>
    <xf numFmtId="0" fontId="23" fillId="9" borderId="8" applyNumberFormat="0" applyAlignment="0" applyProtection="0"/>
    <xf numFmtId="0" fontId="24" fillId="0" borderId="0" applyNumberFormat="0" applyFill="0" applyBorder="0" applyAlignment="0" applyProtection="0"/>
    <xf numFmtId="0" fontId="28" fillId="10" borderId="9" applyNumberFormat="0" applyFont="0" applyAlignment="0" applyProtection="0"/>
    <xf numFmtId="0" fontId="25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</cellStyleXfs>
  <cellXfs count="109">
    <xf numFmtId="0" fontId="0" fillId="0" borderId="0" xfId="0"/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horizontal="left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10" fillId="0" borderId="1" xfId="0" applyFont="1" applyBorder="1" applyAlignment="1">
      <alignment vertical="center" wrapText="1"/>
    </xf>
    <xf numFmtId="0" fontId="4" fillId="0" borderId="11" xfId="0" applyFont="1" applyBorder="1"/>
    <xf numFmtId="0" fontId="4" fillId="0" borderId="11" xfId="0" applyFont="1" applyBorder="1" applyAlignment="1">
      <alignment horizontal="left"/>
    </xf>
    <xf numFmtId="0" fontId="31" fillId="0" borderId="11" xfId="0" applyFont="1" applyBorder="1" applyAlignment="1">
      <alignment vertical="center"/>
    </xf>
    <xf numFmtId="0" fontId="29" fillId="0" borderId="0" xfId="0" applyFont="1"/>
    <xf numFmtId="14" fontId="30" fillId="0" borderId="0" xfId="0" applyNumberFormat="1" applyFont="1" applyAlignment="1">
      <alignment horizontal="left"/>
    </xf>
    <xf numFmtId="0" fontId="29" fillId="0" borderId="0" xfId="0" applyFont="1" applyAlignment="1">
      <alignment horizontal="left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vertical="center" wrapText="1"/>
    </xf>
    <xf numFmtId="3" fontId="10" fillId="0" borderId="1" xfId="0" applyNumberFormat="1" applyFont="1" applyBorder="1" applyAlignment="1">
      <alignment vertical="center" wrapText="1"/>
    </xf>
    <xf numFmtId="0" fontId="32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33" fillId="0" borderId="0" xfId="0" applyFont="1"/>
    <xf numFmtId="0" fontId="33" fillId="0" borderId="0" xfId="0" applyFont="1" applyAlignment="1">
      <alignment horizontal="left"/>
    </xf>
    <xf numFmtId="3" fontId="2" fillId="0" borderId="0" xfId="0" applyNumberFormat="1" applyFont="1" applyAlignment="1">
      <alignment horizontal="right" vertical="center" wrapText="1"/>
    </xf>
    <xf numFmtId="3" fontId="0" fillId="0" borderId="0" xfId="0" applyNumberFormat="1" applyAlignment="1">
      <alignment horizontal="right" vertical="top" wrapText="1"/>
    </xf>
    <xf numFmtId="3" fontId="11" fillId="0" borderId="1" xfId="0" applyNumberFormat="1" applyFont="1" applyBorder="1" applyAlignment="1">
      <alignment horizontal="right" vertical="center" wrapText="1"/>
    </xf>
    <xf numFmtId="3" fontId="35" fillId="0" borderId="0" xfId="0" applyNumberFormat="1" applyFont="1" applyAlignment="1">
      <alignment horizontal="right" vertical="top" wrapText="1"/>
    </xf>
    <xf numFmtId="3" fontId="10" fillId="0" borderId="1" xfId="0" applyNumberFormat="1" applyFont="1" applyBorder="1" applyAlignment="1">
      <alignment horizontal="right" vertical="center" wrapText="1"/>
    </xf>
    <xf numFmtId="3" fontId="7" fillId="0" borderId="0" xfId="0" applyNumberFormat="1" applyFont="1" applyAlignment="1">
      <alignment vertical="center" wrapText="1"/>
    </xf>
    <xf numFmtId="14" fontId="7" fillId="2" borderId="15" xfId="0" applyNumberFormat="1" applyFont="1" applyFill="1" applyBorder="1" applyAlignment="1">
      <alignment vertical="center"/>
    </xf>
    <xf numFmtId="14" fontId="7" fillId="2" borderId="15" xfId="0" applyNumberFormat="1" applyFont="1" applyFill="1" applyBorder="1" applyAlignment="1">
      <alignment horizontal="right" vertical="center"/>
    </xf>
    <xf numFmtId="3" fontId="9" fillId="35" borderId="15" xfId="0" applyNumberFormat="1" applyFont="1" applyFill="1" applyBorder="1" applyAlignment="1">
      <alignment horizontal="right" vertical="center"/>
    </xf>
    <xf numFmtId="0" fontId="7" fillId="2" borderId="15" xfId="0" applyFont="1" applyFill="1" applyBorder="1" applyAlignment="1">
      <alignment horizontal="right" vertical="center"/>
    </xf>
    <xf numFmtId="0" fontId="11" fillId="0" borderId="1" xfId="0" applyFont="1" applyBorder="1" applyAlignment="1">
      <alignment horizontal="right" vertical="center" wrapText="1"/>
    </xf>
    <xf numFmtId="14" fontId="36" fillId="0" borderId="0" xfId="0" applyNumberFormat="1" applyFont="1" applyAlignment="1">
      <alignment horizontal="right" vertical="top" wrapText="1"/>
    </xf>
    <xf numFmtId="0" fontId="9" fillId="2" borderId="15" xfId="0" applyFont="1" applyFill="1" applyBorder="1" applyAlignment="1">
      <alignment vertical="center"/>
    </xf>
    <xf numFmtId="0" fontId="34" fillId="3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4" fillId="0" borderId="0" xfId="0" applyFont="1" applyBorder="1"/>
    <xf numFmtId="0" fontId="37" fillId="2" borderId="19" xfId="0" applyFont="1" applyFill="1" applyBorder="1" applyAlignment="1">
      <alignment horizontal="center" vertical="center" wrapText="1"/>
    </xf>
    <xf numFmtId="0" fontId="38" fillId="0" borderId="19" xfId="0" applyFont="1" applyFill="1" applyBorder="1" applyAlignment="1">
      <alignment horizontal="right" vertical="center" wrapText="1"/>
    </xf>
    <xf numFmtId="3" fontId="39" fillId="0" borderId="19" xfId="0" applyNumberFormat="1" applyFont="1" applyFill="1" applyBorder="1" applyAlignment="1">
      <alignment horizontal="right" vertical="center"/>
    </xf>
    <xf numFmtId="3" fontId="38" fillId="36" borderId="19" xfId="0" applyNumberFormat="1" applyFont="1" applyFill="1" applyBorder="1" applyAlignment="1">
      <alignment horizontal="right" vertical="center" wrapText="1"/>
    </xf>
    <xf numFmtId="3" fontId="40" fillId="36" borderId="19" xfId="0" applyNumberFormat="1" applyFont="1" applyFill="1" applyBorder="1" applyAlignment="1">
      <alignment horizontal="right" vertical="center"/>
    </xf>
    <xf numFmtId="0" fontId="41" fillId="3" borderId="0" xfId="0" applyFont="1" applyFill="1" applyBorder="1" applyAlignment="1">
      <alignment horizontal="center"/>
    </xf>
    <xf numFmtId="0" fontId="39" fillId="0" borderId="0" xfId="0" applyFont="1"/>
    <xf numFmtId="0" fontId="37" fillId="2" borderId="19" xfId="0" applyFont="1" applyFill="1" applyBorder="1" applyAlignment="1">
      <alignment horizontal="center" vertical="center"/>
    </xf>
    <xf numFmtId="14" fontId="4" fillId="0" borderId="0" xfId="0" applyNumberFormat="1" applyFont="1"/>
    <xf numFmtId="3" fontId="38" fillId="0" borderId="19" xfId="0" applyNumberFormat="1" applyFont="1" applyFill="1" applyBorder="1" applyAlignment="1">
      <alignment horizontal="right" vertical="center" wrapText="1"/>
    </xf>
    <xf numFmtId="14" fontId="30" fillId="37" borderId="0" xfId="0" applyNumberFormat="1" applyFont="1" applyFill="1" applyAlignment="1">
      <alignment horizontal="center"/>
    </xf>
    <xf numFmtId="14" fontId="4" fillId="38" borderId="0" xfId="0" applyNumberFormat="1" applyFont="1" applyFill="1"/>
    <xf numFmtId="0" fontId="38" fillId="0" borderId="21" xfId="0" applyFont="1" applyFill="1" applyBorder="1" applyAlignment="1">
      <alignment horizontal="right" vertical="center" wrapText="1"/>
    </xf>
    <xf numFmtId="0" fontId="0" fillId="0" borderId="0" xfId="0" applyFont="1" applyFill="1"/>
    <xf numFmtId="0" fontId="42" fillId="0" borderId="19" xfId="0" applyFont="1" applyFill="1" applyBorder="1" applyAlignment="1">
      <alignment horizontal="right" vertical="center" wrapText="1"/>
    </xf>
    <xf numFmtId="3" fontId="0" fillId="0" borderId="0" xfId="0" applyNumberFormat="1" applyFont="1" applyAlignment="1">
      <alignment horizontal="right" vertical="top" wrapText="1"/>
    </xf>
    <xf numFmtId="0" fontId="2" fillId="0" borderId="0" xfId="0" applyFont="1" applyAlignment="1">
      <alignment horizontal="center" vertical="center" wrapText="1"/>
    </xf>
    <xf numFmtId="0" fontId="43" fillId="0" borderId="0" xfId="0" applyFont="1" applyFill="1"/>
    <xf numFmtId="0" fontId="38" fillId="0" borderId="22" xfId="0" applyFont="1" applyFill="1" applyBorder="1" applyAlignment="1">
      <alignment horizontal="right" vertical="center" wrapText="1"/>
    </xf>
    <xf numFmtId="0" fontId="2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vertical="center" wrapText="1"/>
    </xf>
    <xf numFmtId="3" fontId="2" fillId="0" borderId="0" xfId="0" applyNumberFormat="1" applyFont="1" applyFill="1" applyAlignment="1">
      <alignment horizontal="right" vertical="center" wrapText="1"/>
    </xf>
    <xf numFmtId="0" fontId="32" fillId="0" borderId="0" xfId="0" applyNumberFormat="1" applyFont="1" applyFill="1" applyAlignment="1">
      <alignment horizontal="left" vertical="center" wrapText="1"/>
    </xf>
    <xf numFmtId="0" fontId="2" fillId="0" borderId="1" xfId="0" applyNumberFormat="1" applyFont="1" applyFill="1" applyBorder="1" applyAlignment="1">
      <alignment vertical="center" wrapText="1"/>
    </xf>
    <xf numFmtId="3" fontId="2" fillId="0" borderId="1" xfId="0" applyNumberFormat="1" applyFont="1" applyFill="1" applyBorder="1" applyAlignment="1">
      <alignment vertical="center" wrapText="1"/>
    </xf>
    <xf numFmtId="3" fontId="7" fillId="0" borderId="1" xfId="0" applyNumberFormat="1" applyFont="1" applyFill="1" applyBorder="1" applyAlignment="1">
      <alignment vertical="center" wrapText="1"/>
    </xf>
    <xf numFmtId="3" fontId="2" fillId="0" borderId="1" xfId="0" applyNumberFormat="1" applyFont="1" applyFill="1" applyBorder="1" applyAlignment="1">
      <alignment horizontal="right" vertical="top" wrapText="1"/>
    </xf>
    <xf numFmtId="3" fontId="2" fillId="0" borderId="1" xfId="0" applyNumberFormat="1" applyFont="1" applyFill="1" applyBorder="1" applyAlignment="1">
      <alignment horizontal="right" vertical="center" wrapText="1"/>
    </xf>
    <xf numFmtId="3" fontId="36" fillId="0" borderId="1" xfId="0" applyNumberFormat="1" applyFont="1" applyFill="1" applyBorder="1" applyAlignment="1">
      <alignment horizontal="right" vertical="top" wrapText="1"/>
    </xf>
    <xf numFmtId="3" fontId="46" fillId="0" borderId="1" xfId="0" applyNumberFormat="1" applyFont="1" applyFill="1" applyBorder="1" applyAlignment="1">
      <alignment horizontal="right" vertical="top" wrapText="1"/>
    </xf>
    <xf numFmtId="3" fontId="7" fillId="0" borderId="0" xfId="0" applyNumberFormat="1" applyFont="1" applyFill="1" applyAlignment="1">
      <alignment horizontal="center" vertical="center" wrapText="1"/>
    </xf>
    <xf numFmtId="3" fontId="7" fillId="0" borderId="0" xfId="0" applyNumberFormat="1" applyFont="1" applyFill="1" applyAlignment="1">
      <alignment horizontal="right" vertical="top" wrapText="1"/>
    </xf>
    <xf numFmtId="3" fontId="46" fillId="0" borderId="0" xfId="0" applyNumberFormat="1" applyFont="1" applyFill="1" applyAlignment="1">
      <alignment horizontal="right" vertical="top" wrapText="1"/>
    </xf>
    <xf numFmtId="0" fontId="5" fillId="0" borderId="0" xfId="0" applyFont="1" applyFill="1" applyAlignment="1">
      <alignment horizontal="center" vertical="center"/>
    </xf>
    <xf numFmtId="14" fontId="46" fillId="0" borderId="0" xfId="0" applyNumberFormat="1" applyFont="1" applyFill="1" applyAlignment="1">
      <alignment horizontal="right" vertical="top" wrapText="1"/>
    </xf>
    <xf numFmtId="14" fontId="36" fillId="0" borderId="1" xfId="0" applyNumberFormat="1" applyFont="1" applyFill="1" applyBorder="1" applyAlignment="1">
      <alignment horizontal="right" vertical="top" wrapText="1"/>
    </xf>
    <xf numFmtId="14" fontId="47" fillId="0" borderId="1" xfId="0" applyNumberFormat="1" applyFont="1" applyFill="1" applyBorder="1" applyAlignment="1">
      <alignment horizontal="right" vertical="top" wrapText="1"/>
    </xf>
    <xf numFmtId="0" fontId="48" fillId="0" borderId="1" xfId="0" applyNumberFormat="1" applyFont="1" applyFill="1" applyBorder="1" applyAlignment="1">
      <alignment vertical="center" wrapText="1"/>
    </xf>
    <xf numFmtId="3" fontId="48" fillId="0" borderId="1" xfId="0" applyNumberFormat="1" applyFont="1" applyFill="1" applyBorder="1" applyAlignment="1">
      <alignment horizontal="left" vertical="center" wrapText="1"/>
    </xf>
    <xf numFmtId="3" fontId="48" fillId="0" borderId="1" xfId="0" applyNumberFormat="1" applyFont="1" applyFill="1" applyBorder="1" applyAlignment="1">
      <alignment vertical="center" wrapText="1"/>
    </xf>
    <xf numFmtId="3" fontId="49" fillId="0" borderId="1" xfId="0" applyNumberFormat="1" applyFont="1" applyFill="1" applyBorder="1" applyAlignment="1">
      <alignment vertical="center" wrapText="1"/>
    </xf>
    <xf numFmtId="3" fontId="48" fillId="0" borderId="1" xfId="0" applyNumberFormat="1" applyFont="1" applyFill="1" applyBorder="1" applyAlignment="1">
      <alignment horizontal="right" vertical="top" wrapText="1"/>
    </xf>
    <xf numFmtId="3" fontId="48" fillId="0" borderId="1" xfId="0" applyNumberFormat="1" applyFont="1" applyFill="1" applyBorder="1" applyAlignment="1">
      <alignment horizontal="right" vertical="center" wrapText="1"/>
    </xf>
    <xf numFmtId="3" fontId="47" fillId="0" borderId="1" xfId="0" applyNumberFormat="1" applyFont="1" applyFill="1" applyBorder="1" applyAlignment="1">
      <alignment horizontal="right" vertical="top" wrapText="1"/>
    </xf>
    <xf numFmtId="3" fontId="51" fillId="0" borderId="1" xfId="0" applyNumberFormat="1" applyFont="1" applyFill="1" applyBorder="1" applyAlignment="1">
      <alignment horizontal="right" vertical="top" wrapText="1"/>
    </xf>
    <xf numFmtId="14" fontId="51" fillId="0" borderId="0" xfId="0" applyNumberFormat="1" applyFont="1" applyFill="1" applyAlignment="1">
      <alignment horizontal="right" vertical="top" wrapText="1"/>
    </xf>
    <xf numFmtId="0" fontId="48" fillId="0" borderId="0" xfId="0" applyNumberFormat="1" applyFont="1" applyFill="1" applyAlignment="1">
      <alignment horizontal="center" vertical="center" wrapText="1"/>
    </xf>
    <xf numFmtId="0" fontId="50" fillId="0" borderId="0" xfId="0" applyNumberFormat="1" applyFont="1" applyFill="1" applyAlignment="1">
      <alignment horizontal="left" vertical="center" wrapText="1"/>
    </xf>
    <xf numFmtId="3" fontId="48" fillId="0" borderId="0" xfId="0" applyNumberFormat="1" applyFont="1" applyFill="1" applyAlignment="1">
      <alignment horizontal="left" vertical="center" wrapText="1"/>
    </xf>
    <xf numFmtId="3" fontId="48" fillId="0" borderId="0" xfId="0" applyNumberFormat="1" applyFont="1" applyFill="1" applyAlignment="1">
      <alignment vertical="center" wrapText="1"/>
    </xf>
    <xf numFmtId="3" fontId="49" fillId="0" borderId="0" xfId="0" applyNumberFormat="1" applyFont="1" applyFill="1" applyAlignment="1">
      <alignment horizontal="center" vertical="center" wrapText="1"/>
    </xf>
    <xf numFmtId="3" fontId="49" fillId="0" borderId="0" xfId="0" applyNumberFormat="1" applyFont="1" applyFill="1" applyAlignment="1">
      <alignment horizontal="right" vertical="top" wrapText="1"/>
    </xf>
    <xf numFmtId="3" fontId="48" fillId="0" borderId="0" xfId="0" applyNumberFormat="1" applyFont="1" applyFill="1" applyAlignment="1">
      <alignment horizontal="right" vertical="center" wrapText="1"/>
    </xf>
    <xf numFmtId="3" fontId="51" fillId="0" borderId="0" xfId="0" applyNumberFormat="1" applyFont="1" applyFill="1" applyAlignment="1">
      <alignment horizontal="right" vertical="top" wrapText="1"/>
    </xf>
    <xf numFmtId="0" fontId="52" fillId="0" borderId="1" xfId="0" applyFont="1" applyBorder="1" applyAlignment="1">
      <alignment horizontal="right" vertical="center" wrapText="1"/>
    </xf>
    <xf numFmtId="0" fontId="53" fillId="0" borderId="1" xfId="0" applyFont="1" applyBorder="1" applyAlignment="1">
      <alignment vertical="center" wrapText="1"/>
    </xf>
    <xf numFmtId="3" fontId="53" fillId="0" borderId="1" xfId="0" applyNumberFormat="1" applyFont="1" applyBorder="1" applyAlignment="1">
      <alignment vertical="center" wrapText="1"/>
    </xf>
    <xf numFmtId="3" fontId="52" fillId="0" borderId="1" xfId="0" applyNumberFormat="1" applyFont="1" applyBorder="1" applyAlignment="1">
      <alignment horizontal="right" vertical="center" wrapText="1"/>
    </xf>
    <xf numFmtId="3" fontId="53" fillId="0" borderId="1" xfId="0" applyNumberFormat="1" applyFont="1" applyBorder="1" applyAlignment="1">
      <alignment horizontal="right" vertical="center" wrapText="1"/>
    </xf>
    <xf numFmtId="0" fontId="52" fillId="0" borderId="1" xfId="0" applyFont="1" applyBorder="1" applyAlignment="1">
      <alignment horizontal="center" vertical="center" wrapText="1"/>
    </xf>
    <xf numFmtId="0" fontId="5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2" fillId="0" borderId="1" xfId="0" applyNumberFormat="1" applyFont="1" applyFill="1" applyBorder="1" applyAlignment="1">
      <alignment horizontal="center" vertical="center" wrapText="1"/>
    </xf>
    <xf numFmtId="0" fontId="34" fillId="3" borderId="16" xfId="0" applyFont="1" applyFill="1" applyBorder="1" applyAlignment="1">
      <alignment horizontal="center" vertical="center"/>
    </xf>
    <xf numFmtId="0" fontId="34" fillId="3" borderId="20" xfId="0" applyFont="1" applyFill="1" applyBorder="1" applyAlignment="1">
      <alignment horizontal="center" vertical="center"/>
    </xf>
    <xf numFmtId="0" fontId="34" fillId="3" borderId="17" xfId="0" applyFont="1" applyFill="1" applyBorder="1" applyAlignment="1">
      <alignment horizontal="center" vertical="center"/>
    </xf>
    <xf numFmtId="0" fontId="34" fillId="3" borderId="18" xfId="0" applyFont="1" applyFill="1" applyBorder="1" applyAlignment="1">
      <alignment horizontal="center" vertical="center"/>
    </xf>
    <xf numFmtId="0" fontId="34" fillId="3" borderId="12" xfId="0" applyFont="1" applyFill="1" applyBorder="1" applyAlignment="1">
      <alignment horizontal="center" vertical="center"/>
    </xf>
    <xf numFmtId="0" fontId="34" fillId="3" borderId="13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/>
    </xf>
  </cellXfs>
  <cellStyles count="47">
    <cellStyle name="20 % - Accent1" xfId="24" builtinId="30" customBuiltin="1"/>
    <cellStyle name="20 % - Accent2" xfId="28" builtinId="34" customBuiltin="1"/>
    <cellStyle name="20 % - Accent3" xfId="32" builtinId="38" customBuiltin="1"/>
    <cellStyle name="20 % - Accent4" xfId="36" builtinId="42" customBuiltin="1"/>
    <cellStyle name="20 % - Accent5" xfId="40" builtinId="46" customBuiltin="1"/>
    <cellStyle name="20 % - Accent6" xfId="44" builtinId="50" customBuiltin="1"/>
    <cellStyle name="40 % - Accent1" xfId="25" builtinId="31" customBuiltin="1"/>
    <cellStyle name="40 % - Accent2" xfId="29" builtinId="35" customBuiltin="1"/>
    <cellStyle name="40 % - Accent3" xfId="33" builtinId="39" customBuiltin="1"/>
    <cellStyle name="40 % - Accent4" xfId="37" builtinId="43" customBuiltin="1"/>
    <cellStyle name="40 % - Accent5" xfId="41" builtinId="47" customBuiltin="1"/>
    <cellStyle name="40 % - Accent6" xfId="45" builtinId="51" customBuiltin="1"/>
    <cellStyle name="60 % - Accent1" xfId="26" builtinId="32" customBuiltin="1"/>
    <cellStyle name="60 % - Accent2" xfId="30" builtinId="36" customBuiltin="1"/>
    <cellStyle name="60 % - Accent3" xfId="34" builtinId="40" customBuiltin="1"/>
    <cellStyle name="60 % - Accent4" xfId="38" builtinId="44" customBuiltin="1"/>
    <cellStyle name="60 % - Accent5" xfId="42" builtinId="48" customBuiltin="1"/>
    <cellStyle name="60 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Commentaire" xfId="20" builtinId="10" customBuiltin="1"/>
    <cellStyle name="Entrée" xfId="14" builtinId="20" customBuiltin="1"/>
    <cellStyle name="Insatisfaisant" xfId="12" builtinId="27" customBuiltin="1"/>
    <cellStyle name="Milliers" xfId="1" builtinId="3" customBuiltin="1"/>
    <cellStyle name="Milliers [0]" xfId="2" builtinId="6" customBuiltin="1"/>
    <cellStyle name="Monétaire" xfId="3" builtinId="4" customBuiltin="1"/>
    <cellStyle name="Monétaire [0]" xfId="4" builtinId="7" customBuiltin="1"/>
    <cellStyle name="Neutre" xfId="13" builtinId="28" customBuiltin="1"/>
    <cellStyle name="Normal" xfId="0" builtinId="0" customBuiltin="1"/>
    <cellStyle name="Pourcentage" xfId="5" builtinId="5" customBuiltin="1"/>
    <cellStyle name="Satisfaisant" xfId="11" builtinId="26" customBuiltin="1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2" builtinId="25" customBuiltin="1"/>
    <cellStyle name="Vérification" xfId="18" builtinId="23" customBuiltin="1"/>
  </cellStyles>
  <dxfs count="365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rgb="FFCBD5E1"/>
        </left>
        <right style="thin">
          <color rgb="FFCBD5E1"/>
        </right>
        <top style="thin">
          <color rgb="FFCBD5E1"/>
        </top>
        <bottom style="thin">
          <color rgb="FFCBD5E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rgb="FFCBD5E1"/>
        </left>
        <right style="thin">
          <color rgb="FFCBD5E1"/>
        </right>
        <top style="thin">
          <color rgb="FFCBD5E1"/>
        </top>
        <bottom style="thin">
          <color rgb="FFCBD5E1"/>
        </bottom>
        <vertical/>
        <horizontal/>
      </border>
    </dxf>
    <dxf>
      <border outline="0">
        <bottom style="thin">
          <color rgb="FFCBD5E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AEAEA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990000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175260</xdr:colOff>
      <xdr:row>2</xdr:row>
      <xdr:rowOff>350520</xdr:rowOff>
    </xdr:from>
    <xdr:to>
      <xdr:col>1</xdr:col>
      <xdr:colOff>1222248</xdr:colOff>
      <xdr:row>4</xdr:row>
      <xdr:rowOff>134112</xdr:rowOff>
    </xdr:to>
    <xdr:sp macro="[0]!Feuil1.JourPrecedent" textlink="">
      <xdr:nvSpPr>
        <xdr:cNvPr id="2" name="Flèche gauche 1"/>
        <xdr:cNvSpPr/>
      </xdr:nvSpPr>
      <xdr:spPr>
        <a:xfrm>
          <a:off x="175260" y="1045845"/>
          <a:ext cx="1351788" cy="478917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Jour Précédent</a:t>
          </a:r>
        </a:p>
      </xdr:txBody>
    </xdr:sp>
    <xdr:clientData/>
  </xdr:twoCellAnchor>
  <xdr:twoCellAnchor>
    <xdr:from>
      <xdr:col>3</xdr:col>
      <xdr:colOff>68580</xdr:colOff>
      <xdr:row>2</xdr:row>
      <xdr:rowOff>381000</xdr:rowOff>
    </xdr:from>
    <xdr:to>
      <xdr:col>4</xdr:col>
      <xdr:colOff>304800</xdr:colOff>
      <xdr:row>4</xdr:row>
      <xdr:rowOff>164592</xdr:rowOff>
    </xdr:to>
    <xdr:sp macro="[0]!Feuil1.JourSuivant" textlink="">
      <xdr:nvSpPr>
        <xdr:cNvPr id="3" name="Flèche droite 2"/>
        <xdr:cNvSpPr/>
      </xdr:nvSpPr>
      <xdr:spPr>
        <a:xfrm>
          <a:off x="2592705" y="1076325"/>
          <a:ext cx="1274445" cy="478917"/>
        </a:xfrm>
        <a:prstGeom prst="rightArrow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Jour Suivant</a:t>
          </a:r>
        </a:p>
      </xdr:txBody>
    </xdr:sp>
    <xdr:clientData/>
  </xdr:twoCellAnchor>
  <xdr:twoCellAnchor>
    <xdr:from>
      <xdr:col>7</xdr:col>
      <xdr:colOff>144781</xdr:colOff>
      <xdr:row>1</xdr:row>
      <xdr:rowOff>91440</xdr:rowOff>
    </xdr:from>
    <xdr:to>
      <xdr:col>10</xdr:col>
      <xdr:colOff>350520</xdr:colOff>
      <xdr:row>3</xdr:row>
      <xdr:rowOff>175260</xdr:rowOff>
    </xdr:to>
    <xdr:sp macro="[0]!Appel_Form" textlink="">
      <xdr:nvSpPr>
        <xdr:cNvPr id="4" name="Organigramme : Alternative 3"/>
        <xdr:cNvSpPr/>
      </xdr:nvSpPr>
      <xdr:spPr>
        <a:xfrm>
          <a:off x="6097906" y="281940"/>
          <a:ext cx="3310889" cy="1093470"/>
        </a:xfrm>
        <a:prstGeom prst="flowChartAlternateProcess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rgbClr val="FF0000"/>
              </a:solidFill>
            </a:rPr>
            <a:t>APPEL FORMULAIRE</a:t>
          </a:r>
        </a:p>
        <a:p>
          <a:pPr algn="ctr"/>
          <a:r>
            <a:rPr lang="fr-FR" sz="2400">
              <a:solidFill>
                <a:srgbClr val="FF0000"/>
              </a:solidFill>
            </a:rPr>
            <a:t>de SAISIE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175260</xdr:colOff>
      <xdr:row>2</xdr:row>
      <xdr:rowOff>350520</xdr:rowOff>
    </xdr:from>
    <xdr:to>
      <xdr:col>1</xdr:col>
      <xdr:colOff>1222248</xdr:colOff>
      <xdr:row>4</xdr:row>
      <xdr:rowOff>134112</xdr:rowOff>
    </xdr:to>
    <xdr:sp macro="[0]!Feuil1.JourPrecedent" textlink="">
      <xdr:nvSpPr>
        <xdr:cNvPr id="3" name="Flèche gauche 2"/>
        <xdr:cNvSpPr/>
      </xdr:nvSpPr>
      <xdr:spPr>
        <a:xfrm>
          <a:off x="175260" y="1051560"/>
          <a:ext cx="1389888" cy="484632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Jour Précédent</a:t>
          </a:r>
        </a:p>
      </xdr:txBody>
    </xdr:sp>
    <xdr:clientData/>
  </xdr:twoCellAnchor>
  <xdr:twoCellAnchor>
    <xdr:from>
      <xdr:col>3</xdr:col>
      <xdr:colOff>68580</xdr:colOff>
      <xdr:row>2</xdr:row>
      <xdr:rowOff>381000</xdr:rowOff>
    </xdr:from>
    <xdr:to>
      <xdr:col>4</xdr:col>
      <xdr:colOff>304800</xdr:colOff>
      <xdr:row>4</xdr:row>
      <xdr:rowOff>164592</xdr:rowOff>
    </xdr:to>
    <xdr:sp macro="[0]!Feuil1.JourSuivant" textlink="">
      <xdr:nvSpPr>
        <xdr:cNvPr id="4" name="Flèche droite 3"/>
        <xdr:cNvSpPr/>
      </xdr:nvSpPr>
      <xdr:spPr>
        <a:xfrm>
          <a:off x="2667000" y="1082040"/>
          <a:ext cx="1303020" cy="484632"/>
        </a:xfrm>
        <a:prstGeom prst="rightArrow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Jour Suivant</a:t>
          </a:r>
        </a:p>
      </xdr:txBody>
    </xdr:sp>
    <xdr:clientData/>
  </xdr:twoCellAnchor>
  <xdr:twoCellAnchor>
    <xdr:from>
      <xdr:col>7</xdr:col>
      <xdr:colOff>144781</xdr:colOff>
      <xdr:row>1</xdr:row>
      <xdr:rowOff>91440</xdr:rowOff>
    </xdr:from>
    <xdr:to>
      <xdr:col>10</xdr:col>
      <xdr:colOff>350520</xdr:colOff>
      <xdr:row>3</xdr:row>
      <xdr:rowOff>175260</xdr:rowOff>
    </xdr:to>
    <xdr:sp macro="[0]!Appel_Form" textlink="">
      <xdr:nvSpPr>
        <xdr:cNvPr id="2" name="Organigramme : Alternative 1"/>
        <xdr:cNvSpPr/>
      </xdr:nvSpPr>
      <xdr:spPr>
        <a:xfrm>
          <a:off x="5996941" y="281940"/>
          <a:ext cx="3398519" cy="1104900"/>
        </a:xfrm>
        <a:prstGeom prst="flowChartAlternateProcess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rgbClr val="FF0000"/>
              </a:solidFill>
            </a:rPr>
            <a:t>APPEL FORMULAIRE</a:t>
          </a:r>
        </a:p>
        <a:p>
          <a:pPr algn="ctr"/>
          <a:r>
            <a:rPr lang="fr-FR" sz="2400">
              <a:solidFill>
                <a:srgbClr val="FF0000"/>
              </a:solidFill>
            </a:rPr>
            <a:t>de SAISIE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76200</xdr:colOff>
      <xdr:row>0</xdr:row>
      <xdr:rowOff>161925</xdr:rowOff>
    </xdr:from>
    <xdr:to>
      <xdr:col>5</xdr:col>
      <xdr:colOff>1295400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2990850" y="161925"/>
          <a:ext cx="5314950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8</xdr:row>
      <xdr:rowOff>0</xdr:rowOff>
    </xdr:from>
    <xdr:to>
      <xdr:col>5</xdr:col>
      <xdr:colOff>257175</xdr:colOff>
      <xdr:row>13</xdr:row>
      <xdr:rowOff>9525</xdr:rowOff>
    </xdr:to>
    <xdr:sp macro="" textlink="">
      <xdr:nvSpPr>
        <xdr:cNvPr id="6" name="Rectangle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353050" y="277177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47625</xdr:colOff>
      <xdr:row>0</xdr:row>
      <xdr:rowOff>161925</xdr:rowOff>
    </xdr:from>
    <xdr:to>
      <xdr:col>5</xdr:col>
      <xdr:colOff>1628775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>
          <a:off x="2962275" y="16192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57150</xdr:colOff>
      <xdr:row>0</xdr:row>
      <xdr:rowOff>161925</xdr:rowOff>
    </xdr:from>
    <xdr:to>
      <xdr:col>5</xdr:col>
      <xdr:colOff>1638300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>
        <a:xfrm>
          <a:off x="2971800" y="16192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</xdr:colOff>
      <xdr:row>0</xdr:row>
      <xdr:rowOff>171450</xdr:rowOff>
    </xdr:from>
    <xdr:to>
      <xdr:col>5</xdr:col>
      <xdr:colOff>1619250</xdr:colOff>
      <xdr:row>1</xdr:row>
      <xdr:rowOff>485775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/>
      </xdr:nvSpPr>
      <xdr:spPr>
        <a:xfrm>
          <a:off x="2952750" y="171450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6" name="Rectangle 5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</xdr:colOff>
      <xdr:row>0</xdr:row>
      <xdr:rowOff>152400</xdr:rowOff>
    </xdr:from>
    <xdr:to>
      <xdr:col>5</xdr:col>
      <xdr:colOff>1619250</xdr:colOff>
      <xdr:row>1</xdr:row>
      <xdr:rowOff>466725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/>
      </xdr:nvSpPr>
      <xdr:spPr>
        <a:xfrm>
          <a:off x="2952750" y="152400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6" name="Rectangle 5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7" name="Rectangle 6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57150</xdr:colOff>
      <xdr:row>0</xdr:row>
      <xdr:rowOff>161925</xdr:rowOff>
    </xdr:from>
    <xdr:to>
      <xdr:col>5</xdr:col>
      <xdr:colOff>1638300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/>
      </xdr:nvSpPr>
      <xdr:spPr>
        <a:xfrm>
          <a:off x="2971800" y="16192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6" name="Rectangle 5">
          <a:extLst>
            <a:ext uri="{FF2B5EF4-FFF2-40B4-BE49-F238E27FC236}">
              <a16:creationId xmlns="" xmlns:a16="http://schemas.microsoft.com/office/drawing/2014/main" id="{00000000-0008-0000-0600-000006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7" name="Rectangle 6">
          <a:extLst>
            <a:ext uri="{FF2B5EF4-FFF2-40B4-BE49-F238E27FC236}">
              <a16:creationId xmlns="" xmlns:a16="http://schemas.microsoft.com/office/drawing/2014/main" id="{00000000-0008-0000-0600-000007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8" name="Rectangle 7">
          <a:extLst>
            <a:ext uri="{FF2B5EF4-FFF2-40B4-BE49-F238E27FC236}">
              <a16:creationId xmlns="" xmlns:a16="http://schemas.microsoft.com/office/drawing/2014/main" id="{00000000-0008-0000-0600-000008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76200</xdr:colOff>
      <xdr:row>0</xdr:row>
      <xdr:rowOff>142875</xdr:rowOff>
    </xdr:from>
    <xdr:to>
      <xdr:col>5</xdr:col>
      <xdr:colOff>1657350</xdr:colOff>
      <xdr:row>1</xdr:row>
      <xdr:rowOff>457200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SpPr/>
      </xdr:nvSpPr>
      <xdr:spPr>
        <a:xfrm>
          <a:off x="2990850" y="14287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700-000005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6" name="Rectangle 5">
          <a:extLst>
            <a:ext uri="{FF2B5EF4-FFF2-40B4-BE49-F238E27FC236}">
              <a16:creationId xmlns="" xmlns:a16="http://schemas.microsoft.com/office/drawing/2014/main" id="{00000000-0008-0000-0700-000006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7" name="Rectangle 6">
          <a:extLst>
            <a:ext uri="{FF2B5EF4-FFF2-40B4-BE49-F238E27FC236}">
              <a16:creationId xmlns="" xmlns:a16="http://schemas.microsoft.com/office/drawing/2014/main" id="{00000000-0008-0000-0700-000007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8" name="Rectangle 7">
          <a:extLst>
            <a:ext uri="{FF2B5EF4-FFF2-40B4-BE49-F238E27FC236}">
              <a16:creationId xmlns="" xmlns:a16="http://schemas.microsoft.com/office/drawing/2014/main" id="{00000000-0008-0000-0700-000008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9" name="Rectangle 8">
          <a:extLst>
            <a:ext uri="{FF2B5EF4-FFF2-40B4-BE49-F238E27FC236}">
              <a16:creationId xmlns="" xmlns:a16="http://schemas.microsoft.com/office/drawing/2014/main" id="{00000000-0008-0000-0700-000009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</xdr:colOff>
      <xdr:row>0</xdr:row>
      <xdr:rowOff>171450</xdr:rowOff>
    </xdr:from>
    <xdr:to>
      <xdr:col>5</xdr:col>
      <xdr:colOff>1619250</xdr:colOff>
      <xdr:row>1</xdr:row>
      <xdr:rowOff>485775</xdr:rowOff>
    </xdr:to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/>
      </xdr:nvSpPr>
      <xdr:spPr>
        <a:xfrm>
          <a:off x="2952750" y="171450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SpPr/>
      </xdr:nvSpPr>
      <xdr:spPr>
        <a:xfrm>
          <a:off x="535305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800-000005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6" name="Rectangle 5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7" name="Rectangle 6">
          <a:extLst>
            <a:ext uri="{FF2B5EF4-FFF2-40B4-BE49-F238E27FC236}">
              <a16:creationId xmlns="" xmlns:a16="http://schemas.microsoft.com/office/drawing/2014/main" id="{00000000-0008-0000-0800-000007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8" name="Rectangle 7">
          <a:extLst>
            <a:ext uri="{FF2B5EF4-FFF2-40B4-BE49-F238E27FC236}">
              <a16:creationId xmlns="" xmlns:a16="http://schemas.microsoft.com/office/drawing/2014/main" id="{00000000-0008-0000-0800-000008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9" name="Rectangle 8">
          <a:extLst>
            <a:ext uri="{FF2B5EF4-FFF2-40B4-BE49-F238E27FC236}">
              <a16:creationId xmlns="" xmlns:a16="http://schemas.microsoft.com/office/drawing/2014/main" id="{00000000-0008-0000-0800-000009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</xdr:colOff>
      <xdr:row>10</xdr:row>
      <xdr:rowOff>0</xdr:rowOff>
    </xdr:from>
    <xdr:to>
      <xdr:col>5</xdr:col>
      <xdr:colOff>257175</xdr:colOff>
      <xdr:row>15</xdr:row>
      <xdr:rowOff>9525</xdr:rowOff>
    </xdr:to>
    <xdr:sp macro="" textlink="">
      <xdr:nvSpPr>
        <xdr:cNvPr id="10" name="Rectangle 9">
          <a:extLst>
            <a:ext uri="{FF2B5EF4-FFF2-40B4-BE49-F238E27FC236}">
              <a16:creationId xmlns="" xmlns:a16="http://schemas.microsoft.com/office/drawing/2014/main" id="{00000000-0008-0000-0800-00000A000000}"/>
            </a:ext>
          </a:extLst>
        </xdr:cNvPr>
        <xdr:cNvSpPr/>
      </xdr:nvSpPr>
      <xdr:spPr>
        <a:xfrm>
          <a:off x="2971800" y="2562225"/>
          <a:ext cx="3314700" cy="8667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_Capi" displayName="T_Capi" ref="B6:V8" totalsRowCount="1" headerRowDxfId="364" dataDxfId="363" totalsRowDxfId="362">
  <tableColumns count="21">
    <tableColumn id="21" name="Date" dataDxfId="361" totalsRowDxfId="360"/>
    <tableColumn id="1" name="N° pièce" totalsRowLabel="Total" dataDxfId="359" totalsRowDxfId="358"/>
    <tableColumn id="2" name="Libellé de l'opération" totalsRowFunction="count" dataDxfId="357" totalsRowDxfId="356"/>
    <tableColumn id="3" name="Encaissement" totalsRowFunction="sum" dataDxfId="355" totalsRowDxfId="354"/>
    <tableColumn id="4" name="Décaissement" totalsRowFunction="sum" dataDxfId="353" totalsRowDxfId="352"/>
    <tableColumn id="5" name="Solde" totalsRowFunction="sum" dataDxfId="351" totalsRowDxfId="350"/>
    <tableColumn id="11" name="AG" totalsRowFunction="sum" dataDxfId="349" totalsRowDxfId="348"/>
    <tableColumn id="8" name="Carburant" totalsRowFunction="sum" dataDxfId="347" totalsRowDxfId="346"/>
    <tableColumn id="7" name="Missions/MinCce" totalsRowFunction="sum" dataDxfId="345" totalsRowDxfId="344"/>
    <tableColumn id="6" name="Taxi/peage/PAD" totalsRowFunction="sum" dataDxfId="343" totalsRowDxfId="342"/>
    <tableColumn id="16" name="Télécom" totalsRowFunction="sum" dataDxfId="341" totalsRowDxfId="340"/>
    <tableColumn id="9" name="Entretien" totalsRowFunction="sum" dataDxfId="339" totalsRowDxfId="338"/>
    <tableColumn id="17" name="Electricité" totalsRowFunction="sum" dataDxfId="337" totalsRowDxfId="336"/>
    <tableColumn id="18" name="Eau" totalsRowFunction="sum" dataDxfId="335" totalsRowDxfId="334"/>
    <tableColumn id="13" name="Impot/Cnps" totalsRowFunction="sum" dataDxfId="333" totalsRowDxfId="332"/>
    <tableColumn id="15" name="Loyer" totalsRowFunction="sum" dataDxfId="331" totalsRowDxfId="330"/>
    <tableColumn id="12" name="Banque" totalsRowFunction="sum" dataDxfId="329" totalsRowDxfId="328"/>
    <tableColumn id="10" name="Mat., mob." totalsRowFunction="sum" dataDxfId="327" totalsRowDxfId="326"/>
    <tableColumn id="14" name="Salaire" totalsRowFunction="sum" dataDxfId="325" totalsRowDxfId="324"/>
    <tableColumn id="19" name="Autres" totalsRowFunction="sum" dataDxfId="323" totalsRowDxfId="322"/>
    <tableColumn id="20" name="Total" totalsRowFunction="sum" dataDxfId="321" totalsRowDxfId="320">
      <calculatedColumnFormula>SUM(T_Capi[[#This Row],[AG]:[Autres]])</calculatedColumnFormula>
    </tableColumn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id="10" name="T_Giccopacam" displayName="T_Giccopacam" ref="B6:V8" insertRow="1" totalsRowCount="1" headerRowDxfId="319" dataDxfId="318" totalsRowDxfId="317">
  <tableColumns count="21">
    <tableColumn id="21" name="Date" dataDxfId="316" totalsRowDxfId="315"/>
    <tableColumn id="1" name="N° pièce" totalsRowLabel="Total" dataDxfId="314" totalsRowDxfId="313"/>
    <tableColumn id="2" name="Libellé de l'opération" totalsRowFunction="count" dataDxfId="312" totalsRowDxfId="311"/>
    <tableColumn id="3" name="Encaissement" totalsRowFunction="sum" dataDxfId="310" totalsRowDxfId="309"/>
    <tableColumn id="4" name="Décaissement" totalsRowFunction="sum" dataDxfId="308" totalsRowDxfId="307"/>
    <tableColumn id="5" name="Solde" totalsRowFunction="sum" dataDxfId="306" totalsRowDxfId="305"/>
    <tableColumn id="11" name="AG" totalsRowFunction="sum" dataDxfId="304" totalsRowDxfId="303"/>
    <tableColumn id="8" name="Carburant" totalsRowFunction="sum" dataDxfId="302" totalsRowDxfId="301"/>
    <tableColumn id="7" name="Missions/MinCce" totalsRowFunction="sum" dataDxfId="300" totalsRowDxfId="299"/>
    <tableColumn id="6" name="Taxi/peage/PAD" totalsRowFunction="sum" dataDxfId="298" totalsRowDxfId="297"/>
    <tableColumn id="16" name="Télécom" totalsRowFunction="sum" dataDxfId="296" totalsRowDxfId="295"/>
    <tableColumn id="9" name="Entretien" totalsRowFunction="sum" dataDxfId="294" totalsRowDxfId="293"/>
    <tableColumn id="17" name="Electricité" totalsRowFunction="sum" dataDxfId="292" totalsRowDxfId="291"/>
    <tableColumn id="18" name="Eau" totalsRowFunction="sum" dataDxfId="290" totalsRowDxfId="289"/>
    <tableColumn id="13" name="Impot/Cnps" totalsRowFunction="sum" dataDxfId="288" totalsRowDxfId="287"/>
    <tableColumn id="15" name="Loyer" totalsRowFunction="sum" dataDxfId="286" totalsRowDxfId="285"/>
    <tableColumn id="12" name="Banque" totalsRowFunction="sum" dataDxfId="284" totalsRowDxfId="283"/>
    <tableColumn id="10" name="Mat., mob." totalsRowFunction="sum" dataDxfId="282" totalsRowDxfId="281"/>
    <tableColumn id="14" name="Salaire" totalsRowFunction="sum" dataDxfId="280" totalsRowDxfId="279"/>
    <tableColumn id="19" name="Autres" totalsRowFunction="sum" dataDxfId="278" totalsRowDxfId="277"/>
    <tableColumn id="20" name="Total" totalsRowFunction="sum" dataDxfId="276" totalsRowDxfId="275">
      <calculatedColumnFormula>SUM(T_Giccopacam[[#This Row],[AG]:[Autres]])</calculatedColumnFormula>
    </tableColumn>
  </tableColumns>
  <tableStyleInfo name="TableStyleLight4" showFirstColumn="0" showLastColumn="0" showRowStripes="1" showColumnStripes="0"/>
</table>
</file>

<file path=xl/tables/table3.xml><?xml version="1.0" encoding="utf-8"?>
<table xmlns="http://schemas.openxmlformats.org/spreadsheetml/2006/main" id="11" name="T_Kenzo" displayName="T_Kenzo" ref="B6:V8" insertRow="1" totalsRowCount="1" headerRowDxfId="274" dataDxfId="273" totalsRowDxfId="272">
  <tableColumns count="21">
    <tableColumn id="21" name="Date" dataDxfId="271" totalsRowDxfId="270"/>
    <tableColumn id="1" name="N° pièce" totalsRowLabel="Total" dataDxfId="269" totalsRowDxfId="268"/>
    <tableColumn id="2" name="Libellé de l'opération" totalsRowFunction="count" dataDxfId="267" totalsRowDxfId="266"/>
    <tableColumn id="3" name="Encaissement" totalsRowFunction="sum" dataDxfId="265" totalsRowDxfId="264"/>
    <tableColumn id="4" name="Décaissement" totalsRowFunction="sum" dataDxfId="263" totalsRowDxfId="262"/>
    <tableColumn id="5" name="Solde" totalsRowFunction="sum" dataDxfId="261" totalsRowDxfId="260"/>
    <tableColumn id="11" name="AG" totalsRowFunction="sum" dataDxfId="259" totalsRowDxfId="258"/>
    <tableColumn id="8" name="Carburant" totalsRowFunction="sum" dataDxfId="257" totalsRowDxfId="256"/>
    <tableColumn id="7" name="Missions/MinCce" totalsRowFunction="sum" dataDxfId="255" totalsRowDxfId="254"/>
    <tableColumn id="6" name="Taxi/peage/PAD" totalsRowFunction="sum" dataDxfId="253" totalsRowDxfId="252"/>
    <tableColumn id="16" name="Télécom" totalsRowFunction="sum" dataDxfId="251" totalsRowDxfId="250"/>
    <tableColumn id="9" name="Entretien" totalsRowFunction="sum" dataDxfId="249" totalsRowDxfId="248"/>
    <tableColumn id="17" name="Electricité" totalsRowFunction="sum" dataDxfId="247" totalsRowDxfId="246"/>
    <tableColumn id="18" name="Eau" totalsRowFunction="sum" dataDxfId="245" totalsRowDxfId="244"/>
    <tableColumn id="13" name="Impot/Cnps" totalsRowFunction="sum" dataDxfId="243" totalsRowDxfId="242"/>
    <tableColumn id="15" name="Loyer" totalsRowFunction="sum" dataDxfId="241" totalsRowDxfId="240"/>
    <tableColumn id="12" name="Banque" totalsRowFunction="sum" dataDxfId="239" totalsRowDxfId="238"/>
    <tableColumn id="10" name="Mat., mob." totalsRowFunction="sum" dataDxfId="237" totalsRowDxfId="236"/>
    <tableColumn id="14" name="Salaire" totalsRowFunction="sum" dataDxfId="235" totalsRowDxfId="234"/>
    <tableColumn id="19" name="Autres" totalsRowFunction="sum" dataDxfId="233" totalsRowDxfId="232"/>
    <tableColumn id="20" name="Total" totalsRowFunction="sum" dataDxfId="231" totalsRowDxfId="230">
      <calculatedColumnFormula>SUM(T_Kenzo[[#This Row],[AG]:[Autres]])</calculatedColumnFormula>
    </tableColumn>
  </tableColumns>
  <tableStyleInfo name="TableStyleLight4" showFirstColumn="0" showLastColumn="0" showRowStripes="1" showColumnStripes="0"/>
</table>
</file>

<file path=xl/tables/table4.xml><?xml version="1.0" encoding="utf-8"?>
<table xmlns="http://schemas.openxmlformats.org/spreadsheetml/2006/main" id="12" name="T_JetIndustry" displayName="T_JetIndustry" ref="B6:V8" insertRow="1" totalsRowCount="1" headerRowDxfId="229" dataDxfId="228" totalsRowDxfId="227">
  <tableColumns count="21">
    <tableColumn id="21" name="Date" dataDxfId="226" totalsRowDxfId="225"/>
    <tableColumn id="1" name="N° pièce" totalsRowLabel="Total" dataDxfId="224" totalsRowDxfId="223"/>
    <tableColumn id="2" name="Libellé de l'opération" totalsRowFunction="count" dataDxfId="222" totalsRowDxfId="221"/>
    <tableColumn id="3" name="Encaissement" totalsRowFunction="sum" dataDxfId="220" totalsRowDxfId="219"/>
    <tableColumn id="4" name="Décaissement" totalsRowFunction="sum" dataDxfId="218" totalsRowDxfId="217"/>
    <tableColumn id="5" name="Solde" totalsRowFunction="sum" dataDxfId="216" totalsRowDxfId="215"/>
    <tableColumn id="11" name="AG" totalsRowFunction="sum" dataDxfId="214" totalsRowDxfId="213"/>
    <tableColumn id="8" name="Carburant" totalsRowFunction="sum" dataDxfId="212" totalsRowDxfId="211"/>
    <tableColumn id="7" name="Missions/MinCce" totalsRowFunction="sum" dataDxfId="210" totalsRowDxfId="209"/>
    <tableColumn id="6" name="Taxi/peage/PAD" totalsRowFunction="sum" dataDxfId="208" totalsRowDxfId="207"/>
    <tableColumn id="16" name="Télécom" totalsRowFunction="sum" dataDxfId="206" totalsRowDxfId="205"/>
    <tableColumn id="9" name="Entretien" totalsRowFunction="sum" dataDxfId="204" totalsRowDxfId="203"/>
    <tableColumn id="17" name="Electricité" totalsRowFunction="sum" dataDxfId="202" totalsRowDxfId="201"/>
    <tableColumn id="18" name="Eau" totalsRowFunction="sum" dataDxfId="200" totalsRowDxfId="199"/>
    <tableColumn id="13" name="Impot/Cnps" totalsRowFunction="sum" dataDxfId="198" totalsRowDxfId="197"/>
    <tableColumn id="15" name="Loyer" totalsRowFunction="sum" dataDxfId="196" totalsRowDxfId="195"/>
    <tableColumn id="12" name="Banque" totalsRowFunction="sum" dataDxfId="194" totalsRowDxfId="193"/>
    <tableColumn id="10" name="Mat., mob." totalsRowFunction="sum" dataDxfId="192" totalsRowDxfId="191"/>
    <tableColumn id="14" name="Salaire" totalsRowFunction="sum" dataDxfId="190" totalsRowDxfId="189"/>
    <tableColumn id="19" name="Autres" totalsRowFunction="sum" dataDxfId="188" totalsRowDxfId="187"/>
    <tableColumn id="20" name="Total" totalsRowFunction="sum" dataDxfId="186" totalsRowDxfId="185">
      <calculatedColumnFormula>SUM(T_JetIndustry[[#This Row],[AG]:[Autres]])</calculatedColumnFormula>
    </tableColumn>
  </tableColumns>
  <tableStyleInfo name="TableStyleLight4" showFirstColumn="0" showLastColumn="0" showRowStripes="1" showColumnStripes="0"/>
</table>
</file>

<file path=xl/tables/table5.xml><?xml version="1.0" encoding="utf-8"?>
<table xmlns="http://schemas.openxmlformats.org/spreadsheetml/2006/main" id="13" name="T_JetInvestment" displayName="T_JetInvestment" ref="B6:V8" insertRow="1" totalsRowCount="1" headerRowDxfId="184" dataDxfId="183" totalsRowDxfId="182">
  <tableColumns count="21">
    <tableColumn id="21" name="Date" dataDxfId="181" totalsRowDxfId="180"/>
    <tableColumn id="1" name="N° pièce" totalsRowLabel="Total" dataDxfId="179" totalsRowDxfId="178"/>
    <tableColumn id="2" name="Libellé de l'opération" totalsRowFunction="count" dataDxfId="177" totalsRowDxfId="176"/>
    <tableColumn id="3" name="Encaissement" totalsRowFunction="sum" dataDxfId="175" totalsRowDxfId="174"/>
    <tableColumn id="4" name="Décaissement" totalsRowFunction="sum" dataDxfId="173" totalsRowDxfId="172"/>
    <tableColumn id="5" name="Solde" totalsRowFunction="sum" dataDxfId="171" totalsRowDxfId="170"/>
    <tableColumn id="11" name="AG" totalsRowFunction="sum" dataDxfId="169" totalsRowDxfId="168"/>
    <tableColumn id="8" name="Carburant" totalsRowFunction="sum" dataDxfId="167" totalsRowDxfId="166"/>
    <tableColumn id="7" name="Missions/MinCce" totalsRowFunction="sum" dataDxfId="165" totalsRowDxfId="164"/>
    <tableColumn id="6" name="Taxi/peage/PAD" totalsRowFunction="sum" dataDxfId="163" totalsRowDxfId="162"/>
    <tableColumn id="16" name="Télécom" totalsRowFunction="sum" dataDxfId="161" totalsRowDxfId="160"/>
    <tableColumn id="9" name="Entretien" totalsRowFunction="sum" dataDxfId="159" totalsRowDxfId="158"/>
    <tableColumn id="17" name="Electricité" totalsRowFunction="sum" dataDxfId="157" totalsRowDxfId="156"/>
    <tableColumn id="18" name="Eau" totalsRowFunction="sum" dataDxfId="155" totalsRowDxfId="154"/>
    <tableColumn id="13" name="Impot/Cnps" totalsRowFunction="sum" dataDxfId="153" totalsRowDxfId="152"/>
    <tableColumn id="15" name="Loyer" totalsRowFunction="sum" dataDxfId="151" totalsRowDxfId="150"/>
    <tableColumn id="12" name="Banque" totalsRowFunction="sum" dataDxfId="149" totalsRowDxfId="148"/>
    <tableColumn id="10" name="Mat., mob." totalsRowFunction="sum" dataDxfId="147" totalsRowDxfId="146"/>
    <tableColumn id="14" name="Salaire" totalsRowFunction="sum" dataDxfId="145" totalsRowDxfId="144"/>
    <tableColumn id="19" name="Autres" totalsRowFunction="sum" dataDxfId="143" totalsRowDxfId="142"/>
    <tableColumn id="20" name="Total" totalsRowFunction="sum" dataDxfId="141" totalsRowDxfId="140">
      <calculatedColumnFormula>SUM(T_JetInvestment[[#This Row],[AG]:[Autres]])</calculatedColumnFormula>
    </tableColumn>
  </tableColumns>
  <tableStyleInfo name="TableStyleLight4" showFirstColumn="0" showLastColumn="0" showRowStripes="1" showColumnStripes="0"/>
</table>
</file>

<file path=xl/tables/table6.xml><?xml version="1.0" encoding="utf-8"?>
<table xmlns="http://schemas.openxmlformats.org/spreadsheetml/2006/main" id="14" name="T_SciJet" displayName="T_SciJet" ref="B6:V8" insertRow="1" totalsRowCount="1" headerRowDxfId="139" dataDxfId="138" totalsRowDxfId="137">
  <tableColumns count="21">
    <tableColumn id="21" name="Date" dataDxfId="136" totalsRowDxfId="135"/>
    <tableColumn id="1" name="N° pièce" totalsRowLabel="Total" dataDxfId="134" totalsRowDxfId="133"/>
    <tableColumn id="2" name="Libellé de l'opération" totalsRowFunction="count" dataDxfId="132" totalsRowDxfId="131"/>
    <tableColumn id="3" name="Encaissement" totalsRowFunction="sum" dataDxfId="130" totalsRowDxfId="129"/>
    <tableColumn id="4" name="Décaissement" totalsRowFunction="sum" dataDxfId="128" totalsRowDxfId="127"/>
    <tableColumn id="5" name="Solde" totalsRowFunction="sum" dataDxfId="126" totalsRowDxfId="125"/>
    <tableColumn id="11" name="AG" totalsRowFunction="sum" dataDxfId="124" totalsRowDxfId="123"/>
    <tableColumn id="8" name="Carburant" totalsRowFunction="sum" dataDxfId="122" totalsRowDxfId="121"/>
    <tableColumn id="7" name="Missions/MinCce" totalsRowFunction="sum" dataDxfId="120" totalsRowDxfId="119"/>
    <tableColumn id="6" name="Taxi/peage/PAD" totalsRowFunction="sum" dataDxfId="118" totalsRowDxfId="117"/>
    <tableColumn id="16" name="Télécom" totalsRowFunction="sum" dataDxfId="116" totalsRowDxfId="115"/>
    <tableColumn id="9" name="Entretien" totalsRowFunction="sum" dataDxfId="114" totalsRowDxfId="113"/>
    <tableColumn id="17" name="Electricité" totalsRowFunction="sum" dataDxfId="112" totalsRowDxfId="111"/>
    <tableColumn id="18" name="Eau" totalsRowFunction="sum" dataDxfId="110" totalsRowDxfId="109"/>
    <tableColumn id="13" name="Impot/Cnps" totalsRowFunction="sum" dataDxfId="108" totalsRowDxfId="107"/>
    <tableColumn id="15" name="Loyer" totalsRowFunction="sum" dataDxfId="106" totalsRowDxfId="105"/>
    <tableColumn id="12" name="Banque" totalsRowFunction="sum" dataDxfId="104" totalsRowDxfId="103"/>
    <tableColumn id="10" name="Mat., mob." totalsRowFunction="sum" dataDxfId="102" totalsRowDxfId="101"/>
    <tableColumn id="14" name="Salaire" totalsRowFunction="sum" dataDxfId="100" totalsRowDxfId="99"/>
    <tableColumn id="19" name="Autres" totalsRowFunction="sum" dataDxfId="98" totalsRowDxfId="97"/>
    <tableColumn id="20" name="Total" totalsRowFunction="sum" dataDxfId="96" totalsRowDxfId="95">
      <calculatedColumnFormula>SUM(T_SciJet[[#This Row],[AG]:[Autres]])</calculatedColumnFormula>
    </tableColumn>
  </tableColumns>
  <tableStyleInfo name="TableStyleLight4" showFirstColumn="0" showLastColumn="0" showRowStripes="1" showColumnStripes="0"/>
</table>
</file>

<file path=xl/tables/table7.xml><?xml version="1.0" encoding="utf-8"?>
<table xmlns="http://schemas.openxmlformats.org/spreadsheetml/2006/main" id="16" name="T_CfpmJet" displayName="T_CfpmJet" ref="B6:V8" insertRow="1" totalsRowCount="1" headerRowDxfId="94" dataDxfId="93" totalsRowDxfId="92">
  <tableColumns count="21">
    <tableColumn id="21" name="Date" dataDxfId="91" totalsRowDxfId="90"/>
    <tableColumn id="1" name="N° pièce" totalsRowLabel="Total" dataDxfId="89" totalsRowDxfId="88"/>
    <tableColumn id="2" name="Libellé de l'opération" totalsRowFunction="count" dataDxfId="87" totalsRowDxfId="86"/>
    <tableColumn id="3" name="Encaissement" totalsRowFunction="sum" dataDxfId="85" totalsRowDxfId="84"/>
    <tableColumn id="4" name="Décaissement" totalsRowFunction="sum" dataDxfId="83" totalsRowDxfId="82"/>
    <tableColumn id="5" name="Solde" totalsRowFunction="sum" dataDxfId="81" totalsRowDxfId="80"/>
    <tableColumn id="11" name="AG" totalsRowFunction="sum" dataDxfId="79" totalsRowDxfId="78"/>
    <tableColumn id="8" name="Carburant" totalsRowFunction="sum" dataDxfId="77" totalsRowDxfId="76"/>
    <tableColumn id="7" name="Missions/MinCce" totalsRowFunction="sum" dataDxfId="75" totalsRowDxfId="74"/>
    <tableColumn id="6" name="Taxi/peage/PAD" totalsRowFunction="sum" dataDxfId="73" totalsRowDxfId="72"/>
    <tableColumn id="16" name="Télécom" totalsRowFunction="sum" dataDxfId="71" totalsRowDxfId="70"/>
    <tableColumn id="9" name="Entretien" totalsRowFunction="sum" dataDxfId="69" totalsRowDxfId="68"/>
    <tableColumn id="17" name="Electricité" totalsRowFunction="sum" dataDxfId="67" totalsRowDxfId="66"/>
    <tableColumn id="18" name="Eau" totalsRowFunction="sum" dataDxfId="65" totalsRowDxfId="64"/>
    <tableColumn id="13" name="Impot/Cnps" totalsRowFunction="sum" dataDxfId="63" totalsRowDxfId="62"/>
    <tableColumn id="15" name="Loyer" totalsRowFunction="sum" dataDxfId="61" totalsRowDxfId="60"/>
    <tableColumn id="12" name="Banque" totalsRowFunction="sum" dataDxfId="59" totalsRowDxfId="58"/>
    <tableColumn id="10" name="Mat., mob." totalsRowFunction="sum" dataDxfId="57" totalsRowDxfId="56"/>
    <tableColumn id="14" name="Salaire" totalsRowFunction="sum" dataDxfId="55" totalsRowDxfId="54"/>
    <tableColumn id="19" name="Autres" totalsRowFunction="sum" dataDxfId="53" totalsRowDxfId="52"/>
    <tableColumn id="20" name="Total" totalsRowFunction="sum" dataDxfId="51" totalsRowDxfId="50">
      <calculatedColumnFormula>SUM(T_CfpmJet[[#This Row],[AG]:[Autres]])</calculatedColumnFormula>
    </tableColumn>
  </tableColumns>
  <tableStyleInfo name="TableStyleLight4" showFirstColumn="0" showLastColumn="0" showRowStripes="1" showColumnStripes="0"/>
</table>
</file>

<file path=xl/tables/table8.xml><?xml version="1.0" encoding="utf-8"?>
<table xmlns="http://schemas.openxmlformats.org/spreadsheetml/2006/main" id="17" name="T_Evora" displayName="T_Evora" ref="B6:V8" insertRow="1" totalsRowCount="1" headerRowDxfId="49" dataDxfId="48" totalsRowDxfId="47">
  <tableColumns count="21">
    <tableColumn id="21" name="Date" dataDxfId="46" totalsRowDxfId="45"/>
    <tableColumn id="1" name="N° pièce" totalsRowLabel="Total" dataDxfId="44" totalsRowDxfId="43"/>
    <tableColumn id="2" name="Libellé de l'opération" totalsRowFunction="count" dataDxfId="42" totalsRowDxfId="41"/>
    <tableColumn id="3" name="Encaissement" totalsRowFunction="sum" dataDxfId="40" totalsRowDxfId="39"/>
    <tableColumn id="4" name="Décaissement" totalsRowFunction="sum" dataDxfId="38" totalsRowDxfId="37"/>
    <tableColumn id="5" name="Solde" totalsRowFunction="sum" dataDxfId="36" totalsRowDxfId="35"/>
    <tableColumn id="11" name="AG" totalsRowFunction="sum" dataDxfId="34" totalsRowDxfId="33"/>
    <tableColumn id="8" name="Carburant" totalsRowFunction="sum" dataDxfId="32" totalsRowDxfId="31"/>
    <tableColumn id="7" name="Missions/MinCce" totalsRowFunction="sum" dataDxfId="30" totalsRowDxfId="29"/>
    <tableColumn id="6" name="Taxi/peage/PAD" totalsRowFunction="sum" dataDxfId="28" totalsRowDxfId="27"/>
    <tableColumn id="16" name="Télécom" totalsRowFunction="sum" dataDxfId="26" totalsRowDxfId="25"/>
    <tableColumn id="9" name="Entretien" totalsRowFunction="sum" dataDxfId="24" totalsRowDxfId="23"/>
    <tableColumn id="17" name="Electricité" totalsRowFunction="sum" dataDxfId="22" totalsRowDxfId="21"/>
    <tableColumn id="18" name="Eau" totalsRowFunction="sum" dataDxfId="20" totalsRowDxfId="19"/>
    <tableColumn id="13" name="Impot/Cnps" totalsRowFunction="sum" dataDxfId="18" totalsRowDxfId="17"/>
    <tableColumn id="15" name="Loyer" totalsRowFunction="sum" dataDxfId="16" totalsRowDxfId="15"/>
    <tableColumn id="12" name="Banque" totalsRowFunction="sum" dataDxfId="14" totalsRowDxfId="13"/>
    <tableColumn id="10" name="Mat., mob." totalsRowFunction="sum" dataDxfId="12" totalsRowDxfId="11"/>
    <tableColumn id="14" name="Salaire" totalsRowFunction="sum" dataDxfId="10" totalsRowDxfId="9"/>
    <tableColumn id="19" name="Autres" totalsRowFunction="sum" dataDxfId="8" totalsRowDxfId="7"/>
    <tableColumn id="20" name="Total" totalsRowFunction="sum" dataDxfId="6" totalsRowDxfId="5">
      <calculatedColumnFormula>SUM(T_Evora[[#This Row],[AG]:[Autres]])</calculatedColumnFormula>
    </tableColumn>
  </tableColumns>
  <tableStyleInfo name="TableStyleLight4" showFirstColumn="0" showLastColumn="0" showRowStripes="1" showColumnStripes="0"/>
</table>
</file>

<file path=xl/tables/table9.xml><?xml version="1.0" encoding="utf-8"?>
<table xmlns="http://schemas.openxmlformats.org/spreadsheetml/2006/main" id="2" name="T_Entr" displayName="T_Entr" ref="A1:B9" totalsRowShown="0" headerRowDxfId="4" dataDxfId="3" tableBorderDxfId="2">
  <autoFilter ref="A1:B9"/>
  <tableColumns count="2">
    <tableColumn id="2" name="Entreprises" dataDxfId="1"/>
    <tableColumn id="1" name="Listes des tableaux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eme1">
  <a:themeElements>
    <a:clrScheme name="BUS_Activity Based Cost Tracke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F7F5E6"/>
      </a:accent1>
      <a:accent2>
        <a:srgbClr val="333A56"/>
      </a:accent2>
      <a:accent3>
        <a:srgbClr val="52658F"/>
      </a:accent3>
      <a:accent4>
        <a:srgbClr val="E8E8E8"/>
      </a:accent4>
      <a:accent5>
        <a:srgbClr val="000000"/>
      </a:accent5>
      <a:accent6>
        <a:srgbClr val="8A8A8A"/>
      </a:accent6>
      <a:hlink>
        <a:srgbClr val="0096D2"/>
      </a:hlink>
      <a:folHlink>
        <a:srgbClr val="00578B"/>
      </a:folHlink>
    </a:clrScheme>
    <a:fontScheme name="BUS_Activity Based Cost Tracker">
      <a:majorFont>
        <a:latin typeface="Constantia"/>
        <a:ea typeface=""/>
        <a:cs typeface=""/>
      </a:majorFont>
      <a:minorFont>
        <a:latin typeface="Franklin Gothic Book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Dark" id="{D39323B7-B2D6-4C10-818B-A5CD4ACE85BD}" vid="{15FD9199-0511-4D87-8BFB-2FF3F0C5B55D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externalLinkPath" Target="file:///X:\AA_DOSSIERS%20EN%20COURS%20GROUPE%20JET\CAPI\JET_JOURNAL%20DE%20CAISSE%20V02%20MINIMALISTE.xlsx" TargetMode="External"/><Relationship Id="rId7" Type="http://schemas.openxmlformats.org/officeDocument/2006/relationships/externalLinkPath" Target="file:///X:\AA_DOSSIERS%20EN%20COURS%20GROUPE%20JET\CAPI\JET_JOURNAL%20DE%20CAISSE%20V02%20MINIMALISTE.xlsx" TargetMode="External"/><Relationship Id="rId2" Type="http://schemas.openxmlformats.org/officeDocument/2006/relationships/externalLinkPath" Target="file:///X:\AA_DOSSIERS%20EN%20COURS%20GROUPE%20JET\CAPI\JET_JOURNAL%20DE%20CAISSE%20V02%20MINIMALISTE.xlsx" TargetMode="External"/><Relationship Id="rId1" Type="http://schemas.openxmlformats.org/officeDocument/2006/relationships/externalLinkPath" Target="file:///X:\AA_DOSSIERS%20EN%20COURS%20GROUPE%20JET\CAPI\JET_JOURNAL%20DE%20CAISSE%20V02%20MINIMALISTE.xlsx" TargetMode="External"/><Relationship Id="rId6" Type="http://schemas.openxmlformats.org/officeDocument/2006/relationships/externalLinkPath" Target="file:///X:\AA_DOSSIERS%20EN%20COURS%20GROUPE%20JET\CAPI\JET_JOURNAL%20DE%20CAISSE%20V02%20MINIMALISTE.xlsx" TargetMode="External"/><Relationship Id="rId5" Type="http://schemas.openxmlformats.org/officeDocument/2006/relationships/externalLinkPath" Target="file:///X:\AA_DOSSIERS%20EN%20COURS%20GROUPE%20JET\CAPI\JET_JOURNAL%20DE%20CAISSE%20V02%20MINIMALISTE.xlsx" TargetMode="External"/><Relationship Id="rId4" Type="http://schemas.openxmlformats.org/officeDocument/2006/relationships/externalLinkPath" Target="file:///X:\AA_DOSSIERS%20EN%20COURS%20GROUPE%20JET\CAPI\JET_JOURNAL%20DE%20CAISSE%20V02%20MINIMALISTE.xlsx" TargetMode="External"/><Relationship Id="rId9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externalLinkPath" Target="file:///X:\AA_DOSSIERS%20EN%20COURS%20GROUPE%20JET\CAPI\JET_JOURNAL%20DE%20CAISSE%20V02%20MINIMALISTE.xlsx" TargetMode="External"/><Relationship Id="rId7" Type="http://schemas.openxmlformats.org/officeDocument/2006/relationships/externalLinkPath" Target="file:///X:\AA_DOSSIERS%20EN%20COURS%20GROUPE%20JET\CAPI\JET_JOURNAL%20DE%20CAISSE%20V02%20MINIMALISTE.xlsx" TargetMode="External"/><Relationship Id="rId2" Type="http://schemas.openxmlformats.org/officeDocument/2006/relationships/externalLinkPath" Target="file:///X:\AA_DOSSIERS%20EN%20COURS%20GROUPE%20JET\CAPI\JET_JOURNAL%20DE%20CAISSE%20V02%20MINIMALISTE.xlsx" TargetMode="External"/><Relationship Id="rId1" Type="http://schemas.openxmlformats.org/officeDocument/2006/relationships/externalLinkPath" Target="file:///X:\AA_DOSSIERS%20EN%20COURS%20GROUPE%20JET\CAPI\JET_JOURNAL%20DE%20CAISSE%20V02%20MINIMALISTE.xlsx" TargetMode="External"/><Relationship Id="rId6" Type="http://schemas.openxmlformats.org/officeDocument/2006/relationships/externalLinkPath" Target="file:///X:\AA_DOSSIERS%20EN%20COURS%20GROUPE%20JET\CAPI\JET_JOURNAL%20DE%20CAISSE%20V02%20MINIMALISTE.xlsx" TargetMode="External"/><Relationship Id="rId5" Type="http://schemas.openxmlformats.org/officeDocument/2006/relationships/externalLinkPath" Target="file:///X:\AA_DOSSIERS%20EN%20COURS%20GROUPE%20JET\CAPI\JET_JOURNAL%20DE%20CAISSE%20V02%20MINIMALISTE.xlsx" TargetMode="External"/><Relationship Id="rId4" Type="http://schemas.openxmlformats.org/officeDocument/2006/relationships/externalLinkPath" Target="file:///X:\AA_DOSSIERS%20EN%20COURS%20GROUPE%20JET\CAPI\JET_JOURNAL%20DE%20CAISSE%20V02%20MINIMALISTE.xlsx" TargetMode="External"/><Relationship Id="rId9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0000"/>
    <pageSetUpPr fitToPage="1"/>
  </sheetPr>
  <dimension ref="A1:V21"/>
  <sheetViews>
    <sheetView showGridLines="0" workbookViewId="0">
      <selection activeCell="F24" sqref="F24"/>
    </sheetView>
  </sheetViews>
  <sheetFormatPr baseColWidth="10" defaultColWidth="9.140625" defaultRowHeight="13.5"/>
  <cols>
    <col min="1" max="1" width="5" style="1" customWidth="1"/>
    <col min="2" max="2" width="17.85546875" style="1" customWidth="1"/>
    <col min="3" max="3" width="15" style="1" bestFit="1" customWidth="1"/>
    <col min="4" max="4" width="15.5703125" style="1" bestFit="1" customWidth="1"/>
    <col min="5" max="5" width="15.85546875" style="3" bestFit="1" customWidth="1"/>
    <col min="6" max="6" width="10.7109375" style="1" bestFit="1" customWidth="1"/>
    <col min="7" max="7" width="9.28515625" style="1" customWidth="1"/>
    <col min="8" max="8" width="11.28515625" style="3" bestFit="1" customWidth="1"/>
    <col min="9" max="9" width="18.140625" style="3" bestFit="1" customWidth="1"/>
    <col min="10" max="10" width="17.140625" style="3" bestFit="1" customWidth="1"/>
    <col min="11" max="11" width="10.140625" style="1" bestFit="1" customWidth="1"/>
    <col min="12" max="12" width="10.85546875" style="1" bestFit="1" customWidth="1"/>
    <col min="13" max="13" width="11.42578125" style="1" bestFit="1" customWidth="1"/>
    <col min="14" max="14" width="10.85546875" style="1" customWidth="1"/>
    <col min="15" max="15" width="13" style="1" bestFit="1" customWidth="1"/>
    <col min="16" max="16" width="10.140625" style="1" customWidth="1"/>
    <col min="17" max="17" width="9.28515625" style="1" bestFit="1" customWidth="1"/>
    <col min="18" max="18" width="12.28515625" style="1" bestFit="1" customWidth="1"/>
    <col min="19" max="19" width="9.7109375" style="1" bestFit="1" customWidth="1"/>
    <col min="20" max="20" width="13" style="1" bestFit="1" customWidth="1"/>
    <col min="21" max="21" width="8.85546875" style="1" bestFit="1" customWidth="1"/>
    <col min="22" max="22" width="8.28515625" style="1" bestFit="1" customWidth="1"/>
    <col min="23" max="16384" width="9.140625" style="1"/>
  </cols>
  <sheetData>
    <row r="1" spans="1:22" ht="15" customHeight="1" thickBot="1">
      <c r="A1" s="47"/>
      <c r="B1" s="50">
        <f ca="1">TODAY()</f>
        <v>46308</v>
      </c>
    </row>
    <row r="2" spans="1:22" ht="40.15" customHeight="1" thickBot="1">
      <c r="B2" s="102" t="s">
        <v>33</v>
      </c>
      <c r="C2" s="103"/>
      <c r="D2" s="104"/>
      <c r="E2" s="104"/>
      <c r="F2" s="104"/>
      <c r="G2" s="105"/>
      <c r="H2" s="11"/>
      <c r="I2" s="11"/>
      <c r="J2" s="11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2" ht="40.15" customHeight="1">
      <c r="B3" s="36"/>
      <c r="C3" s="44"/>
      <c r="E3" s="36"/>
      <c r="F3" s="36"/>
      <c r="G3" s="36"/>
      <c r="H3" s="37"/>
      <c r="I3" s="37"/>
      <c r="J3" s="37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</row>
    <row r="4" spans="1:22" s="13" customFormat="1" ht="15" customHeight="1">
      <c r="C4" s="49">
        <v>46308</v>
      </c>
      <c r="E4" s="15"/>
      <c r="H4" s="15"/>
      <c r="I4" s="15"/>
      <c r="J4" s="15"/>
    </row>
    <row r="5" spans="1:22" customFormat="1" ht="19.899999999999999" customHeight="1"/>
    <row r="6" spans="1:22" customFormat="1" ht="15" customHeight="1">
      <c r="B6" s="39" t="s">
        <v>36</v>
      </c>
      <c r="C6" s="46" t="s">
        <v>43</v>
      </c>
      <c r="D6" s="39" t="s">
        <v>42</v>
      </c>
      <c r="E6" s="39" t="s">
        <v>44</v>
      </c>
      <c r="F6" s="39" t="s">
        <v>45</v>
      </c>
      <c r="G6" s="39" t="s">
        <v>46</v>
      </c>
      <c r="H6" s="39" t="s">
        <v>47</v>
      </c>
      <c r="I6" s="39" t="s">
        <v>48</v>
      </c>
      <c r="J6" s="39" t="s">
        <v>49</v>
      </c>
      <c r="K6" s="39" t="s">
        <v>50</v>
      </c>
      <c r="L6" s="39" t="s">
        <v>51</v>
      </c>
      <c r="M6" s="39" t="s">
        <v>52</v>
      </c>
      <c r="N6" s="39" t="s">
        <v>53</v>
      </c>
      <c r="O6" s="39" t="s">
        <v>54</v>
      </c>
      <c r="P6" s="39" t="s">
        <v>55</v>
      </c>
      <c r="Q6" s="39" t="s">
        <v>56</v>
      </c>
      <c r="R6" s="39" t="s">
        <v>57</v>
      </c>
      <c r="S6" s="39" t="s">
        <v>58</v>
      </c>
      <c r="T6" s="39" t="s">
        <v>59</v>
      </c>
    </row>
    <row r="7" spans="1:22" customFormat="1" ht="19.899999999999999" customHeight="1">
      <c r="B7" s="40" t="s">
        <v>38</v>
      </c>
      <c r="C7" s="48">
        <f>CAPI!D4</f>
        <v>50000</v>
      </c>
      <c r="D7" s="41">
        <f>SUMIF(T_Capi[Date],$C$4,T_Capi[Encaissement])</f>
        <v>0</v>
      </c>
      <c r="E7" s="41">
        <f>SUMIF(T_Capi[Date],$C$4,T_Capi[Décaissement])</f>
        <v>0</v>
      </c>
      <c r="F7" s="41">
        <f>CAPI!F4</f>
        <v>5000</v>
      </c>
      <c r="G7" s="41">
        <f>SUMIF(T_Capi[Date],$C$4,T_Capi[AG])</f>
        <v>0</v>
      </c>
      <c r="H7" s="41">
        <f>SUMIF(T_Capi[Date],$C$4,T_Capi[Carburant])</f>
        <v>0</v>
      </c>
      <c r="I7" s="41">
        <f>SUMIF(T_Capi[Date],$C$4,T_Capi[Missions/MinCce])</f>
        <v>0</v>
      </c>
      <c r="J7" s="41">
        <f>SUMIF(T_Capi[Date],$C$4,T_Capi[Taxi/peage/PAD])</f>
        <v>0</v>
      </c>
      <c r="K7" s="41">
        <f>SUMIF(T_Capi[Date],$C$4,T_Capi[Télécom])</f>
        <v>0</v>
      </c>
      <c r="L7" s="41">
        <f>SUMIF(T_Capi[Date],$C$4,T_Capi[Entretien])</f>
        <v>0</v>
      </c>
      <c r="M7" s="41">
        <f>SUMIF(T_Capi[Date],$C$4,T_Capi[Electricité])</f>
        <v>0</v>
      </c>
      <c r="N7" s="41">
        <f>SUMIF(T_Capi[Date],$C$4,T_Capi[Eau])</f>
        <v>0</v>
      </c>
      <c r="O7" s="41">
        <f>SUMIF(T_Capi[Date],$C$4,T_Capi[Impot/Cnps])</f>
        <v>0</v>
      </c>
      <c r="P7" s="41">
        <f>SUMIF(T_Capi[Date],$C$4,T_Capi[Loyer])</f>
        <v>0</v>
      </c>
      <c r="Q7" s="41">
        <f>SUMIF(T_Capi[Date],$C$4,T_Capi[Banque])</f>
        <v>0</v>
      </c>
      <c r="R7" s="41">
        <f>SUMIF(T_Capi[Date],$C$4,T_Capi[Mat., mob.])</f>
        <v>0</v>
      </c>
      <c r="S7" s="41">
        <f>SUMIF(T_Capi[Date],$C$4,T_Capi[Salaire])</f>
        <v>0</v>
      </c>
      <c r="T7" s="41">
        <f>SUMIF(T_Capi[Date],$C$4,T_Capi[Autres])</f>
        <v>0</v>
      </c>
    </row>
    <row r="8" spans="1:22" customFormat="1" ht="12.75">
      <c r="B8" s="40" t="s">
        <v>27</v>
      </c>
      <c r="C8" s="48">
        <f>GICCOPACAM!D4</f>
        <v>50000</v>
      </c>
      <c r="D8" s="41">
        <f>SUMIF(T_Giccopacam[Date],$C$4,T_Giccopacam[Encaissement])</f>
        <v>0</v>
      </c>
      <c r="E8" s="41">
        <f>SUMIF(T_Giccopacam[Date],$C$4,T_Giccopacam[Décaissement])</f>
        <v>0</v>
      </c>
      <c r="F8" s="41">
        <f>GICCOPACAM!F4</f>
        <v>50000</v>
      </c>
      <c r="G8" s="41">
        <f>SUMIF(T_Giccopacam[Date],$C$4,T_Giccopacam[AG])</f>
        <v>0</v>
      </c>
      <c r="H8" s="41">
        <f>SUMIF(T_Giccopacam[Date],$C$4,T_Giccopacam[Carburant])</f>
        <v>0</v>
      </c>
      <c r="I8" s="41">
        <f>SUMIF(T_Giccopacam[Date],$C$4,T_Giccopacam[Missions/MinCce])</f>
        <v>0</v>
      </c>
      <c r="J8" s="41">
        <f>SUMIF(T_Giccopacam[Date],$C$4,T_Giccopacam[Taxi/peage/PAD])</f>
        <v>0</v>
      </c>
      <c r="K8" s="41">
        <f>SUMIF(T_Giccopacam[Date],$C$4,T_Giccopacam[Télécom])</f>
        <v>0</v>
      </c>
      <c r="L8" s="41">
        <f>SUMIF(T_Giccopacam[Date],$C$4,T_Giccopacam[Entretien])</f>
        <v>0</v>
      </c>
      <c r="M8" s="41">
        <f>SUMIF(T_Giccopacam[Date],$C$4,T_Giccopacam[Electricité])</f>
        <v>0</v>
      </c>
      <c r="N8" s="41">
        <f>SUMIF(T_Giccopacam[Date],$C$4,T_Giccopacam[Eau])</f>
        <v>0</v>
      </c>
      <c r="O8" s="41">
        <f>SUMIF(T_Giccopacam[Date],$C$4,T_Giccopacam[Impot/Cnps])</f>
        <v>0</v>
      </c>
      <c r="P8" s="41">
        <f>SUMIF(T_Giccopacam[Date],$C$4,T_Giccopacam[Loyer])</f>
        <v>0</v>
      </c>
      <c r="Q8" s="41">
        <f>SUMIF(T_Giccopacam[Date],$C$4,T_Giccopacam[Banque])</f>
        <v>0</v>
      </c>
      <c r="R8" s="41">
        <f>SUMIF(T_Giccopacam[Date],$C$4,T_Giccopacam[Mat., mob.])</f>
        <v>0</v>
      </c>
      <c r="S8" s="41">
        <f>SUMIF(T_Giccopacam[Date],$C$4,T_Giccopacam[Salaire])</f>
        <v>0</v>
      </c>
      <c r="T8" s="41">
        <f>SUMIF(T_Giccopacam[Date],$C$4,T_Giccopacam[Autres])</f>
        <v>0</v>
      </c>
    </row>
    <row r="9" spans="1:22" customFormat="1" ht="12.75">
      <c r="B9" s="40" t="s">
        <v>39</v>
      </c>
      <c r="C9" s="48">
        <f>KENZO!D4</f>
        <v>50000</v>
      </c>
      <c r="D9" s="41">
        <f>SUMIF(T_Kenzo[Date],$C$4,T_Kenzo[Encaissement])</f>
        <v>0</v>
      </c>
      <c r="E9" s="41">
        <f>SUMIF(T_Kenzo[Date],$C$4,T_Kenzo[Décaissement])</f>
        <v>0</v>
      </c>
      <c r="F9" s="41">
        <f>KENZO!F4</f>
        <v>50000</v>
      </c>
      <c r="G9" s="41">
        <f>SUMIF(T_Kenzo[Date],$C$4,T_Kenzo[AG])</f>
        <v>0</v>
      </c>
      <c r="H9" s="41">
        <f>SUMIF(T_Kenzo[Date],$C$4,T_Kenzo[Carburant])</f>
        <v>0</v>
      </c>
      <c r="I9" s="41">
        <f>SUMIF(T_Kenzo[Date],$C$4,T_Kenzo[Missions/MinCce])</f>
        <v>0</v>
      </c>
      <c r="J9" s="41">
        <f>SUMIF(T_Kenzo[Date],$C$4,T_Kenzo[Taxi/peage/PAD])</f>
        <v>0</v>
      </c>
      <c r="K9" s="41">
        <f>SUMIF(T_Kenzo[Date],$C$4,T_Kenzo[Télécom])</f>
        <v>0</v>
      </c>
      <c r="L9" s="41">
        <f>SUMIF(T_Kenzo[Date],$C$4,T_Kenzo[Entretien])</f>
        <v>0</v>
      </c>
      <c r="M9" s="41">
        <f>SUMIF(T_Kenzo[Date],$C$4,T_Kenzo[Electricité])</f>
        <v>0</v>
      </c>
      <c r="N9" s="41">
        <f>SUMIF(T_Kenzo[Date],$C$4,T_Kenzo[Eau])</f>
        <v>0</v>
      </c>
      <c r="O9" s="41">
        <f>SUMIF(T_Kenzo[Date],$C$4,T_Kenzo[Impot/Cnps])</f>
        <v>0</v>
      </c>
      <c r="P9" s="41">
        <f>SUMIF(T_Kenzo[Date],$C$4,T_Kenzo[Loyer])</f>
        <v>0</v>
      </c>
      <c r="Q9" s="41">
        <f>SUMIF(T_Kenzo[Date],$C$4,T_Kenzo[Banque])</f>
        <v>0</v>
      </c>
      <c r="R9" s="41">
        <f>SUMIF(T_Kenzo[Date],$C$4,T_Kenzo[Mat., mob.])</f>
        <v>0</v>
      </c>
      <c r="S9" s="41">
        <f>SUMIF(T_Kenzo[Date],$C$4,T_Kenzo[Salaire])</f>
        <v>0</v>
      </c>
      <c r="T9" s="41">
        <f>SUMIF(T_Kenzo[Date],$C$4,T_Kenzo[Autres])</f>
        <v>0</v>
      </c>
    </row>
    <row r="10" spans="1:22" customFormat="1" ht="12.75">
      <c r="B10" s="40" t="s">
        <v>29</v>
      </c>
      <c r="C10" s="48">
        <f>'JET INDUSTRY'!D4</f>
        <v>50000</v>
      </c>
      <c r="D10" s="41">
        <f>SUMIF(T_JetIndustry[Date],$C$4,T_JetIndustry[Encaissement])</f>
        <v>0</v>
      </c>
      <c r="E10" s="41">
        <f>SUMIF(T_JetIndustry[Date],$C$4,T_JetIndustry[Décaissement])</f>
        <v>0</v>
      </c>
      <c r="F10" s="41">
        <f>'JET INDUSTRY'!F4</f>
        <v>50000</v>
      </c>
      <c r="G10" s="41">
        <f>SUMIF(T_JetIndustry[Date],$C$4,T_JetIndustry[AG])</f>
        <v>0</v>
      </c>
      <c r="H10" s="41">
        <f>SUMIF(T_JetIndustry[Date],$C$4,T_JetIndustry[Carburant])</f>
        <v>0</v>
      </c>
      <c r="I10" s="41">
        <f>SUMIF(T_JetIndustry[Date],$C$4,T_JetIndustry[Missions/MinCce])</f>
        <v>0</v>
      </c>
      <c r="J10" s="41">
        <f>SUMIF(T_JetIndustry[Date],$C$4,T_JetIndustry[Taxi/peage/PAD])</f>
        <v>0</v>
      </c>
      <c r="K10" s="41">
        <f>SUMIF(T_JetIndustry[Date],$C$4,T_JetIndustry[Télécom])</f>
        <v>0</v>
      </c>
      <c r="L10" s="41">
        <f>SUMIF(T_JetIndustry[Date],$C$4,T_JetIndustry[Entretien])</f>
        <v>0</v>
      </c>
      <c r="M10" s="41">
        <f>SUMIF(T_JetIndustry[Date],$C$4,T_JetIndustry[Electricité])</f>
        <v>0</v>
      </c>
      <c r="N10" s="41">
        <f>SUMIF(T_JetIndustry[Date],$C$4,T_JetIndustry[Eau])</f>
        <v>0</v>
      </c>
      <c r="O10" s="41">
        <f>SUMIF(T_JetIndustry[Date],$C$4,T_JetIndustry[Impot/Cnps])</f>
        <v>0</v>
      </c>
      <c r="P10" s="41">
        <f>SUMIF(T_JetIndustry[Date],$C$4,T_JetIndustry[Loyer])</f>
        <v>0</v>
      </c>
      <c r="Q10" s="41">
        <f>SUMIF(T_JetIndustry[Date],$C$4,T_JetIndustry[Banque])</f>
        <v>0</v>
      </c>
      <c r="R10" s="41">
        <f>SUMIF(T_JetIndustry[Date],$C$4,T_JetIndustry[Mat., mob.])</f>
        <v>0</v>
      </c>
      <c r="S10" s="41">
        <f>SUMIF(T_JetIndustry[Date],$C$4,T_JetIndustry[Salaire])</f>
        <v>0</v>
      </c>
      <c r="T10" s="41">
        <f>SUMIF(T_JetIndustry[Date],$C$4,T_JetIndustry[Autres])</f>
        <v>0</v>
      </c>
    </row>
    <row r="11" spans="1:22" customFormat="1" ht="12.75">
      <c r="B11" s="40" t="s">
        <v>30</v>
      </c>
      <c r="C11" s="48">
        <f>'JET INVESTMENT'!D4</f>
        <v>50000</v>
      </c>
      <c r="D11" s="41">
        <f>SUMIF(T_JetInvestment[Date],$C$4,T_JetInvestment[Encaissement])</f>
        <v>0</v>
      </c>
      <c r="E11" s="41">
        <f>SUMIF(T_JetInvestment[Date],$C$4,T_JetInvestment[Décaissement])</f>
        <v>0</v>
      </c>
      <c r="F11" s="41">
        <f>'JET INVESTMENT'!F4</f>
        <v>50000</v>
      </c>
      <c r="G11" s="41">
        <f>SUMIF(T_JetInvestment[Date],$C$4,T_JetInvestment[AG])</f>
        <v>0</v>
      </c>
      <c r="H11" s="41">
        <f>SUMIF(T_JetInvestment[Date],$C$4,T_JetInvestment[Carburant])</f>
        <v>0</v>
      </c>
      <c r="I11" s="41">
        <f>SUMIF(T_JetInvestment[Date],$C$4,T_JetInvestment[Missions/MinCce])</f>
        <v>0</v>
      </c>
      <c r="J11" s="41">
        <f>SUMIF(T_JetInvestment[Date],$C$4,T_JetInvestment[Taxi/peage/PAD])</f>
        <v>0</v>
      </c>
      <c r="K11" s="41">
        <f>SUMIF(T_JetInvestment[Date],$C$4,T_JetInvestment[Télécom])</f>
        <v>0</v>
      </c>
      <c r="L11" s="41">
        <f>SUMIF(T_JetInvestment[Date],$C$4,T_JetInvestment[Entretien])</f>
        <v>0</v>
      </c>
      <c r="M11" s="41">
        <f>SUMIF(T_JetInvestment[Date],$C$4,T_JetInvestment[Electricité])</f>
        <v>0</v>
      </c>
      <c r="N11" s="41">
        <f>SUMIF(T_JetInvestment[Date],$C$4,T_JetInvestment[Eau])</f>
        <v>0</v>
      </c>
      <c r="O11" s="41">
        <f>SUMIF(T_JetInvestment[Date],$C$4,T_JetInvestment[Impot/Cnps])</f>
        <v>0</v>
      </c>
      <c r="P11" s="41">
        <f>SUMIF(T_JetInvestment[Date],$C$4,T_JetInvestment[Loyer])</f>
        <v>0</v>
      </c>
      <c r="Q11" s="41">
        <f>SUMIF(T_JetInvestment[Date],$C$4,T_JetInvestment[Banque])</f>
        <v>0</v>
      </c>
      <c r="R11" s="41">
        <f>SUMIF(T_JetInvestment[Date],$C$4,T_JetInvestment[Mat., mob.])</f>
        <v>0</v>
      </c>
      <c r="S11" s="41">
        <f>SUMIF(T_JetInvestment[Date],$C$4,T_JetInvestment[Salaire])</f>
        <v>0</v>
      </c>
      <c r="T11" s="41">
        <f>SUMIF(T_JetInvestment[Date],$C$4,T_JetInvestment[Autres])</f>
        <v>0</v>
      </c>
    </row>
    <row r="12" spans="1:22" customFormat="1" ht="12.75">
      <c r="B12" s="40" t="s">
        <v>31</v>
      </c>
      <c r="C12" s="48">
        <f>'SCI-JET'!D4</f>
        <v>50000</v>
      </c>
      <c r="D12" s="41">
        <f>SUMIF(T_SciJet[Date],$C$4,T_SciJet[Encaissement])</f>
        <v>0</v>
      </c>
      <c r="E12" s="41">
        <f>SUMIF(T_SciJet[Date],$C$4,T_SciJet[Décaissement])</f>
        <v>0</v>
      </c>
      <c r="F12" s="41">
        <f>'SCI-JET'!F4</f>
        <v>50000</v>
      </c>
      <c r="G12" s="41">
        <f>SUMIF(T_SciJet[Date],$C$4,T_SciJet[AG])</f>
        <v>0</v>
      </c>
      <c r="H12" s="41">
        <f>SUMIF(T_SciJet[Date],$C$4,T_SciJet[Carburant])</f>
        <v>0</v>
      </c>
      <c r="I12" s="41">
        <f>SUMIF(T_SciJet[Date],$C$4,T_SciJet[Missions/MinCce])</f>
        <v>0</v>
      </c>
      <c r="J12" s="41">
        <f>SUMIF(T_SciJet[Date],$C$4,T_SciJet[Taxi/peage/PAD])</f>
        <v>0</v>
      </c>
      <c r="K12" s="41">
        <f>SUMIF(T_SciJet[Date],$C$4,T_SciJet[Télécom])</f>
        <v>0</v>
      </c>
      <c r="L12" s="41">
        <f>SUMIF(T_SciJet[Date],$C$4,T_SciJet[Entretien])</f>
        <v>0</v>
      </c>
      <c r="M12" s="41">
        <f>SUMIF(T_SciJet[Date],$C$4,T_SciJet[Electricité])</f>
        <v>0</v>
      </c>
      <c r="N12" s="41">
        <f>SUMIF(T_SciJet[Date],$C$4,T_SciJet[Eau])</f>
        <v>0</v>
      </c>
      <c r="O12" s="41">
        <f>SUMIF(T_SciJet[Date],$C$4,T_SciJet[Impot/Cnps])</f>
        <v>0</v>
      </c>
      <c r="P12" s="41">
        <f>SUMIF(T_SciJet[Date],$C$4,T_SciJet[Loyer])</f>
        <v>0</v>
      </c>
      <c r="Q12" s="41">
        <f>SUMIF(T_SciJet[Date],$C$4,T_SciJet[Banque])</f>
        <v>0</v>
      </c>
      <c r="R12" s="41">
        <f>SUMIF(T_SciJet[Date],$C$4,T_SciJet[Mat., mob.])</f>
        <v>0</v>
      </c>
      <c r="S12" s="41">
        <f>SUMIF(T_SciJet[Date],$C$4,T_SciJet[Salaire])</f>
        <v>0</v>
      </c>
      <c r="T12" s="41">
        <f>SUMIF(T_SciJet[Date],$C$4,T_SciJet[Autres])</f>
        <v>0</v>
      </c>
    </row>
    <row r="13" spans="1:22" customFormat="1" ht="12.75">
      <c r="B13" s="40" t="s">
        <v>40</v>
      </c>
      <c r="C13" s="48">
        <f>'CFPM-JET'!D4</f>
        <v>50000</v>
      </c>
      <c r="D13" s="41">
        <f>SUMIF(T_CfpmJet[Date],$C$4,T_CfpmJet[Encaissement])</f>
        <v>0</v>
      </c>
      <c r="E13" s="41">
        <f>SUMIF(T_CfpmJet[Date],$C$4,T_CfpmJet[Décaissement])</f>
        <v>0</v>
      </c>
      <c r="F13" s="41">
        <f>'CFPM-JET'!F4</f>
        <v>50000</v>
      </c>
      <c r="G13" s="41">
        <f>SUMIF(T_CfpmJet[Date],$C$4,T_CfpmJet[AG])</f>
        <v>0</v>
      </c>
      <c r="H13" s="41">
        <f>SUMIF(T_CfpmJet[Date],$C$4,T_CfpmJet[Carburant])</f>
        <v>0</v>
      </c>
      <c r="I13" s="41">
        <f>SUMIF(T_CfpmJet[Date],$C$4,T_CfpmJet[Missions/MinCce])</f>
        <v>0</v>
      </c>
      <c r="J13" s="41">
        <f>SUMIF(T_CfpmJet[Date],$C$4,T_CfpmJet[Taxi/peage/PAD])</f>
        <v>0</v>
      </c>
      <c r="K13" s="41">
        <f>SUMIF(T_CfpmJet[Date],$C$4,T_CfpmJet[Télécom])</f>
        <v>0</v>
      </c>
      <c r="L13" s="41">
        <f>SUMIF(T_CfpmJet[Date],$C$4,T_CfpmJet[Entretien])</f>
        <v>0</v>
      </c>
      <c r="M13" s="41">
        <f>SUMIF(T_CfpmJet[Date],$C$4,T_CfpmJet[Electricité])</f>
        <v>0</v>
      </c>
      <c r="N13" s="41">
        <f>SUMIF(T_CfpmJet[Date],$C$4,T_CfpmJet[Eau])</f>
        <v>0</v>
      </c>
      <c r="O13" s="41">
        <f>SUMIF(T_CfpmJet[Date],$C$4,T_CfpmJet[Impot/Cnps])</f>
        <v>0</v>
      </c>
      <c r="P13" s="41">
        <f>SUMIF(T_CfpmJet[Date],$C$4,T_CfpmJet[Loyer])</f>
        <v>0</v>
      </c>
      <c r="Q13" s="41">
        <f>SUMIF(T_CfpmJet[Date],$C$4,T_CfpmJet[Banque])</f>
        <v>0</v>
      </c>
      <c r="R13" s="41">
        <f>SUMIF(T_CfpmJet[Date],$C$4,T_CfpmJet[Mat., mob.])</f>
        <v>0</v>
      </c>
      <c r="S13" s="41">
        <f>SUMIF(T_CfpmJet[Date],$C$4,T_CfpmJet[Salaire])</f>
        <v>0</v>
      </c>
      <c r="T13" s="41">
        <f>SUMIF(T_CfpmJet[Date],$C$4,T_CfpmJet[Autres])</f>
        <v>0</v>
      </c>
    </row>
    <row r="14" spans="1:22" customFormat="1" ht="12.75">
      <c r="B14" s="40" t="s">
        <v>41</v>
      </c>
      <c r="C14" s="48">
        <f>'EVOTA-T IMMO'!D4</f>
        <v>50000</v>
      </c>
      <c r="D14" s="41">
        <f>SUMIF(T_Evora[Date],$C$4,T_Evora[Encaissement])</f>
        <v>0</v>
      </c>
      <c r="E14" s="41">
        <f>SUMIF(T_Evora[Date],$C$4,T_Evora[Décaissement])</f>
        <v>0</v>
      </c>
      <c r="F14" s="41">
        <f>'EVOTA-T IMMO'!F4</f>
        <v>50000</v>
      </c>
      <c r="G14" s="41">
        <f>SUMIF(T_Evora[Date],$C$4,T_Evora[AG])</f>
        <v>0</v>
      </c>
      <c r="H14" s="41">
        <f>SUMIF(T_Evora[Date],$C$4,T_Evora[Carburant])</f>
        <v>0</v>
      </c>
      <c r="I14" s="41">
        <f>SUMIF(T_Evora[Date],$C$4,T_Evora[Missions/MinCce])</f>
        <v>0</v>
      </c>
      <c r="J14" s="41">
        <f>SUMIF(T_Evora[Date],$C$4,T_Evora[Taxi/peage/PAD])</f>
        <v>0</v>
      </c>
      <c r="K14" s="41">
        <f>SUMIF(T_Evora[Date],$C$4,T_Evora[Télécom])</f>
        <v>0</v>
      </c>
      <c r="L14" s="41">
        <f>SUMIF(T_Evora[Date],$C$4,T_Evora[Entretien])</f>
        <v>0</v>
      </c>
      <c r="M14" s="41">
        <f>SUMIF(T_Evora[Date],$C$4,T_Evora[Electricité])</f>
        <v>0</v>
      </c>
      <c r="N14" s="41">
        <f>SUMIF(T_Evora[Date],$C$4,T_Evora[Eau])</f>
        <v>0</v>
      </c>
      <c r="O14" s="41">
        <f>SUMIF(T_Evora[Date],$C$4,T_Evora[Impot/Cnps])</f>
        <v>0</v>
      </c>
      <c r="P14" s="41">
        <f>SUMIF(T_Evora[Date],$C$4,T_Evora[Loyer])</f>
        <v>0</v>
      </c>
      <c r="Q14" s="41">
        <f>SUMIF(T_Evora[Date],$C$4,T_Evora[Banque])</f>
        <v>0</v>
      </c>
      <c r="R14" s="41">
        <f>SUMIF(T_Evora[Date],$C$4,T_Evora[Mat., mob.])</f>
        <v>0</v>
      </c>
      <c r="S14" s="41">
        <f>SUMIF(T_Evora[Date],$C$4,T_Evora[Salaire])</f>
        <v>0</v>
      </c>
      <c r="T14" s="41">
        <f>SUMIF(T_Evora[Date],$C$4,T_Evora[Autres])</f>
        <v>0</v>
      </c>
    </row>
    <row r="15" spans="1:22" customFormat="1" ht="12.75">
      <c r="B15" s="42" t="s">
        <v>37</v>
      </c>
      <c r="C15" s="42"/>
      <c r="D15" s="43">
        <f t="shared" ref="D15:T15" si="0">SUM(D7:D14)</f>
        <v>0</v>
      </c>
      <c r="E15" s="43">
        <f t="shared" si="0"/>
        <v>0</v>
      </c>
      <c r="F15" s="43">
        <f t="shared" si="0"/>
        <v>355000</v>
      </c>
      <c r="G15" s="43">
        <f t="shared" si="0"/>
        <v>0</v>
      </c>
      <c r="H15" s="43">
        <f t="shared" si="0"/>
        <v>0</v>
      </c>
      <c r="I15" s="43">
        <f t="shared" si="0"/>
        <v>0</v>
      </c>
      <c r="J15" s="43">
        <f t="shared" si="0"/>
        <v>0</v>
      </c>
      <c r="K15" s="43">
        <f t="shared" si="0"/>
        <v>0</v>
      </c>
      <c r="L15" s="43">
        <f t="shared" si="0"/>
        <v>0</v>
      </c>
      <c r="M15" s="43">
        <f t="shared" si="0"/>
        <v>0</v>
      </c>
      <c r="N15" s="43">
        <f t="shared" si="0"/>
        <v>0</v>
      </c>
      <c r="O15" s="43">
        <f t="shared" si="0"/>
        <v>0</v>
      </c>
      <c r="P15" s="43">
        <f t="shared" si="0"/>
        <v>0</v>
      </c>
      <c r="Q15" s="43">
        <f t="shared" si="0"/>
        <v>0</v>
      </c>
      <c r="R15" s="43">
        <f t="shared" si="0"/>
        <v>0</v>
      </c>
      <c r="S15" s="43">
        <f t="shared" si="0"/>
        <v>0</v>
      </c>
      <c r="T15" s="43">
        <f t="shared" si="0"/>
        <v>0</v>
      </c>
    </row>
    <row r="21" spans="6:6">
      <c r="F21" s="45"/>
    </row>
  </sheetData>
  <dataConsolidate topLabels="1" link="1">
    <dataRefs count="7">
      <dataRef ref="B7:V8" sheet="CAPI" r:id="rId1"/>
      <dataRef ref="B7:V8" sheet="CFPM-JET" r:id="rId2"/>
      <dataRef ref="B7:V8" sheet="GICCOPACAM" r:id="rId3"/>
      <dataRef ref="B7:V8" sheet="JET INDUSTRY" r:id="rId4"/>
      <dataRef ref="B7:V8" sheet="JET INVESTMENT" r:id="rId5"/>
      <dataRef ref="B7:V8" sheet="KENZO" r:id="rId6"/>
      <dataRef ref="B7:V8" sheet="SCI-JET" r:id="rId7"/>
    </dataRefs>
  </dataConsolidate>
  <mergeCells count="1">
    <mergeCell ref="B2:G2"/>
  </mergeCells>
  <printOptions horizontalCentered="1"/>
  <pageMargins left="0.75" right="0.75" top="1" bottom="1" header="0.5" footer="0.5"/>
  <pageSetup paperSize="9" scale="62" fitToHeight="0" orientation="portrait" r:id="rId8"/>
  <headerFooter alignWithMargins="0"/>
  <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V21"/>
  <sheetViews>
    <sheetView showGridLines="0" tabSelected="1" workbookViewId="0">
      <selection activeCell="D23" sqref="D23"/>
    </sheetView>
  </sheetViews>
  <sheetFormatPr baseColWidth="10" defaultColWidth="9.140625" defaultRowHeight="13.5"/>
  <cols>
    <col min="1" max="1" width="5" style="1" customWidth="1"/>
    <col min="2" max="2" width="17.85546875" style="1" customWidth="1"/>
    <col min="3" max="3" width="15" style="1" bestFit="1" customWidth="1"/>
    <col min="4" max="4" width="15.5703125" style="1" bestFit="1" customWidth="1"/>
    <col min="5" max="5" width="15.85546875" style="3" bestFit="1" customWidth="1"/>
    <col min="6" max="6" width="10.7109375" style="1" bestFit="1" customWidth="1"/>
    <col min="7" max="7" width="9.28515625" style="1" customWidth="1"/>
    <col min="8" max="8" width="11.28515625" style="3" bestFit="1" customWidth="1"/>
    <col min="9" max="9" width="18.140625" style="3" bestFit="1" customWidth="1"/>
    <col min="10" max="10" width="17.140625" style="3" bestFit="1" customWidth="1"/>
    <col min="11" max="11" width="10.140625" style="1" bestFit="1" customWidth="1"/>
    <col min="12" max="12" width="10.85546875" style="1" bestFit="1" customWidth="1"/>
    <col min="13" max="13" width="11.42578125" style="1" bestFit="1" customWidth="1"/>
    <col min="14" max="14" width="10.85546875" style="1" customWidth="1"/>
    <col min="15" max="15" width="13" style="1" bestFit="1" customWidth="1"/>
    <col min="16" max="16" width="10.140625" style="1" customWidth="1"/>
    <col min="17" max="17" width="9.28515625" style="1" bestFit="1" customWidth="1"/>
    <col min="18" max="18" width="12.28515625" style="1" bestFit="1" customWidth="1"/>
    <col min="19" max="19" width="9.7109375" style="1" bestFit="1" customWidth="1"/>
    <col min="20" max="20" width="13" style="1" bestFit="1" customWidth="1"/>
    <col min="21" max="21" width="8.85546875" style="1" bestFit="1" customWidth="1"/>
    <col min="22" max="22" width="8.28515625" style="1" bestFit="1" customWidth="1"/>
    <col min="23" max="16384" width="9.140625" style="1"/>
  </cols>
  <sheetData>
    <row r="1" spans="1:22" ht="15" customHeight="1" thickBot="1">
      <c r="A1" s="47"/>
      <c r="B1" s="50">
        <f ca="1">TODAY()</f>
        <v>46308</v>
      </c>
    </row>
    <row r="2" spans="1:22" ht="40.15" customHeight="1" thickBot="1">
      <c r="B2" s="102" t="s">
        <v>33</v>
      </c>
      <c r="C2" s="103"/>
      <c r="D2" s="104"/>
      <c r="E2" s="104"/>
      <c r="F2" s="104"/>
      <c r="G2" s="105"/>
      <c r="H2" s="11"/>
      <c r="I2" s="11"/>
      <c r="J2" s="11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2" ht="40.15" customHeight="1">
      <c r="B3" s="36"/>
      <c r="C3" s="44"/>
      <c r="E3" s="36"/>
      <c r="F3" s="36"/>
      <c r="G3" s="36"/>
      <c r="H3" s="37"/>
      <c r="I3" s="37"/>
      <c r="J3" s="37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</row>
    <row r="4" spans="1:22" s="13" customFormat="1" ht="15" customHeight="1">
      <c r="C4" s="49">
        <v>46308</v>
      </c>
      <c r="E4" s="15"/>
      <c r="H4" s="15"/>
      <c r="I4" s="15"/>
      <c r="J4" s="15"/>
    </row>
    <row r="5" spans="1:22" customFormat="1" ht="19.899999999999999" customHeight="1"/>
    <row r="6" spans="1:22" customFormat="1" ht="15" customHeight="1">
      <c r="B6" s="39" t="s">
        <v>36</v>
      </c>
      <c r="C6" s="46" t="s">
        <v>43</v>
      </c>
      <c r="D6" s="39" t="s">
        <v>42</v>
      </c>
      <c r="E6" s="39" t="s">
        <v>44</v>
      </c>
      <c r="F6" s="39" t="s">
        <v>45</v>
      </c>
      <c r="G6" s="39" t="s">
        <v>46</v>
      </c>
      <c r="H6" s="39" t="s">
        <v>47</v>
      </c>
      <c r="I6" s="39" t="s">
        <v>48</v>
      </c>
      <c r="J6" s="39" t="s">
        <v>49</v>
      </c>
      <c r="K6" s="39" t="s">
        <v>50</v>
      </c>
      <c r="L6" s="39" t="s">
        <v>51</v>
      </c>
      <c r="M6" s="39" t="s">
        <v>52</v>
      </c>
      <c r="N6" s="39" t="s">
        <v>53</v>
      </c>
      <c r="O6" s="39" t="s">
        <v>54</v>
      </c>
      <c r="P6" s="39" t="s">
        <v>55</v>
      </c>
      <c r="Q6" s="39" t="s">
        <v>56</v>
      </c>
      <c r="R6" s="39" t="s">
        <v>57</v>
      </c>
      <c r="S6" s="39" t="s">
        <v>58</v>
      </c>
      <c r="T6" s="39" t="s">
        <v>59</v>
      </c>
    </row>
    <row r="7" spans="1:22" customFormat="1" ht="19.899999999999999" customHeight="1">
      <c r="B7" s="40" t="s">
        <v>38</v>
      </c>
      <c r="C7" s="48">
        <f>CAPI!D4</f>
        <v>50000</v>
      </c>
      <c r="D7" s="41">
        <f>SUMIF(T_Capi[Date],$C$4,T_Capi[Encaissement])</f>
        <v>0</v>
      </c>
      <c r="E7" s="41">
        <f>SUMIF(T_Capi[Date],$C$4,T_Capi[Décaissement])</f>
        <v>0</v>
      </c>
      <c r="F7" s="41">
        <f>CAPI!F4</f>
        <v>5000</v>
      </c>
      <c r="G7" s="41">
        <f>SUMIF(T_Capi[Date],$C$4,T_Capi[AG])</f>
        <v>0</v>
      </c>
      <c r="H7" s="41">
        <f>SUMIF(T_Capi[Date],$C$4,T_Capi[Carburant])</f>
        <v>0</v>
      </c>
      <c r="I7" s="41">
        <f>SUMIF(T_Capi[Date],$C$4,T_Capi[Missions/MinCce])</f>
        <v>0</v>
      </c>
      <c r="J7" s="41">
        <f>SUMIF(T_Capi[Date],$C$4,T_Capi[Taxi/peage/PAD])</f>
        <v>0</v>
      </c>
      <c r="K7" s="41">
        <f>SUMIF(T_Capi[Date],$C$4,T_Capi[Télécom])</f>
        <v>0</v>
      </c>
      <c r="L7" s="41">
        <f>SUMIF(T_Capi[Date],$C$4,T_Capi[Entretien])</f>
        <v>0</v>
      </c>
      <c r="M7" s="41">
        <f>SUMIF(T_Capi[Date],$C$4,T_Capi[Electricité])</f>
        <v>0</v>
      </c>
      <c r="N7" s="41">
        <f>SUMIF(T_Capi[Date],$C$4,T_Capi[Eau])</f>
        <v>0</v>
      </c>
      <c r="O7" s="41">
        <f>SUMIF(T_Capi[Date],$C$4,T_Capi[Impot/Cnps])</f>
        <v>0</v>
      </c>
      <c r="P7" s="41">
        <f>SUMIF(T_Capi[Date],$C$4,T_Capi[Loyer])</f>
        <v>0</v>
      </c>
      <c r="Q7" s="41">
        <f>SUMIF(T_Capi[Date],$C$4,T_Capi[Banque])</f>
        <v>0</v>
      </c>
      <c r="R7" s="41">
        <f>SUMIF(T_Capi[Date],$C$4,T_Capi[Mat., mob.])</f>
        <v>0</v>
      </c>
      <c r="S7" s="41">
        <f>SUMIF(T_Capi[Date],$C$4,T_Capi[Salaire])</f>
        <v>0</v>
      </c>
      <c r="T7" s="41">
        <f>SUMIF(T_Capi[Date],$C$4,T_Capi[Autres])</f>
        <v>0</v>
      </c>
    </row>
    <row r="8" spans="1:22" customFormat="1" ht="12.75">
      <c r="B8" s="40" t="s">
        <v>27</v>
      </c>
      <c r="C8" s="48">
        <f>GICCOPACAM!D4</f>
        <v>50000</v>
      </c>
      <c r="D8" s="41">
        <f>SUMIF(T_Giccopacam[Date],$C$4,T_Giccopacam[Encaissement])</f>
        <v>0</v>
      </c>
      <c r="E8" s="41">
        <f>SUMIF(T_Giccopacam[Date],$C$4,T_Giccopacam[Décaissement])</f>
        <v>0</v>
      </c>
      <c r="F8" s="41">
        <f>GICCOPACAM!F4</f>
        <v>50000</v>
      </c>
      <c r="G8" s="41">
        <f>SUMIF(T_Giccopacam[Date],$C$4,T_Giccopacam[AG])</f>
        <v>0</v>
      </c>
      <c r="H8" s="41">
        <f>SUMIF(T_Giccopacam[Date],$C$4,T_Giccopacam[Carburant])</f>
        <v>0</v>
      </c>
      <c r="I8" s="41">
        <f>SUMIF(T_Giccopacam[Date],$C$4,T_Giccopacam[Missions/MinCce])</f>
        <v>0</v>
      </c>
      <c r="J8" s="41">
        <f>SUMIF(T_Giccopacam[Date],$C$4,T_Giccopacam[Taxi/peage/PAD])</f>
        <v>0</v>
      </c>
      <c r="K8" s="41">
        <f>SUMIF(T_Giccopacam[Date],$C$4,T_Giccopacam[Télécom])</f>
        <v>0</v>
      </c>
      <c r="L8" s="41">
        <f>SUMIF(T_Giccopacam[Date],$C$4,T_Giccopacam[Entretien])</f>
        <v>0</v>
      </c>
      <c r="M8" s="41">
        <f>SUMIF(T_Giccopacam[Date],$C$4,T_Giccopacam[Electricité])</f>
        <v>0</v>
      </c>
      <c r="N8" s="41">
        <f>SUMIF(T_Giccopacam[Date],$C$4,T_Giccopacam[Eau])</f>
        <v>0</v>
      </c>
      <c r="O8" s="41">
        <f>SUMIF(T_Giccopacam[Date],$C$4,T_Giccopacam[Impot/Cnps])</f>
        <v>0</v>
      </c>
      <c r="P8" s="41">
        <f>SUMIF(T_Giccopacam[Date],$C$4,T_Giccopacam[Loyer])</f>
        <v>0</v>
      </c>
      <c r="Q8" s="41">
        <f>SUMIF(T_Giccopacam[Date],$C$4,T_Giccopacam[Banque])</f>
        <v>0</v>
      </c>
      <c r="R8" s="41">
        <f>SUMIF(T_Giccopacam[Date],$C$4,T_Giccopacam[Mat., mob.])</f>
        <v>0</v>
      </c>
      <c r="S8" s="41">
        <f>SUMIF(T_Giccopacam[Date],$C$4,T_Giccopacam[Salaire])</f>
        <v>0</v>
      </c>
      <c r="T8" s="41">
        <f>SUMIF(T_Giccopacam[Date],$C$4,T_Giccopacam[Autres])</f>
        <v>0</v>
      </c>
    </row>
    <row r="9" spans="1:22" customFormat="1" ht="12.75">
      <c r="B9" s="40" t="s">
        <v>39</v>
      </c>
      <c r="C9" s="48">
        <f>KENZO!D4</f>
        <v>50000</v>
      </c>
      <c r="D9" s="41">
        <f>SUMIF(T_Kenzo[Date],$C$4,T_Kenzo[Encaissement])</f>
        <v>0</v>
      </c>
      <c r="E9" s="41">
        <f>SUMIF(T_Kenzo[Date],$C$4,T_Kenzo[Décaissement])</f>
        <v>0</v>
      </c>
      <c r="F9" s="41">
        <f>KENZO!F4</f>
        <v>50000</v>
      </c>
      <c r="G9" s="41">
        <f>SUMIF(T_Kenzo[Date],$C$4,T_Kenzo[AG])</f>
        <v>0</v>
      </c>
      <c r="H9" s="41">
        <f>SUMIF(T_Kenzo[Date],$C$4,T_Kenzo[Carburant])</f>
        <v>0</v>
      </c>
      <c r="I9" s="41">
        <f>SUMIF(T_Kenzo[Date],$C$4,T_Kenzo[Missions/MinCce])</f>
        <v>0</v>
      </c>
      <c r="J9" s="41">
        <f>SUMIF(T_Kenzo[Date],$C$4,T_Kenzo[Taxi/peage/PAD])</f>
        <v>0</v>
      </c>
      <c r="K9" s="41">
        <f>SUMIF(T_Kenzo[Date],$C$4,T_Kenzo[Télécom])</f>
        <v>0</v>
      </c>
      <c r="L9" s="41">
        <f>SUMIF(T_Kenzo[Date],$C$4,T_Kenzo[Entretien])</f>
        <v>0</v>
      </c>
      <c r="M9" s="41">
        <f>SUMIF(T_Kenzo[Date],$C$4,T_Kenzo[Electricité])</f>
        <v>0</v>
      </c>
      <c r="N9" s="41">
        <f>SUMIF(T_Kenzo[Date],$C$4,T_Kenzo[Eau])</f>
        <v>0</v>
      </c>
      <c r="O9" s="41">
        <f>SUMIF(T_Kenzo[Date],$C$4,T_Kenzo[Impot/Cnps])</f>
        <v>0</v>
      </c>
      <c r="P9" s="41">
        <f>SUMIF(T_Kenzo[Date],$C$4,T_Kenzo[Loyer])</f>
        <v>0</v>
      </c>
      <c r="Q9" s="41">
        <f>SUMIF(T_Kenzo[Date],$C$4,T_Kenzo[Banque])</f>
        <v>0</v>
      </c>
      <c r="R9" s="41">
        <f>SUMIF(T_Kenzo[Date],$C$4,T_Kenzo[Mat., mob.])</f>
        <v>0</v>
      </c>
      <c r="S9" s="41">
        <f>SUMIF(T_Kenzo[Date],$C$4,T_Kenzo[Salaire])</f>
        <v>0</v>
      </c>
      <c r="T9" s="41">
        <f>SUMIF(T_Kenzo[Date],$C$4,T_Kenzo[Autres])</f>
        <v>0</v>
      </c>
    </row>
    <row r="10" spans="1:22" customFormat="1" ht="12.75">
      <c r="B10" s="40" t="s">
        <v>29</v>
      </c>
      <c r="C10" s="48">
        <f>'JET INDUSTRY'!D4</f>
        <v>50000</v>
      </c>
      <c r="D10" s="41">
        <f>SUMIF(T_JetIndustry[Date],$C$4,T_JetIndustry[Encaissement])</f>
        <v>0</v>
      </c>
      <c r="E10" s="41">
        <f>SUMIF(T_JetIndustry[Date],$C$4,T_JetIndustry[Décaissement])</f>
        <v>0</v>
      </c>
      <c r="F10" s="41">
        <f>'JET INDUSTRY'!F4</f>
        <v>50000</v>
      </c>
      <c r="G10" s="41">
        <f>SUMIF(T_JetIndustry[Date],$C$4,T_JetIndustry[AG])</f>
        <v>0</v>
      </c>
      <c r="H10" s="41">
        <f>SUMIF(T_JetIndustry[Date],$C$4,T_JetIndustry[Carburant])</f>
        <v>0</v>
      </c>
      <c r="I10" s="41">
        <f>SUMIF(T_JetIndustry[Date],$C$4,T_JetIndustry[Missions/MinCce])</f>
        <v>0</v>
      </c>
      <c r="J10" s="41">
        <f>SUMIF(T_JetIndustry[Date],$C$4,T_JetIndustry[Taxi/peage/PAD])</f>
        <v>0</v>
      </c>
      <c r="K10" s="41">
        <f>SUMIF(T_JetIndustry[Date],$C$4,T_JetIndustry[Télécom])</f>
        <v>0</v>
      </c>
      <c r="L10" s="41">
        <f>SUMIF(T_JetIndustry[Date],$C$4,T_JetIndustry[Entretien])</f>
        <v>0</v>
      </c>
      <c r="M10" s="41">
        <f>SUMIF(T_JetIndustry[Date],$C$4,T_JetIndustry[Electricité])</f>
        <v>0</v>
      </c>
      <c r="N10" s="41">
        <f>SUMIF(T_JetIndustry[Date],$C$4,T_JetIndustry[Eau])</f>
        <v>0</v>
      </c>
      <c r="O10" s="41">
        <f>SUMIF(T_JetIndustry[Date],$C$4,T_JetIndustry[Impot/Cnps])</f>
        <v>0</v>
      </c>
      <c r="P10" s="41">
        <f>SUMIF(T_JetIndustry[Date],$C$4,T_JetIndustry[Loyer])</f>
        <v>0</v>
      </c>
      <c r="Q10" s="41">
        <f>SUMIF(T_JetIndustry[Date],$C$4,T_JetIndustry[Banque])</f>
        <v>0</v>
      </c>
      <c r="R10" s="41">
        <f>SUMIF(T_JetIndustry[Date],$C$4,T_JetIndustry[Mat., mob.])</f>
        <v>0</v>
      </c>
      <c r="S10" s="41">
        <f>SUMIF(T_JetIndustry[Date],$C$4,T_JetIndustry[Salaire])</f>
        <v>0</v>
      </c>
      <c r="T10" s="41">
        <f>SUMIF(T_JetIndustry[Date],$C$4,T_JetIndustry[Autres])</f>
        <v>0</v>
      </c>
    </row>
    <row r="11" spans="1:22" customFormat="1" ht="12.75">
      <c r="B11" s="40" t="s">
        <v>30</v>
      </c>
      <c r="C11" s="48">
        <f>'JET INVESTMENT'!D4</f>
        <v>50000</v>
      </c>
      <c r="D11" s="41">
        <f>SUMIF(T_JetInvestment[Date],$C$4,T_JetInvestment[Encaissement])</f>
        <v>0</v>
      </c>
      <c r="E11" s="41">
        <f>SUMIF(T_JetInvestment[Date],$C$4,T_JetInvestment[Décaissement])</f>
        <v>0</v>
      </c>
      <c r="F11" s="41">
        <f>'JET INVESTMENT'!F4</f>
        <v>50000</v>
      </c>
      <c r="G11" s="41">
        <f>SUMIF(T_JetInvestment[Date],$C$4,T_JetInvestment[AG])</f>
        <v>0</v>
      </c>
      <c r="H11" s="41">
        <f>SUMIF(T_JetInvestment[Date],$C$4,T_JetInvestment[Carburant])</f>
        <v>0</v>
      </c>
      <c r="I11" s="41">
        <f>SUMIF(T_JetInvestment[Date],$C$4,T_JetInvestment[Missions/MinCce])</f>
        <v>0</v>
      </c>
      <c r="J11" s="41">
        <f>SUMIF(T_JetInvestment[Date],$C$4,T_JetInvestment[Taxi/peage/PAD])</f>
        <v>0</v>
      </c>
      <c r="K11" s="41">
        <f>SUMIF(T_JetInvestment[Date],$C$4,T_JetInvestment[Télécom])</f>
        <v>0</v>
      </c>
      <c r="L11" s="41">
        <f>SUMIF(T_JetInvestment[Date],$C$4,T_JetInvestment[Entretien])</f>
        <v>0</v>
      </c>
      <c r="M11" s="41">
        <f>SUMIF(T_JetInvestment[Date],$C$4,T_JetInvestment[Electricité])</f>
        <v>0</v>
      </c>
      <c r="N11" s="41">
        <f>SUMIF(T_JetInvestment[Date],$C$4,T_JetInvestment[Eau])</f>
        <v>0</v>
      </c>
      <c r="O11" s="41">
        <f>SUMIF(T_JetInvestment[Date],$C$4,T_JetInvestment[Impot/Cnps])</f>
        <v>0</v>
      </c>
      <c r="P11" s="41">
        <f>SUMIF(T_JetInvestment[Date],$C$4,T_JetInvestment[Loyer])</f>
        <v>0</v>
      </c>
      <c r="Q11" s="41">
        <f>SUMIF(T_JetInvestment[Date],$C$4,T_JetInvestment[Banque])</f>
        <v>0</v>
      </c>
      <c r="R11" s="41">
        <f>SUMIF(T_JetInvestment[Date],$C$4,T_JetInvestment[Mat., mob.])</f>
        <v>0</v>
      </c>
      <c r="S11" s="41">
        <f>SUMIF(T_JetInvestment[Date],$C$4,T_JetInvestment[Salaire])</f>
        <v>0</v>
      </c>
      <c r="T11" s="41">
        <f>SUMIF(T_JetInvestment[Date],$C$4,T_JetInvestment[Autres])</f>
        <v>0</v>
      </c>
    </row>
    <row r="12" spans="1:22" customFormat="1" ht="12.75">
      <c r="B12" s="40" t="s">
        <v>31</v>
      </c>
      <c r="C12" s="48">
        <f>'SCI-JET'!D4</f>
        <v>50000</v>
      </c>
      <c r="D12" s="41">
        <f>SUMIF(T_SciJet[Date],$C$4,T_SciJet[Encaissement])</f>
        <v>0</v>
      </c>
      <c r="E12" s="41">
        <f>SUMIF(T_SciJet[Date],$C$4,T_SciJet[Décaissement])</f>
        <v>0</v>
      </c>
      <c r="F12" s="41">
        <f>'SCI-JET'!F4</f>
        <v>50000</v>
      </c>
      <c r="G12" s="41">
        <f>SUMIF(T_SciJet[Date],$C$4,T_SciJet[AG])</f>
        <v>0</v>
      </c>
      <c r="H12" s="41">
        <f>SUMIF(T_SciJet[Date],$C$4,T_SciJet[Carburant])</f>
        <v>0</v>
      </c>
      <c r="I12" s="41">
        <f>SUMIF(T_SciJet[Date],$C$4,T_SciJet[Missions/MinCce])</f>
        <v>0</v>
      </c>
      <c r="J12" s="41">
        <f>SUMIF(T_SciJet[Date],$C$4,T_SciJet[Taxi/peage/PAD])</f>
        <v>0</v>
      </c>
      <c r="K12" s="41">
        <f>SUMIF(T_SciJet[Date],$C$4,T_SciJet[Télécom])</f>
        <v>0</v>
      </c>
      <c r="L12" s="41">
        <f>SUMIF(T_SciJet[Date],$C$4,T_SciJet[Entretien])</f>
        <v>0</v>
      </c>
      <c r="M12" s="41">
        <f>SUMIF(T_SciJet[Date],$C$4,T_SciJet[Electricité])</f>
        <v>0</v>
      </c>
      <c r="N12" s="41">
        <f>SUMIF(T_SciJet[Date],$C$4,T_SciJet[Eau])</f>
        <v>0</v>
      </c>
      <c r="O12" s="41">
        <f>SUMIF(T_SciJet[Date],$C$4,T_SciJet[Impot/Cnps])</f>
        <v>0</v>
      </c>
      <c r="P12" s="41">
        <f>SUMIF(T_SciJet[Date],$C$4,T_SciJet[Loyer])</f>
        <v>0</v>
      </c>
      <c r="Q12" s="41">
        <f>SUMIF(T_SciJet[Date],$C$4,T_SciJet[Banque])</f>
        <v>0</v>
      </c>
      <c r="R12" s="41">
        <f>SUMIF(T_SciJet[Date],$C$4,T_SciJet[Mat., mob.])</f>
        <v>0</v>
      </c>
      <c r="S12" s="41">
        <f>SUMIF(T_SciJet[Date],$C$4,T_SciJet[Salaire])</f>
        <v>0</v>
      </c>
      <c r="T12" s="41">
        <f>SUMIF(T_SciJet[Date],$C$4,T_SciJet[Autres])</f>
        <v>0</v>
      </c>
    </row>
    <row r="13" spans="1:22" customFormat="1" ht="12.75">
      <c r="B13" s="40" t="s">
        <v>40</v>
      </c>
      <c r="C13" s="48">
        <f>'CFPM-JET'!D4</f>
        <v>50000</v>
      </c>
      <c r="D13" s="41">
        <f>SUMIF(T_CfpmJet[Date],$C$4,T_CfpmJet[Encaissement])</f>
        <v>0</v>
      </c>
      <c r="E13" s="41">
        <f>SUMIF(T_CfpmJet[Date],$C$4,T_CfpmJet[Décaissement])</f>
        <v>0</v>
      </c>
      <c r="F13" s="41">
        <f>'CFPM-JET'!F4</f>
        <v>50000</v>
      </c>
      <c r="G13" s="41">
        <f>SUMIF(T_CfpmJet[Date],$C$4,T_CfpmJet[AG])</f>
        <v>0</v>
      </c>
      <c r="H13" s="41">
        <f>SUMIF(T_CfpmJet[Date],$C$4,T_CfpmJet[Carburant])</f>
        <v>0</v>
      </c>
      <c r="I13" s="41">
        <f>SUMIF(T_CfpmJet[Date],$C$4,T_CfpmJet[Missions/MinCce])</f>
        <v>0</v>
      </c>
      <c r="J13" s="41">
        <f>SUMIF(T_CfpmJet[Date],$C$4,T_CfpmJet[Taxi/peage/PAD])</f>
        <v>0</v>
      </c>
      <c r="K13" s="41">
        <f>SUMIF(T_CfpmJet[Date],$C$4,T_CfpmJet[Télécom])</f>
        <v>0</v>
      </c>
      <c r="L13" s="41">
        <f>SUMIF(T_CfpmJet[Date],$C$4,T_CfpmJet[Entretien])</f>
        <v>0</v>
      </c>
      <c r="M13" s="41">
        <f>SUMIF(T_CfpmJet[Date],$C$4,T_CfpmJet[Electricité])</f>
        <v>0</v>
      </c>
      <c r="N13" s="41">
        <f>SUMIF(T_CfpmJet[Date],$C$4,T_CfpmJet[Eau])</f>
        <v>0</v>
      </c>
      <c r="O13" s="41">
        <f>SUMIF(T_CfpmJet[Date],$C$4,T_CfpmJet[Impot/Cnps])</f>
        <v>0</v>
      </c>
      <c r="P13" s="41">
        <f>SUMIF(T_CfpmJet[Date],$C$4,T_CfpmJet[Loyer])</f>
        <v>0</v>
      </c>
      <c r="Q13" s="41">
        <f>SUMIF(T_CfpmJet[Date],$C$4,T_CfpmJet[Banque])</f>
        <v>0</v>
      </c>
      <c r="R13" s="41">
        <f>SUMIF(T_CfpmJet[Date],$C$4,T_CfpmJet[Mat., mob.])</f>
        <v>0</v>
      </c>
      <c r="S13" s="41">
        <f>SUMIF(T_CfpmJet[Date],$C$4,T_CfpmJet[Salaire])</f>
        <v>0</v>
      </c>
      <c r="T13" s="41">
        <f>SUMIF(T_CfpmJet[Date],$C$4,T_CfpmJet[Autres])</f>
        <v>0</v>
      </c>
    </row>
    <row r="14" spans="1:22" customFormat="1" ht="12.75">
      <c r="B14" s="40" t="s">
        <v>41</v>
      </c>
      <c r="C14" s="48">
        <f>'EVOTA-T IMMO'!D4</f>
        <v>50000</v>
      </c>
      <c r="D14" s="41">
        <f>SUMIF(T_Evora[Date],$C$4,T_Evora[Encaissement])</f>
        <v>0</v>
      </c>
      <c r="E14" s="41">
        <f>SUMIF(T_Evora[Date],$C$4,T_Evora[Décaissement])</f>
        <v>0</v>
      </c>
      <c r="F14" s="41">
        <f>'EVOTA-T IMMO'!F4</f>
        <v>50000</v>
      </c>
      <c r="G14" s="41">
        <f>SUMIF(T_Evora[Date],$C$4,T_Evora[AG])</f>
        <v>0</v>
      </c>
      <c r="H14" s="41">
        <f>SUMIF(T_Evora[Date],$C$4,T_Evora[Carburant])</f>
        <v>0</v>
      </c>
      <c r="I14" s="41">
        <f>SUMIF(T_Evora[Date],$C$4,T_Evora[Missions/MinCce])</f>
        <v>0</v>
      </c>
      <c r="J14" s="41">
        <f>SUMIF(T_Evora[Date],$C$4,T_Evora[Taxi/peage/PAD])</f>
        <v>0</v>
      </c>
      <c r="K14" s="41">
        <f>SUMIF(T_Evora[Date],$C$4,T_Evora[Télécom])</f>
        <v>0</v>
      </c>
      <c r="L14" s="41">
        <f>SUMIF(T_Evora[Date],$C$4,T_Evora[Entretien])</f>
        <v>0</v>
      </c>
      <c r="M14" s="41">
        <f>SUMIF(T_Evora[Date],$C$4,T_Evora[Electricité])</f>
        <v>0</v>
      </c>
      <c r="N14" s="41">
        <f>SUMIF(T_Evora[Date],$C$4,T_Evora[Eau])</f>
        <v>0</v>
      </c>
      <c r="O14" s="41">
        <f>SUMIF(T_Evora[Date],$C$4,T_Evora[Impot/Cnps])</f>
        <v>0</v>
      </c>
      <c r="P14" s="41">
        <f>SUMIF(T_Evora[Date],$C$4,T_Evora[Loyer])</f>
        <v>0</v>
      </c>
      <c r="Q14" s="41">
        <f>SUMIF(T_Evora[Date],$C$4,T_Evora[Banque])</f>
        <v>0</v>
      </c>
      <c r="R14" s="41">
        <f>SUMIF(T_Evora[Date],$C$4,T_Evora[Mat., mob.])</f>
        <v>0</v>
      </c>
      <c r="S14" s="41">
        <f>SUMIF(T_Evora[Date],$C$4,T_Evora[Salaire])</f>
        <v>0</v>
      </c>
      <c r="T14" s="41">
        <f>SUMIF(T_Evora[Date],$C$4,T_Evora[Autres])</f>
        <v>0</v>
      </c>
    </row>
    <row r="15" spans="1:22" customFormat="1" ht="12.75">
      <c r="B15" s="42" t="s">
        <v>37</v>
      </c>
      <c r="C15" s="42"/>
      <c r="D15" s="43">
        <f t="shared" ref="D15:T15" si="0">SUM(D7:D14)</f>
        <v>0</v>
      </c>
      <c r="E15" s="43">
        <f t="shared" si="0"/>
        <v>0</v>
      </c>
      <c r="F15" s="43">
        <f t="shared" si="0"/>
        <v>355000</v>
      </c>
      <c r="G15" s="43">
        <f t="shared" si="0"/>
        <v>0</v>
      </c>
      <c r="H15" s="43">
        <f t="shared" si="0"/>
        <v>0</v>
      </c>
      <c r="I15" s="43">
        <f t="shared" si="0"/>
        <v>0</v>
      </c>
      <c r="J15" s="43">
        <f t="shared" si="0"/>
        <v>0</v>
      </c>
      <c r="K15" s="43">
        <f t="shared" si="0"/>
        <v>0</v>
      </c>
      <c r="L15" s="43">
        <f t="shared" si="0"/>
        <v>0</v>
      </c>
      <c r="M15" s="43">
        <f t="shared" si="0"/>
        <v>0</v>
      </c>
      <c r="N15" s="43">
        <f t="shared" si="0"/>
        <v>0</v>
      </c>
      <c r="O15" s="43">
        <f t="shared" si="0"/>
        <v>0</v>
      </c>
      <c r="P15" s="43">
        <f t="shared" si="0"/>
        <v>0</v>
      </c>
      <c r="Q15" s="43">
        <f t="shared" si="0"/>
        <v>0</v>
      </c>
      <c r="R15" s="43">
        <f t="shared" si="0"/>
        <v>0</v>
      </c>
      <c r="S15" s="43">
        <f t="shared" si="0"/>
        <v>0</v>
      </c>
      <c r="T15" s="43">
        <f t="shared" si="0"/>
        <v>0</v>
      </c>
    </row>
    <row r="21" spans="6:6">
      <c r="F21" s="45"/>
    </row>
  </sheetData>
  <dataConsolidate topLabels="1" link="1">
    <dataRefs count="7">
      <dataRef ref="B7:V8" sheet="CAPI" r:id="rId1"/>
      <dataRef ref="B7:V8" sheet="CFPM-JET" r:id="rId2"/>
      <dataRef ref="B7:V8" sheet="GICCOPACAM" r:id="rId3"/>
      <dataRef ref="B7:V8" sheet="JET INDUSTRY" r:id="rId4"/>
      <dataRef ref="B7:V8" sheet="JET INVESTMENT" r:id="rId5"/>
      <dataRef ref="B7:V8" sheet="KENZO" r:id="rId6"/>
      <dataRef ref="B7:V8" sheet="SCI-JET" r:id="rId7"/>
    </dataRefs>
  </dataConsolidate>
  <mergeCells count="1">
    <mergeCell ref="B2:G2"/>
  </mergeCells>
  <printOptions horizontalCentered="1"/>
  <pageMargins left="0.75" right="0.75" top="1" bottom="1" header="0.5" footer="0.5"/>
  <pageSetup paperSize="9" scale="62" fitToHeight="0" orientation="portrait" r:id="rId8"/>
  <headerFooter alignWithMargins="0"/>
  <drawing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  <pageSetUpPr fitToPage="1"/>
  </sheetPr>
  <dimension ref="B1:V14"/>
  <sheetViews>
    <sheetView showGridLines="0" workbookViewId="0">
      <selection activeCell="D24" sqref="D24"/>
    </sheetView>
  </sheetViews>
  <sheetFormatPr baseColWidth="10" defaultColWidth="9.140625" defaultRowHeight="13.5"/>
  <cols>
    <col min="1" max="1" width="5" style="1" customWidth="1"/>
    <col min="2" max="2" width="17.85546875" style="1" customWidth="1"/>
    <col min="3" max="3" width="20.85546875" style="1" customWidth="1"/>
    <col min="4" max="4" width="35.85546875" style="3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/>
    <row r="2" spans="2:22" ht="40.15" customHeight="1" thickBot="1">
      <c r="B2" s="106" t="s">
        <v>3</v>
      </c>
      <c r="C2" s="10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46308</v>
      </c>
      <c r="D3" s="15"/>
      <c r="G3" s="15"/>
      <c r="H3" s="15"/>
      <c r="I3" s="15"/>
    </row>
    <row r="4" spans="2:22" s="4" customFormat="1" ht="19.899999999999999" customHeight="1">
      <c r="B4" s="29"/>
      <c r="C4" s="30" t="s">
        <v>5</v>
      </c>
      <c r="D4" s="31">
        <v>50000</v>
      </c>
      <c r="E4" s="32" t="s">
        <v>6</v>
      </c>
      <c r="F4" s="31">
        <f>D4+T_Capi[[#Totals],[Encaissement]]-T_Capi[[#Totals],[Décaissement]]</f>
        <v>5000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899999999999999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60</v>
      </c>
      <c r="G6" s="7" t="s">
        <v>2</v>
      </c>
      <c r="H6" s="6" t="s">
        <v>14</v>
      </c>
      <c r="I6" s="6" t="s">
        <v>12</v>
      </c>
      <c r="J6" s="6" t="s">
        <v>26</v>
      </c>
      <c r="K6" s="6" t="s">
        <v>11</v>
      </c>
      <c r="L6" s="6" t="s">
        <v>22</v>
      </c>
      <c r="M6" s="6" t="s">
        <v>13</v>
      </c>
      <c r="N6" s="6" t="s">
        <v>23</v>
      </c>
      <c r="O6" s="6" t="s">
        <v>24</v>
      </c>
      <c r="P6" s="6" t="s">
        <v>19</v>
      </c>
      <c r="Q6" s="6" t="s">
        <v>21</v>
      </c>
      <c r="R6" s="6" t="s">
        <v>15</v>
      </c>
      <c r="S6" s="6" t="s">
        <v>16</v>
      </c>
      <c r="T6" s="6" t="s">
        <v>20</v>
      </c>
      <c r="U6" s="6" t="s">
        <v>25</v>
      </c>
      <c r="V6" s="6" t="s">
        <v>1</v>
      </c>
    </row>
    <row r="7" spans="2:22" s="8" customFormat="1" ht="16.5">
      <c r="B7" s="34">
        <v>46296</v>
      </c>
      <c r="C7" s="55" t="s">
        <v>64</v>
      </c>
      <c r="D7" s="19" t="s">
        <v>35</v>
      </c>
      <c r="E7" s="23"/>
      <c r="F7" s="17">
        <v>45000</v>
      </c>
      <c r="G7" s="28">
        <f>D4+T_Capi[[#This Row],[Encaissement]]-T_Capi[[#This Row],[Décaissement]]</f>
        <v>5000</v>
      </c>
      <c r="H7" s="24"/>
      <c r="I7" s="23">
        <v>20000</v>
      </c>
      <c r="J7" s="23">
        <v>20000</v>
      </c>
      <c r="K7" s="23">
        <v>5000</v>
      </c>
      <c r="L7" s="24"/>
      <c r="M7" s="24"/>
      <c r="N7" s="24"/>
      <c r="O7" s="24"/>
      <c r="P7" s="24"/>
      <c r="Q7" s="24"/>
      <c r="R7" s="24"/>
      <c r="S7" s="24"/>
      <c r="T7" s="24"/>
      <c r="U7" s="24"/>
      <c r="V7" s="54">
        <f>SUM(T_Capi[[#This Row],[AG]:[Autres]])</f>
        <v>45000</v>
      </c>
    </row>
    <row r="8" spans="2:22" s="8" customFormat="1" ht="17.25" thickBot="1">
      <c r="B8" s="93"/>
      <c r="C8" s="94" t="s">
        <v>1</v>
      </c>
      <c r="D8" s="98">
        <f>SUBTOTAL(103,T_Capi[Libellé de l''opération])</f>
        <v>1</v>
      </c>
      <c r="E8" s="96">
        <f>SUBTOTAL(109,T_Capi[Encaissement])</f>
        <v>0</v>
      </c>
      <c r="F8" s="95">
        <f>SUBTOTAL(109,T_Capi[Décaissement])</f>
        <v>45000</v>
      </c>
      <c r="G8" s="95">
        <f>SUBTOTAL(109,T_Capi[Solde])</f>
        <v>5000</v>
      </c>
      <c r="H8" s="96">
        <f>SUBTOTAL(109,T_Capi[AG])</f>
        <v>0</v>
      </c>
      <c r="I8" s="96">
        <f>SUBTOTAL(109,T_Capi[Carburant])</f>
        <v>20000</v>
      </c>
      <c r="J8" s="96">
        <f>SUBTOTAL(109,T_Capi[Missions/MinCce])</f>
        <v>20000</v>
      </c>
      <c r="K8" s="96">
        <f>SUBTOTAL(109,T_Capi[Taxi/peage/PAD])</f>
        <v>5000</v>
      </c>
      <c r="L8" s="96">
        <f>SUBTOTAL(109,T_Capi[Télécom])</f>
        <v>0</v>
      </c>
      <c r="M8" s="96">
        <f>SUBTOTAL(109,T_Capi[Entretien])</f>
        <v>0</v>
      </c>
      <c r="N8" s="96">
        <f>SUBTOTAL(109,T_Capi[Electricité])</f>
        <v>0</v>
      </c>
      <c r="O8" s="96">
        <f>SUBTOTAL(109,T_Capi[Eau])</f>
        <v>0</v>
      </c>
      <c r="P8" s="96">
        <f>SUBTOTAL(109,T_Capi[Impot/Cnps])</f>
        <v>0</v>
      </c>
      <c r="Q8" s="96">
        <f>SUBTOTAL(109,T_Capi[Loyer])</f>
        <v>0</v>
      </c>
      <c r="R8" s="96">
        <f>SUBTOTAL(109,T_Capi[Banque])</f>
        <v>0</v>
      </c>
      <c r="S8" s="96">
        <f>SUBTOTAL(109,T_Capi[Mat., mob.])</f>
        <v>0</v>
      </c>
      <c r="T8" s="96">
        <f>SUBTOTAL(109,T_Capi[Salaire])</f>
        <v>0</v>
      </c>
      <c r="U8" s="96">
        <f>SUBTOTAL(109,T_Capi[Autres])</f>
        <v>0</v>
      </c>
      <c r="V8" s="97">
        <f>SUBTOTAL(109,T_Capi[Total])</f>
        <v>45000</v>
      </c>
    </row>
    <row r="9" spans="2:22" ht="14.25" thickTop="1">
      <c r="B9" s="21" t="s">
        <v>17</v>
      </c>
      <c r="D9" s="22" t="s">
        <v>18</v>
      </c>
    </row>
    <row r="10" spans="2:22">
      <c r="B10" s="108"/>
      <c r="C10" s="108"/>
    </row>
    <row r="11" spans="2:22">
      <c r="B11" s="108"/>
      <c r="C11" s="108"/>
    </row>
    <row r="12" spans="2:22">
      <c r="B12" s="108"/>
      <c r="C12" s="108"/>
    </row>
    <row r="13" spans="2:22">
      <c r="B13" s="108"/>
      <c r="C13" s="108"/>
    </row>
    <row r="14" spans="2:22">
      <c r="B14" s="108"/>
      <c r="C14" s="108"/>
    </row>
  </sheetData>
  <mergeCells count="2">
    <mergeCell ref="B2:C2"/>
    <mergeCell ref="B10:C14"/>
  </mergeCells>
  <phoneticPr fontId="3" type="noConversion"/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19685039370078741" right="0.19685039370078741" top="0.15748031496062992" bottom="0.15748031496062992" header="0.19685039370078741" footer="0.19685039370078741"/>
  <pageSetup paperSize="9" scale="72" fitToHeight="0" orientation="portrait" r:id="rId1"/>
  <headerFooter alignWithMargins="0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7030A0"/>
    <pageSetUpPr fitToPage="1"/>
  </sheetPr>
  <dimension ref="B1:V15"/>
  <sheetViews>
    <sheetView showGridLines="0" workbookViewId="0">
      <selection activeCell="D8" sqref="D8"/>
    </sheetView>
  </sheetViews>
  <sheetFormatPr baseColWidth="10" defaultColWidth="9.140625" defaultRowHeight="13.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/>
    <row r="2" spans="2:22" ht="40.15" customHeight="1" thickBot="1">
      <c r="B2" s="106" t="s">
        <v>27</v>
      </c>
      <c r="C2" s="10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46308</v>
      </c>
      <c r="D3" s="15"/>
      <c r="G3" s="15"/>
      <c r="H3" s="15"/>
      <c r="I3" s="15"/>
    </row>
    <row r="4" spans="2:22" s="4" customFormat="1" ht="19.899999999999999" customHeight="1">
      <c r="B4" s="29"/>
      <c r="C4" s="30" t="s">
        <v>5</v>
      </c>
      <c r="D4" s="31">
        <v>50000</v>
      </c>
      <c r="E4" s="32" t="s">
        <v>6</v>
      </c>
      <c r="F4" s="31">
        <f>D4+T_Giccopacam[[#Totals],[Encaissement]]-T_Giccopacam[[#Totals],[Décaissement]]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899999999999999" customHeight="1">
      <c r="B6" s="72" t="s">
        <v>0</v>
      </c>
      <c r="C6" s="6" t="s">
        <v>9</v>
      </c>
      <c r="D6" s="20" t="s">
        <v>7</v>
      </c>
      <c r="E6" s="6" t="s">
        <v>8</v>
      </c>
      <c r="F6" s="7" t="s">
        <v>60</v>
      </c>
      <c r="G6" s="7" t="s">
        <v>2</v>
      </c>
      <c r="H6" s="6" t="s">
        <v>14</v>
      </c>
      <c r="I6" s="6" t="s">
        <v>12</v>
      </c>
      <c r="J6" s="6" t="s">
        <v>26</v>
      </c>
      <c r="K6" s="6" t="s">
        <v>11</v>
      </c>
      <c r="L6" s="6" t="s">
        <v>22</v>
      </c>
      <c r="M6" s="6" t="s">
        <v>13</v>
      </c>
      <c r="N6" s="6" t="s">
        <v>23</v>
      </c>
      <c r="O6" s="6" t="s">
        <v>24</v>
      </c>
      <c r="P6" s="6" t="s">
        <v>19</v>
      </c>
      <c r="Q6" s="6" t="s">
        <v>21</v>
      </c>
      <c r="R6" s="6" t="s">
        <v>15</v>
      </c>
      <c r="S6" s="6" t="s">
        <v>16</v>
      </c>
      <c r="T6" s="6" t="s">
        <v>20</v>
      </c>
      <c r="U6" s="6" t="s">
        <v>25</v>
      </c>
      <c r="V6" s="6" t="s">
        <v>1</v>
      </c>
    </row>
    <row r="7" spans="2:22" s="8" customFormat="1" ht="16.5">
      <c r="B7" s="84"/>
      <c r="C7" s="85"/>
      <c r="D7" s="86"/>
      <c r="E7" s="87"/>
      <c r="F7" s="88"/>
      <c r="G7" s="89"/>
      <c r="H7" s="90"/>
      <c r="I7" s="91"/>
      <c r="J7" s="91"/>
      <c r="K7" s="91"/>
      <c r="L7" s="90"/>
      <c r="M7" s="92"/>
      <c r="N7" s="92"/>
      <c r="O7" s="92"/>
      <c r="P7" s="92"/>
      <c r="Q7" s="90"/>
      <c r="R7" s="92"/>
      <c r="S7" s="92"/>
      <c r="T7" s="92"/>
      <c r="U7" s="92"/>
      <c r="V7" s="92"/>
    </row>
    <row r="8" spans="2:22" s="8" customFormat="1" ht="17.25" thickBot="1">
      <c r="B8" s="75"/>
      <c r="C8" s="76" t="s">
        <v>1</v>
      </c>
      <c r="D8" s="99">
        <f>SUBTOTAL(103,T_Giccopacam[Libellé de l''opération])</f>
        <v>0</v>
      </c>
      <c r="E8" s="77">
        <f>SUBTOTAL(109,T_Giccopacam[Encaissement])</f>
        <v>0</v>
      </c>
      <c r="F8" s="78">
        <f>SUBTOTAL(109,T_Giccopacam[Décaissement])</f>
        <v>0</v>
      </c>
      <c r="G8" s="79">
        <f>SUBTOTAL(109,T_Giccopacam[Solde])</f>
        <v>0</v>
      </c>
      <c r="H8" s="80">
        <f>SUBTOTAL(109,T_Giccopacam[AG])</f>
        <v>0</v>
      </c>
      <c r="I8" s="81">
        <f>SUBTOTAL(109,T_Giccopacam[Carburant])</f>
        <v>0</v>
      </c>
      <c r="J8" s="81">
        <f>SUBTOTAL(109,T_Giccopacam[Missions/MinCce])</f>
        <v>0</v>
      </c>
      <c r="K8" s="81">
        <f>SUBTOTAL(109,T_Giccopacam[Taxi/peage/PAD])</f>
        <v>0</v>
      </c>
      <c r="L8" s="80">
        <f>SUBTOTAL(109,T_Giccopacam[Télécom])</f>
        <v>0</v>
      </c>
      <c r="M8" s="82">
        <f>SUBTOTAL(109,T_Giccopacam[Entretien])</f>
        <v>0</v>
      </c>
      <c r="N8" s="82">
        <f>SUBTOTAL(109,T_Giccopacam[Electricité])</f>
        <v>0</v>
      </c>
      <c r="O8" s="82">
        <f>SUBTOTAL(109,T_Giccopacam[Eau])</f>
        <v>0</v>
      </c>
      <c r="P8" s="82">
        <f>SUBTOTAL(109,T_Giccopacam[Impot/Cnps])</f>
        <v>0</v>
      </c>
      <c r="Q8" s="80">
        <f>SUBTOTAL(109,T_Giccopacam[Loyer])</f>
        <v>0</v>
      </c>
      <c r="R8" s="82">
        <f>SUBTOTAL(109,T_Giccopacam[Banque])</f>
        <v>0</v>
      </c>
      <c r="S8" s="82">
        <f>SUBTOTAL(109,T_Giccopacam[Mat., mob.])</f>
        <v>0</v>
      </c>
      <c r="T8" s="82">
        <f>SUBTOTAL(109,T_Giccopacam[Salaire])</f>
        <v>0</v>
      </c>
      <c r="U8" s="82">
        <f>SUBTOTAL(109,T_Giccopacam[Autres])</f>
        <v>0</v>
      </c>
      <c r="V8" s="83">
        <f>SUBTOTAL(109,T_Giccopacam[Total])</f>
        <v>0</v>
      </c>
    </row>
    <row r="9" spans="2:22" s="8" customFormat="1" ht="14.25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2:22">
      <c r="B10" s="21" t="s">
        <v>17</v>
      </c>
      <c r="D10" s="22" t="s">
        <v>18</v>
      </c>
    </row>
    <row r="11" spans="2:22">
      <c r="B11" s="108"/>
      <c r="C11" s="108"/>
    </row>
    <row r="12" spans="2:22">
      <c r="B12" s="108"/>
      <c r="C12" s="108"/>
    </row>
    <row r="13" spans="2:22">
      <c r="B13" s="108"/>
      <c r="C13" s="108"/>
    </row>
    <row r="14" spans="2:22">
      <c r="B14" s="108"/>
      <c r="C14" s="108"/>
    </row>
    <row r="15" spans="2:22">
      <c r="B15" s="108"/>
      <c r="C15" s="108"/>
    </row>
  </sheetData>
  <mergeCells count="2">
    <mergeCell ref="B2:C2"/>
    <mergeCell ref="B11:C15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8" tint="4.9989318521683403E-2"/>
    <pageSetUpPr fitToPage="1"/>
  </sheetPr>
  <dimension ref="B1:V15"/>
  <sheetViews>
    <sheetView showGridLines="0" workbookViewId="0">
      <selection activeCell="E7" sqref="E7:E8"/>
    </sheetView>
  </sheetViews>
  <sheetFormatPr baseColWidth="10" defaultColWidth="9.140625" defaultRowHeight="13.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/>
    <row r="2" spans="2:22" ht="40.15" customHeight="1" thickBot="1">
      <c r="B2" s="106" t="s">
        <v>28</v>
      </c>
      <c r="C2" s="10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46308</v>
      </c>
      <c r="D3" s="15"/>
      <c r="G3" s="15"/>
      <c r="H3" s="15"/>
      <c r="I3" s="15"/>
    </row>
    <row r="4" spans="2:22" s="4" customFormat="1" ht="19.899999999999999" customHeight="1">
      <c r="B4" s="29"/>
      <c r="C4" s="30" t="s">
        <v>5</v>
      </c>
      <c r="D4" s="31">
        <v>50000</v>
      </c>
      <c r="E4" s="32" t="s">
        <v>6</v>
      </c>
      <c r="F4" s="31">
        <f>D4+T_Kenzo[[#Totals],[Encaissement]]-T_Kenzo[[#Totals],[Décaissement]]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899999999999999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60</v>
      </c>
      <c r="G6" s="7" t="s">
        <v>2</v>
      </c>
      <c r="H6" s="6" t="s">
        <v>14</v>
      </c>
      <c r="I6" s="6" t="s">
        <v>12</v>
      </c>
      <c r="J6" s="6" t="s">
        <v>26</v>
      </c>
      <c r="K6" s="6" t="s">
        <v>11</v>
      </c>
      <c r="L6" s="6" t="s">
        <v>22</v>
      </c>
      <c r="M6" s="6" t="s">
        <v>13</v>
      </c>
      <c r="N6" s="6" t="s">
        <v>23</v>
      </c>
      <c r="O6" s="6" t="s">
        <v>24</v>
      </c>
      <c r="P6" s="6" t="s">
        <v>19</v>
      </c>
      <c r="Q6" s="6" t="s">
        <v>21</v>
      </c>
      <c r="R6" s="6" t="s">
        <v>15</v>
      </c>
      <c r="S6" s="6" t="s">
        <v>16</v>
      </c>
      <c r="T6" s="6" t="s">
        <v>20</v>
      </c>
      <c r="U6" s="6" t="s">
        <v>25</v>
      </c>
      <c r="V6" s="6" t="s">
        <v>1</v>
      </c>
    </row>
    <row r="7" spans="2:22" s="8" customFormat="1" ht="16.5">
      <c r="B7" s="34"/>
      <c r="C7" s="16"/>
      <c r="D7" s="19"/>
      <c r="E7" s="23"/>
      <c r="F7" s="17"/>
      <c r="G7" s="28"/>
      <c r="H7" s="24"/>
      <c r="I7" s="23"/>
      <c r="J7" s="23"/>
      <c r="K7" s="23"/>
      <c r="L7" s="24"/>
      <c r="M7" s="24"/>
      <c r="N7" s="24"/>
      <c r="O7" s="24"/>
      <c r="P7" s="24"/>
      <c r="Q7" s="24"/>
      <c r="R7" s="24"/>
      <c r="S7" s="24"/>
      <c r="T7" s="24"/>
      <c r="U7" s="24"/>
      <c r="V7" s="26"/>
    </row>
    <row r="8" spans="2:22" s="8" customFormat="1" ht="17.25" thickBot="1">
      <c r="B8" s="33"/>
      <c r="C8" s="9" t="s">
        <v>1</v>
      </c>
      <c r="D8" s="100">
        <f>SUBTOTAL(103,T_Kenzo[Libellé de l''opération])</f>
        <v>0</v>
      </c>
      <c r="E8" s="25">
        <f>SUBTOTAL(109,T_Kenzo[Encaissement])</f>
        <v>0</v>
      </c>
      <c r="F8" s="18">
        <f>SUBTOTAL(109,T_Kenzo[Décaissement])</f>
        <v>0</v>
      </c>
      <c r="G8" s="18">
        <f>SUBTOTAL(109,T_Kenzo[Solde])</f>
        <v>0</v>
      </c>
      <c r="H8" s="25">
        <f>SUBTOTAL(109,T_Kenzo[AG])</f>
        <v>0</v>
      </c>
      <c r="I8" s="25">
        <f>SUBTOTAL(109,T_Kenzo[Carburant])</f>
        <v>0</v>
      </c>
      <c r="J8" s="25">
        <f>SUBTOTAL(109,T_Kenzo[Missions/MinCce])</f>
        <v>0</v>
      </c>
      <c r="K8" s="25">
        <f>SUBTOTAL(109,T_Kenzo[Taxi/peage/PAD])</f>
        <v>0</v>
      </c>
      <c r="L8" s="25">
        <f>SUBTOTAL(109,T_Kenzo[Télécom])</f>
        <v>0</v>
      </c>
      <c r="M8" s="25">
        <f>SUBTOTAL(109,T_Kenzo[Entretien])</f>
        <v>0</v>
      </c>
      <c r="N8" s="25">
        <f>SUBTOTAL(109,T_Kenzo[Electricité])</f>
        <v>0</v>
      </c>
      <c r="O8" s="25">
        <f>SUBTOTAL(109,T_Kenzo[Eau])</f>
        <v>0</v>
      </c>
      <c r="P8" s="25">
        <f>SUBTOTAL(109,T_Kenzo[Impot/Cnps])</f>
        <v>0</v>
      </c>
      <c r="Q8" s="25">
        <f>SUBTOTAL(109,T_Kenzo[Loyer])</f>
        <v>0</v>
      </c>
      <c r="R8" s="25">
        <f>SUBTOTAL(109,T_Kenzo[Banque])</f>
        <v>0</v>
      </c>
      <c r="S8" s="25">
        <f>SUBTOTAL(109,T_Kenzo[Mat., mob.])</f>
        <v>0</v>
      </c>
      <c r="T8" s="25">
        <f>SUBTOTAL(109,T_Kenzo[Salaire])</f>
        <v>0</v>
      </c>
      <c r="U8" s="25">
        <f>SUBTOTAL(109,T_Kenzo[Autres])</f>
        <v>0</v>
      </c>
      <c r="V8" s="27">
        <f>SUBTOTAL(109,T_Kenzo[Total])</f>
        <v>0</v>
      </c>
    </row>
    <row r="9" spans="2:22" s="8" customFormat="1" ht="14.25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17</v>
      </c>
      <c r="D10" s="22" t="s">
        <v>18</v>
      </c>
    </row>
    <row r="11" spans="2:22">
      <c r="B11" s="108"/>
      <c r="C11" s="108"/>
    </row>
    <row r="12" spans="2:22">
      <c r="B12" s="108"/>
      <c r="C12" s="108"/>
    </row>
    <row r="13" spans="2:22">
      <c r="B13" s="108"/>
      <c r="C13" s="108"/>
    </row>
    <row r="14" spans="2:22">
      <c r="B14" s="108"/>
      <c r="C14" s="108"/>
    </row>
    <row r="15" spans="2:22">
      <c r="B15" s="108"/>
      <c r="C15" s="108"/>
    </row>
  </sheetData>
  <mergeCells count="2">
    <mergeCell ref="B2:C2"/>
    <mergeCell ref="B11:C15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2" tint="-0.499984740745262"/>
    <pageSetUpPr fitToPage="1"/>
  </sheetPr>
  <dimension ref="B1:V15"/>
  <sheetViews>
    <sheetView showGridLines="0" workbookViewId="0">
      <selection activeCell="E7" sqref="E7:E8"/>
    </sheetView>
  </sheetViews>
  <sheetFormatPr baseColWidth="10" defaultColWidth="9.140625" defaultRowHeight="13.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/>
    <row r="2" spans="2:22" ht="40.15" customHeight="1" thickBot="1">
      <c r="B2" s="106" t="s">
        <v>29</v>
      </c>
      <c r="C2" s="10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46308</v>
      </c>
      <c r="D3" s="15"/>
      <c r="G3" s="15"/>
      <c r="H3" s="15"/>
      <c r="I3" s="15"/>
    </row>
    <row r="4" spans="2:22" s="4" customFormat="1" ht="19.899999999999999" customHeight="1">
      <c r="B4" s="29"/>
      <c r="C4" s="30" t="s">
        <v>5</v>
      </c>
      <c r="D4" s="31">
        <v>50000</v>
      </c>
      <c r="E4" s="32" t="s">
        <v>6</v>
      </c>
      <c r="F4" s="31">
        <f>D4+T_JetIndustry[[#Totals],[Encaissement]]-T_JetIndustry[[#Totals],[Décaissement]]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899999999999999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60</v>
      </c>
      <c r="G6" s="7" t="s">
        <v>2</v>
      </c>
      <c r="H6" s="6" t="s">
        <v>14</v>
      </c>
      <c r="I6" s="6" t="s">
        <v>12</v>
      </c>
      <c r="J6" s="6" t="s">
        <v>26</v>
      </c>
      <c r="K6" s="6" t="s">
        <v>11</v>
      </c>
      <c r="L6" s="6" t="s">
        <v>22</v>
      </c>
      <c r="M6" s="6" t="s">
        <v>13</v>
      </c>
      <c r="N6" s="6" t="s">
        <v>23</v>
      </c>
      <c r="O6" s="6" t="s">
        <v>24</v>
      </c>
      <c r="P6" s="6" t="s">
        <v>19</v>
      </c>
      <c r="Q6" s="6" t="s">
        <v>21</v>
      </c>
      <c r="R6" s="6" t="s">
        <v>15</v>
      </c>
      <c r="S6" s="6" t="s">
        <v>16</v>
      </c>
      <c r="T6" s="6" t="s">
        <v>20</v>
      </c>
      <c r="U6" s="6" t="s">
        <v>25</v>
      </c>
      <c r="V6" s="6" t="s">
        <v>1</v>
      </c>
    </row>
    <row r="7" spans="2:22" s="8" customFormat="1" ht="16.5">
      <c r="B7" s="73"/>
      <c r="C7" s="58"/>
      <c r="D7" s="61"/>
      <c r="E7" s="60"/>
      <c r="F7" s="59"/>
      <c r="G7" s="69"/>
      <c r="H7" s="70"/>
      <c r="I7" s="60"/>
      <c r="J7" s="60"/>
      <c r="K7" s="60"/>
      <c r="L7" s="70"/>
      <c r="M7" s="71"/>
      <c r="N7" s="71"/>
      <c r="O7" s="71"/>
      <c r="P7" s="71"/>
      <c r="Q7" s="70"/>
      <c r="R7" s="71"/>
      <c r="S7" s="71"/>
      <c r="T7" s="71"/>
      <c r="U7" s="71"/>
      <c r="V7" s="71"/>
    </row>
    <row r="8" spans="2:22" s="8" customFormat="1" ht="17.25" thickBot="1">
      <c r="B8" s="74"/>
      <c r="C8" s="62" t="s">
        <v>1</v>
      </c>
      <c r="D8" s="101">
        <f>SUBTOTAL(103,T_JetIndustry[Libellé de l''opération])</f>
        <v>0</v>
      </c>
      <c r="E8" s="66">
        <f>SUBTOTAL(109,T_JetIndustry[Encaissement])</f>
        <v>0</v>
      </c>
      <c r="F8" s="63">
        <f>SUBTOTAL(109,T_JetIndustry[Décaissement])</f>
        <v>0</v>
      </c>
      <c r="G8" s="64">
        <f>SUBTOTAL(109,T_JetIndustry[Solde])</f>
        <v>0</v>
      </c>
      <c r="H8" s="65">
        <f>SUBTOTAL(109,T_JetIndustry[AG])</f>
        <v>0</v>
      </c>
      <c r="I8" s="66">
        <f>SUBTOTAL(109,T_JetIndustry[Carburant])</f>
        <v>0</v>
      </c>
      <c r="J8" s="66">
        <f>SUBTOTAL(109,T_JetIndustry[Missions/MinCce])</f>
        <v>0</v>
      </c>
      <c r="K8" s="66">
        <f>SUBTOTAL(109,T_JetIndustry[Taxi/peage/PAD])</f>
        <v>0</v>
      </c>
      <c r="L8" s="65">
        <f>SUBTOTAL(109,T_JetIndustry[Télécom])</f>
        <v>0</v>
      </c>
      <c r="M8" s="67">
        <f>SUBTOTAL(109,T_JetIndustry[Entretien])</f>
        <v>0</v>
      </c>
      <c r="N8" s="67">
        <f>SUBTOTAL(109,T_JetIndustry[Electricité])</f>
        <v>0</v>
      </c>
      <c r="O8" s="67">
        <f>SUBTOTAL(109,T_JetIndustry[Eau])</f>
        <v>0</v>
      </c>
      <c r="P8" s="67">
        <f>SUBTOTAL(109,T_JetIndustry[Impot/Cnps])</f>
        <v>0</v>
      </c>
      <c r="Q8" s="65">
        <f>SUBTOTAL(109,T_JetIndustry[Loyer])</f>
        <v>0</v>
      </c>
      <c r="R8" s="67">
        <f>SUBTOTAL(109,T_JetIndustry[Banque])</f>
        <v>0</v>
      </c>
      <c r="S8" s="67">
        <f>SUBTOTAL(109,T_JetIndustry[Mat., mob.])</f>
        <v>0</v>
      </c>
      <c r="T8" s="67">
        <f>SUBTOTAL(109,T_JetIndustry[Salaire])</f>
        <v>0</v>
      </c>
      <c r="U8" s="67">
        <f>SUBTOTAL(109,T_JetIndustry[Autres])</f>
        <v>0</v>
      </c>
      <c r="V8" s="68">
        <f>SUBTOTAL(109,T_JetIndustry[Total])</f>
        <v>0</v>
      </c>
    </row>
    <row r="9" spans="2:22" s="8" customFormat="1" ht="14.25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17</v>
      </c>
      <c r="D10" s="22" t="s">
        <v>18</v>
      </c>
    </row>
    <row r="11" spans="2:22">
      <c r="B11" s="108"/>
      <c r="C11" s="108"/>
    </row>
    <row r="12" spans="2:22">
      <c r="B12" s="108"/>
      <c r="C12" s="108"/>
    </row>
    <row r="13" spans="2:22">
      <c r="B13" s="108"/>
      <c r="C13" s="108"/>
    </row>
    <row r="14" spans="2:22">
      <c r="B14" s="108"/>
      <c r="C14" s="108"/>
    </row>
    <row r="15" spans="2:22">
      <c r="B15" s="108"/>
      <c r="C15" s="108"/>
    </row>
  </sheetData>
  <mergeCells count="2">
    <mergeCell ref="B2:C2"/>
    <mergeCell ref="B11:C15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1" tint="0.34998626667073579"/>
    <pageSetUpPr fitToPage="1"/>
  </sheetPr>
  <dimension ref="B1:V15"/>
  <sheetViews>
    <sheetView showGridLines="0" workbookViewId="0">
      <selection activeCell="E7" sqref="E7:E8"/>
    </sheetView>
  </sheetViews>
  <sheetFormatPr baseColWidth="10" defaultColWidth="9.140625" defaultRowHeight="13.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/>
    <row r="2" spans="2:22" ht="40.15" customHeight="1" thickBot="1">
      <c r="B2" s="106" t="s">
        <v>30</v>
      </c>
      <c r="C2" s="10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46308</v>
      </c>
      <c r="D3" s="15"/>
      <c r="G3" s="15"/>
      <c r="H3" s="15"/>
      <c r="I3" s="15"/>
    </row>
    <row r="4" spans="2:22" s="4" customFormat="1" ht="19.899999999999999" customHeight="1">
      <c r="B4" s="29"/>
      <c r="C4" s="30" t="s">
        <v>5</v>
      </c>
      <c r="D4" s="31">
        <v>50000</v>
      </c>
      <c r="E4" s="32" t="s">
        <v>6</v>
      </c>
      <c r="F4" s="31">
        <f>D4+T_JetInvestment[[#Totals],[Encaissement]]-T_JetInvestment[[#Totals],[Décaissement]]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899999999999999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60</v>
      </c>
      <c r="G6" s="7" t="s">
        <v>2</v>
      </c>
      <c r="H6" s="6" t="s">
        <v>14</v>
      </c>
      <c r="I6" s="6" t="s">
        <v>12</v>
      </c>
      <c r="J6" s="6" t="s">
        <v>26</v>
      </c>
      <c r="K6" s="6" t="s">
        <v>11</v>
      </c>
      <c r="L6" s="6" t="s">
        <v>22</v>
      </c>
      <c r="M6" s="6" t="s">
        <v>13</v>
      </c>
      <c r="N6" s="6" t="s">
        <v>23</v>
      </c>
      <c r="O6" s="6" t="s">
        <v>24</v>
      </c>
      <c r="P6" s="6" t="s">
        <v>19</v>
      </c>
      <c r="Q6" s="6" t="s">
        <v>21</v>
      </c>
      <c r="R6" s="6" t="s">
        <v>15</v>
      </c>
      <c r="S6" s="6" t="s">
        <v>16</v>
      </c>
      <c r="T6" s="6" t="s">
        <v>20</v>
      </c>
      <c r="U6" s="6" t="s">
        <v>25</v>
      </c>
      <c r="V6" s="6" t="s">
        <v>1</v>
      </c>
    </row>
    <row r="7" spans="2:22" s="8" customFormat="1" ht="16.5">
      <c r="B7" s="34"/>
      <c r="C7" s="16"/>
      <c r="D7" s="19"/>
      <c r="E7" s="23"/>
      <c r="F7" s="17"/>
      <c r="G7" s="28"/>
      <c r="H7" s="24"/>
      <c r="I7" s="23"/>
      <c r="J7" s="23"/>
      <c r="K7" s="23"/>
      <c r="L7" s="24"/>
      <c r="M7" s="24"/>
      <c r="N7" s="24"/>
      <c r="O7" s="24"/>
      <c r="P7" s="24"/>
      <c r="Q7" s="24"/>
      <c r="R7" s="24"/>
      <c r="S7" s="24"/>
      <c r="T7" s="24"/>
      <c r="U7" s="24"/>
      <c r="V7" s="26"/>
    </row>
    <row r="8" spans="2:22" s="8" customFormat="1" ht="17.25" thickBot="1">
      <c r="B8" s="33"/>
      <c r="C8" s="9" t="s">
        <v>1</v>
      </c>
      <c r="D8" s="100">
        <f>SUBTOTAL(103,T_JetInvestment[Libellé de l''opération])</f>
        <v>0</v>
      </c>
      <c r="E8" s="25">
        <f>SUBTOTAL(109,T_JetInvestment[Encaissement])</f>
        <v>0</v>
      </c>
      <c r="F8" s="18">
        <f>SUBTOTAL(109,T_JetInvestment[Décaissement])</f>
        <v>0</v>
      </c>
      <c r="G8" s="18">
        <f>SUBTOTAL(109,T_JetInvestment[Solde])</f>
        <v>0</v>
      </c>
      <c r="H8" s="25">
        <f>SUBTOTAL(109,T_JetInvestment[AG])</f>
        <v>0</v>
      </c>
      <c r="I8" s="25">
        <f>SUBTOTAL(109,T_JetInvestment[Carburant])</f>
        <v>0</v>
      </c>
      <c r="J8" s="25">
        <f>SUBTOTAL(109,T_JetInvestment[Missions/MinCce])</f>
        <v>0</v>
      </c>
      <c r="K8" s="25">
        <f>SUBTOTAL(109,T_JetInvestment[Taxi/peage/PAD])</f>
        <v>0</v>
      </c>
      <c r="L8" s="25">
        <f>SUBTOTAL(109,T_JetInvestment[Télécom])</f>
        <v>0</v>
      </c>
      <c r="M8" s="25">
        <f>SUBTOTAL(109,T_JetInvestment[Entretien])</f>
        <v>0</v>
      </c>
      <c r="N8" s="25">
        <f>SUBTOTAL(109,T_JetInvestment[Electricité])</f>
        <v>0</v>
      </c>
      <c r="O8" s="25">
        <f>SUBTOTAL(109,T_JetInvestment[Eau])</f>
        <v>0</v>
      </c>
      <c r="P8" s="25">
        <f>SUBTOTAL(109,T_JetInvestment[Impot/Cnps])</f>
        <v>0</v>
      </c>
      <c r="Q8" s="25">
        <f>SUBTOTAL(109,T_JetInvestment[Loyer])</f>
        <v>0</v>
      </c>
      <c r="R8" s="25">
        <f>SUBTOTAL(109,T_JetInvestment[Banque])</f>
        <v>0</v>
      </c>
      <c r="S8" s="25">
        <f>SUBTOTAL(109,T_JetInvestment[Mat., mob.])</f>
        <v>0</v>
      </c>
      <c r="T8" s="25">
        <f>SUBTOTAL(109,T_JetInvestment[Salaire])</f>
        <v>0</v>
      </c>
      <c r="U8" s="25">
        <f>SUBTOTAL(109,T_JetInvestment[Autres])</f>
        <v>0</v>
      </c>
      <c r="V8" s="27">
        <f>SUBTOTAL(109,T_JetInvestment[Total])</f>
        <v>0</v>
      </c>
    </row>
    <row r="9" spans="2:22" s="8" customFormat="1" ht="14.25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17</v>
      </c>
      <c r="D10" s="22" t="s">
        <v>18</v>
      </c>
    </row>
    <row r="11" spans="2:22">
      <c r="B11" s="108"/>
      <c r="C11" s="108"/>
    </row>
    <row r="12" spans="2:22">
      <c r="B12" s="108"/>
      <c r="C12" s="108"/>
    </row>
    <row r="13" spans="2:22">
      <c r="B13" s="108"/>
      <c r="C13" s="108"/>
    </row>
    <row r="14" spans="2:22">
      <c r="B14" s="108"/>
      <c r="C14" s="108"/>
    </row>
    <row r="15" spans="2:22">
      <c r="B15" s="108"/>
      <c r="C15" s="108"/>
    </row>
  </sheetData>
  <mergeCells count="2">
    <mergeCell ref="B2:C2"/>
    <mergeCell ref="B11:C15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8" tint="0.14999847407452621"/>
    <pageSetUpPr fitToPage="1"/>
  </sheetPr>
  <dimension ref="B1:V15"/>
  <sheetViews>
    <sheetView showGridLines="0" workbookViewId="0">
      <selection activeCell="E7" sqref="E7:E8"/>
    </sheetView>
  </sheetViews>
  <sheetFormatPr baseColWidth="10" defaultColWidth="9.140625" defaultRowHeight="13.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/>
    <row r="2" spans="2:22" ht="40.15" customHeight="1" thickBot="1">
      <c r="B2" s="106" t="s">
        <v>31</v>
      </c>
      <c r="C2" s="10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46308</v>
      </c>
      <c r="D3" s="15"/>
      <c r="G3" s="15"/>
      <c r="H3" s="15"/>
      <c r="I3" s="15"/>
    </row>
    <row r="4" spans="2:22" s="4" customFormat="1" ht="19.899999999999999" customHeight="1">
      <c r="B4" s="29"/>
      <c r="C4" s="30" t="s">
        <v>5</v>
      </c>
      <c r="D4" s="31">
        <v>50000</v>
      </c>
      <c r="E4" s="32" t="s">
        <v>6</v>
      </c>
      <c r="F4" s="31">
        <f>D4+T_SciJet[[#Totals],[Encaissement]]-T_SciJet[[#Totals],[Décaissement]]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899999999999999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60</v>
      </c>
      <c r="G6" s="7" t="s">
        <v>2</v>
      </c>
      <c r="H6" s="6" t="s">
        <v>14</v>
      </c>
      <c r="I6" s="6" t="s">
        <v>12</v>
      </c>
      <c r="J6" s="6" t="s">
        <v>26</v>
      </c>
      <c r="K6" s="6" t="s">
        <v>11</v>
      </c>
      <c r="L6" s="6" t="s">
        <v>22</v>
      </c>
      <c r="M6" s="6" t="s">
        <v>13</v>
      </c>
      <c r="N6" s="6" t="s">
        <v>23</v>
      </c>
      <c r="O6" s="6" t="s">
        <v>24</v>
      </c>
      <c r="P6" s="6" t="s">
        <v>19</v>
      </c>
      <c r="Q6" s="6" t="s">
        <v>21</v>
      </c>
      <c r="R6" s="6" t="s">
        <v>15</v>
      </c>
      <c r="S6" s="6" t="s">
        <v>16</v>
      </c>
      <c r="T6" s="6" t="s">
        <v>20</v>
      </c>
      <c r="U6" s="6" t="s">
        <v>25</v>
      </c>
      <c r="V6" s="6" t="s">
        <v>1</v>
      </c>
    </row>
    <row r="7" spans="2:22" s="8" customFormat="1" ht="16.5">
      <c r="B7" s="34"/>
      <c r="C7" s="16"/>
      <c r="D7" s="19"/>
      <c r="E7" s="23"/>
      <c r="F7" s="17"/>
      <c r="G7" s="28"/>
      <c r="H7" s="24"/>
      <c r="I7" s="23"/>
      <c r="J7" s="23"/>
      <c r="K7" s="23"/>
      <c r="L7" s="24"/>
      <c r="M7" s="24"/>
      <c r="N7" s="24"/>
      <c r="O7" s="24"/>
      <c r="P7" s="24"/>
      <c r="Q7" s="24"/>
      <c r="R7" s="24"/>
      <c r="S7" s="24"/>
      <c r="T7" s="24"/>
      <c r="U7" s="24"/>
      <c r="V7" s="26"/>
    </row>
    <row r="8" spans="2:22" s="8" customFormat="1" ht="17.25" thickBot="1">
      <c r="B8" s="33"/>
      <c r="C8" s="9" t="s">
        <v>1</v>
      </c>
      <c r="D8" s="100">
        <f>SUBTOTAL(103,T_SciJet[Libellé de l''opération])</f>
        <v>0</v>
      </c>
      <c r="E8" s="25">
        <f>SUBTOTAL(109,T_SciJet[Encaissement])</f>
        <v>0</v>
      </c>
      <c r="F8" s="18">
        <f>SUBTOTAL(109,T_SciJet[Décaissement])</f>
        <v>0</v>
      </c>
      <c r="G8" s="18">
        <f>SUBTOTAL(109,T_SciJet[Solde])</f>
        <v>0</v>
      </c>
      <c r="H8" s="25">
        <f>SUBTOTAL(109,T_SciJet[AG])</f>
        <v>0</v>
      </c>
      <c r="I8" s="25">
        <f>SUBTOTAL(109,T_SciJet[Carburant])</f>
        <v>0</v>
      </c>
      <c r="J8" s="25">
        <f>SUBTOTAL(109,T_SciJet[Missions/MinCce])</f>
        <v>0</v>
      </c>
      <c r="K8" s="25">
        <f>SUBTOTAL(109,T_SciJet[Taxi/peage/PAD])</f>
        <v>0</v>
      </c>
      <c r="L8" s="25">
        <f>SUBTOTAL(109,T_SciJet[Télécom])</f>
        <v>0</v>
      </c>
      <c r="M8" s="25">
        <f>SUBTOTAL(109,T_SciJet[Entretien])</f>
        <v>0</v>
      </c>
      <c r="N8" s="25">
        <f>SUBTOTAL(109,T_SciJet[Electricité])</f>
        <v>0</v>
      </c>
      <c r="O8" s="25">
        <f>SUBTOTAL(109,T_SciJet[Eau])</f>
        <v>0</v>
      </c>
      <c r="P8" s="25">
        <f>SUBTOTAL(109,T_SciJet[Impot/Cnps])</f>
        <v>0</v>
      </c>
      <c r="Q8" s="25">
        <f>SUBTOTAL(109,T_SciJet[Loyer])</f>
        <v>0</v>
      </c>
      <c r="R8" s="25">
        <f>SUBTOTAL(109,T_SciJet[Banque])</f>
        <v>0</v>
      </c>
      <c r="S8" s="25">
        <f>SUBTOTAL(109,T_SciJet[Mat., mob.])</f>
        <v>0</v>
      </c>
      <c r="T8" s="25">
        <f>SUBTOTAL(109,T_SciJet[Salaire])</f>
        <v>0</v>
      </c>
      <c r="U8" s="25">
        <f>SUBTOTAL(109,T_SciJet[Autres])</f>
        <v>0</v>
      </c>
      <c r="V8" s="27">
        <f>SUBTOTAL(109,T_SciJet[Total])</f>
        <v>0</v>
      </c>
    </row>
    <row r="9" spans="2:22" s="8" customFormat="1" ht="14.25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17</v>
      </c>
      <c r="D10" s="22" t="s">
        <v>18</v>
      </c>
    </row>
    <row r="11" spans="2:22">
      <c r="B11" s="108"/>
      <c r="C11" s="108"/>
    </row>
    <row r="12" spans="2:22">
      <c r="B12" s="108"/>
      <c r="C12" s="108"/>
    </row>
    <row r="13" spans="2:22">
      <c r="B13" s="108"/>
      <c r="C13" s="108"/>
    </row>
    <row r="14" spans="2:22">
      <c r="B14" s="108"/>
      <c r="C14" s="108"/>
    </row>
    <row r="15" spans="2:22">
      <c r="B15" s="108"/>
      <c r="C15" s="108"/>
    </row>
  </sheetData>
  <mergeCells count="2">
    <mergeCell ref="B2:C2"/>
    <mergeCell ref="B11:C15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3" tint="0.39997558519241921"/>
    <pageSetUpPr fitToPage="1"/>
  </sheetPr>
  <dimension ref="B1:V15"/>
  <sheetViews>
    <sheetView showGridLines="0" workbookViewId="0">
      <selection activeCell="E7" sqref="E7:E8"/>
    </sheetView>
  </sheetViews>
  <sheetFormatPr baseColWidth="10" defaultColWidth="9.140625" defaultRowHeight="13.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/>
    <row r="2" spans="2:22" ht="40.15" customHeight="1" thickBot="1">
      <c r="B2" s="106" t="s">
        <v>32</v>
      </c>
      <c r="C2" s="10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46308</v>
      </c>
      <c r="D3" s="15"/>
      <c r="G3" s="15"/>
      <c r="H3" s="15"/>
      <c r="I3" s="15"/>
    </row>
    <row r="4" spans="2:22" s="4" customFormat="1" ht="19.899999999999999" customHeight="1">
      <c r="B4" s="29"/>
      <c r="C4" s="30" t="s">
        <v>5</v>
      </c>
      <c r="D4" s="31">
        <v>50000</v>
      </c>
      <c r="E4" s="32" t="s">
        <v>6</v>
      </c>
      <c r="F4" s="31">
        <f>D4+T_CfpmJet[[#Totals],[Encaissement]]-T_CfpmJet[[#Totals],[Décaissement]]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899999999999999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60</v>
      </c>
      <c r="G6" s="7" t="s">
        <v>2</v>
      </c>
      <c r="H6" s="6" t="s">
        <v>14</v>
      </c>
      <c r="I6" s="6" t="s">
        <v>12</v>
      </c>
      <c r="J6" s="6" t="s">
        <v>26</v>
      </c>
      <c r="K6" s="6" t="s">
        <v>11</v>
      </c>
      <c r="L6" s="6" t="s">
        <v>22</v>
      </c>
      <c r="M6" s="6" t="s">
        <v>13</v>
      </c>
      <c r="N6" s="6" t="s">
        <v>23</v>
      </c>
      <c r="O6" s="6" t="s">
        <v>24</v>
      </c>
      <c r="P6" s="6" t="s">
        <v>19</v>
      </c>
      <c r="Q6" s="6" t="s">
        <v>21</v>
      </c>
      <c r="R6" s="6" t="s">
        <v>15</v>
      </c>
      <c r="S6" s="6" t="s">
        <v>16</v>
      </c>
      <c r="T6" s="6" t="s">
        <v>20</v>
      </c>
      <c r="U6" s="6" t="s">
        <v>25</v>
      </c>
      <c r="V6" s="6" t="s">
        <v>1</v>
      </c>
    </row>
    <row r="7" spans="2:22" s="8" customFormat="1" ht="16.5">
      <c r="B7" s="34"/>
      <c r="C7" s="16"/>
      <c r="D7" s="19"/>
      <c r="E7" s="23"/>
      <c r="F7" s="17"/>
      <c r="G7" s="28"/>
      <c r="H7" s="24"/>
      <c r="I7" s="23"/>
      <c r="J7" s="23"/>
      <c r="K7" s="23"/>
      <c r="L7" s="24"/>
      <c r="M7" s="24"/>
      <c r="N7" s="24"/>
      <c r="O7" s="24"/>
      <c r="P7" s="24"/>
      <c r="Q7" s="24"/>
      <c r="R7" s="24"/>
      <c r="S7" s="24"/>
      <c r="T7" s="24"/>
      <c r="U7" s="24"/>
      <c r="V7" s="26"/>
    </row>
    <row r="8" spans="2:22" s="8" customFormat="1" ht="17.25" thickBot="1">
      <c r="B8" s="33"/>
      <c r="C8" s="9" t="s">
        <v>1</v>
      </c>
      <c r="D8" s="100">
        <f>SUBTOTAL(103,T_CfpmJet[Libellé de l''opération])</f>
        <v>0</v>
      </c>
      <c r="E8" s="25">
        <f>SUBTOTAL(109,T_CfpmJet[Encaissement])</f>
        <v>0</v>
      </c>
      <c r="F8" s="18">
        <f>SUBTOTAL(109,T_CfpmJet[Décaissement])</f>
        <v>0</v>
      </c>
      <c r="G8" s="18">
        <f>SUBTOTAL(109,T_CfpmJet[Solde])</f>
        <v>0</v>
      </c>
      <c r="H8" s="25">
        <f>SUBTOTAL(109,T_CfpmJet[AG])</f>
        <v>0</v>
      </c>
      <c r="I8" s="25">
        <f>SUBTOTAL(109,T_CfpmJet[Carburant])</f>
        <v>0</v>
      </c>
      <c r="J8" s="25">
        <f>SUBTOTAL(109,T_CfpmJet[Missions/MinCce])</f>
        <v>0</v>
      </c>
      <c r="K8" s="25">
        <f>SUBTOTAL(109,T_CfpmJet[Taxi/peage/PAD])</f>
        <v>0</v>
      </c>
      <c r="L8" s="25">
        <f>SUBTOTAL(109,T_CfpmJet[Télécom])</f>
        <v>0</v>
      </c>
      <c r="M8" s="25">
        <f>SUBTOTAL(109,T_CfpmJet[Entretien])</f>
        <v>0</v>
      </c>
      <c r="N8" s="25">
        <f>SUBTOTAL(109,T_CfpmJet[Electricité])</f>
        <v>0</v>
      </c>
      <c r="O8" s="25">
        <f>SUBTOTAL(109,T_CfpmJet[Eau])</f>
        <v>0</v>
      </c>
      <c r="P8" s="25">
        <f>SUBTOTAL(109,T_CfpmJet[Impot/Cnps])</f>
        <v>0</v>
      </c>
      <c r="Q8" s="25">
        <f>SUBTOTAL(109,T_CfpmJet[Loyer])</f>
        <v>0</v>
      </c>
      <c r="R8" s="25">
        <f>SUBTOTAL(109,T_CfpmJet[Banque])</f>
        <v>0</v>
      </c>
      <c r="S8" s="25">
        <f>SUBTOTAL(109,T_CfpmJet[Mat., mob.])</f>
        <v>0</v>
      </c>
      <c r="T8" s="25">
        <f>SUBTOTAL(109,T_CfpmJet[Salaire])</f>
        <v>0</v>
      </c>
      <c r="U8" s="25">
        <f>SUBTOTAL(109,T_CfpmJet[Autres])</f>
        <v>0</v>
      </c>
      <c r="V8" s="27">
        <f>SUBTOTAL(109,T_CfpmJet[Total])</f>
        <v>0</v>
      </c>
    </row>
    <row r="9" spans="2:22" s="8" customFormat="1" ht="14.25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17</v>
      </c>
      <c r="D10" s="22" t="s">
        <v>18</v>
      </c>
    </row>
    <row r="11" spans="2:22">
      <c r="B11" s="108"/>
      <c r="C11" s="108"/>
    </row>
    <row r="12" spans="2:22">
      <c r="B12" s="108"/>
      <c r="C12" s="108"/>
    </row>
    <row r="13" spans="2:22">
      <c r="B13" s="108"/>
      <c r="C13" s="108"/>
    </row>
    <row r="14" spans="2:22">
      <c r="B14" s="108"/>
      <c r="C14" s="108"/>
    </row>
    <row r="15" spans="2:22">
      <c r="B15" s="108"/>
      <c r="C15" s="108"/>
    </row>
  </sheetData>
  <mergeCells count="2">
    <mergeCell ref="B2:C2"/>
    <mergeCell ref="B11:C15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F0"/>
    <pageSetUpPr fitToPage="1"/>
  </sheetPr>
  <dimension ref="B1:V15"/>
  <sheetViews>
    <sheetView showGridLines="0" workbookViewId="0">
      <selection activeCell="D20" sqref="D20"/>
    </sheetView>
  </sheetViews>
  <sheetFormatPr baseColWidth="10" defaultColWidth="9.140625" defaultRowHeight="13.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/>
    <row r="2" spans="2:22" ht="40.15" customHeight="1" thickBot="1">
      <c r="B2" s="106" t="s">
        <v>34</v>
      </c>
      <c r="C2" s="107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46308</v>
      </c>
      <c r="D3" s="15"/>
      <c r="G3" s="15"/>
      <c r="H3" s="15"/>
      <c r="I3" s="15"/>
    </row>
    <row r="4" spans="2:22" s="4" customFormat="1" ht="19.899999999999999" customHeight="1">
      <c r="B4" s="29"/>
      <c r="C4" s="30" t="s">
        <v>5</v>
      </c>
      <c r="D4" s="31">
        <v>50000</v>
      </c>
      <c r="E4" s="32" t="s">
        <v>6</v>
      </c>
      <c r="F4" s="31">
        <f>D4+T_Evora[[#Totals],[Encaissement]]-T_Evora[[#Totals],[Décaissement]]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899999999999999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60</v>
      </c>
      <c r="G6" s="7" t="s">
        <v>2</v>
      </c>
      <c r="H6" s="6" t="s">
        <v>14</v>
      </c>
      <c r="I6" s="6" t="s">
        <v>12</v>
      </c>
      <c r="J6" s="6" t="s">
        <v>26</v>
      </c>
      <c r="K6" s="6" t="s">
        <v>11</v>
      </c>
      <c r="L6" s="6" t="s">
        <v>22</v>
      </c>
      <c r="M6" s="6" t="s">
        <v>13</v>
      </c>
      <c r="N6" s="6" t="s">
        <v>23</v>
      </c>
      <c r="O6" s="6" t="s">
        <v>24</v>
      </c>
      <c r="P6" s="6" t="s">
        <v>19</v>
      </c>
      <c r="Q6" s="6" t="s">
        <v>21</v>
      </c>
      <c r="R6" s="6" t="s">
        <v>15</v>
      </c>
      <c r="S6" s="6" t="s">
        <v>16</v>
      </c>
      <c r="T6" s="6" t="s">
        <v>20</v>
      </c>
      <c r="U6" s="6" t="s">
        <v>25</v>
      </c>
      <c r="V6" s="6" t="s">
        <v>1</v>
      </c>
    </row>
    <row r="7" spans="2:22" s="8" customFormat="1" ht="16.5">
      <c r="B7" s="84"/>
      <c r="C7" s="85"/>
      <c r="D7" s="86"/>
      <c r="E7" s="91"/>
      <c r="F7" s="88"/>
      <c r="G7" s="89"/>
      <c r="H7" s="90"/>
      <c r="I7" s="91"/>
      <c r="J7" s="91"/>
      <c r="K7" s="91"/>
      <c r="L7" s="90"/>
      <c r="M7" s="92"/>
      <c r="N7" s="92"/>
      <c r="O7" s="92"/>
      <c r="P7" s="92"/>
      <c r="Q7" s="90"/>
      <c r="R7" s="92"/>
      <c r="S7" s="92"/>
      <c r="T7" s="92"/>
      <c r="U7" s="92"/>
      <c r="V7" s="92"/>
    </row>
    <row r="8" spans="2:22" s="8" customFormat="1" ht="17.25" thickBot="1">
      <c r="B8" s="75"/>
      <c r="C8" s="76" t="s">
        <v>1</v>
      </c>
      <c r="D8" s="99">
        <f>SUBTOTAL(103,T_Evora[Libellé de l''opération])</f>
        <v>0</v>
      </c>
      <c r="E8" s="81">
        <f>SUBTOTAL(109,T_Evora[Encaissement])</f>
        <v>0</v>
      </c>
      <c r="F8" s="78">
        <f>SUBTOTAL(109,T_Evora[Décaissement])</f>
        <v>0</v>
      </c>
      <c r="G8" s="79">
        <f>SUBTOTAL(109,T_Evora[Solde])</f>
        <v>0</v>
      </c>
      <c r="H8" s="80">
        <f>SUBTOTAL(109,T_Evora[AG])</f>
        <v>0</v>
      </c>
      <c r="I8" s="81">
        <f>SUBTOTAL(109,T_Evora[Carburant])</f>
        <v>0</v>
      </c>
      <c r="J8" s="81">
        <f>SUBTOTAL(109,T_Evora[Missions/MinCce])</f>
        <v>0</v>
      </c>
      <c r="K8" s="81">
        <f>SUBTOTAL(109,T_Evora[Taxi/peage/PAD])</f>
        <v>0</v>
      </c>
      <c r="L8" s="80">
        <f>SUBTOTAL(109,T_Evora[Télécom])</f>
        <v>0</v>
      </c>
      <c r="M8" s="82">
        <f>SUBTOTAL(109,T_Evora[Entretien])</f>
        <v>0</v>
      </c>
      <c r="N8" s="82">
        <f>SUBTOTAL(109,T_Evora[Electricité])</f>
        <v>0</v>
      </c>
      <c r="O8" s="82">
        <f>SUBTOTAL(109,T_Evora[Eau])</f>
        <v>0</v>
      </c>
      <c r="P8" s="82">
        <f>SUBTOTAL(109,T_Evora[Impot/Cnps])</f>
        <v>0</v>
      </c>
      <c r="Q8" s="80">
        <f>SUBTOTAL(109,T_Evora[Loyer])</f>
        <v>0</v>
      </c>
      <c r="R8" s="82">
        <f>SUBTOTAL(109,T_Evora[Banque])</f>
        <v>0</v>
      </c>
      <c r="S8" s="82">
        <f>SUBTOTAL(109,T_Evora[Mat., mob.])</f>
        <v>0</v>
      </c>
      <c r="T8" s="82">
        <f>SUBTOTAL(109,T_Evora[Salaire])</f>
        <v>0</v>
      </c>
      <c r="U8" s="82">
        <f>SUBTOTAL(109,T_Evora[Autres])</f>
        <v>0</v>
      </c>
      <c r="V8" s="83">
        <f>SUBTOTAL(109,T_Evora[Total])</f>
        <v>0</v>
      </c>
    </row>
    <row r="9" spans="2:22" s="8" customFormat="1" ht="14.25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17</v>
      </c>
      <c r="D10" s="22" t="s">
        <v>18</v>
      </c>
    </row>
    <row r="11" spans="2:22">
      <c r="B11" s="108"/>
      <c r="C11" s="108"/>
    </row>
    <row r="12" spans="2:22">
      <c r="B12" s="108"/>
      <c r="C12" s="108"/>
    </row>
    <row r="13" spans="2:22">
      <c r="B13" s="108"/>
      <c r="C13" s="108"/>
    </row>
    <row r="14" spans="2:22">
      <c r="B14" s="108"/>
      <c r="C14" s="108"/>
    </row>
    <row r="15" spans="2:22">
      <c r="B15" s="108"/>
      <c r="C15" s="108"/>
    </row>
  </sheetData>
  <mergeCells count="2">
    <mergeCell ref="B2:C2"/>
    <mergeCell ref="B11:C15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B9"/>
  <sheetViews>
    <sheetView workbookViewId="0">
      <selection activeCell="C20" sqref="C20"/>
    </sheetView>
  </sheetViews>
  <sheetFormatPr baseColWidth="10" defaultRowHeight="12.75"/>
  <cols>
    <col min="1" max="1" width="23.140625" customWidth="1"/>
    <col min="2" max="2" width="22.28515625" customWidth="1"/>
  </cols>
  <sheetData>
    <row r="1" spans="1:2">
      <c r="A1" s="56" t="s">
        <v>65</v>
      </c>
      <c r="B1" s="52" t="s">
        <v>66</v>
      </c>
    </row>
    <row r="2" spans="1:2">
      <c r="A2" s="57" t="s">
        <v>38</v>
      </c>
      <c r="B2" s="40" t="s">
        <v>61</v>
      </c>
    </row>
    <row r="3" spans="1:2">
      <c r="A3" s="40" t="s">
        <v>69</v>
      </c>
      <c r="B3" s="40" t="s">
        <v>62</v>
      </c>
    </row>
    <row r="4" spans="1:2">
      <c r="A4" s="40" t="s">
        <v>67</v>
      </c>
      <c r="B4" s="53" t="s">
        <v>63</v>
      </c>
    </row>
    <row r="5" spans="1:2">
      <c r="A5" s="40" t="s">
        <v>29</v>
      </c>
      <c r="B5" s="40" t="s">
        <v>74</v>
      </c>
    </row>
    <row r="6" spans="1:2">
      <c r="A6" s="40" t="s">
        <v>30</v>
      </c>
      <c r="B6" s="40" t="s">
        <v>73</v>
      </c>
    </row>
    <row r="7" spans="1:2">
      <c r="A7" s="40" t="s">
        <v>31</v>
      </c>
      <c r="B7" s="40" t="s">
        <v>72</v>
      </c>
    </row>
    <row r="8" spans="1:2">
      <c r="A8" s="40" t="s">
        <v>32</v>
      </c>
      <c r="B8" s="40" t="s">
        <v>71</v>
      </c>
    </row>
    <row r="9" spans="1:2">
      <c r="A9" s="51" t="s">
        <v>68</v>
      </c>
      <c r="B9" s="51" t="s">
        <v>70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11" ma:contentTypeDescription="Create a new document." ma:contentTypeScope="" ma:versionID="1c2eb7a32e66fb6e4260f3771546a5e2">
  <xsd:schema xmlns:xsd="http://www.w3.org/2001/XMLSchema" xmlns:xs="http://www.w3.org/2001/XMLSchema" xmlns:p="http://schemas.microsoft.com/office/2006/metadata/properties" xmlns:ns2="71af3243-3dd4-4a8d-8c0d-dd76da1f02a5" xmlns:ns3="16c05727-aa75-4e4a-9b5f-8a80a1165891" targetNamespace="http://schemas.microsoft.com/office/2006/metadata/properties" ma:root="true" ma:fieldsID="04e1f6479c48b08974ba73b5ca973489" ns2:_="" ns3:_="">
    <xsd:import namespace="71af3243-3dd4-4a8d-8c0d-dd76da1f02a5"/>
    <xsd:import namespace="16c05727-aa75-4e4a-9b5f-8a80a11658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fals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ServiceKeyPoints xmlns="71af3243-3dd4-4a8d-8c0d-dd76da1f02a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3D61B8-4E29-4C00-81AC-C4AA036285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af3243-3dd4-4a8d-8c0d-dd76da1f02a5"/>
    <ds:schemaRef ds:uri="16c05727-aa75-4e4a-9b5f-8a80a11658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39734D5-4621-4580-8094-85EF7AEC5F3D}">
  <ds:schemaRefs>
    <ds:schemaRef ds:uri="http://schemas.microsoft.com/office/2006/metadata/properties"/>
    <ds:schemaRef ds:uri="http://purl.org/dc/terms/"/>
    <ds:schemaRef ds:uri="71af3243-3dd4-4a8d-8c0d-dd76da1f02a5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16c05727-aa75-4e4a-9b5f-8a80a116589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B2F8C50E-0997-4B21-872E-71A9A4C173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22</vt:i4>
      </vt:variant>
    </vt:vector>
  </HeadingPairs>
  <TitlesOfParts>
    <vt:vector size="33" baseType="lpstr">
      <vt:lpstr>Dashbord</vt:lpstr>
      <vt:lpstr>Journal</vt:lpstr>
      <vt:lpstr>CAPI</vt:lpstr>
      <vt:lpstr>GICCOPACAM</vt:lpstr>
      <vt:lpstr>KENZO</vt:lpstr>
      <vt:lpstr>JET INDUSTRY</vt:lpstr>
      <vt:lpstr>JET INVESTMENT</vt:lpstr>
      <vt:lpstr>SCI-JET</vt:lpstr>
      <vt:lpstr>CFPM-JET</vt:lpstr>
      <vt:lpstr>EVOTA-T IMMO</vt:lpstr>
      <vt:lpstr>Listes</vt:lpstr>
      <vt:lpstr>Dashbord!Entreprises</vt:lpstr>
      <vt:lpstr>Entreprises</vt:lpstr>
      <vt:lpstr>CAPI!Impression_des_titres</vt:lpstr>
      <vt:lpstr>'CFPM-JET'!Impression_des_titres</vt:lpstr>
      <vt:lpstr>Dashbord!Impression_des_titres</vt:lpstr>
      <vt:lpstr>'EVOTA-T IMMO'!Impression_des_titres</vt:lpstr>
      <vt:lpstr>GICCOPACAM!Impression_des_titres</vt:lpstr>
      <vt:lpstr>'JET INDUSTRY'!Impression_des_titres</vt:lpstr>
      <vt:lpstr>'JET INVESTMENT'!Impression_des_titres</vt:lpstr>
      <vt:lpstr>Journal!Impression_des_titres</vt:lpstr>
      <vt:lpstr>KENZO!Impression_des_titres</vt:lpstr>
      <vt:lpstr>'SCI-JET'!Impression_des_titres</vt:lpstr>
      <vt:lpstr>CAPI!Zone_d_impression</vt:lpstr>
      <vt:lpstr>'CFPM-JET'!Zone_d_impression</vt:lpstr>
      <vt:lpstr>Dashbord!Zone_d_impression</vt:lpstr>
      <vt:lpstr>'EVOTA-T IMMO'!Zone_d_impression</vt:lpstr>
      <vt:lpstr>GICCOPACAM!Zone_d_impression</vt:lpstr>
      <vt:lpstr>'JET INDUSTRY'!Zone_d_impression</vt:lpstr>
      <vt:lpstr>'JET INVESTMENT'!Zone_d_impression</vt:lpstr>
      <vt:lpstr>Journal!Zone_d_impression</vt:lpstr>
      <vt:lpstr>KENZO!Zone_d_impression</vt:lpstr>
      <vt:lpstr>'SCI-JET'!Zone_d_impression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2019-02-19T20:17:25Z</dcterms:created>
  <dcterms:modified xsi:type="dcterms:W3CDTF">2026-10-13T10:35:35Z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