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drawings/drawing7.xml" ContentType="application/vnd.openxmlformats-officedocument.drawing+xml"/>
  <Override PartName="/xl/tables/table7.xml" ContentType="application/vnd.openxmlformats-officedocument.spreadsheetml.table+xml"/>
  <Override PartName="/xl/drawings/drawing8.xml" ContentType="application/vnd.openxmlformats-officedocument.drawing+xml"/>
  <Override PartName="/xl/tables/table8.xml" ContentType="application/vnd.openxmlformats-officedocument.spreadsheetml.table+xml"/>
  <Override PartName="/xl/drawings/drawing9.xml" ContentType="application/vnd.openxmlformats-officedocument.drawing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/>
  <bookViews>
    <workbookView xWindow="0" yWindow="0" windowWidth="28770" windowHeight="12360" activeTab="1"/>
  </bookViews>
  <sheets>
    <sheet name="Feuil1" sheetId="12" r:id="rId1"/>
    <sheet name="CENTRALISATION" sheetId="2" r:id="rId2"/>
    <sheet name="CAPI" sheetId="1" r:id="rId3"/>
    <sheet name="GICCOPACAM" sheetId="4" r:id="rId4"/>
    <sheet name="KENZO" sheetId="5" r:id="rId5"/>
    <sheet name="JET INDUSTRY" sheetId="6" r:id="rId6"/>
    <sheet name="JET INVESTMENT" sheetId="7" r:id="rId7"/>
    <sheet name="SCI-JET" sheetId="8" r:id="rId8"/>
    <sheet name="CFPM-JET" sheetId="9" r:id="rId9"/>
    <sheet name="EVOTA-T IMMO" sheetId="11" r:id="rId10"/>
  </sheets>
  <definedNames>
    <definedName name="_xlnm.Print_Titles" localSheetId="2">CAPI!$6:$6</definedName>
    <definedName name="_xlnm.Print_Titles" localSheetId="1">CENTRALISATION!$7:$7</definedName>
    <definedName name="_xlnm.Print_Titles" localSheetId="8">'CFPM-JET'!$6:$6</definedName>
    <definedName name="_xlnm.Print_Titles" localSheetId="9">'EVOTA-T IMMO'!$6:$6</definedName>
    <definedName name="_xlnm.Print_Titles" localSheetId="3">GICCOPACAM!$6:$6</definedName>
    <definedName name="_xlnm.Print_Titles" localSheetId="5">'JET INDUSTRY'!$6:$6</definedName>
    <definedName name="_xlnm.Print_Titles" localSheetId="6">'JET INVESTMENT'!$6:$6</definedName>
    <definedName name="_xlnm.Print_Titles" localSheetId="4">KENZO!$6:$6</definedName>
    <definedName name="_xlnm.Print_Titles" localSheetId="7">'SCI-JET'!$6:$6</definedName>
    <definedName name="_xlnm.Print_Area" localSheetId="2">CAPI!$A$1:$G$17</definedName>
    <definedName name="_xlnm.Print_Area" localSheetId="1">CENTRALISATION!$A$1:$H$15</definedName>
    <definedName name="_xlnm.Print_Area" localSheetId="8">'CFPM-JET'!$A$1:$G$17</definedName>
    <definedName name="_xlnm.Print_Area" localSheetId="9">'EVOTA-T IMMO'!$A$1:$G$17</definedName>
    <definedName name="_xlnm.Print_Area" localSheetId="3">GICCOPACAM!$A$1:$G$17</definedName>
    <definedName name="_xlnm.Print_Area" localSheetId="5">'JET INDUSTRY'!$A$1:$G$17</definedName>
    <definedName name="_xlnm.Print_Area" localSheetId="6">'JET INVESTMENT'!$A$1:$G$17</definedName>
    <definedName name="_xlnm.Print_Area" localSheetId="4">KENZO!$A$1:$G$17</definedName>
    <definedName name="_xlnm.Print_Area" localSheetId="7">'SCI-JET'!$A$1:$G$17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5" i="2" l="1"/>
  <c r="E15" i="2"/>
  <c r="F15" i="2"/>
  <c r="G15" i="2"/>
  <c r="H15" i="2"/>
  <c r="I15" i="2"/>
  <c r="J15" i="2"/>
  <c r="K15" i="2"/>
  <c r="L15" i="2"/>
  <c r="M15" i="2"/>
  <c r="N15" i="2"/>
  <c r="O15" i="2"/>
  <c r="P15" i="2"/>
  <c r="Q15" i="2"/>
  <c r="R15" i="2"/>
  <c r="S15" i="2"/>
  <c r="T15" i="2"/>
  <c r="G4" i="12" l="1"/>
  <c r="G8" i="12"/>
  <c r="G9" i="12" s="1"/>
  <c r="G10" i="12" s="1"/>
  <c r="G11" i="12" s="1"/>
  <c r="F11" i="12"/>
  <c r="D9" i="1"/>
  <c r="U9" i="11"/>
  <c r="T9" i="11"/>
  <c r="S9" i="11"/>
  <c r="R9" i="11"/>
  <c r="Q9" i="11"/>
  <c r="P9" i="11"/>
  <c r="O9" i="11"/>
  <c r="N9" i="11"/>
  <c r="M9" i="11"/>
  <c r="L9" i="11"/>
  <c r="K9" i="11"/>
  <c r="J9" i="11"/>
  <c r="I9" i="11"/>
  <c r="H9" i="11"/>
  <c r="F9" i="11"/>
  <c r="E9" i="11"/>
  <c r="F4" i="11" s="1"/>
  <c r="D9" i="11"/>
  <c r="V8" i="11"/>
  <c r="V7" i="11"/>
  <c r="G7" i="11"/>
  <c r="G8" i="11" s="1"/>
  <c r="G9" i="11" s="1"/>
  <c r="C3" i="11"/>
  <c r="U9" i="9"/>
  <c r="T9" i="9"/>
  <c r="S9" i="9"/>
  <c r="R9" i="9"/>
  <c r="Q9" i="9"/>
  <c r="P9" i="9"/>
  <c r="O9" i="9"/>
  <c r="N9" i="9"/>
  <c r="M9" i="9"/>
  <c r="L9" i="9"/>
  <c r="K9" i="9"/>
  <c r="J9" i="9"/>
  <c r="I9" i="9"/>
  <c r="H9" i="9"/>
  <c r="F9" i="9"/>
  <c r="E9" i="9"/>
  <c r="D9" i="9"/>
  <c r="V8" i="9"/>
  <c r="V7" i="9"/>
  <c r="G7" i="9"/>
  <c r="G8" i="9" s="1"/>
  <c r="G9" i="9" s="1"/>
  <c r="C3" i="9"/>
  <c r="C4" i="2"/>
  <c r="U9" i="8"/>
  <c r="T9" i="8"/>
  <c r="S9" i="8"/>
  <c r="R9" i="8"/>
  <c r="Q9" i="8"/>
  <c r="P9" i="8"/>
  <c r="O9" i="8"/>
  <c r="N9" i="8"/>
  <c r="M9" i="8"/>
  <c r="L9" i="8"/>
  <c r="K9" i="8"/>
  <c r="J9" i="8"/>
  <c r="I9" i="8"/>
  <c r="H9" i="8"/>
  <c r="F9" i="8"/>
  <c r="E9" i="8"/>
  <c r="D9" i="8"/>
  <c r="V8" i="8"/>
  <c r="V7" i="8"/>
  <c r="G7" i="8"/>
  <c r="G8" i="8" s="1"/>
  <c r="G9" i="8" s="1"/>
  <c r="C3" i="8"/>
  <c r="U9" i="7"/>
  <c r="T9" i="7"/>
  <c r="S9" i="7"/>
  <c r="R9" i="7"/>
  <c r="Q9" i="7"/>
  <c r="P9" i="7"/>
  <c r="O9" i="7"/>
  <c r="N9" i="7"/>
  <c r="M9" i="7"/>
  <c r="L9" i="7"/>
  <c r="K9" i="7"/>
  <c r="J9" i="7"/>
  <c r="I9" i="7"/>
  <c r="H9" i="7"/>
  <c r="F9" i="7"/>
  <c r="E9" i="7"/>
  <c r="F4" i="7" s="1"/>
  <c r="D9" i="7"/>
  <c r="V8" i="7"/>
  <c r="V7" i="7"/>
  <c r="G7" i="7"/>
  <c r="G8" i="7" s="1"/>
  <c r="G9" i="7" s="1"/>
  <c r="C3" i="7"/>
  <c r="U9" i="6"/>
  <c r="T9" i="6"/>
  <c r="S9" i="6"/>
  <c r="R9" i="6"/>
  <c r="Q9" i="6"/>
  <c r="P9" i="6"/>
  <c r="O9" i="6"/>
  <c r="N9" i="6"/>
  <c r="M9" i="6"/>
  <c r="L9" i="6"/>
  <c r="K9" i="6"/>
  <c r="J9" i="6"/>
  <c r="I9" i="6"/>
  <c r="H9" i="6"/>
  <c r="F9" i="6"/>
  <c r="E9" i="6"/>
  <c r="D9" i="6"/>
  <c r="V8" i="6"/>
  <c r="V7" i="6"/>
  <c r="G7" i="6"/>
  <c r="G8" i="6" s="1"/>
  <c r="G9" i="6" s="1"/>
  <c r="C3" i="6"/>
  <c r="U9" i="5"/>
  <c r="T9" i="5"/>
  <c r="S9" i="5"/>
  <c r="R9" i="5"/>
  <c r="Q9" i="5"/>
  <c r="P9" i="5"/>
  <c r="O9" i="5"/>
  <c r="N9" i="5"/>
  <c r="M9" i="5"/>
  <c r="L9" i="5"/>
  <c r="K9" i="5"/>
  <c r="J9" i="5"/>
  <c r="I9" i="5"/>
  <c r="H9" i="5"/>
  <c r="F9" i="5"/>
  <c r="E9" i="5"/>
  <c r="F4" i="5" s="1"/>
  <c r="D9" i="5"/>
  <c r="V8" i="5"/>
  <c r="V7" i="5"/>
  <c r="G7" i="5"/>
  <c r="G8" i="5" s="1"/>
  <c r="G9" i="5" s="1"/>
  <c r="C3" i="5"/>
  <c r="U9" i="4"/>
  <c r="T9" i="4"/>
  <c r="S9" i="4"/>
  <c r="R9" i="4"/>
  <c r="Q9" i="4"/>
  <c r="P9" i="4"/>
  <c r="O9" i="4"/>
  <c r="N9" i="4"/>
  <c r="M9" i="4"/>
  <c r="L9" i="4"/>
  <c r="K9" i="4"/>
  <c r="J9" i="4"/>
  <c r="I9" i="4"/>
  <c r="H9" i="4"/>
  <c r="F9" i="4"/>
  <c r="E9" i="4"/>
  <c r="D9" i="4"/>
  <c r="V8" i="4"/>
  <c r="V7" i="4"/>
  <c r="G7" i="4"/>
  <c r="G8" i="4" s="1"/>
  <c r="G9" i="4" s="1"/>
  <c r="C3" i="4"/>
  <c r="F4" i="4" l="1"/>
  <c r="F4" i="6"/>
  <c r="F4" i="8"/>
  <c r="V9" i="4"/>
  <c r="V9" i="5"/>
  <c r="V9" i="6"/>
  <c r="V9" i="7"/>
  <c r="V9" i="8"/>
  <c r="F4" i="9"/>
  <c r="V9" i="11"/>
  <c r="V9" i="9"/>
  <c r="V7" i="1"/>
  <c r="U9" i="1"/>
  <c r="O9" i="1"/>
  <c r="N9" i="1"/>
  <c r="L9" i="1"/>
  <c r="Q9" i="1"/>
  <c r="T9" i="1"/>
  <c r="P9" i="1"/>
  <c r="R9" i="1"/>
  <c r="H9" i="1"/>
  <c r="S9" i="1"/>
  <c r="M9" i="1"/>
  <c r="I9" i="1"/>
  <c r="J9" i="1"/>
  <c r="K9" i="1"/>
  <c r="V8" i="1"/>
  <c r="G7" i="1"/>
  <c r="G8" i="1" s="1"/>
  <c r="E9" i="1"/>
  <c r="C3" i="1"/>
  <c r="V9" i="1" l="1"/>
  <c r="G9" i="1"/>
  <c r="F9" i="1"/>
  <c r="F4" i="1" s="1"/>
</calcChain>
</file>

<file path=xl/sharedStrings.xml><?xml version="1.0" encoding="utf-8"?>
<sst xmlns="http://schemas.openxmlformats.org/spreadsheetml/2006/main" count="281" uniqueCount="65">
  <si>
    <t>Date</t>
  </si>
  <si>
    <t>Total</t>
  </si>
  <si>
    <t>Solde</t>
  </si>
  <si>
    <t>CAPI CAMEROUN</t>
  </si>
  <si>
    <t>Date :</t>
  </si>
  <si>
    <t>Solde d'ouverture</t>
  </si>
  <si>
    <t>Solde de clôture</t>
  </si>
  <si>
    <t>Libellé de l'opération</t>
  </si>
  <si>
    <t>Encaissement</t>
  </si>
  <si>
    <t>Décaissemrnt</t>
  </si>
  <si>
    <t>N° pièce</t>
  </si>
  <si>
    <t>Zone de ventilation</t>
  </si>
  <si>
    <t>Taxi/peage/PAD</t>
  </si>
  <si>
    <t>Carburant</t>
  </si>
  <si>
    <t>Entretien</t>
  </si>
  <si>
    <t>AG</t>
  </si>
  <si>
    <t>Banque</t>
  </si>
  <si>
    <t>Mat., mob.</t>
  </si>
  <si>
    <t>Nom et ignature du caissier</t>
  </si>
  <si>
    <t>Nom et Signature du responsable</t>
  </si>
  <si>
    <t>Impot/Cnps</t>
  </si>
  <si>
    <t>Salaire</t>
  </si>
  <si>
    <t>Loyer</t>
  </si>
  <si>
    <t>Télécom</t>
  </si>
  <si>
    <t>Electricité</t>
  </si>
  <si>
    <t>Eau</t>
  </si>
  <si>
    <t>Autres</t>
  </si>
  <si>
    <t>Missions/MinCce</t>
  </si>
  <si>
    <t>GICCOPACAM</t>
  </si>
  <si>
    <t>KENZO &amp; Co.</t>
  </si>
  <si>
    <t>JET INDUSTRY</t>
  </si>
  <si>
    <t>JET INVESTMENT</t>
  </si>
  <si>
    <t>SCI-JET</t>
  </si>
  <si>
    <t>CFPM-JET</t>
  </si>
  <si>
    <t>TABLEAU RECAPITULATIF DES CAISSES</t>
  </si>
  <si>
    <t>EVORA-T</t>
  </si>
  <si>
    <t>CARBURANT+MISSION+TAXI</t>
  </si>
  <si>
    <t>Décaissement</t>
  </si>
  <si>
    <t>Index</t>
  </si>
  <si>
    <t>JOURNAL DE CAISSE</t>
  </si>
  <si>
    <t>P-001</t>
  </si>
  <si>
    <t>Entreprise</t>
  </si>
  <si>
    <t>TOTAL CAISSE</t>
  </si>
  <si>
    <t>CAPI</t>
  </si>
  <si>
    <t>KENZO &amp; CO</t>
  </si>
  <si>
    <t>CFPM</t>
  </si>
  <si>
    <t>EVORA-T IMMO</t>
  </si>
  <si>
    <t>∑ Encaissements</t>
  </si>
  <si>
    <t>∑ Solde Initial</t>
  </si>
  <si>
    <t>∑ Décaissements</t>
  </si>
  <si>
    <t>∑ solde</t>
  </si>
  <si>
    <t>∑ AG</t>
  </si>
  <si>
    <t>∑ Carburant</t>
  </si>
  <si>
    <t>∑ Missions/MinCce</t>
  </si>
  <si>
    <t>∑ Taxi/peage/PAD</t>
  </si>
  <si>
    <t>∑ Télécom</t>
  </si>
  <si>
    <t>∑ Entretien</t>
  </si>
  <si>
    <t>∑ Électricité</t>
  </si>
  <si>
    <t>∑ Eau</t>
  </si>
  <si>
    <t>∑ Impot/Cnps</t>
  </si>
  <si>
    <t>∑ Loyer</t>
  </si>
  <si>
    <t>∑ Banque</t>
  </si>
  <si>
    <t>∑ Mat., mob.</t>
  </si>
  <si>
    <t>∑ Salaire</t>
  </si>
  <si>
    <t>∑ Autres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</si>
</sst>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\ &quot;€&quot;_-;\-* #,##0\ &quot;€&quot;_-;_-* &quot;-&quot;\ &quot;€&quot;_-;_-@_-"/>
    <numFmt numFmtId="165" formatCode="_-* #,##0.00\ &quot;€&quot;_-;\-* #,##0.00\ &quot;€&quot;_-;_-* &quot;-&quot;??\ &quot;€&quot;_-;_-@_-"/>
    <numFmt numFmtId="166" formatCode="_(* #,##0_);_(* \(#,##0\);_(* &quot;-&quot;_);_(@_)"/>
    <numFmt numFmtId="167" formatCode="_(* #,##0.00_);_(* \(#,##0.00\);_(* &quot;-&quot;??_);_(@_)"/>
  </numFmts>
  <fonts count="45" x14ac:knownFonts="1">
    <font>
      <sz val="10"/>
      <name val="Arial"/>
      <family val="2"/>
    </font>
    <font>
      <sz val="11"/>
      <color theme="1"/>
      <name val="Franklin Gothic Book"/>
      <family val="2"/>
      <scheme val="minor"/>
    </font>
    <font>
      <sz val="12"/>
      <color theme="1"/>
      <name val="Franklin Gothic Book"/>
      <family val="2"/>
      <scheme val="minor"/>
    </font>
    <font>
      <sz val="8"/>
      <name val="Arial"/>
      <family val="2"/>
    </font>
    <font>
      <sz val="10"/>
      <name val="Franklin Gothic Book"/>
      <family val="2"/>
      <scheme val="minor"/>
    </font>
    <font>
      <b/>
      <sz val="12"/>
      <name val="Franklin Gothic Book"/>
      <family val="2"/>
      <scheme val="minor"/>
    </font>
    <font>
      <b/>
      <sz val="10"/>
      <name val="Franklin Gothic Book"/>
      <family val="2"/>
      <scheme val="minor"/>
    </font>
    <font>
      <b/>
      <sz val="12"/>
      <color theme="1"/>
      <name val="Franklin Gothic Book"/>
      <family val="2"/>
      <scheme val="minor"/>
    </font>
    <font>
      <sz val="12"/>
      <name val="Franklin Gothic Book"/>
      <family val="2"/>
      <scheme val="minor"/>
    </font>
    <font>
      <b/>
      <sz val="12"/>
      <color theme="5" tint="-0.249977111117893"/>
      <name val="Franklin Gothic Book"/>
      <family val="2"/>
      <scheme val="minor"/>
    </font>
    <font>
      <b/>
      <sz val="12"/>
      <color theme="3"/>
      <name val="Franklin Gothic Book"/>
      <family val="2"/>
      <scheme val="minor"/>
    </font>
    <font>
      <sz val="12"/>
      <color theme="3"/>
      <name val="Franklin Gothic Book"/>
      <family val="2"/>
      <scheme val="minor"/>
    </font>
    <font>
      <sz val="18"/>
      <color theme="3"/>
      <name val="Constantia"/>
      <family val="2"/>
      <scheme val="major"/>
    </font>
    <font>
      <b/>
      <sz val="15"/>
      <color theme="3"/>
      <name val="Franklin Gothic Book"/>
      <family val="2"/>
      <scheme val="minor"/>
    </font>
    <font>
      <b/>
      <sz val="13"/>
      <color theme="3"/>
      <name val="Franklin Gothic Book"/>
      <family val="2"/>
      <scheme val="minor"/>
    </font>
    <font>
      <b/>
      <sz val="11"/>
      <color theme="3"/>
      <name val="Franklin Gothic Book"/>
      <family val="2"/>
      <scheme val="minor"/>
    </font>
    <font>
      <sz val="11"/>
      <color rgb="FF006100"/>
      <name val="Franklin Gothic Book"/>
      <family val="2"/>
      <scheme val="minor"/>
    </font>
    <font>
      <sz val="11"/>
      <color rgb="FF9C0006"/>
      <name val="Franklin Gothic Book"/>
      <family val="2"/>
      <scheme val="minor"/>
    </font>
    <font>
      <sz val="11"/>
      <color rgb="FF9C5700"/>
      <name val="Franklin Gothic Book"/>
      <family val="2"/>
      <scheme val="minor"/>
    </font>
    <font>
      <sz val="11"/>
      <color rgb="FF3F3F76"/>
      <name val="Franklin Gothic Book"/>
      <family val="2"/>
      <scheme val="minor"/>
    </font>
    <font>
      <b/>
      <sz val="11"/>
      <color rgb="FF3F3F3F"/>
      <name val="Franklin Gothic Book"/>
      <family val="2"/>
      <scheme val="minor"/>
    </font>
    <font>
      <b/>
      <sz val="11"/>
      <color rgb="FFFA7D00"/>
      <name val="Franklin Gothic Book"/>
      <family val="2"/>
      <scheme val="minor"/>
    </font>
    <font>
      <sz val="11"/>
      <color rgb="FFFA7D00"/>
      <name val="Franklin Gothic Book"/>
      <family val="2"/>
      <scheme val="minor"/>
    </font>
    <font>
      <b/>
      <sz val="11"/>
      <color theme="0"/>
      <name val="Franklin Gothic Book"/>
      <family val="2"/>
      <scheme val="minor"/>
    </font>
    <font>
      <sz val="11"/>
      <color rgb="FFFF0000"/>
      <name val="Franklin Gothic Book"/>
      <family val="2"/>
      <scheme val="minor"/>
    </font>
    <font>
      <i/>
      <sz val="11"/>
      <color rgb="FF7F7F7F"/>
      <name val="Franklin Gothic Book"/>
      <family val="2"/>
      <scheme val="minor"/>
    </font>
    <font>
      <b/>
      <sz val="11"/>
      <color theme="1"/>
      <name val="Franklin Gothic Book"/>
      <family val="2"/>
      <scheme val="minor"/>
    </font>
    <font>
      <sz val="11"/>
      <color theme="0"/>
      <name val="Franklin Gothic Book"/>
      <family val="2"/>
      <scheme val="minor"/>
    </font>
    <font>
      <sz val="10"/>
      <name val="Arial"/>
      <family val="2"/>
    </font>
    <font>
      <sz val="11"/>
      <name val="Franklin Gothic Book"/>
      <family val="2"/>
      <scheme val="minor"/>
    </font>
    <font>
      <b/>
      <sz val="11"/>
      <name val="Franklin Gothic Book"/>
      <family val="2"/>
      <scheme val="minor"/>
    </font>
    <font>
      <b/>
      <sz val="36"/>
      <name val="Franklin Gothic Book"/>
      <family val="2"/>
      <scheme val="minor"/>
    </font>
    <font>
      <sz val="12"/>
      <color theme="1"/>
      <name val="Arial Narrow"/>
      <family val="2"/>
    </font>
    <font>
      <b/>
      <u/>
      <sz val="10"/>
      <name val="Franklin Gothic Book"/>
      <family val="2"/>
      <scheme val="minor"/>
    </font>
    <font>
      <b/>
      <sz val="18"/>
      <name val="Arial Black"/>
      <family val="2"/>
    </font>
    <font>
      <b/>
      <sz val="10"/>
      <name val="Arial"/>
      <family val="2"/>
    </font>
    <font>
      <sz val="12"/>
      <name val="Arial"/>
      <family val="2"/>
    </font>
    <font>
      <b/>
      <sz val="26"/>
      <color rgb="FF000000"/>
      <name val="Franklin Gothic Book"/>
      <family val="2"/>
    </font>
    <font>
      <b/>
      <sz val="16"/>
      <name val="Arial"/>
      <family val="2"/>
    </font>
    <font>
      <b/>
      <sz val="12"/>
      <name val="Arial"/>
      <family val="2"/>
    </font>
    <font>
      <b/>
      <sz val="11"/>
      <color theme="1" tint="4.9989318521683403E-2"/>
      <name val="Calibri"/>
      <family val="2"/>
    </font>
    <font>
      <b/>
      <sz val="9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b/>
      <sz val="11"/>
      <name val="Arial Black"/>
      <family val="2"/>
    </font>
  </fonts>
  <fills count="3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3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CBD5E1"/>
      </left>
      <right style="thin">
        <color rgb="FFCBD5E1"/>
      </right>
      <top style="thin">
        <color rgb="FFCBD5E1"/>
      </top>
      <bottom style="thin">
        <color rgb="FFCBD5E1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7">
    <xf numFmtId="0" fontId="0" fillId="0" borderId="0"/>
    <xf numFmtId="167" fontId="28" fillId="0" borderId="0" applyFont="0" applyFill="0" applyBorder="0" applyAlignment="0" applyProtection="0"/>
    <xf numFmtId="166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2" applyNumberFormat="0" applyFill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17" fillId="5" borderId="0" applyNumberFormat="0" applyBorder="0" applyAlignment="0" applyProtection="0"/>
    <xf numFmtId="0" fontId="18" fillId="6" borderId="0" applyNumberFormat="0" applyBorder="0" applyAlignment="0" applyProtection="0"/>
    <xf numFmtId="0" fontId="19" fillId="7" borderId="5" applyNumberFormat="0" applyAlignment="0" applyProtection="0"/>
    <xf numFmtId="0" fontId="20" fillId="8" borderId="6" applyNumberFormat="0" applyAlignment="0" applyProtection="0"/>
    <xf numFmtId="0" fontId="21" fillId="8" borderId="5" applyNumberFormat="0" applyAlignment="0" applyProtection="0"/>
    <xf numFmtId="0" fontId="22" fillId="0" borderId="7" applyNumberFormat="0" applyFill="0" applyAlignment="0" applyProtection="0"/>
    <xf numFmtId="0" fontId="23" fillId="9" borderId="8" applyNumberFormat="0" applyAlignment="0" applyProtection="0"/>
    <xf numFmtId="0" fontId="24" fillId="0" borderId="0" applyNumberFormat="0" applyFill="0" applyBorder="0" applyAlignment="0" applyProtection="0"/>
    <xf numFmtId="0" fontId="28" fillId="10" borderId="9" applyNumberFormat="0" applyFont="0" applyAlignment="0" applyProtection="0"/>
    <xf numFmtId="0" fontId="25" fillId="0" borderId="0" applyNumberFormat="0" applyFill="0" applyBorder="0" applyAlignment="0" applyProtection="0"/>
    <xf numFmtId="0" fontId="26" fillId="0" borderId="10" applyNumberFormat="0" applyFill="0" applyAlignment="0" applyProtection="0"/>
    <xf numFmtId="0" fontId="27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27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27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27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27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27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</cellStyleXfs>
  <cellXfs count="69">
    <xf numFmtId="0" fontId="0" fillId="0" borderId="0" xfId="0"/>
    <xf numFmtId="0" fontId="4" fillId="0" borderId="0" xfId="0" applyFont="1"/>
    <xf numFmtId="0" fontId="6" fillId="0" borderId="0" xfId="0" applyFont="1"/>
    <xf numFmtId="0" fontId="4" fillId="0" borderId="0" xfId="0" applyFont="1" applyAlignment="1">
      <alignment horizontal="left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wrapText="1"/>
    </xf>
    <xf numFmtId="0" fontId="10" fillId="0" borderId="1" xfId="0" applyFont="1" applyBorder="1" applyAlignment="1">
      <alignment vertical="center" wrapText="1"/>
    </xf>
    <xf numFmtId="0" fontId="4" fillId="0" borderId="11" xfId="0" applyFont="1" applyBorder="1"/>
    <xf numFmtId="0" fontId="4" fillId="0" borderId="11" xfId="0" applyFont="1" applyBorder="1" applyAlignment="1">
      <alignment horizontal="left"/>
    </xf>
    <xf numFmtId="0" fontId="31" fillId="0" borderId="11" xfId="0" applyFont="1" applyBorder="1" applyAlignment="1">
      <alignment vertical="center"/>
    </xf>
    <xf numFmtId="0" fontId="29" fillId="0" borderId="0" xfId="0" applyFont="1"/>
    <xf numFmtId="14" fontId="30" fillId="0" borderId="0" xfId="0" applyNumberFormat="1" applyFont="1" applyAlignment="1">
      <alignment horizontal="left"/>
    </xf>
    <xf numFmtId="0" fontId="29" fillId="0" borderId="0" xfId="0" applyFont="1" applyAlignment="1">
      <alignment horizontal="left"/>
    </xf>
    <xf numFmtId="0" fontId="2" fillId="0" borderId="0" xfId="0" applyFont="1" applyAlignment="1">
      <alignment vertical="center" wrapText="1"/>
    </xf>
    <xf numFmtId="3" fontId="2" fillId="0" borderId="0" xfId="0" applyNumberFormat="1" applyFont="1" applyAlignment="1">
      <alignment vertical="center" wrapText="1"/>
    </xf>
    <xf numFmtId="3" fontId="10" fillId="0" borderId="1" xfId="0" applyNumberFormat="1" applyFont="1" applyBorder="1" applyAlignment="1">
      <alignment vertical="center" wrapText="1"/>
    </xf>
    <xf numFmtId="3" fontId="2" fillId="0" borderId="0" xfId="0" applyNumberFormat="1" applyFont="1" applyAlignment="1">
      <alignment horizontal="left" vertical="center" wrapText="1"/>
    </xf>
    <xf numFmtId="3" fontId="11" fillId="0" borderId="1" xfId="0" applyNumberFormat="1" applyFont="1" applyBorder="1" applyAlignment="1">
      <alignment horizontal="left" vertical="center" wrapText="1"/>
    </xf>
    <xf numFmtId="0" fontId="32" fillId="0" borderId="0" xfId="0" applyFont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5" fillId="0" borderId="0" xfId="0" applyFont="1" applyAlignment="1">
      <alignment horizontal="left" vertical="center"/>
    </xf>
    <xf numFmtId="0" fontId="33" fillId="0" borderId="0" xfId="0" applyFont="1"/>
    <xf numFmtId="0" fontId="33" fillId="0" borderId="0" xfId="0" applyFont="1" applyAlignment="1">
      <alignment horizontal="left"/>
    </xf>
    <xf numFmtId="3" fontId="2" fillId="0" borderId="0" xfId="0" applyNumberFormat="1" applyFont="1" applyAlignment="1">
      <alignment horizontal="right" vertical="center" wrapText="1"/>
    </xf>
    <xf numFmtId="3" fontId="0" fillId="0" borderId="0" xfId="0" applyNumberFormat="1" applyAlignment="1">
      <alignment horizontal="right" vertical="top" wrapText="1"/>
    </xf>
    <xf numFmtId="3" fontId="11" fillId="0" borderId="1" xfId="0" applyNumberFormat="1" applyFont="1" applyBorder="1" applyAlignment="1">
      <alignment horizontal="right" vertical="center" wrapText="1"/>
    </xf>
    <xf numFmtId="3" fontId="35" fillId="0" borderId="0" xfId="0" applyNumberFormat="1" applyFont="1" applyAlignment="1">
      <alignment horizontal="right" vertical="top" wrapText="1"/>
    </xf>
    <xf numFmtId="3" fontId="10" fillId="0" borderId="1" xfId="0" applyNumberFormat="1" applyFont="1" applyBorder="1" applyAlignment="1">
      <alignment horizontal="right" vertical="center" wrapText="1"/>
    </xf>
    <xf numFmtId="3" fontId="7" fillId="0" borderId="0" xfId="0" applyNumberFormat="1" applyFont="1" applyAlignment="1">
      <alignment vertical="center" wrapText="1"/>
    </xf>
    <xf numFmtId="14" fontId="7" fillId="2" borderId="15" xfId="0" applyNumberFormat="1" applyFont="1" applyFill="1" applyBorder="1" applyAlignment="1">
      <alignment vertical="center"/>
    </xf>
    <xf numFmtId="14" fontId="7" fillId="2" borderId="15" xfId="0" applyNumberFormat="1" applyFont="1" applyFill="1" applyBorder="1" applyAlignment="1">
      <alignment horizontal="right" vertical="center"/>
    </xf>
    <xf numFmtId="3" fontId="9" fillId="35" borderId="15" xfId="0" applyNumberFormat="1" applyFont="1" applyFill="1" applyBorder="1" applyAlignment="1">
      <alignment horizontal="right" vertical="center"/>
    </xf>
    <xf numFmtId="0" fontId="7" fillId="2" borderId="15" xfId="0" applyFont="1" applyFill="1" applyBorder="1" applyAlignment="1">
      <alignment horizontal="right" vertical="center"/>
    </xf>
    <xf numFmtId="0" fontId="11" fillId="0" borderId="1" xfId="0" applyFont="1" applyBorder="1" applyAlignment="1">
      <alignment horizontal="right" vertical="center" wrapText="1"/>
    </xf>
    <xf numFmtId="14" fontId="36" fillId="0" borderId="0" xfId="0" applyNumberFormat="1" applyFont="1" applyAlignment="1">
      <alignment horizontal="right" vertical="top" wrapText="1"/>
    </xf>
    <xf numFmtId="0" fontId="9" fillId="2" borderId="15" xfId="0" applyFont="1" applyFill="1" applyBorder="1" applyAlignment="1">
      <alignment vertical="center"/>
    </xf>
    <xf numFmtId="0" fontId="0" fillId="0" borderId="0" xfId="0" applyAlignment="1">
      <alignment horizontal="center"/>
    </xf>
    <xf numFmtId="4" fontId="0" fillId="0" borderId="0" xfId="0" applyNumberFormat="1"/>
    <xf numFmtId="0" fontId="0" fillId="0" borderId="0" xfId="0" applyAlignment="1">
      <alignment horizontal="center" vertical="center"/>
    </xf>
    <xf numFmtId="0" fontId="36" fillId="0" borderId="0" xfId="0" applyFont="1" applyAlignment="1">
      <alignment horizontal="center" vertical="center"/>
    </xf>
    <xf numFmtId="4" fontId="5" fillId="0" borderId="0" xfId="0" applyNumberFormat="1" applyFont="1" applyAlignment="1">
      <alignment horizontal="left"/>
    </xf>
    <xf numFmtId="0" fontId="39" fillId="0" borderId="0" xfId="0" applyFont="1" applyAlignment="1"/>
    <xf numFmtId="0" fontId="7" fillId="0" borderId="0" xfId="0" applyFont="1" applyFill="1" applyBorder="1" applyAlignment="1">
      <alignment vertical="center"/>
    </xf>
    <xf numFmtId="0" fontId="37" fillId="0" borderId="0" xfId="0" applyFont="1" applyAlignment="1">
      <alignment horizontal="center" vertical="center"/>
    </xf>
    <xf numFmtId="0" fontId="38" fillId="0" borderId="0" xfId="0" applyFont="1" applyAlignment="1">
      <alignment horizontal="center"/>
    </xf>
    <xf numFmtId="0" fontId="39" fillId="0" borderId="0" xfId="0" applyFont="1" applyAlignment="1">
      <alignment horizontal="right"/>
    </xf>
    <xf numFmtId="0" fontId="4" fillId="0" borderId="14" xfId="0" applyFont="1" applyBorder="1" applyAlignment="1">
      <alignment horizontal="center"/>
    </xf>
    <xf numFmtId="0" fontId="34" fillId="3" borderId="16" xfId="0" applyFont="1" applyFill="1" applyBorder="1" applyAlignment="1">
      <alignment horizontal="center" vertical="center"/>
    </xf>
    <xf numFmtId="0" fontId="34" fillId="3" borderId="17" xfId="0" applyFont="1" applyFill="1" applyBorder="1" applyAlignment="1">
      <alignment horizontal="center" vertical="center"/>
    </xf>
    <xf numFmtId="0" fontId="34" fillId="3" borderId="18" xfId="0" applyFont="1" applyFill="1" applyBorder="1" applyAlignment="1">
      <alignment horizontal="center" vertical="center"/>
    </xf>
    <xf numFmtId="0" fontId="34" fillId="3" borderId="12" xfId="0" applyFont="1" applyFill="1" applyBorder="1" applyAlignment="1">
      <alignment horizontal="center" vertical="center"/>
    </xf>
    <xf numFmtId="0" fontId="34" fillId="3" borderId="13" xfId="0" applyFont="1" applyFill="1" applyBorder="1" applyAlignment="1">
      <alignment horizontal="center" vertical="center"/>
    </xf>
    <xf numFmtId="0" fontId="34" fillId="3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/>
    </xf>
    <xf numFmtId="0" fontId="4" fillId="0" borderId="0" xfId="0" applyFont="1" applyBorder="1"/>
    <xf numFmtId="0" fontId="40" fillId="2" borderId="19" xfId="0" applyFont="1" applyFill="1" applyBorder="1" applyAlignment="1">
      <alignment horizontal="center" vertical="center" wrapText="1"/>
    </xf>
    <xf numFmtId="0" fontId="41" fillId="0" borderId="19" xfId="0" applyFont="1" applyFill="1" applyBorder="1" applyAlignment="1">
      <alignment horizontal="right" vertical="center" wrapText="1"/>
    </xf>
    <xf numFmtId="3" fontId="42" fillId="0" borderId="19" xfId="0" applyNumberFormat="1" applyFont="1" applyFill="1" applyBorder="1" applyAlignment="1">
      <alignment horizontal="right" vertical="center"/>
    </xf>
    <xf numFmtId="3" fontId="43" fillId="0" borderId="19" xfId="0" applyNumberFormat="1" applyFont="1" applyFill="1" applyBorder="1" applyAlignment="1">
      <alignment horizontal="right" vertical="center"/>
    </xf>
    <xf numFmtId="3" fontId="41" fillId="36" borderId="19" xfId="0" applyNumberFormat="1" applyFont="1" applyFill="1" applyBorder="1" applyAlignment="1">
      <alignment horizontal="right" vertical="center" wrapText="1"/>
    </xf>
    <xf numFmtId="3" fontId="43" fillId="36" borderId="19" xfId="0" applyNumberFormat="1" applyFont="1" applyFill="1" applyBorder="1" applyAlignment="1">
      <alignment horizontal="right" vertical="center"/>
    </xf>
    <xf numFmtId="0" fontId="44" fillId="3" borderId="0" xfId="0" applyFont="1" applyFill="1" applyBorder="1" applyAlignment="1">
      <alignment horizontal="center"/>
    </xf>
    <xf numFmtId="14" fontId="30" fillId="0" borderId="0" xfId="0" applyNumberFormat="1" applyFont="1" applyAlignment="1">
      <alignment horizontal="center"/>
    </xf>
    <xf numFmtId="0" fontId="34" fillId="3" borderId="20" xfId="0" applyFont="1" applyFill="1" applyBorder="1" applyAlignment="1">
      <alignment horizontal="center" vertical="center"/>
    </xf>
    <xf numFmtId="0" fontId="42" fillId="0" borderId="0" xfId="0" applyFont="1"/>
    <xf numFmtId="0" fontId="40" fillId="2" borderId="19" xfId="0" applyFont="1" applyFill="1" applyBorder="1" applyAlignment="1">
      <alignment horizontal="center" vertical="center"/>
    </xf>
  </cellXfs>
  <cellStyles count="47">
    <cellStyle name="20 % - Accent1" xfId="24" builtinId="30" customBuiltin="1"/>
    <cellStyle name="20 % - Accent2" xfId="28" builtinId="34" customBuiltin="1"/>
    <cellStyle name="20 % - Accent3" xfId="32" builtinId="38" customBuiltin="1"/>
    <cellStyle name="20 % - Accent4" xfId="36" builtinId="42" customBuiltin="1"/>
    <cellStyle name="20 % - Accent5" xfId="40" builtinId="46" customBuiltin="1"/>
    <cellStyle name="20 % - Accent6" xfId="44" builtinId="50" customBuiltin="1"/>
    <cellStyle name="40 % - Accent1" xfId="25" builtinId="31" customBuiltin="1"/>
    <cellStyle name="40 % - Accent2" xfId="29" builtinId="35" customBuiltin="1"/>
    <cellStyle name="40 % - Accent3" xfId="33" builtinId="39" customBuiltin="1"/>
    <cellStyle name="40 % - Accent4" xfId="37" builtinId="43" customBuiltin="1"/>
    <cellStyle name="40 % - Accent5" xfId="41" builtinId="47" customBuiltin="1"/>
    <cellStyle name="40 % - Accent6" xfId="45" builtinId="51" customBuiltin="1"/>
    <cellStyle name="60 % - Accent1" xfId="26" builtinId="32" customBuiltin="1"/>
    <cellStyle name="60 % - Accent2" xfId="30" builtinId="36" customBuiltin="1"/>
    <cellStyle name="60 % - Accent3" xfId="34" builtinId="40" customBuiltin="1"/>
    <cellStyle name="60 % - Accent4" xfId="38" builtinId="44" customBuiltin="1"/>
    <cellStyle name="60 % - Accent5" xfId="42" builtinId="48" customBuiltin="1"/>
    <cellStyle name="60 % - Accent6" xfId="46" builtinId="52" customBuiltin="1"/>
    <cellStyle name="Accent1" xfId="23" builtinId="29" customBuiltin="1"/>
    <cellStyle name="Accent2" xfId="27" builtinId="33" customBuiltin="1"/>
    <cellStyle name="Accent3" xfId="31" builtinId="37" customBuiltin="1"/>
    <cellStyle name="Accent4" xfId="35" builtinId="41" customBuiltin="1"/>
    <cellStyle name="Accent5" xfId="39" builtinId="45" customBuiltin="1"/>
    <cellStyle name="Accent6" xfId="43" builtinId="49" customBuiltin="1"/>
    <cellStyle name="Avertissement" xfId="19" builtinId="11" customBuiltin="1"/>
    <cellStyle name="Calcul" xfId="16" builtinId="22" customBuiltin="1"/>
    <cellStyle name="Cellule liée" xfId="17" builtinId="24" customBuiltin="1"/>
    <cellStyle name="Commentaire" xfId="20" builtinId="10" customBuiltin="1"/>
    <cellStyle name="Entrée" xfId="14" builtinId="20" customBuiltin="1"/>
    <cellStyle name="Insatisfaisant" xfId="12" builtinId="27" customBuiltin="1"/>
    <cellStyle name="Milliers" xfId="1" builtinId="3" customBuiltin="1"/>
    <cellStyle name="Milliers [0]" xfId="2" builtinId="6" customBuiltin="1"/>
    <cellStyle name="Monétaire" xfId="3" builtinId="4" customBuiltin="1"/>
    <cellStyle name="Monétaire [0]" xfId="4" builtinId="7" customBuiltin="1"/>
    <cellStyle name="Neutre" xfId="13" builtinId="28" customBuiltin="1"/>
    <cellStyle name="Normal" xfId="0" builtinId="0" customBuiltin="1"/>
    <cellStyle name="Pourcentage" xfId="5" builtinId="5" customBuiltin="1"/>
    <cellStyle name="Satisfaisant" xfId="11" builtinId="26" customBuiltin="1"/>
    <cellStyle name="Sortie" xfId="15" builtinId="21" customBuiltin="1"/>
    <cellStyle name="Texte explicatif" xfId="21" builtinId="53" customBuiltin="1"/>
    <cellStyle name="Titre" xfId="6" builtinId="15" customBuiltin="1"/>
    <cellStyle name="Titre 1" xfId="7" builtinId="16" customBuiltin="1"/>
    <cellStyle name="Titre 2" xfId="8" builtinId="17" customBuiltin="1"/>
    <cellStyle name="Titre 3" xfId="9" builtinId="18" customBuiltin="1"/>
    <cellStyle name="Titre 4" xfId="10" builtinId="19" customBuiltin="1"/>
    <cellStyle name="Total" xfId="22" builtinId="25" customBuiltin="1"/>
    <cellStyle name="Vérification" xfId="18" builtinId="23" customBuiltin="1"/>
  </cellStyles>
  <dxfs count="365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4" formatCode="#,##0.00"/>
    </dxf>
    <dxf>
      <numFmt numFmtId="4" formatCode="#,##0.0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AEAEA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990000"/>
      <rgbColor rgb="00EAEAEA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47624</xdr:colOff>
      <xdr:row>2</xdr:row>
      <xdr:rowOff>390524</xdr:rowOff>
    </xdr:from>
    <xdr:to>
      <xdr:col>4</xdr:col>
      <xdr:colOff>200024</xdr:colOff>
      <xdr:row>4</xdr:row>
      <xdr:rowOff>142874</xdr:rowOff>
    </xdr:to>
    <xdr:sp macro="" textlink="">
      <xdr:nvSpPr>
        <xdr:cNvPr id="2" name="Flèche droite 1"/>
        <xdr:cNvSpPr/>
      </xdr:nvSpPr>
      <xdr:spPr>
        <a:xfrm>
          <a:off x="2571749" y="1085849"/>
          <a:ext cx="1190625" cy="4476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ln>
                <a:solidFill>
                  <a:sysClr val="windowText" lastClr="000000"/>
                </a:solidFill>
              </a:ln>
              <a:solidFill>
                <a:schemeClr val="tx1"/>
              </a:solidFill>
            </a:rPr>
            <a:t>Jour suivant</a:t>
          </a:r>
        </a:p>
      </xdr:txBody>
    </xdr:sp>
    <xdr:clientData/>
  </xdr:twoCellAnchor>
  <xdr:twoCellAnchor>
    <xdr:from>
      <xdr:col>0</xdr:col>
      <xdr:colOff>238125</xdr:colOff>
      <xdr:row>2</xdr:row>
      <xdr:rowOff>361949</xdr:rowOff>
    </xdr:from>
    <xdr:to>
      <xdr:col>1</xdr:col>
      <xdr:colOff>1152525</xdr:colOff>
      <xdr:row>4</xdr:row>
      <xdr:rowOff>114299</xdr:rowOff>
    </xdr:to>
    <xdr:sp macro="" textlink="">
      <xdr:nvSpPr>
        <xdr:cNvPr id="5" name="Flèche droite 4"/>
        <xdr:cNvSpPr/>
      </xdr:nvSpPr>
      <xdr:spPr>
        <a:xfrm flipH="1">
          <a:off x="238125" y="1057274"/>
          <a:ext cx="1247775" cy="4476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ln>
                <a:solidFill>
                  <a:sysClr val="windowText" lastClr="000000"/>
                </a:solidFill>
              </a:ln>
              <a:solidFill>
                <a:schemeClr val="tx1"/>
              </a:solidFill>
            </a:rPr>
            <a:t>Jour précédent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76200</xdr:colOff>
      <xdr:row>0</xdr:row>
      <xdr:rowOff>161925</xdr:rowOff>
    </xdr:from>
    <xdr:to>
      <xdr:col>5</xdr:col>
      <xdr:colOff>1295400</xdr:colOff>
      <xdr:row>1</xdr:row>
      <xdr:rowOff>476250</xdr:rowOff>
    </xdr:to>
    <xdr:sp macro="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>
          <a:off x="2990850" y="161925"/>
          <a:ext cx="5314950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6" name="Rectangle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353050" y="277177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47625</xdr:colOff>
      <xdr:row>0</xdr:row>
      <xdr:rowOff>161925</xdr:rowOff>
    </xdr:from>
    <xdr:to>
      <xdr:col>5</xdr:col>
      <xdr:colOff>1628775</xdr:colOff>
      <xdr:row>1</xdr:row>
      <xdr:rowOff>476250</xdr:rowOff>
    </xdr:to>
    <xdr:sp macro="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/>
      </xdr:nvSpPr>
      <xdr:spPr>
        <a:xfrm>
          <a:off x="2962275" y="161925"/>
          <a:ext cx="4695825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3" name="Rectangle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/>
      </xdr:nvSpPr>
      <xdr:spPr>
        <a:xfrm>
          <a:off x="535305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4" name="Rectangle 3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57150</xdr:colOff>
      <xdr:row>0</xdr:row>
      <xdr:rowOff>161925</xdr:rowOff>
    </xdr:from>
    <xdr:to>
      <xdr:col>5</xdr:col>
      <xdr:colOff>1638300</xdr:colOff>
      <xdr:row>1</xdr:row>
      <xdr:rowOff>476250</xdr:rowOff>
    </xdr:to>
    <xdr:sp macro="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/>
      </xdr:nvSpPr>
      <xdr:spPr>
        <a:xfrm>
          <a:off x="2971800" y="161925"/>
          <a:ext cx="4695825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3" name="Rectangle 2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/>
      </xdr:nvSpPr>
      <xdr:spPr>
        <a:xfrm>
          <a:off x="535305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4" name="Rectangle 3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5" name="Rectangle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38100</xdr:colOff>
      <xdr:row>0</xdr:row>
      <xdr:rowOff>171450</xdr:rowOff>
    </xdr:from>
    <xdr:to>
      <xdr:col>5</xdr:col>
      <xdr:colOff>1619250</xdr:colOff>
      <xdr:row>1</xdr:row>
      <xdr:rowOff>485775</xdr:rowOff>
    </xdr:to>
    <xdr:sp macro="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/>
      </xdr:nvSpPr>
      <xdr:spPr>
        <a:xfrm>
          <a:off x="2952750" y="171450"/>
          <a:ext cx="4695825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3" name="Rectangle 2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/>
      </xdr:nvSpPr>
      <xdr:spPr>
        <a:xfrm>
          <a:off x="535305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4" name="Rectangle 3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5" name="Rectangle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6" name="Rectangle 5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38100</xdr:colOff>
      <xdr:row>0</xdr:row>
      <xdr:rowOff>152400</xdr:rowOff>
    </xdr:from>
    <xdr:to>
      <xdr:col>5</xdr:col>
      <xdr:colOff>1619250</xdr:colOff>
      <xdr:row>1</xdr:row>
      <xdr:rowOff>466725</xdr:rowOff>
    </xdr:to>
    <xdr:sp macro="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/>
      </xdr:nvSpPr>
      <xdr:spPr>
        <a:xfrm>
          <a:off x="2952750" y="152400"/>
          <a:ext cx="4695825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3" name="Rectangle 2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/>
      </xdr:nvSpPr>
      <xdr:spPr>
        <a:xfrm>
          <a:off x="535305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4" name="Rectangle 3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5" name="Rectangle 4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6" name="Rectangle 5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7" name="Rectangle 6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57150</xdr:colOff>
      <xdr:row>0</xdr:row>
      <xdr:rowOff>161925</xdr:rowOff>
    </xdr:from>
    <xdr:to>
      <xdr:col>5</xdr:col>
      <xdr:colOff>1638300</xdr:colOff>
      <xdr:row>1</xdr:row>
      <xdr:rowOff>476250</xdr:rowOff>
    </xdr:to>
    <xdr:sp macro="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SpPr/>
      </xdr:nvSpPr>
      <xdr:spPr>
        <a:xfrm>
          <a:off x="2971800" y="161925"/>
          <a:ext cx="4695825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3" name="Rectangle 2">
          <a:extLst>
            <a:ext uri="{FF2B5EF4-FFF2-40B4-BE49-F238E27FC236}">
              <a16:creationId xmlns="" xmlns:a16="http://schemas.microsoft.com/office/drawing/2014/main" id="{00000000-0008-0000-0600-000003000000}"/>
            </a:ext>
          </a:extLst>
        </xdr:cNvPr>
        <xdr:cNvSpPr/>
      </xdr:nvSpPr>
      <xdr:spPr>
        <a:xfrm>
          <a:off x="535305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4" name="Rectangle 3">
          <a:extLst>
            <a:ext uri="{FF2B5EF4-FFF2-40B4-BE49-F238E27FC236}">
              <a16:creationId xmlns="" xmlns:a16="http://schemas.microsoft.com/office/drawing/2014/main" id="{00000000-0008-0000-0600-000004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5" name="Rectangle 4">
          <a:extLst>
            <a:ext uri="{FF2B5EF4-FFF2-40B4-BE49-F238E27FC236}">
              <a16:creationId xmlns="" xmlns:a16="http://schemas.microsoft.com/office/drawing/2014/main" id="{00000000-0008-0000-0600-000005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6" name="Rectangle 5">
          <a:extLst>
            <a:ext uri="{FF2B5EF4-FFF2-40B4-BE49-F238E27FC236}">
              <a16:creationId xmlns="" xmlns:a16="http://schemas.microsoft.com/office/drawing/2014/main" id="{00000000-0008-0000-0600-000006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7" name="Rectangle 6">
          <a:extLst>
            <a:ext uri="{FF2B5EF4-FFF2-40B4-BE49-F238E27FC236}">
              <a16:creationId xmlns="" xmlns:a16="http://schemas.microsoft.com/office/drawing/2014/main" id="{00000000-0008-0000-0600-000007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8" name="Rectangle 7">
          <a:extLst>
            <a:ext uri="{FF2B5EF4-FFF2-40B4-BE49-F238E27FC236}">
              <a16:creationId xmlns="" xmlns:a16="http://schemas.microsoft.com/office/drawing/2014/main" id="{00000000-0008-0000-0600-000008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76200</xdr:colOff>
      <xdr:row>0</xdr:row>
      <xdr:rowOff>142875</xdr:rowOff>
    </xdr:from>
    <xdr:to>
      <xdr:col>5</xdr:col>
      <xdr:colOff>1657350</xdr:colOff>
      <xdr:row>1</xdr:row>
      <xdr:rowOff>457200</xdr:rowOff>
    </xdr:to>
    <xdr:sp macro="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700-000002000000}"/>
            </a:ext>
          </a:extLst>
        </xdr:cNvPr>
        <xdr:cNvSpPr/>
      </xdr:nvSpPr>
      <xdr:spPr>
        <a:xfrm>
          <a:off x="2990850" y="142875"/>
          <a:ext cx="4695825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3" name="Rectangle 2">
          <a:extLst>
            <a:ext uri="{FF2B5EF4-FFF2-40B4-BE49-F238E27FC236}">
              <a16:creationId xmlns="" xmlns:a16="http://schemas.microsoft.com/office/drawing/2014/main" id="{00000000-0008-0000-0700-000003000000}"/>
            </a:ext>
          </a:extLst>
        </xdr:cNvPr>
        <xdr:cNvSpPr/>
      </xdr:nvSpPr>
      <xdr:spPr>
        <a:xfrm>
          <a:off x="535305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4" name="Rectangle 3">
          <a:extLst>
            <a:ext uri="{FF2B5EF4-FFF2-40B4-BE49-F238E27FC236}">
              <a16:creationId xmlns="" xmlns:a16="http://schemas.microsoft.com/office/drawing/2014/main" id="{00000000-0008-0000-0700-000004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5" name="Rectangle 4">
          <a:extLst>
            <a:ext uri="{FF2B5EF4-FFF2-40B4-BE49-F238E27FC236}">
              <a16:creationId xmlns="" xmlns:a16="http://schemas.microsoft.com/office/drawing/2014/main" id="{00000000-0008-0000-0700-000005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6" name="Rectangle 5">
          <a:extLst>
            <a:ext uri="{FF2B5EF4-FFF2-40B4-BE49-F238E27FC236}">
              <a16:creationId xmlns="" xmlns:a16="http://schemas.microsoft.com/office/drawing/2014/main" id="{00000000-0008-0000-0700-000006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7" name="Rectangle 6">
          <a:extLst>
            <a:ext uri="{FF2B5EF4-FFF2-40B4-BE49-F238E27FC236}">
              <a16:creationId xmlns="" xmlns:a16="http://schemas.microsoft.com/office/drawing/2014/main" id="{00000000-0008-0000-0700-000007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8" name="Rectangle 7">
          <a:extLst>
            <a:ext uri="{FF2B5EF4-FFF2-40B4-BE49-F238E27FC236}">
              <a16:creationId xmlns="" xmlns:a16="http://schemas.microsoft.com/office/drawing/2014/main" id="{00000000-0008-0000-0700-000008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9" name="Rectangle 8">
          <a:extLst>
            <a:ext uri="{FF2B5EF4-FFF2-40B4-BE49-F238E27FC236}">
              <a16:creationId xmlns="" xmlns:a16="http://schemas.microsoft.com/office/drawing/2014/main" id="{00000000-0008-0000-0700-000009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38100</xdr:colOff>
      <xdr:row>0</xdr:row>
      <xdr:rowOff>171450</xdr:rowOff>
    </xdr:from>
    <xdr:to>
      <xdr:col>5</xdr:col>
      <xdr:colOff>1619250</xdr:colOff>
      <xdr:row>1</xdr:row>
      <xdr:rowOff>485775</xdr:rowOff>
    </xdr:to>
    <xdr:sp macro="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800-000002000000}"/>
            </a:ext>
          </a:extLst>
        </xdr:cNvPr>
        <xdr:cNvSpPr/>
      </xdr:nvSpPr>
      <xdr:spPr>
        <a:xfrm>
          <a:off x="2952750" y="171450"/>
          <a:ext cx="4695825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3" name="Rectangle 2">
          <a:extLst>
            <a:ext uri="{FF2B5EF4-FFF2-40B4-BE49-F238E27FC236}">
              <a16:creationId xmlns="" xmlns:a16="http://schemas.microsoft.com/office/drawing/2014/main" id="{00000000-0008-0000-0800-000003000000}"/>
            </a:ext>
          </a:extLst>
        </xdr:cNvPr>
        <xdr:cNvSpPr/>
      </xdr:nvSpPr>
      <xdr:spPr>
        <a:xfrm>
          <a:off x="535305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4" name="Rectangle 3">
          <a:extLst>
            <a:ext uri="{FF2B5EF4-FFF2-40B4-BE49-F238E27FC236}">
              <a16:creationId xmlns="" xmlns:a16="http://schemas.microsoft.com/office/drawing/2014/main" id="{00000000-0008-0000-0800-000004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5" name="Rectangle 4">
          <a:extLst>
            <a:ext uri="{FF2B5EF4-FFF2-40B4-BE49-F238E27FC236}">
              <a16:creationId xmlns="" xmlns:a16="http://schemas.microsoft.com/office/drawing/2014/main" id="{00000000-0008-0000-0800-000005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6" name="Rectangle 5">
          <a:extLst>
            <a:ext uri="{FF2B5EF4-FFF2-40B4-BE49-F238E27FC236}">
              <a16:creationId xmlns="" xmlns:a16="http://schemas.microsoft.com/office/drawing/2014/main" id="{00000000-0008-0000-0800-000006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7" name="Rectangle 6">
          <a:extLst>
            <a:ext uri="{FF2B5EF4-FFF2-40B4-BE49-F238E27FC236}">
              <a16:creationId xmlns="" xmlns:a16="http://schemas.microsoft.com/office/drawing/2014/main" id="{00000000-0008-0000-0800-000007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8" name="Rectangle 7">
          <a:extLst>
            <a:ext uri="{FF2B5EF4-FFF2-40B4-BE49-F238E27FC236}">
              <a16:creationId xmlns="" xmlns:a16="http://schemas.microsoft.com/office/drawing/2014/main" id="{00000000-0008-0000-0800-000008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9" name="Rectangle 8">
          <a:extLst>
            <a:ext uri="{FF2B5EF4-FFF2-40B4-BE49-F238E27FC236}">
              <a16:creationId xmlns="" xmlns:a16="http://schemas.microsoft.com/office/drawing/2014/main" id="{00000000-0008-0000-0800-000009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11</xdr:row>
      <xdr:rowOff>0</xdr:rowOff>
    </xdr:from>
    <xdr:to>
      <xdr:col>5</xdr:col>
      <xdr:colOff>257175</xdr:colOff>
      <xdr:row>16</xdr:row>
      <xdr:rowOff>9525</xdr:rowOff>
    </xdr:to>
    <xdr:sp macro="" textlink="">
      <xdr:nvSpPr>
        <xdr:cNvPr id="10" name="Rectangle 9">
          <a:extLst>
            <a:ext uri="{FF2B5EF4-FFF2-40B4-BE49-F238E27FC236}">
              <a16:creationId xmlns="" xmlns:a16="http://schemas.microsoft.com/office/drawing/2014/main" id="{00000000-0008-0000-0800-00000A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5" name="Tableau5" displayName="Tableau5" ref="A7:G11" totalsRowCount="1" headerRowDxfId="364">
  <tableColumns count="7">
    <tableColumn id="1" name="Index" totalsRowLabel="Total" dataDxfId="363" totalsRowDxfId="362"/>
    <tableColumn id="2" name="N° pièce"/>
    <tableColumn id="3" name="Date"/>
    <tableColumn id="4" name="Libellé de l'opération"/>
    <tableColumn id="5" name="Encaissement"/>
    <tableColumn id="6" name="Décaissement" totalsRowFunction="sum" dataDxfId="361" totalsRowDxfId="360"/>
    <tableColumn id="7" name="Solde" totalsRowFunction="count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1" name="Capi" displayName="Capi" ref="B6:V9" totalsRowCount="1" headerRowDxfId="359" dataDxfId="358" totalsRowDxfId="357">
  <tableColumns count="21">
    <tableColumn id="21" name="Date" dataDxfId="356" totalsRowDxfId="355"/>
    <tableColumn id="1" name="N° pièce" totalsRowLabel="Total" dataDxfId="354" totalsRowDxfId="353"/>
    <tableColumn id="2" name="Libellé de l'opération" totalsRowFunction="count" dataDxfId="352" totalsRowDxfId="351"/>
    <tableColumn id="3" name="Encaissement" totalsRowFunction="sum" dataDxfId="350" totalsRowDxfId="349"/>
    <tableColumn id="4" name="Décaissemrnt" totalsRowFunction="sum" dataDxfId="348" totalsRowDxfId="347"/>
    <tableColumn id="5" name="Solde" totalsRowFunction="sum" dataDxfId="346" totalsRowDxfId="345"/>
    <tableColumn id="11" name="AG" totalsRowFunction="sum" dataDxfId="344" totalsRowDxfId="343"/>
    <tableColumn id="8" name="Carburant" totalsRowFunction="sum" dataDxfId="342" totalsRowDxfId="341"/>
    <tableColumn id="7" name="Missions/MinCce" totalsRowFunction="sum" dataDxfId="340" totalsRowDxfId="339"/>
    <tableColumn id="6" name="Taxi/peage/PAD" totalsRowFunction="sum" dataDxfId="338" totalsRowDxfId="337"/>
    <tableColumn id="16" name="Télécom" totalsRowFunction="sum" dataDxfId="336" totalsRowDxfId="335"/>
    <tableColumn id="9" name="Entretien" totalsRowFunction="sum" dataDxfId="334" totalsRowDxfId="333"/>
    <tableColumn id="17" name="Electricité" totalsRowFunction="sum" dataDxfId="332" totalsRowDxfId="331"/>
    <tableColumn id="18" name="Eau" totalsRowFunction="sum" dataDxfId="330" totalsRowDxfId="329"/>
    <tableColumn id="13" name="Impot/Cnps" totalsRowFunction="sum" dataDxfId="328" totalsRowDxfId="327"/>
    <tableColumn id="15" name="Loyer" totalsRowFunction="sum" dataDxfId="326" totalsRowDxfId="325"/>
    <tableColumn id="12" name="Banque" totalsRowFunction="sum" dataDxfId="324" totalsRowDxfId="323"/>
    <tableColumn id="10" name="Mat., mob." totalsRowFunction="sum" dataDxfId="322" totalsRowDxfId="321"/>
    <tableColumn id="14" name="Salaire" totalsRowFunction="sum" dataDxfId="320" totalsRowDxfId="319"/>
    <tableColumn id="19" name="Autres" totalsRowFunction="sum" dataDxfId="318" totalsRowDxfId="317"/>
    <tableColumn id="20" name="Total" totalsRowFunction="sum" dataDxfId="316" totalsRowDxfId="315">
      <calculatedColumnFormula>SUM(K7:U7)</calculatedColumnFormula>
    </tableColumn>
  </tableColumns>
  <tableStyleInfo name="TableStyleLight4" showFirstColumn="0" showLastColumn="0" showRowStripes="1" showColumnStripes="0"/>
</table>
</file>

<file path=xl/tables/table3.xml><?xml version="1.0" encoding="utf-8"?>
<table xmlns="http://schemas.openxmlformats.org/spreadsheetml/2006/main" id="10" name="Tableau111" displayName="Tableau111" ref="B6:V9" totalsRowCount="1" headerRowDxfId="314" dataDxfId="313" totalsRowDxfId="312">
  <tableColumns count="21">
    <tableColumn id="21" name="Date" dataDxfId="311" totalsRowDxfId="310"/>
    <tableColumn id="1" name="N° pièce" totalsRowLabel="Total" dataDxfId="309" totalsRowDxfId="308"/>
    <tableColumn id="2" name="Libellé de l'opération" totalsRowFunction="count" dataDxfId="307" totalsRowDxfId="306"/>
    <tableColumn id="3" name="Encaissement" totalsRowFunction="sum" dataDxfId="305" totalsRowDxfId="304"/>
    <tableColumn id="4" name="Décaissemrnt" totalsRowFunction="sum" dataDxfId="303" totalsRowDxfId="302"/>
    <tableColumn id="5" name="Solde" totalsRowFunction="sum" dataDxfId="301" totalsRowDxfId="300"/>
    <tableColumn id="11" name="AG" totalsRowFunction="sum" dataDxfId="299" totalsRowDxfId="298"/>
    <tableColumn id="8" name="Carburant" totalsRowFunction="sum" dataDxfId="297" totalsRowDxfId="296"/>
    <tableColumn id="7" name="Missions/MinCce" totalsRowFunction="sum" dataDxfId="295" totalsRowDxfId="294"/>
    <tableColumn id="6" name="Taxi/peage/PAD" totalsRowFunction="sum" dataDxfId="293" totalsRowDxfId="292"/>
    <tableColumn id="16" name="Télécom" totalsRowFunction="sum" dataDxfId="291" totalsRowDxfId="290"/>
    <tableColumn id="9" name="Entretien" totalsRowFunction="sum" dataDxfId="289" totalsRowDxfId="288"/>
    <tableColumn id="17" name="Electricité" totalsRowFunction="sum" dataDxfId="287" totalsRowDxfId="286"/>
    <tableColumn id="18" name="Eau" totalsRowFunction="sum" dataDxfId="285" totalsRowDxfId="284"/>
    <tableColumn id="13" name="Impot/Cnps" totalsRowFunction="sum" dataDxfId="283" totalsRowDxfId="282"/>
    <tableColumn id="15" name="Loyer" totalsRowFunction="sum" dataDxfId="281" totalsRowDxfId="280"/>
    <tableColumn id="12" name="Banque" totalsRowFunction="sum" dataDxfId="279" totalsRowDxfId="278"/>
    <tableColumn id="10" name="Mat., mob." totalsRowFunction="sum" dataDxfId="277" totalsRowDxfId="276"/>
    <tableColumn id="14" name="Salaire" totalsRowFunction="sum" dataDxfId="275" totalsRowDxfId="274"/>
    <tableColumn id="19" name="Autres" totalsRowFunction="sum" dataDxfId="273" totalsRowDxfId="272"/>
    <tableColumn id="20" name="Total" totalsRowFunction="sum" dataDxfId="271" totalsRowDxfId="270">
      <calculatedColumnFormula>SUM(K7:U7)</calculatedColumnFormula>
    </tableColumn>
  </tableColumns>
  <tableStyleInfo name="TableStyleLight4" showFirstColumn="0" showLastColumn="0" showRowStripes="1" showColumnStripes="0"/>
</table>
</file>

<file path=xl/tables/table4.xml><?xml version="1.0" encoding="utf-8"?>
<table xmlns="http://schemas.openxmlformats.org/spreadsheetml/2006/main" id="11" name="Tableau11112" displayName="Tableau11112" ref="B6:V9" totalsRowCount="1" headerRowDxfId="269" dataDxfId="268" totalsRowDxfId="267">
  <tableColumns count="21">
    <tableColumn id="21" name="Date" dataDxfId="266" totalsRowDxfId="265"/>
    <tableColumn id="1" name="N° pièce" totalsRowLabel="Total" dataDxfId="264" totalsRowDxfId="263"/>
    <tableColumn id="2" name="Libellé de l'opération" totalsRowFunction="count" dataDxfId="262" totalsRowDxfId="261"/>
    <tableColumn id="3" name="Encaissement" totalsRowFunction="sum" dataDxfId="260" totalsRowDxfId="259"/>
    <tableColumn id="4" name="Décaissemrnt" totalsRowFunction="sum" dataDxfId="258" totalsRowDxfId="257"/>
    <tableColumn id="5" name="Solde" totalsRowFunction="sum" dataDxfId="256" totalsRowDxfId="255"/>
    <tableColumn id="11" name="AG" totalsRowFunction="sum" dataDxfId="254" totalsRowDxfId="253"/>
    <tableColumn id="8" name="Carburant" totalsRowFunction="sum" dataDxfId="252" totalsRowDxfId="251"/>
    <tableColumn id="7" name="Missions/MinCce" totalsRowFunction="sum" dataDxfId="250" totalsRowDxfId="249"/>
    <tableColumn id="6" name="Taxi/peage/PAD" totalsRowFunction="sum" dataDxfId="248" totalsRowDxfId="247"/>
    <tableColumn id="16" name="Télécom" totalsRowFunction="sum" dataDxfId="246" totalsRowDxfId="245"/>
    <tableColumn id="9" name="Entretien" totalsRowFunction="sum" dataDxfId="244" totalsRowDxfId="243"/>
    <tableColumn id="17" name="Electricité" totalsRowFunction="sum" dataDxfId="242" totalsRowDxfId="241"/>
    <tableColumn id="18" name="Eau" totalsRowFunction="sum" dataDxfId="240" totalsRowDxfId="239"/>
    <tableColumn id="13" name="Impot/Cnps" totalsRowFunction="sum" dataDxfId="238" totalsRowDxfId="237"/>
    <tableColumn id="15" name="Loyer" totalsRowFunction="sum" dataDxfId="236" totalsRowDxfId="235"/>
    <tableColumn id="12" name="Banque" totalsRowFunction="sum" dataDxfId="234" totalsRowDxfId="233"/>
    <tableColumn id="10" name="Mat., mob." totalsRowFunction="sum" dataDxfId="232" totalsRowDxfId="231"/>
    <tableColumn id="14" name="Salaire" totalsRowFunction="sum" dataDxfId="230" totalsRowDxfId="229"/>
    <tableColumn id="19" name="Autres" totalsRowFunction="sum" dataDxfId="228" totalsRowDxfId="227"/>
    <tableColumn id="20" name="Total" totalsRowFunction="sum" dataDxfId="226" totalsRowDxfId="225">
      <calculatedColumnFormula>SUM(K7:U7)</calculatedColumnFormula>
    </tableColumn>
  </tableColumns>
  <tableStyleInfo name="TableStyleLight4" showFirstColumn="0" showLastColumn="0" showRowStripes="1" showColumnStripes="0"/>
</table>
</file>

<file path=xl/tables/table5.xml><?xml version="1.0" encoding="utf-8"?>
<table xmlns="http://schemas.openxmlformats.org/spreadsheetml/2006/main" id="12" name="Tableau1111213" displayName="Tableau1111213" ref="B6:V9" totalsRowCount="1" headerRowDxfId="224" dataDxfId="223" totalsRowDxfId="222">
  <tableColumns count="21">
    <tableColumn id="21" name="Date" dataDxfId="221" totalsRowDxfId="220"/>
    <tableColumn id="1" name="N° pièce" totalsRowLabel="Total" dataDxfId="219" totalsRowDxfId="218"/>
    <tableColumn id="2" name="Libellé de l'opération" totalsRowFunction="count" dataDxfId="217" totalsRowDxfId="216"/>
    <tableColumn id="3" name="Encaissement" totalsRowFunction="sum" dataDxfId="215" totalsRowDxfId="214"/>
    <tableColumn id="4" name="Décaissemrnt" totalsRowFunction="sum" dataDxfId="213" totalsRowDxfId="212"/>
    <tableColumn id="5" name="Solde" totalsRowFunction="sum" dataDxfId="211" totalsRowDxfId="210"/>
    <tableColumn id="11" name="AG" totalsRowFunction="sum" dataDxfId="209" totalsRowDxfId="208"/>
    <tableColumn id="8" name="Carburant" totalsRowFunction="sum" dataDxfId="207" totalsRowDxfId="206"/>
    <tableColumn id="7" name="Missions/MinCce" totalsRowFunction="sum" dataDxfId="205" totalsRowDxfId="204"/>
    <tableColumn id="6" name="Taxi/peage/PAD" totalsRowFunction="sum" dataDxfId="203" totalsRowDxfId="202"/>
    <tableColumn id="16" name="Télécom" totalsRowFunction="sum" dataDxfId="201" totalsRowDxfId="200"/>
    <tableColumn id="9" name="Entretien" totalsRowFunction="sum" dataDxfId="199" totalsRowDxfId="198"/>
    <tableColumn id="17" name="Electricité" totalsRowFunction="sum" dataDxfId="197" totalsRowDxfId="196"/>
    <tableColumn id="18" name="Eau" totalsRowFunction="sum" dataDxfId="195" totalsRowDxfId="194"/>
    <tableColumn id="13" name="Impot/Cnps" totalsRowFunction="sum" dataDxfId="193" totalsRowDxfId="192"/>
    <tableColumn id="15" name="Loyer" totalsRowFunction="sum" dataDxfId="191" totalsRowDxfId="190"/>
    <tableColumn id="12" name="Banque" totalsRowFunction="sum" dataDxfId="189" totalsRowDxfId="188"/>
    <tableColumn id="10" name="Mat., mob." totalsRowFunction="sum" dataDxfId="187" totalsRowDxfId="186"/>
    <tableColumn id="14" name="Salaire" totalsRowFunction="sum" dataDxfId="185" totalsRowDxfId="184"/>
    <tableColumn id="19" name="Autres" totalsRowFunction="sum" dataDxfId="183" totalsRowDxfId="182"/>
    <tableColumn id="20" name="Total" totalsRowFunction="sum" dataDxfId="181" totalsRowDxfId="180">
      <calculatedColumnFormula>SUM(K7:U7)</calculatedColumnFormula>
    </tableColumn>
  </tableColumns>
  <tableStyleInfo name="TableStyleLight4" showFirstColumn="0" showLastColumn="0" showRowStripes="1" showColumnStripes="0"/>
</table>
</file>

<file path=xl/tables/table6.xml><?xml version="1.0" encoding="utf-8"?>
<table xmlns="http://schemas.openxmlformats.org/spreadsheetml/2006/main" id="13" name="Tableau111121314" displayName="Tableau111121314" ref="B6:V9" totalsRowCount="1" headerRowDxfId="179" dataDxfId="178" totalsRowDxfId="177">
  <tableColumns count="21">
    <tableColumn id="21" name="Date" dataDxfId="176" totalsRowDxfId="175"/>
    <tableColumn id="1" name="N° pièce" totalsRowLabel="Total" dataDxfId="174" totalsRowDxfId="173"/>
    <tableColumn id="2" name="Libellé de l'opération" totalsRowFunction="count" dataDxfId="172" totalsRowDxfId="171"/>
    <tableColumn id="3" name="Encaissement" totalsRowFunction="sum" dataDxfId="170" totalsRowDxfId="169"/>
    <tableColumn id="4" name="Décaissemrnt" totalsRowFunction="sum" dataDxfId="168" totalsRowDxfId="167"/>
    <tableColumn id="5" name="Solde" totalsRowFunction="sum" dataDxfId="166" totalsRowDxfId="165"/>
    <tableColumn id="11" name="AG" totalsRowFunction="sum" dataDxfId="164" totalsRowDxfId="163"/>
    <tableColumn id="8" name="Carburant" totalsRowFunction="sum" dataDxfId="162" totalsRowDxfId="161"/>
    <tableColumn id="7" name="Missions/MinCce" totalsRowFunction="sum" dataDxfId="160" totalsRowDxfId="159"/>
    <tableColumn id="6" name="Taxi/peage/PAD" totalsRowFunction="sum" dataDxfId="158" totalsRowDxfId="157"/>
    <tableColumn id="16" name="Télécom" totalsRowFunction="sum" dataDxfId="156" totalsRowDxfId="155"/>
    <tableColumn id="9" name="Entretien" totalsRowFunction="sum" dataDxfId="154" totalsRowDxfId="153"/>
    <tableColumn id="17" name="Electricité" totalsRowFunction="sum" dataDxfId="152" totalsRowDxfId="151"/>
    <tableColumn id="18" name="Eau" totalsRowFunction="sum" dataDxfId="150" totalsRowDxfId="149"/>
    <tableColumn id="13" name="Impot/Cnps" totalsRowFunction="sum" dataDxfId="148" totalsRowDxfId="147"/>
    <tableColumn id="15" name="Loyer" totalsRowFunction="sum" dataDxfId="146" totalsRowDxfId="145"/>
    <tableColumn id="12" name="Banque" totalsRowFunction="sum" dataDxfId="144" totalsRowDxfId="143"/>
    <tableColumn id="10" name="Mat., mob." totalsRowFunction="sum" dataDxfId="142" totalsRowDxfId="141"/>
    <tableColumn id="14" name="Salaire" totalsRowFunction="sum" dataDxfId="140" totalsRowDxfId="139"/>
    <tableColumn id="19" name="Autres" totalsRowFunction="sum" dataDxfId="138" totalsRowDxfId="137"/>
    <tableColumn id="20" name="Total" totalsRowFunction="sum" dataDxfId="136" totalsRowDxfId="135">
      <calculatedColumnFormula>SUM(K7:U7)</calculatedColumnFormula>
    </tableColumn>
  </tableColumns>
  <tableStyleInfo name="TableStyleLight4" showFirstColumn="0" showLastColumn="0" showRowStripes="1" showColumnStripes="0"/>
</table>
</file>

<file path=xl/tables/table7.xml><?xml version="1.0" encoding="utf-8"?>
<table xmlns="http://schemas.openxmlformats.org/spreadsheetml/2006/main" id="14" name="Tableau11112131415" displayName="Tableau11112131415" ref="B6:V9" totalsRowCount="1" headerRowDxfId="134" dataDxfId="133" totalsRowDxfId="132">
  <tableColumns count="21">
    <tableColumn id="21" name="Date" dataDxfId="131" totalsRowDxfId="130"/>
    <tableColumn id="1" name="N° pièce" totalsRowLabel="Total" dataDxfId="129" totalsRowDxfId="128"/>
    <tableColumn id="2" name="Libellé de l'opération" totalsRowFunction="count" dataDxfId="127" totalsRowDxfId="126"/>
    <tableColumn id="3" name="Encaissement" totalsRowFunction="sum" dataDxfId="125" totalsRowDxfId="124"/>
    <tableColumn id="4" name="Décaissemrnt" totalsRowFunction="sum" dataDxfId="123" totalsRowDxfId="122"/>
    <tableColumn id="5" name="Solde" totalsRowFunction="sum" dataDxfId="121" totalsRowDxfId="120"/>
    <tableColumn id="11" name="AG" totalsRowFunction="sum" dataDxfId="119" totalsRowDxfId="118"/>
    <tableColumn id="8" name="Carburant" totalsRowFunction="sum" dataDxfId="117" totalsRowDxfId="116"/>
    <tableColumn id="7" name="Missions/MinCce" totalsRowFunction="sum" dataDxfId="115" totalsRowDxfId="114"/>
    <tableColumn id="6" name="Taxi/peage/PAD" totalsRowFunction="sum" dataDxfId="113" totalsRowDxfId="112"/>
    <tableColumn id="16" name="Télécom" totalsRowFunction="sum" dataDxfId="111" totalsRowDxfId="110"/>
    <tableColumn id="9" name="Entretien" totalsRowFunction="sum" dataDxfId="109" totalsRowDxfId="108"/>
    <tableColumn id="17" name="Electricité" totalsRowFunction="sum" dataDxfId="107" totalsRowDxfId="106"/>
    <tableColumn id="18" name="Eau" totalsRowFunction="sum" dataDxfId="105" totalsRowDxfId="104"/>
    <tableColumn id="13" name="Impot/Cnps" totalsRowFunction="sum" dataDxfId="103" totalsRowDxfId="102"/>
    <tableColumn id="15" name="Loyer" totalsRowFunction="sum" dataDxfId="101" totalsRowDxfId="100"/>
    <tableColumn id="12" name="Banque" totalsRowFunction="sum" dataDxfId="99" totalsRowDxfId="98"/>
    <tableColumn id="10" name="Mat., mob." totalsRowFunction="sum" dataDxfId="97" totalsRowDxfId="96"/>
    <tableColumn id="14" name="Salaire" totalsRowFunction="sum" dataDxfId="95" totalsRowDxfId="94"/>
    <tableColumn id="19" name="Autres" totalsRowFunction="sum" dataDxfId="93" totalsRowDxfId="92"/>
    <tableColumn id="20" name="Total" totalsRowFunction="sum" dataDxfId="91" totalsRowDxfId="90">
      <calculatedColumnFormula>SUM(K7:U7)</calculatedColumnFormula>
    </tableColumn>
  </tableColumns>
  <tableStyleInfo name="TableStyleLight4" showFirstColumn="0" showLastColumn="0" showRowStripes="1" showColumnStripes="0"/>
</table>
</file>

<file path=xl/tables/table8.xml><?xml version="1.0" encoding="utf-8"?>
<table xmlns="http://schemas.openxmlformats.org/spreadsheetml/2006/main" id="16" name="Tableau1111213141517" displayName="Tableau1111213141517" ref="B6:V9" totalsRowCount="1" headerRowDxfId="89" dataDxfId="88" totalsRowDxfId="87">
  <tableColumns count="21">
    <tableColumn id="21" name="Date" dataDxfId="86" totalsRowDxfId="85"/>
    <tableColumn id="1" name="N° pièce" totalsRowLabel="Total" dataDxfId="84" totalsRowDxfId="83"/>
    <tableColumn id="2" name="Libellé de l'opération" totalsRowFunction="count" dataDxfId="82" totalsRowDxfId="81"/>
    <tableColumn id="3" name="Encaissement" totalsRowFunction="sum" dataDxfId="80" totalsRowDxfId="79"/>
    <tableColumn id="4" name="Décaissemrnt" totalsRowFunction="sum" dataDxfId="78" totalsRowDxfId="77"/>
    <tableColumn id="5" name="Solde" totalsRowFunction="sum" dataDxfId="76" totalsRowDxfId="75"/>
    <tableColumn id="11" name="AG" totalsRowFunction="sum" dataDxfId="74" totalsRowDxfId="73"/>
    <tableColumn id="8" name="Carburant" totalsRowFunction="sum" dataDxfId="72" totalsRowDxfId="71"/>
    <tableColumn id="7" name="Missions/MinCce" totalsRowFunction="sum" dataDxfId="70" totalsRowDxfId="69"/>
    <tableColumn id="6" name="Taxi/peage/PAD" totalsRowFunction="sum" dataDxfId="68" totalsRowDxfId="67"/>
    <tableColumn id="16" name="Télécom" totalsRowFunction="sum" dataDxfId="66" totalsRowDxfId="65"/>
    <tableColumn id="9" name="Entretien" totalsRowFunction="sum" dataDxfId="64" totalsRowDxfId="63"/>
    <tableColumn id="17" name="Electricité" totalsRowFunction="sum" dataDxfId="62" totalsRowDxfId="61"/>
    <tableColumn id="18" name="Eau" totalsRowFunction="sum" dataDxfId="60" totalsRowDxfId="59"/>
    <tableColumn id="13" name="Impot/Cnps" totalsRowFunction="sum" dataDxfId="58" totalsRowDxfId="57"/>
    <tableColumn id="15" name="Loyer" totalsRowFunction="sum" dataDxfId="56" totalsRowDxfId="55"/>
    <tableColumn id="12" name="Banque" totalsRowFunction="sum" dataDxfId="54" totalsRowDxfId="53"/>
    <tableColumn id="10" name="Mat., mob." totalsRowFunction="sum" dataDxfId="52" totalsRowDxfId="51"/>
    <tableColumn id="14" name="Salaire" totalsRowFunction="sum" dataDxfId="50" totalsRowDxfId="49"/>
    <tableColumn id="19" name="Autres" totalsRowFunction="sum" dataDxfId="48" totalsRowDxfId="47"/>
    <tableColumn id="20" name="Total" totalsRowFunction="sum" dataDxfId="46" totalsRowDxfId="45">
      <calculatedColumnFormula>SUM(K7:U7)</calculatedColumnFormula>
    </tableColumn>
  </tableColumns>
  <tableStyleInfo name="TableStyleLight4" showFirstColumn="0" showLastColumn="0" showRowStripes="1" showColumnStripes="0"/>
</table>
</file>

<file path=xl/tables/table9.xml><?xml version="1.0" encoding="utf-8"?>
<table xmlns="http://schemas.openxmlformats.org/spreadsheetml/2006/main" id="17" name="Tableau111121314151718" displayName="Tableau111121314151718" ref="B6:V9" totalsRowCount="1" headerRowDxfId="44" dataDxfId="43" totalsRowDxfId="42">
  <tableColumns count="21">
    <tableColumn id="21" name="Date" dataDxfId="41" totalsRowDxfId="40"/>
    <tableColumn id="1" name="N° pièce" totalsRowLabel="Total" dataDxfId="39" totalsRowDxfId="38"/>
    <tableColumn id="2" name="Libellé de l'opération" totalsRowFunction="count" dataDxfId="37" totalsRowDxfId="36"/>
    <tableColumn id="3" name="Encaissement" totalsRowFunction="sum" dataDxfId="35" totalsRowDxfId="34"/>
    <tableColumn id="4" name="Décaissemrnt" totalsRowFunction="sum" dataDxfId="33" totalsRowDxfId="32"/>
    <tableColumn id="5" name="Solde" totalsRowFunction="sum" dataDxfId="31" totalsRowDxfId="30"/>
    <tableColumn id="11" name="AG" totalsRowFunction="sum" dataDxfId="29" totalsRowDxfId="28"/>
    <tableColumn id="8" name="Carburant" totalsRowFunction="sum" dataDxfId="27" totalsRowDxfId="26"/>
    <tableColumn id="7" name="Missions/MinCce" totalsRowFunction="sum" dataDxfId="25" totalsRowDxfId="24"/>
    <tableColumn id="6" name="Taxi/peage/PAD" totalsRowFunction="sum" dataDxfId="23" totalsRowDxfId="22"/>
    <tableColumn id="16" name="Télécom" totalsRowFunction="sum" dataDxfId="21" totalsRowDxfId="20"/>
    <tableColumn id="9" name="Entretien" totalsRowFunction="sum" dataDxfId="19" totalsRowDxfId="18"/>
    <tableColumn id="17" name="Electricité" totalsRowFunction="sum" dataDxfId="17" totalsRowDxfId="16"/>
    <tableColumn id="18" name="Eau" totalsRowFunction="sum" dataDxfId="15" totalsRowDxfId="14"/>
    <tableColumn id="13" name="Impot/Cnps" totalsRowFunction="sum" dataDxfId="13" totalsRowDxfId="12"/>
    <tableColumn id="15" name="Loyer" totalsRowFunction="sum" dataDxfId="11" totalsRowDxfId="10"/>
    <tableColumn id="12" name="Banque" totalsRowFunction="sum" dataDxfId="9" totalsRowDxfId="8"/>
    <tableColumn id="10" name="Mat., mob." totalsRowFunction="sum" dataDxfId="7" totalsRowDxfId="6"/>
    <tableColumn id="14" name="Salaire" totalsRowFunction="sum" dataDxfId="5" totalsRowDxfId="4"/>
    <tableColumn id="19" name="Autres" totalsRowFunction="sum" dataDxfId="3" totalsRowDxfId="2"/>
    <tableColumn id="20" name="Total" totalsRowFunction="sum" dataDxfId="1" totalsRowDxfId="0">
      <calculatedColumnFormula>SUM(K7:U7)</calculatedColumnFormula>
    </tableColumn>
  </tableColumns>
  <tableStyleInfo name="TableStyleLight4" showFirstColumn="0" showLastColumn="0" showRowStripes="1" showColumnStripes="0"/>
</table>
</file>

<file path=xl/theme/theme1.xml><?xml version="1.0" encoding="utf-8"?>
<a:theme xmlns:a="http://schemas.openxmlformats.org/drawingml/2006/main" name="Theme1">
  <a:themeElements>
    <a:clrScheme name="BUS_Activity Based Cost Tracke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F7F5E6"/>
      </a:accent1>
      <a:accent2>
        <a:srgbClr val="333A56"/>
      </a:accent2>
      <a:accent3>
        <a:srgbClr val="52658F"/>
      </a:accent3>
      <a:accent4>
        <a:srgbClr val="E8E8E8"/>
      </a:accent4>
      <a:accent5>
        <a:srgbClr val="000000"/>
      </a:accent5>
      <a:accent6>
        <a:srgbClr val="8A8A8A"/>
      </a:accent6>
      <a:hlink>
        <a:srgbClr val="0096D2"/>
      </a:hlink>
      <a:folHlink>
        <a:srgbClr val="00578B"/>
      </a:folHlink>
    </a:clrScheme>
    <a:fontScheme name="BUS_Activity Based Cost Tracker">
      <a:majorFont>
        <a:latin typeface="Constantia"/>
        <a:ea typeface=""/>
        <a:cs typeface=""/>
      </a:majorFont>
      <a:minorFont>
        <a:latin typeface="Franklin Gothic Book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satMod val="105000"/>
                <a:lumMod val="110000"/>
              </a:schemeClr>
            </a:gs>
            <a:gs pos="50000">
              <a:schemeClr val="phClr">
                <a:tint val="73000"/>
                <a:satMod val="103000"/>
                <a:lumMod val="105000"/>
              </a:schemeClr>
            </a:gs>
            <a:gs pos="100000">
              <a:schemeClr val="phClr">
                <a:tint val="81000"/>
                <a:satMod val="109000"/>
                <a:lumMod val="105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satMod val="103000"/>
                <a:lumMod val="102000"/>
              </a:schemeClr>
            </a:gs>
            <a:gs pos="50000">
              <a:schemeClr val="phClr">
                <a:shade val="100000"/>
                <a:satMod val="110000"/>
                <a:lumMod val="100000"/>
              </a:schemeClr>
            </a:gs>
            <a:gs pos="100000">
              <a:schemeClr val="phClr">
                <a:shade val="78000"/>
                <a:satMod val="120000"/>
                <a:lumMod val="99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satMod val="150000"/>
                <a:lumMod val="102000"/>
              </a:schemeClr>
            </a:gs>
            <a:gs pos="50000">
              <a:schemeClr val="phClr">
                <a:tint val="98000"/>
                <a:shade val="90000"/>
                <a:satMod val="13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Dark" id="{D39323B7-B2D6-4C10-818B-A5CD4ACE85BD}" vid="{15FD9199-0511-4D87-8BFB-2FF3F0C5B55D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externalLinkPath" Target="file:///X:\AA_DOSSIERS%20EN%20COURS%20GROUPE%20JET\CAPI\JET_JOURNAL%20DE%20CAISSE%20V02%20MINIMALISTE.xlsx" TargetMode="External"/><Relationship Id="rId7" Type="http://schemas.openxmlformats.org/officeDocument/2006/relationships/externalLinkPath" Target="file:///X:\AA_DOSSIERS%20EN%20COURS%20GROUPE%20JET\CAPI\JET_JOURNAL%20DE%20CAISSE%20V02%20MINIMALISTE.xlsx" TargetMode="External"/><Relationship Id="rId2" Type="http://schemas.openxmlformats.org/officeDocument/2006/relationships/externalLinkPath" Target="file:///X:\AA_DOSSIERS%20EN%20COURS%20GROUPE%20JET\CAPI\JET_JOURNAL%20DE%20CAISSE%20V02%20MINIMALISTE.xlsx" TargetMode="External"/><Relationship Id="rId1" Type="http://schemas.openxmlformats.org/officeDocument/2006/relationships/externalLinkPath" Target="file:///X:\AA_DOSSIERS%20EN%20COURS%20GROUPE%20JET\CAPI\JET_JOURNAL%20DE%20CAISSE%20V02%20MINIMALISTE.xlsx" TargetMode="External"/><Relationship Id="rId6" Type="http://schemas.openxmlformats.org/officeDocument/2006/relationships/externalLinkPath" Target="file:///X:\AA_DOSSIERS%20EN%20COURS%20GROUPE%20JET\CAPI\JET_JOURNAL%20DE%20CAISSE%20V02%20MINIMALISTE.xlsx" TargetMode="External"/><Relationship Id="rId5" Type="http://schemas.openxmlformats.org/officeDocument/2006/relationships/externalLinkPath" Target="file:///X:\AA_DOSSIERS%20EN%20COURS%20GROUPE%20JET\CAPI\JET_JOURNAL%20DE%20CAISSE%20V02%20MINIMALISTE.xlsx" TargetMode="External"/><Relationship Id="rId4" Type="http://schemas.openxmlformats.org/officeDocument/2006/relationships/externalLinkPath" Target="file:///X:\AA_DOSSIERS%20EN%20COURS%20GROUPE%20JET\CAPI\JET_JOURNAL%20DE%20CAISSE%20V02%20MINIMALISTE.xlsx" TargetMode="External"/><Relationship Id="rId9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workbookViewId="0">
      <selection activeCell="D22" sqref="D22"/>
    </sheetView>
  </sheetViews>
  <sheetFormatPr baseColWidth="10" defaultRowHeight="12.75" x14ac:dyDescent="0.2"/>
  <cols>
    <col min="3" max="3" width="13" customWidth="1"/>
    <col min="4" max="4" width="39.140625" customWidth="1"/>
    <col min="5" max="5" width="17.5703125" customWidth="1"/>
    <col min="6" max="6" width="19.28515625" bestFit="1" customWidth="1"/>
    <col min="7" max="7" width="14.28515625" customWidth="1"/>
  </cols>
  <sheetData>
    <row r="1" spans="1:8" ht="67.150000000000006" customHeight="1" x14ac:dyDescent="0.2">
      <c r="A1" s="46" t="s">
        <v>39</v>
      </c>
      <c r="B1" s="46"/>
      <c r="C1" s="46"/>
      <c r="D1" s="46"/>
      <c r="E1" s="46"/>
      <c r="F1" s="46"/>
      <c r="G1" s="46"/>
      <c r="H1" s="46"/>
    </row>
    <row r="2" spans="1:8" ht="20.25" x14ac:dyDescent="0.3">
      <c r="A2" s="47" t="s">
        <v>3</v>
      </c>
      <c r="B2" s="47"/>
      <c r="C2" s="47"/>
      <c r="D2" s="47"/>
      <c r="E2" s="47"/>
      <c r="F2" s="47"/>
      <c r="G2" s="47"/>
      <c r="H2" s="47"/>
    </row>
    <row r="4" spans="1:8" ht="16.5" x14ac:dyDescent="0.3">
      <c r="A4" s="48" t="s">
        <v>5</v>
      </c>
      <c r="B4" s="48"/>
      <c r="C4" s="43">
        <v>50000</v>
      </c>
      <c r="D4" s="44"/>
      <c r="F4" s="45" t="s">
        <v>6</v>
      </c>
      <c r="G4" s="43">
        <f>C4-Tableau5[[#Totals],[Décaissement]]</f>
        <v>5000</v>
      </c>
    </row>
    <row r="6" spans="1:8" x14ac:dyDescent="0.2">
      <c r="A6" s="41"/>
      <c r="B6" s="41"/>
      <c r="C6" s="41"/>
      <c r="D6" s="41"/>
      <c r="E6" s="41"/>
      <c r="F6" s="41"/>
      <c r="G6" s="41"/>
    </row>
    <row r="7" spans="1:8" ht="15" x14ac:dyDescent="0.2">
      <c r="A7" s="42" t="s">
        <v>38</v>
      </c>
      <c r="B7" s="42" t="s">
        <v>10</v>
      </c>
      <c r="C7" s="42" t="s">
        <v>0</v>
      </c>
      <c r="D7" s="42" t="s">
        <v>7</v>
      </c>
      <c r="E7" s="42" t="s">
        <v>8</v>
      </c>
      <c r="F7" s="42" t="s">
        <v>37</v>
      </c>
      <c r="G7" s="42" t="s">
        <v>2</v>
      </c>
    </row>
    <row r="8" spans="1:8" x14ac:dyDescent="0.2">
      <c r="A8" s="39">
        <v>1</v>
      </c>
      <c r="B8" t="s">
        <v>40</v>
      </c>
      <c r="D8" t="s">
        <v>13</v>
      </c>
      <c r="F8" s="40">
        <v>20000</v>
      </c>
      <c r="G8" s="40">
        <f>C4-Tableau5[[#This Row],[Décaissement]]</f>
        <v>30000</v>
      </c>
    </row>
    <row r="9" spans="1:8" x14ac:dyDescent="0.2">
      <c r="A9" s="39">
        <v>2</v>
      </c>
      <c r="B9" t="s">
        <v>40</v>
      </c>
      <c r="D9" t="s">
        <v>27</v>
      </c>
      <c r="F9" s="40">
        <v>20000</v>
      </c>
      <c r="G9" s="40">
        <f>G8-Tableau5[[#This Row],[Décaissement]]</f>
        <v>10000</v>
      </c>
    </row>
    <row r="10" spans="1:8" x14ac:dyDescent="0.2">
      <c r="A10" s="39">
        <v>3</v>
      </c>
      <c r="B10" t="s">
        <v>40</v>
      </c>
      <c r="D10" t="s">
        <v>12</v>
      </c>
      <c r="F10" s="40">
        <v>5000</v>
      </c>
      <c r="G10" s="40">
        <f>G9-Tableau5[[#This Row],[Décaissement]]</f>
        <v>5000</v>
      </c>
    </row>
    <row r="11" spans="1:8" x14ac:dyDescent="0.2">
      <c r="A11" s="39" t="s">
        <v>1</v>
      </c>
      <c r="F11" s="40">
        <f>SUBTOTAL(109,Tableau5[Décaissement])</f>
        <v>45000</v>
      </c>
      <c r="G11">
        <f>SUBTOTAL(103,Tableau5[Solde])</f>
        <v>3</v>
      </c>
    </row>
    <row r="12" spans="1:8" x14ac:dyDescent="0.2">
      <c r="A12" s="39"/>
      <c r="F12" s="40"/>
    </row>
    <row r="13" spans="1:8" x14ac:dyDescent="0.2">
      <c r="A13" s="39"/>
      <c r="F13" s="40"/>
    </row>
    <row r="14" spans="1:8" x14ac:dyDescent="0.2">
      <c r="A14" s="39"/>
      <c r="F14" s="40"/>
    </row>
    <row r="15" spans="1:8" x14ac:dyDescent="0.2">
      <c r="A15" s="39"/>
      <c r="F15" s="40"/>
    </row>
    <row r="16" spans="1:8" x14ac:dyDescent="0.2">
      <c r="A16" s="39"/>
      <c r="F16" s="40"/>
    </row>
    <row r="17" spans="1:6" x14ac:dyDescent="0.2">
      <c r="A17" s="39"/>
      <c r="F17" s="40"/>
    </row>
    <row r="18" spans="1:6" x14ac:dyDescent="0.2">
      <c r="A18" s="39"/>
      <c r="F18" s="40"/>
    </row>
    <row r="19" spans="1:6" x14ac:dyDescent="0.2">
      <c r="A19" s="39"/>
      <c r="F19" s="40"/>
    </row>
    <row r="20" spans="1:6" x14ac:dyDescent="0.2">
      <c r="A20" s="39"/>
      <c r="F20" s="40"/>
    </row>
    <row r="21" spans="1:6" x14ac:dyDescent="0.2">
      <c r="A21" s="39"/>
      <c r="F21" s="40"/>
    </row>
    <row r="22" spans="1:6" x14ac:dyDescent="0.2">
      <c r="A22" s="39"/>
      <c r="F22" s="40"/>
    </row>
    <row r="23" spans="1:6" x14ac:dyDescent="0.2">
      <c r="F23" s="40"/>
    </row>
  </sheetData>
  <mergeCells count="3">
    <mergeCell ref="A1:H1"/>
    <mergeCell ref="A2:H2"/>
    <mergeCell ref="A4:B4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  <pageSetUpPr fitToPage="1"/>
  </sheetPr>
  <dimension ref="B1:V21"/>
  <sheetViews>
    <sheetView showGridLines="0" tabSelected="1" workbookViewId="0">
      <selection activeCell="C10" sqref="C10"/>
    </sheetView>
  </sheetViews>
  <sheetFormatPr baseColWidth="10" defaultColWidth="9.140625" defaultRowHeight="13.5" x14ac:dyDescent="0.25"/>
  <cols>
    <col min="1" max="1" width="5" style="1" customWidth="1"/>
    <col min="2" max="2" width="17.85546875" style="1" customWidth="1"/>
    <col min="3" max="3" width="15" style="1" bestFit="1" customWidth="1"/>
    <col min="4" max="4" width="15.5703125" style="1" bestFit="1" customWidth="1"/>
    <col min="5" max="5" width="15.85546875" style="3" bestFit="1" customWidth="1"/>
    <col min="6" max="6" width="10.7109375" style="1" bestFit="1" customWidth="1"/>
    <col min="7" max="7" width="5.28515625" style="1" bestFit="1" customWidth="1"/>
    <col min="8" max="8" width="11.28515625" style="3" bestFit="1" customWidth="1"/>
    <col min="9" max="9" width="18.140625" style="3" bestFit="1" customWidth="1"/>
    <col min="10" max="10" width="17.140625" style="3" bestFit="1" customWidth="1"/>
    <col min="11" max="11" width="10.140625" style="1" bestFit="1" customWidth="1"/>
    <col min="12" max="12" width="10.85546875" style="1" bestFit="1" customWidth="1"/>
    <col min="13" max="13" width="11.42578125" style="1" bestFit="1" customWidth="1"/>
    <col min="14" max="14" width="5.7109375" style="1" bestFit="1" customWidth="1"/>
    <col min="15" max="15" width="13" style="1" bestFit="1" customWidth="1"/>
    <col min="16" max="16" width="7.42578125" style="1" bestFit="1" customWidth="1"/>
    <col min="17" max="17" width="9.28515625" style="1" bestFit="1" customWidth="1"/>
    <col min="18" max="18" width="12.28515625" style="1" bestFit="1" customWidth="1"/>
    <col min="19" max="19" width="9.7109375" style="1" bestFit="1" customWidth="1"/>
    <col min="20" max="20" width="13" style="1" bestFit="1" customWidth="1"/>
    <col min="21" max="21" width="8.85546875" style="1" bestFit="1" customWidth="1"/>
    <col min="22" max="22" width="8.28515625" style="1" bestFit="1" customWidth="1"/>
    <col min="23" max="16384" width="9.140625" style="1"/>
  </cols>
  <sheetData>
    <row r="1" spans="2:22" ht="15" customHeight="1" thickBot="1" x14ac:dyDescent="0.3"/>
    <row r="2" spans="2:22" ht="40.15" customHeight="1" thickBot="1" x14ac:dyDescent="0.3">
      <c r="B2" s="50" t="s">
        <v>34</v>
      </c>
      <c r="C2" s="66"/>
      <c r="D2" s="51"/>
      <c r="E2" s="51"/>
      <c r="F2" s="51"/>
      <c r="G2" s="52"/>
      <c r="H2" s="11"/>
      <c r="I2" s="11"/>
      <c r="J2" s="11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</row>
    <row r="3" spans="2:22" ht="40.15" customHeight="1" x14ac:dyDescent="0.4">
      <c r="B3" s="55"/>
      <c r="C3" s="64" t="s">
        <v>0</v>
      </c>
      <c r="E3" s="55"/>
      <c r="F3" s="55"/>
      <c r="G3" s="55"/>
      <c r="H3" s="56"/>
      <c r="I3" s="56"/>
      <c r="J3" s="56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</row>
    <row r="4" spans="2:22" s="13" customFormat="1" ht="15" customHeight="1" x14ac:dyDescent="0.3">
      <c r="C4" s="65">
        <f ca="1">TODAY()</f>
        <v>46297</v>
      </c>
      <c r="E4" s="15"/>
      <c r="H4" s="15"/>
      <c r="I4" s="15"/>
      <c r="J4" s="15"/>
    </row>
    <row r="5" spans="2:22" customFormat="1" ht="19.899999999999999" customHeight="1" x14ac:dyDescent="0.2"/>
    <row r="6" spans="2:22" customFormat="1" ht="15" customHeight="1" x14ac:dyDescent="0.2">
      <c r="B6" s="58" t="s">
        <v>41</v>
      </c>
      <c r="C6" s="68" t="s">
        <v>48</v>
      </c>
      <c r="D6" s="58" t="s">
        <v>47</v>
      </c>
      <c r="E6" s="58" t="s">
        <v>49</v>
      </c>
      <c r="F6" s="58" t="s">
        <v>50</v>
      </c>
      <c r="G6" s="58" t="s">
        <v>51</v>
      </c>
      <c r="H6" s="58" t="s">
        <v>52</v>
      </c>
      <c r="I6" s="58" t="s">
        <v>53</v>
      </c>
      <c r="J6" s="58" t="s">
        <v>54</v>
      </c>
      <c r="K6" s="58" t="s">
        <v>55</v>
      </c>
      <c r="L6" s="58" t="s">
        <v>56</v>
      </c>
      <c r="M6" s="58" t="s">
        <v>57</v>
      </c>
      <c r="N6" s="58" t="s">
        <v>58</v>
      </c>
      <c r="O6" s="58" t="s">
        <v>59</v>
      </c>
      <c r="P6" s="58" t="s">
        <v>60</v>
      </c>
      <c r="Q6" s="58" t="s">
        <v>61</v>
      </c>
      <c r="R6" s="58" t="s">
        <v>62</v>
      </c>
      <c r="S6" s="58" t="s">
        <v>63</v>
      </c>
      <c r="T6" s="58" t="s">
        <v>64</v>
      </c>
    </row>
    <row r="7" spans="2:22" customFormat="1" ht="19.899999999999999" customHeight="1" x14ac:dyDescent="0.2">
      <c r="B7" s="59" t="s">
        <v>43</v>
      </c>
      <c r="C7" s="59"/>
      <c r="D7" s="60"/>
      <c r="E7" s="60"/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</row>
    <row r="8" spans="2:22" customFormat="1" ht="12.75" x14ac:dyDescent="0.2">
      <c r="B8" s="59" t="s">
        <v>28</v>
      </c>
      <c r="C8" s="59"/>
      <c r="D8" s="60"/>
      <c r="E8" s="60"/>
      <c r="F8" s="61"/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</row>
    <row r="9" spans="2:22" customFormat="1" ht="12.75" x14ac:dyDescent="0.2">
      <c r="B9" s="59" t="s">
        <v>44</v>
      </c>
      <c r="C9" s="59"/>
      <c r="D9" s="60"/>
      <c r="E9" s="60"/>
      <c r="F9" s="61"/>
      <c r="G9" s="61"/>
      <c r="H9" s="61"/>
      <c r="I9" s="61"/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</row>
    <row r="10" spans="2:22" customFormat="1" ht="12.75" x14ac:dyDescent="0.2">
      <c r="B10" s="59" t="s">
        <v>30</v>
      </c>
      <c r="C10" s="59"/>
      <c r="D10" s="60"/>
      <c r="E10" s="60"/>
      <c r="F10" s="61"/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</row>
    <row r="11" spans="2:22" customFormat="1" ht="12.75" x14ac:dyDescent="0.2">
      <c r="B11" s="59" t="s">
        <v>31</v>
      </c>
      <c r="C11" s="59"/>
      <c r="D11" s="60"/>
      <c r="E11" s="60"/>
      <c r="F11" s="61"/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</row>
    <row r="12" spans="2:22" customFormat="1" ht="12.75" x14ac:dyDescent="0.2">
      <c r="B12" s="59" t="s">
        <v>32</v>
      </c>
      <c r="C12" s="59"/>
      <c r="D12" s="60"/>
      <c r="E12" s="60"/>
      <c r="F12" s="61"/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</row>
    <row r="13" spans="2:22" customFormat="1" ht="12.75" x14ac:dyDescent="0.2">
      <c r="B13" s="59" t="s">
        <v>45</v>
      </c>
      <c r="C13" s="59"/>
      <c r="D13" s="60"/>
      <c r="E13" s="60"/>
      <c r="F13" s="61"/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</row>
    <row r="14" spans="2:22" customFormat="1" ht="12.75" x14ac:dyDescent="0.2">
      <c r="B14" s="59" t="s">
        <v>46</v>
      </c>
      <c r="C14" s="59"/>
      <c r="D14" s="60"/>
      <c r="E14" s="60"/>
      <c r="F14" s="61"/>
      <c r="G14" s="61"/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</row>
    <row r="15" spans="2:22" customFormat="1" ht="12.75" x14ac:dyDescent="0.2">
      <c r="B15" s="62" t="s">
        <v>42</v>
      </c>
      <c r="C15" s="62"/>
      <c r="D15" s="63">
        <f>SUM(D7:D14)</f>
        <v>0</v>
      </c>
      <c r="E15" s="63">
        <f>SUM(E7:E14)</f>
        <v>0</v>
      </c>
      <c r="F15" s="63">
        <f>SUM(F7:F14)</f>
        <v>0</v>
      </c>
      <c r="G15" s="63">
        <f>SUM(G7:G14)</f>
        <v>0</v>
      </c>
      <c r="H15" s="63">
        <f>SUM(H7:H14)</f>
        <v>0</v>
      </c>
      <c r="I15" s="63">
        <f>SUM(I7:I14)</f>
        <v>0</v>
      </c>
      <c r="J15" s="63">
        <f>SUM(J7:J14)</f>
        <v>0</v>
      </c>
      <c r="K15" s="63">
        <f>SUM(K7:K14)</f>
        <v>0</v>
      </c>
      <c r="L15" s="63">
        <f>SUM(L7:L14)</f>
        <v>0</v>
      </c>
      <c r="M15" s="63">
        <f>SUM(M7:M14)</f>
        <v>0</v>
      </c>
      <c r="N15" s="63">
        <f>SUM(N7:N14)</f>
        <v>0</v>
      </c>
      <c r="O15" s="63">
        <f>SUM(O7:O14)</f>
        <v>0</v>
      </c>
      <c r="P15" s="63">
        <f>SUM(P7:P14)</f>
        <v>0</v>
      </c>
      <c r="Q15" s="63">
        <f>SUM(Q7:Q14)</f>
        <v>0</v>
      </c>
      <c r="R15" s="63">
        <f>SUM(R7:R14)</f>
        <v>0</v>
      </c>
      <c r="S15" s="63">
        <f>SUM(S7:S14)</f>
        <v>0</v>
      </c>
      <c r="T15" s="63">
        <f>SUM(T7:T14)</f>
        <v>0</v>
      </c>
    </row>
    <row r="21" spans="6:6" x14ac:dyDescent="0.25">
      <c r="F21" s="67"/>
    </row>
  </sheetData>
  <dataConsolidate topLabels="1" link="1">
    <dataRefs count="7">
      <dataRef ref="B7:V8" sheet="CAPI" r:id="rId1"/>
      <dataRef ref="B7:V8" sheet="CFPM-JET" r:id="rId2"/>
      <dataRef ref="B7:V8" sheet="GICCOPACAM" r:id="rId3"/>
      <dataRef ref="B7:V8" sheet="JET INDUSTRY" r:id="rId4"/>
      <dataRef ref="B7:V8" sheet="JET INVESTMENT" r:id="rId5"/>
      <dataRef ref="B7:V8" sheet="KENZO" r:id="rId6"/>
      <dataRef ref="B7:V8" sheet="SCI-JET" r:id="rId7"/>
    </dataRefs>
  </dataConsolidate>
  <mergeCells count="1">
    <mergeCell ref="B2:G2"/>
  </mergeCells>
  <printOptions horizontalCentered="1"/>
  <pageMargins left="0.75" right="0.75" top="1" bottom="1" header="0.5" footer="0.5"/>
  <pageSetup paperSize="9" scale="62" fitToHeight="0" orientation="portrait" r:id="rId8"/>
  <headerFooter alignWithMargins="0"/>
  <drawing r:id="rId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C000"/>
    <pageSetUpPr fitToPage="1"/>
  </sheetPr>
  <dimension ref="B1:V16"/>
  <sheetViews>
    <sheetView showGridLines="0" topLeftCell="E1" workbookViewId="0">
      <selection activeCell="H6" sqref="H6:U6"/>
    </sheetView>
  </sheetViews>
  <sheetFormatPr baseColWidth="10" defaultColWidth="9.140625" defaultRowHeight="13.5" x14ac:dyDescent="0.25"/>
  <cols>
    <col min="1" max="1" width="5" style="1" customWidth="1"/>
    <col min="2" max="2" width="17.85546875" style="1" customWidth="1"/>
    <col min="3" max="3" width="20.85546875" style="1" customWidth="1"/>
    <col min="4" max="4" width="35.85546875" style="3" customWidth="1"/>
    <col min="5" max="5" width="25.5703125" style="1" customWidth="1"/>
    <col min="6" max="6" width="27.140625" style="1" customWidth="1"/>
    <col min="7" max="7" width="9.140625" style="3" bestFit="1" customWidth="1"/>
    <col min="8" max="8" width="11.28515625" style="3" customWidth="1"/>
    <col min="9" max="9" width="12.140625" style="3" bestFit="1" customWidth="1"/>
    <col min="10" max="10" width="20.140625" style="1" bestFit="1" customWidth="1"/>
    <col min="11" max="11" width="19.140625" style="1" bestFit="1" customWidth="1"/>
    <col min="12" max="12" width="10.28515625" style="1" bestFit="1" customWidth="1"/>
    <col min="13" max="13" width="11.42578125" style="1" bestFit="1" customWidth="1"/>
    <col min="14" max="14" width="12.28515625" style="1" bestFit="1" customWidth="1"/>
    <col min="15" max="15" width="5.42578125" style="1" bestFit="1" customWidth="1"/>
    <col min="16" max="16" width="14.140625" style="1" bestFit="1" customWidth="1"/>
    <col min="17" max="17" width="7.140625" style="1" bestFit="1" customWidth="1"/>
    <col min="18" max="18" width="9.7109375" style="1" bestFit="1" customWidth="1"/>
    <col min="19" max="19" width="13" style="1" bestFit="1" customWidth="1"/>
    <col min="20" max="20" width="8.85546875" style="1" bestFit="1" customWidth="1"/>
    <col min="21" max="21" width="8.28515625" style="1" bestFit="1" customWidth="1"/>
    <col min="22" max="16384" width="9.140625" style="1"/>
  </cols>
  <sheetData>
    <row r="1" spans="2:22" ht="15" customHeight="1" thickBot="1" x14ac:dyDescent="0.3"/>
    <row r="2" spans="2:22" ht="40.15" customHeight="1" thickBot="1" x14ac:dyDescent="0.3">
      <c r="B2" s="53" t="s">
        <v>3</v>
      </c>
      <c r="C2" s="54"/>
      <c r="D2" s="11"/>
      <c r="E2" s="12"/>
      <c r="F2" s="10"/>
      <c r="G2" s="11"/>
      <c r="H2" s="11"/>
      <c r="I2" s="1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2:22" s="13" customFormat="1" ht="15" customHeight="1" x14ac:dyDescent="0.3">
      <c r="B3" s="13" t="s">
        <v>4</v>
      </c>
      <c r="C3" s="14">
        <f ca="1">TODAY()</f>
        <v>46297</v>
      </c>
      <c r="D3" s="15"/>
      <c r="G3" s="15"/>
      <c r="H3" s="15"/>
      <c r="I3" s="15"/>
    </row>
    <row r="4" spans="2:22" s="4" customFormat="1" ht="19.899999999999999" customHeight="1" x14ac:dyDescent="0.2">
      <c r="B4" s="32"/>
      <c r="C4" s="33" t="s">
        <v>5</v>
      </c>
      <c r="D4" s="34">
        <v>50000</v>
      </c>
      <c r="E4" s="35" t="s">
        <v>6</v>
      </c>
      <c r="F4" s="34">
        <f>D4+Capi[[#Totals],[Encaissement]]-Capi[[#Totals],[Décaissemrnt]]</f>
        <v>5000</v>
      </c>
      <c r="G4" s="38"/>
      <c r="H4" s="38" t="s">
        <v>11</v>
      </c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</row>
    <row r="5" spans="2:22" ht="15" customHeight="1" x14ac:dyDescent="0.25">
      <c r="B5" s="2"/>
      <c r="C5" s="2"/>
    </row>
    <row r="6" spans="2:22" s="5" customFormat="1" ht="19.899999999999999" customHeight="1" x14ac:dyDescent="0.2">
      <c r="B6" s="6" t="s">
        <v>0</v>
      </c>
      <c r="C6" s="6" t="s">
        <v>10</v>
      </c>
      <c r="D6" s="23" t="s">
        <v>7</v>
      </c>
      <c r="E6" s="6" t="s">
        <v>8</v>
      </c>
      <c r="F6" s="7" t="s">
        <v>9</v>
      </c>
      <c r="G6" s="7" t="s">
        <v>2</v>
      </c>
      <c r="H6" s="6" t="s">
        <v>15</v>
      </c>
      <c r="I6" s="6" t="s">
        <v>13</v>
      </c>
      <c r="J6" s="6" t="s">
        <v>27</v>
      </c>
      <c r="K6" s="6" t="s">
        <v>12</v>
      </c>
      <c r="L6" s="6" t="s">
        <v>23</v>
      </c>
      <c r="M6" s="6" t="s">
        <v>14</v>
      </c>
      <c r="N6" s="6" t="s">
        <v>24</v>
      </c>
      <c r="O6" s="6" t="s">
        <v>25</v>
      </c>
      <c r="P6" s="6" t="s">
        <v>20</v>
      </c>
      <c r="Q6" s="6" t="s">
        <v>22</v>
      </c>
      <c r="R6" s="6" t="s">
        <v>16</v>
      </c>
      <c r="S6" s="6" t="s">
        <v>17</v>
      </c>
      <c r="T6" s="6" t="s">
        <v>21</v>
      </c>
      <c r="U6" s="6" t="s">
        <v>26</v>
      </c>
      <c r="V6" s="6" t="s">
        <v>1</v>
      </c>
    </row>
    <row r="7" spans="2:22" s="8" customFormat="1" ht="16.5" x14ac:dyDescent="0.25">
      <c r="B7" s="37">
        <v>46296</v>
      </c>
      <c r="C7" s="16">
        <v>1</v>
      </c>
      <c r="D7" s="21" t="s">
        <v>36</v>
      </c>
      <c r="E7" s="19"/>
      <c r="F7" s="17">
        <v>45000</v>
      </c>
      <c r="G7" s="31">
        <f>D4+Capi[[#This Row],[Encaissement]]-Capi[[#This Row],[Décaissemrnt]]</f>
        <v>5000</v>
      </c>
      <c r="H7" s="27"/>
      <c r="I7" s="26">
        <v>20000</v>
      </c>
      <c r="J7" s="26">
        <v>20000</v>
      </c>
      <c r="K7" s="26">
        <v>5000</v>
      </c>
      <c r="L7" s="27"/>
      <c r="M7" s="27"/>
      <c r="N7" s="27"/>
      <c r="O7" s="27"/>
      <c r="P7" s="27"/>
      <c r="Q7" s="27"/>
      <c r="R7" s="27"/>
      <c r="S7" s="27"/>
      <c r="T7" s="27"/>
      <c r="U7" s="27"/>
      <c r="V7" s="29">
        <f>SUM(H7:U7)</f>
        <v>45000</v>
      </c>
    </row>
    <row r="8" spans="2:22" s="8" customFormat="1" ht="16.5" x14ac:dyDescent="0.25">
      <c r="B8" s="37"/>
      <c r="C8" s="16"/>
      <c r="D8" s="21"/>
      <c r="E8" s="19"/>
      <c r="F8" s="17"/>
      <c r="G8" s="31">
        <f>G7+Capi[[#This Row],[Encaissement]]-Capi[[#This Row],[Décaissemrnt]]</f>
        <v>5000</v>
      </c>
      <c r="H8" s="27"/>
      <c r="I8" s="26"/>
      <c r="J8" s="26"/>
      <c r="K8" s="26"/>
      <c r="L8" s="27"/>
      <c r="M8" s="27"/>
      <c r="N8" s="27"/>
      <c r="O8" s="27"/>
      <c r="P8" s="27"/>
      <c r="Q8" s="27"/>
      <c r="R8" s="27"/>
      <c r="S8" s="27"/>
      <c r="T8" s="27"/>
      <c r="U8" s="27"/>
      <c r="V8" s="29">
        <f>SUM(K8:U8)</f>
        <v>0</v>
      </c>
    </row>
    <row r="9" spans="2:22" s="8" customFormat="1" ht="17.25" thickBot="1" x14ac:dyDescent="0.3">
      <c r="B9" s="36"/>
      <c r="C9" s="9" t="s">
        <v>1</v>
      </c>
      <c r="D9" s="22">
        <f>SUBTOTAL(103,Capi[Libellé de l''opération])</f>
        <v>1</v>
      </c>
      <c r="E9" s="20">
        <f>SUBTOTAL(109,Capi[Encaissement])</f>
        <v>0</v>
      </c>
      <c r="F9" s="18">
        <f>SUBTOTAL(109,Capi[Décaissemrnt])</f>
        <v>45000</v>
      </c>
      <c r="G9" s="18">
        <f>SUBTOTAL(109,Capi[Solde])</f>
        <v>10000</v>
      </c>
      <c r="H9" s="28">
        <f>SUBTOTAL(109,Capi[AG])</f>
        <v>0</v>
      </c>
      <c r="I9" s="28">
        <f>SUBTOTAL(109,Capi[Carburant])</f>
        <v>20000</v>
      </c>
      <c r="J9" s="28">
        <f>SUBTOTAL(109,Capi[Missions/MinCce])</f>
        <v>20000</v>
      </c>
      <c r="K9" s="28">
        <f>SUBTOTAL(109,Capi[Taxi/peage/PAD])</f>
        <v>5000</v>
      </c>
      <c r="L9" s="28">
        <f>SUBTOTAL(109,Capi[Télécom])</f>
        <v>0</v>
      </c>
      <c r="M9" s="28">
        <f>SUBTOTAL(109,Capi[Entretien])</f>
        <v>0</v>
      </c>
      <c r="N9" s="28">
        <f>SUBTOTAL(109,Capi[Electricité])</f>
        <v>0</v>
      </c>
      <c r="O9" s="28">
        <f>SUBTOTAL(109,Capi[Eau])</f>
        <v>0</v>
      </c>
      <c r="P9" s="28">
        <f>SUBTOTAL(109,Capi[Impot/Cnps])</f>
        <v>0</v>
      </c>
      <c r="Q9" s="28">
        <f>SUBTOTAL(109,Capi[Loyer])</f>
        <v>0</v>
      </c>
      <c r="R9" s="28">
        <f>SUBTOTAL(109,Capi[Banque])</f>
        <v>0</v>
      </c>
      <c r="S9" s="28">
        <f>SUBTOTAL(109,Capi[Mat., mob.])</f>
        <v>0</v>
      </c>
      <c r="T9" s="28">
        <f>SUBTOTAL(109,Capi[Salaire])</f>
        <v>0</v>
      </c>
      <c r="U9" s="28">
        <f>SUBTOTAL(109,Capi[Autres])</f>
        <v>0</v>
      </c>
      <c r="V9" s="30">
        <f>SUBTOTAL(109,Capi[Total])</f>
        <v>45000</v>
      </c>
    </row>
    <row r="10" spans="2:22" ht="14.25" thickTop="1" x14ac:dyDescent="0.25"/>
    <row r="11" spans="2:22" x14ac:dyDescent="0.25">
      <c r="B11" s="24" t="s">
        <v>18</v>
      </c>
      <c r="D11" s="25" t="s">
        <v>19</v>
      </c>
    </row>
    <row r="12" spans="2:22" x14ac:dyDescent="0.25">
      <c r="B12" s="49"/>
      <c r="C12" s="49"/>
    </row>
    <row r="13" spans="2:22" x14ac:dyDescent="0.25">
      <c r="B13" s="49"/>
      <c r="C13" s="49"/>
    </row>
    <row r="14" spans="2:22" x14ac:dyDescent="0.25">
      <c r="B14" s="49"/>
      <c r="C14" s="49"/>
    </row>
    <row r="15" spans="2:22" x14ac:dyDescent="0.25">
      <c r="B15" s="49"/>
      <c r="C15" s="49"/>
    </row>
    <row r="16" spans="2:22" x14ac:dyDescent="0.25">
      <c r="B16" s="49"/>
      <c r="C16" s="49"/>
    </row>
  </sheetData>
  <mergeCells count="2">
    <mergeCell ref="B2:C2"/>
    <mergeCell ref="B12:C16"/>
  </mergeCells>
  <phoneticPr fontId="3" type="noConversion"/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/>
  </dataValidations>
  <printOptions horizontalCentered="1"/>
  <pageMargins left="0.19685039370078741" right="0.19685039370078741" top="0.15748031496062992" bottom="0.15748031496062992" header="0.19685039370078741" footer="0.19685039370078741"/>
  <pageSetup paperSize="9" scale="72" fitToHeight="0" orientation="portrait" r:id="rId1"/>
  <headerFooter alignWithMargins="0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7030A0"/>
    <pageSetUpPr fitToPage="1"/>
  </sheetPr>
  <dimension ref="B1:V16"/>
  <sheetViews>
    <sheetView showGridLines="0" workbookViewId="0">
      <selection activeCell="F8" sqref="F8"/>
    </sheetView>
  </sheetViews>
  <sheetFormatPr baseColWidth="10" defaultColWidth="9.140625" defaultRowHeight="13.5" x14ac:dyDescent="0.25"/>
  <cols>
    <col min="1" max="1" width="5" style="1" customWidth="1"/>
    <col min="2" max="2" width="17.85546875" style="1" customWidth="1"/>
    <col min="3" max="3" width="20.85546875" style="1" customWidth="1"/>
    <col min="4" max="4" width="21.140625" style="3" bestFit="1" customWidth="1"/>
    <col min="5" max="5" width="25.5703125" style="1" customWidth="1"/>
    <col min="6" max="6" width="27.140625" style="1" customWidth="1"/>
    <col min="7" max="7" width="9.140625" style="3" bestFit="1" customWidth="1"/>
    <col min="8" max="8" width="11.28515625" style="3" customWidth="1"/>
    <col min="9" max="9" width="12.140625" style="3" bestFit="1" customWidth="1"/>
    <col min="10" max="10" width="20.140625" style="1" bestFit="1" customWidth="1"/>
    <col min="11" max="11" width="19.140625" style="1" bestFit="1" customWidth="1"/>
    <col min="12" max="12" width="10.28515625" style="1" bestFit="1" customWidth="1"/>
    <col min="13" max="13" width="11.42578125" style="1" bestFit="1" customWidth="1"/>
    <col min="14" max="14" width="12.28515625" style="1" bestFit="1" customWidth="1"/>
    <col min="15" max="15" width="5.42578125" style="1" bestFit="1" customWidth="1"/>
    <col min="16" max="16" width="14.140625" style="1" bestFit="1" customWidth="1"/>
    <col min="17" max="17" width="7.140625" style="1" bestFit="1" customWidth="1"/>
    <col min="18" max="18" width="9.7109375" style="1" bestFit="1" customWidth="1"/>
    <col min="19" max="19" width="13" style="1" bestFit="1" customWidth="1"/>
    <col min="20" max="20" width="8.85546875" style="1" bestFit="1" customWidth="1"/>
    <col min="21" max="21" width="8.28515625" style="1" bestFit="1" customWidth="1"/>
    <col min="22" max="16384" width="9.140625" style="1"/>
  </cols>
  <sheetData>
    <row r="1" spans="2:22" ht="15" customHeight="1" thickBot="1" x14ac:dyDescent="0.3"/>
    <row r="2" spans="2:22" ht="40.15" customHeight="1" thickBot="1" x14ac:dyDescent="0.3">
      <c r="B2" s="53" t="s">
        <v>28</v>
      </c>
      <c r="C2" s="54"/>
      <c r="D2" s="11"/>
      <c r="E2" s="12"/>
      <c r="F2" s="10"/>
      <c r="G2" s="11"/>
      <c r="H2" s="11"/>
      <c r="I2" s="1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2:22" s="13" customFormat="1" ht="15" customHeight="1" x14ac:dyDescent="0.3">
      <c r="B3" s="13" t="s">
        <v>4</v>
      </c>
      <c r="C3" s="14">
        <f ca="1">TODAY()</f>
        <v>46297</v>
      </c>
      <c r="D3" s="15"/>
      <c r="G3" s="15"/>
      <c r="H3" s="15"/>
      <c r="I3" s="15"/>
    </row>
    <row r="4" spans="2:22" s="4" customFormat="1" ht="19.899999999999999" customHeight="1" x14ac:dyDescent="0.2">
      <c r="B4" s="32"/>
      <c r="C4" s="33" t="s">
        <v>5</v>
      </c>
      <c r="D4" s="34">
        <v>50000</v>
      </c>
      <c r="E4" s="35" t="s">
        <v>6</v>
      </c>
      <c r="F4" s="34">
        <f>D4+Tableau111[[#Totals],[Encaissement]]-Tableau111[[#Totals],[Décaissemrnt]]</f>
        <v>5000</v>
      </c>
      <c r="G4" s="38"/>
      <c r="H4" s="38" t="s">
        <v>11</v>
      </c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</row>
    <row r="5" spans="2:22" ht="15" customHeight="1" x14ac:dyDescent="0.25">
      <c r="B5" s="2"/>
      <c r="C5" s="2"/>
    </row>
    <row r="6" spans="2:22" s="5" customFormat="1" ht="19.899999999999999" customHeight="1" x14ac:dyDescent="0.2">
      <c r="B6" s="6" t="s">
        <v>0</v>
      </c>
      <c r="C6" s="6" t="s">
        <v>10</v>
      </c>
      <c r="D6" s="23" t="s">
        <v>7</v>
      </c>
      <c r="E6" s="6" t="s">
        <v>8</v>
      </c>
      <c r="F6" s="7" t="s">
        <v>9</v>
      </c>
      <c r="G6" s="7" t="s">
        <v>2</v>
      </c>
      <c r="H6" s="6" t="s">
        <v>15</v>
      </c>
      <c r="I6" s="6" t="s">
        <v>13</v>
      </c>
      <c r="J6" s="6" t="s">
        <v>27</v>
      </c>
      <c r="K6" s="6" t="s">
        <v>12</v>
      </c>
      <c r="L6" s="6" t="s">
        <v>23</v>
      </c>
      <c r="M6" s="6" t="s">
        <v>14</v>
      </c>
      <c r="N6" s="6" t="s">
        <v>24</v>
      </c>
      <c r="O6" s="6" t="s">
        <v>25</v>
      </c>
      <c r="P6" s="6" t="s">
        <v>20</v>
      </c>
      <c r="Q6" s="6" t="s">
        <v>22</v>
      </c>
      <c r="R6" s="6" t="s">
        <v>16</v>
      </c>
      <c r="S6" s="6" t="s">
        <v>17</v>
      </c>
      <c r="T6" s="6" t="s">
        <v>21</v>
      </c>
      <c r="U6" s="6" t="s">
        <v>26</v>
      </c>
      <c r="V6" s="6" t="s">
        <v>1</v>
      </c>
    </row>
    <row r="7" spans="2:22" s="8" customFormat="1" ht="16.5" x14ac:dyDescent="0.25">
      <c r="B7" s="37"/>
      <c r="C7" s="16"/>
      <c r="D7" s="21"/>
      <c r="E7" s="19"/>
      <c r="F7" s="17">
        <v>45000</v>
      </c>
      <c r="G7" s="31">
        <f>D4+Tableau111[[#This Row],[Encaissement]]-Tableau111[[#This Row],[Décaissemrnt]]</f>
        <v>5000</v>
      </c>
      <c r="H7" s="27"/>
      <c r="I7" s="26">
        <v>20000</v>
      </c>
      <c r="J7" s="26">
        <v>20000</v>
      </c>
      <c r="K7" s="26">
        <v>5000</v>
      </c>
      <c r="L7" s="27"/>
      <c r="M7" s="27"/>
      <c r="N7" s="27"/>
      <c r="O7" s="27"/>
      <c r="P7" s="27"/>
      <c r="Q7" s="27"/>
      <c r="R7" s="27"/>
      <c r="S7" s="27"/>
      <c r="T7" s="27"/>
      <c r="U7" s="27"/>
      <c r="V7" s="29">
        <f>SUM(H7:U7)</f>
        <v>45000</v>
      </c>
    </row>
    <row r="8" spans="2:22" s="8" customFormat="1" ht="16.5" x14ac:dyDescent="0.25">
      <c r="B8" s="37"/>
      <c r="C8" s="16"/>
      <c r="D8" s="21"/>
      <c r="E8" s="19"/>
      <c r="F8" s="17"/>
      <c r="G8" s="31">
        <f>G7+Tableau111[[#This Row],[Encaissement]]-Tableau111[[#This Row],[Décaissemrnt]]</f>
        <v>5000</v>
      </c>
      <c r="H8" s="27"/>
      <c r="I8" s="26"/>
      <c r="J8" s="26"/>
      <c r="K8" s="26"/>
      <c r="L8" s="27"/>
      <c r="M8" s="27"/>
      <c r="N8" s="27"/>
      <c r="O8" s="27"/>
      <c r="P8" s="27"/>
      <c r="Q8" s="27"/>
      <c r="R8" s="27"/>
      <c r="S8" s="27"/>
      <c r="T8" s="27"/>
      <c r="U8" s="27"/>
      <c r="V8" s="29">
        <f>SUM(K8:U8)</f>
        <v>0</v>
      </c>
    </row>
    <row r="9" spans="2:22" s="8" customFormat="1" ht="17.25" thickBot="1" x14ac:dyDescent="0.3">
      <c r="B9" s="36"/>
      <c r="C9" s="9" t="s">
        <v>1</v>
      </c>
      <c r="D9" s="22">
        <f>SUBTOTAL(103,Tableau111[Libellé de l''opération])</f>
        <v>0</v>
      </c>
      <c r="E9" s="20">
        <f>SUBTOTAL(109,Tableau111[Encaissement])</f>
        <v>0</v>
      </c>
      <c r="F9" s="18">
        <f>SUBTOTAL(109,Tableau111[Décaissemrnt])</f>
        <v>45000</v>
      </c>
      <c r="G9" s="18">
        <f>SUBTOTAL(109,Tableau111[Solde])</f>
        <v>10000</v>
      </c>
      <c r="H9" s="28">
        <f>SUBTOTAL(109,Tableau111[AG])</f>
        <v>0</v>
      </c>
      <c r="I9" s="28">
        <f>SUBTOTAL(109,Tableau111[Carburant])</f>
        <v>20000</v>
      </c>
      <c r="J9" s="28">
        <f>SUBTOTAL(109,Tableau111[Missions/MinCce])</f>
        <v>20000</v>
      </c>
      <c r="K9" s="28">
        <f>SUBTOTAL(109,Tableau111[Taxi/peage/PAD])</f>
        <v>5000</v>
      </c>
      <c r="L9" s="28">
        <f>SUBTOTAL(109,Tableau111[Télécom])</f>
        <v>0</v>
      </c>
      <c r="M9" s="28">
        <f>SUBTOTAL(109,Tableau111[Entretien])</f>
        <v>0</v>
      </c>
      <c r="N9" s="28">
        <f>SUBTOTAL(109,Tableau111[Electricité])</f>
        <v>0</v>
      </c>
      <c r="O9" s="28">
        <f>SUBTOTAL(109,Tableau111[Eau])</f>
        <v>0</v>
      </c>
      <c r="P9" s="28">
        <f>SUBTOTAL(109,Tableau111[Impot/Cnps])</f>
        <v>0</v>
      </c>
      <c r="Q9" s="28">
        <f>SUBTOTAL(109,Tableau111[Loyer])</f>
        <v>0</v>
      </c>
      <c r="R9" s="28">
        <f>SUBTOTAL(109,Tableau111[Banque])</f>
        <v>0</v>
      </c>
      <c r="S9" s="28">
        <f>SUBTOTAL(109,Tableau111[Mat., mob.])</f>
        <v>0</v>
      </c>
      <c r="T9" s="28">
        <f>SUBTOTAL(109,Tableau111[Salaire])</f>
        <v>0</v>
      </c>
      <c r="U9" s="28">
        <f>SUBTOTAL(109,Tableau111[Autres])</f>
        <v>0</v>
      </c>
      <c r="V9" s="30">
        <f>SUBTOTAL(109,Tableau111[Total])</f>
        <v>45000</v>
      </c>
    </row>
    <row r="10" spans="2:22" ht="14.25" thickTop="1" x14ac:dyDescent="0.25"/>
    <row r="11" spans="2:22" x14ac:dyDescent="0.25">
      <c r="B11" s="24" t="s">
        <v>18</v>
      </c>
      <c r="D11" s="25" t="s">
        <v>19</v>
      </c>
    </row>
    <row r="12" spans="2:22" x14ac:dyDescent="0.25">
      <c r="B12" s="49"/>
      <c r="C12" s="49"/>
    </row>
    <row r="13" spans="2:22" x14ac:dyDescent="0.25">
      <c r="B13" s="49"/>
      <c r="C13" s="49"/>
    </row>
    <row r="14" spans="2:22" x14ac:dyDescent="0.25">
      <c r="B14" s="49"/>
      <c r="C14" s="49"/>
    </row>
    <row r="15" spans="2:22" x14ac:dyDescent="0.25">
      <c r="B15" s="49"/>
      <c r="C15" s="49"/>
    </row>
    <row r="16" spans="2:22" x14ac:dyDescent="0.25">
      <c r="B16" s="49"/>
      <c r="C16" s="49"/>
    </row>
  </sheetData>
  <mergeCells count="2">
    <mergeCell ref="B2:C2"/>
    <mergeCell ref="B12:C16"/>
  </mergeCells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/>
  </dataValidations>
  <printOptions horizontalCentered="1"/>
  <pageMargins left="0.75" right="0.75" top="1" bottom="1" header="0.5" footer="0.5"/>
  <pageSetup paperSize="9" scale="69" fitToHeight="0" orientation="portrait" r:id="rId1"/>
  <headerFooter alignWithMargins="0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8" tint="4.9989318521683403E-2"/>
    <pageSetUpPr fitToPage="1"/>
  </sheetPr>
  <dimension ref="B1:V16"/>
  <sheetViews>
    <sheetView showGridLines="0" topLeftCell="B1" workbookViewId="0">
      <selection activeCell="E31" sqref="E31"/>
    </sheetView>
  </sheetViews>
  <sheetFormatPr baseColWidth="10" defaultColWidth="9.140625" defaultRowHeight="13.5" x14ac:dyDescent="0.25"/>
  <cols>
    <col min="1" max="1" width="5" style="1" customWidth="1"/>
    <col min="2" max="2" width="17.85546875" style="1" customWidth="1"/>
    <col min="3" max="3" width="20.85546875" style="1" customWidth="1"/>
    <col min="4" max="4" width="21.140625" style="3" bestFit="1" customWidth="1"/>
    <col min="5" max="5" width="25.5703125" style="1" customWidth="1"/>
    <col min="6" max="6" width="27.140625" style="1" customWidth="1"/>
    <col min="7" max="7" width="9.140625" style="3" bestFit="1" customWidth="1"/>
    <col min="8" max="8" width="11.28515625" style="3" customWidth="1"/>
    <col min="9" max="9" width="12.140625" style="3" bestFit="1" customWidth="1"/>
    <col min="10" max="10" width="20.140625" style="1" bestFit="1" customWidth="1"/>
    <col min="11" max="11" width="19.140625" style="1" bestFit="1" customWidth="1"/>
    <col min="12" max="12" width="10.28515625" style="1" bestFit="1" customWidth="1"/>
    <col min="13" max="13" width="11.42578125" style="1" bestFit="1" customWidth="1"/>
    <col min="14" max="14" width="12.28515625" style="1" bestFit="1" customWidth="1"/>
    <col min="15" max="15" width="5.42578125" style="1" bestFit="1" customWidth="1"/>
    <col min="16" max="16" width="14.140625" style="1" bestFit="1" customWidth="1"/>
    <col min="17" max="17" width="7.140625" style="1" bestFit="1" customWidth="1"/>
    <col min="18" max="18" width="9.7109375" style="1" bestFit="1" customWidth="1"/>
    <col min="19" max="19" width="13" style="1" bestFit="1" customWidth="1"/>
    <col min="20" max="20" width="8.85546875" style="1" bestFit="1" customWidth="1"/>
    <col min="21" max="21" width="8.28515625" style="1" bestFit="1" customWidth="1"/>
    <col min="22" max="16384" width="9.140625" style="1"/>
  </cols>
  <sheetData>
    <row r="1" spans="2:22" ht="15" customHeight="1" thickBot="1" x14ac:dyDescent="0.3"/>
    <row r="2" spans="2:22" ht="40.15" customHeight="1" thickBot="1" x14ac:dyDescent="0.3">
      <c r="B2" s="53" t="s">
        <v>29</v>
      </c>
      <c r="C2" s="54"/>
      <c r="D2" s="11"/>
      <c r="E2" s="12"/>
      <c r="F2" s="10"/>
      <c r="G2" s="11"/>
      <c r="H2" s="11"/>
      <c r="I2" s="1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2:22" s="13" customFormat="1" ht="15" customHeight="1" x14ac:dyDescent="0.3">
      <c r="B3" s="13" t="s">
        <v>4</v>
      </c>
      <c r="C3" s="14">
        <f ca="1">TODAY()</f>
        <v>46297</v>
      </c>
      <c r="D3" s="15"/>
      <c r="G3" s="15"/>
      <c r="H3" s="15"/>
      <c r="I3" s="15"/>
    </row>
    <row r="4" spans="2:22" s="4" customFormat="1" ht="19.899999999999999" customHeight="1" x14ac:dyDescent="0.2">
      <c r="B4" s="32"/>
      <c r="C4" s="33" t="s">
        <v>5</v>
      </c>
      <c r="D4" s="34">
        <v>50000</v>
      </c>
      <c r="E4" s="35" t="s">
        <v>6</v>
      </c>
      <c r="F4" s="34">
        <f>D4+Tableau11112[[#Totals],[Encaissement]]-Tableau11112[[#Totals],[Décaissemrnt]]</f>
        <v>5000</v>
      </c>
      <c r="G4" s="38"/>
      <c r="H4" s="38" t="s">
        <v>11</v>
      </c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</row>
    <row r="5" spans="2:22" ht="15" customHeight="1" x14ac:dyDescent="0.25">
      <c r="B5" s="2"/>
      <c r="C5" s="2"/>
    </row>
    <row r="6" spans="2:22" s="5" customFormat="1" ht="19.899999999999999" customHeight="1" x14ac:dyDescent="0.2">
      <c r="B6" s="6" t="s">
        <v>0</v>
      </c>
      <c r="C6" s="6" t="s">
        <v>10</v>
      </c>
      <c r="D6" s="23" t="s">
        <v>7</v>
      </c>
      <c r="E6" s="6" t="s">
        <v>8</v>
      </c>
      <c r="F6" s="7" t="s">
        <v>9</v>
      </c>
      <c r="G6" s="7" t="s">
        <v>2</v>
      </c>
      <c r="H6" s="6" t="s">
        <v>15</v>
      </c>
      <c r="I6" s="6" t="s">
        <v>13</v>
      </c>
      <c r="J6" s="6" t="s">
        <v>27</v>
      </c>
      <c r="K6" s="6" t="s">
        <v>12</v>
      </c>
      <c r="L6" s="6" t="s">
        <v>23</v>
      </c>
      <c r="M6" s="6" t="s">
        <v>14</v>
      </c>
      <c r="N6" s="6" t="s">
        <v>24</v>
      </c>
      <c r="O6" s="6" t="s">
        <v>25</v>
      </c>
      <c r="P6" s="6" t="s">
        <v>20</v>
      </c>
      <c r="Q6" s="6" t="s">
        <v>22</v>
      </c>
      <c r="R6" s="6" t="s">
        <v>16</v>
      </c>
      <c r="S6" s="6" t="s">
        <v>17</v>
      </c>
      <c r="T6" s="6" t="s">
        <v>21</v>
      </c>
      <c r="U6" s="6" t="s">
        <v>26</v>
      </c>
      <c r="V6" s="6" t="s">
        <v>1</v>
      </c>
    </row>
    <row r="7" spans="2:22" s="8" customFormat="1" ht="16.5" x14ac:dyDescent="0.25">
      <c r="B7" s="37"/>
      <c r="C7" s="16"/>
      <c r="D7" s="21"/>
      <c r="E7" s="19"/>
      <c r="F7" s="17">
        <v>45000</v>
      </c>
      <c r="G7" s="31">
        <f>D4+Tableau11112[[#This Row],[Encaissement]]-Tableau11112[[#This Row],[Décaissemrnt]]</f>
        <v>5000</v>
      </c>
      <c r="H7" s="27"/>
      <c r="I7" s="26">
        <v>20000</v>
      </c>
      <c r="J7" s="26">
        <v>20000</v>
      </c>
      <c r="K7" s="26">
        <v>5000</v>
      </c>
      <c r="L7" s="27"/>
      <c r="M7" s="27"/>
      <c r="N7" s="27"/>
      <c r="O7" s="27"/>
      <c r="P7" s="27"/>
      <c r="Q7" s="27"/>
      <c r="R7" s="27"/>
      <c r="S7" s="27"/>
      <c r="T7" s="27"/>
      <c r="U7" s="27"/>
      <c r="V7" s="29">
        <f>SUM(H7:U7)</f>
        <v>45000</v>
      </c>
    </row>
    <row r="8" spans="2:22" s="8" customFormat="1" ht="16.5" x14ac:dyDescent="0.25">
      <c r="B8" s="37"/>
      <c r="C8" s="16"/>
      <c r="D8" s="21"/>
      <c r="E8" s="19"/>
      <c r="F8" s="17"/>
      <c r="G8" s="31">
        <f>G7+Tableau11112[[#This Row],[Encaissement]]-Tableau11112[[#This Row],[Décaissemrnt]]</f>
        <v>5000</v>
      </c>
      <c r="H8" s="27"/>
      <c r="I8" s="26"/>
      <c r="J8" s="26"/>
      <c r="K8" s="26"/>
      <c r="L8" s="27"/>
      <c r="M8" s="27"/>
      <c r="N8" s="27"/>
      <c r="O8" s="27"/>
      <c r="P8" s="27"/>
      <c r="Q8" s="27"/>
      <c r="R8" s="27"/>
      <c r="S8" s="27"/>
      <c r="T8" s="27"/>
      <c r="U8" s="27"/>
      <c r="V8" s="29">
        <f>SUM(K8:U8)</f>
        <v>0</v>
      </c>
    </row>
    <row r="9" spans="2:22" s="8" customFormat="1" ht="17.25" thickBot="1" x14ac:dyDescent="0.3">
      <c r="B9" s="36"/>
      <c r="C9" s="9" t="s">
        <v>1</v>
      </c>
      <c r="D9" s="22">
        <f>SUBTOTAL(103,Tableau11112[Libellé de l''opération])</f>
        <v>0</v>
      </c>
      <c r="E9" s="20">
        <f>SUBTOTAL(109,Tableau11112[Encaissement])</f>
        <v>0</v>
      </c>
      <c r="F9" s="18">
        <f>SUBTOTAL(109,Tableau11112[Décaissemrnt])</f>
        <v>45000</v>
      </c>
      <c r="G9" s="18">
        <f>SUBTOTAL(109,Tableau11112[Solde])</f>
        <v>10000</v>
      </c>
      <c r="H9" s="28">
        <f>SUBTOTAL(109,Tableau11112[AG])</f>
        <v>0</v>
      </c>
      <c r="I9" s="28">
        <f>SUBTOTAL(109,Tableau11112[Carburant])</f>
        <v>20000</v>
      </c>
      <c r="J9" s="28">
        <f>SUBTOTAL(109,Tableau11112[Missions/MinCce])</f>
        <v>20000</v>
      </c>
      <c r="K9" s="28">
        <f>SUBTOTAL(109,Tableau11112[Taxi/peage/PAD])</f>
        <v>5000</v>
      </c>
      <c r="L9" s="28">
        <f>SUBTOTAL(109,Tableau11112[Télécom])</f>
        <v>0</v>
      </c>
      <c r="M9" s="28">
        <f>SUBTOTAL(109,Tableau11112[Entretien])</f>
        <v>0</v>
      </c>
      <c r="N9" s="28">
        <f>SUBTOTAL(109,Tableau11112[Electricité])</f>
        <v>0</v>
      </c>
      <c r="O9" s="28">
        <f>SUBTOTAL(109,Tableau11112[Eau])</f>
        <v>0</v>
      </c>
      <c r="P9" s="28">
        <f>SUBTOTAL(109,Tableau11112[Impot/Cnps])</f>
        <v>0</v>
      </c>
      <c r="Q9" s="28">
        <f>SUBTOTAL(109,Tableau11112[Loyer])</f>
        <v>0</v>
      </c>
      <c r="R9" s="28">
        <f>SUBTOTAL(109,Tableau11112[Banque])</f>
        <v>0</v>
      </c>
      <c r="S9" s="28">
        <f>SUBTOTAL(109,Tableau11112[Mat., mob.])</f>
        <v>0</v>
      </c>
      <c r="T9" s="28">
        <f>SUBTOTAL(109,Tableau11112[Salaire])</f>
        <v>0</v>
      </c>
      <c r="U9" s="28">
        <f>SUBTOTAL(109,Tableau11112[Autres])</f>
        <v>0</v>
      </c>
      <c r="V9" s="30">
        <f>SUBTOTAL(109,Tableau11112[Total])</f>
        <v>45000</v>
      </c>
    </row>
    <row r="10" spans="2:22" ht="14.25" thickTop="1" x14ac:dyDescent="0.25"/>
    <row r="11" spans="2:22" x14ac:dyDescent="0.25">
      <c r="B11" s="24" t="s">
        <v>18</v>
      </c>
      <c r="D11" s="25" t="s">
        <v>19</v>
      </c>
    </row>
    <row r="12" spans="2:22" x14ac:dyDescent="0.25">
      <c r="B12" s="49"/>
      <c r="C12" s="49"/>
    </row>
    <row r="13" spans="2:22" x14ac:dyDescent="0.25">
      <c r="B13" s="49"/>
      <c r="C13" s="49"/>
    </row>
    <row r="14" spans="2:22" x14ac:dyDescent="0.25">
      <c r="B14" s="49"/>
      <c r="C14" s="49"/>
    </row>
    <row r="15" spans="2:22" x14ac:dyDescent="0.25">
      <c r="B15" s="49"/>
      <c r="C15" s="49"/>
    </row>
    <row r="16" spans="2:22" x14ac:dyDescent="0.25">
      <c r="B16" s="49"/>
      <c r="C16" s="49"/>
    </row>
  </sheetData>
  <mergeCells count="2">
    <mergeCell ref="B2:C2"/>
    <mergeCell ref="B12:C16"/>
  </mergeCells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/>
  </dataValidations>
  <printOptions horizontalCentered="1"/>
  <pageMargins left="0.75" right="0.75" top="1" bottom="1" header="0.5" footer="0.5"/>
  <pageSetup paperSize="9" scale="69" fitToHeight="0" orientation="portrait" r:id="rId1"/>
  <headerFooter alignWithMargins="0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2" tint="-0.499984740745262"/>
    <pageSetUpPr fitToPage="1"/>
  </sheetPr>
  <dimension ref="B1:V16"/>
  <sheetViews>
    <sheetView showGridLines="0" topLeftCell="B1" workbookViewId="0">
      <selection activeCell="E31" sqref="E31"/>
    </sheetView>
  </sheetViews>
  <sheetFormatPr baseColWidth="10" defaultColWidth="9.140625" defaultRowHeight="13.5" x14ac:dyDescent="0.25"/>
  <cols>
    <col min="1" max="1" width="5" style="1" customWidth="1"/>
    <col min="2" max="2" width="17.85546875" style="1" customWidth="1"/>
    <col min="3" max="3" width="20.85546875" style="1" customWidth="1"/>
    <col min="4" max="4" width="21.140625" style="3" bestFit="1" customWidth="1"/>
    <col min="5" max="5" width="25.5703125" style="1" customWidth="1"/>
    <col min="6" max="6" width="27.140625" style="1" customWidth="1"/>
    <col min="7" max="7" width="9.140625" style="3" bestFit="1" customWidth="1"/>
    <col min="8" max="8" width="11.28515625" style="3" customWidth="1"/>
    <col min="9" max="9" width="12.140625" style="3" bestFit="1" customWidth="1"/>
    <col min="10" max="10" width="20.140625" style="1" bestFit="1" customWidth="1"/>
    <col min="11" max="11" width="19.140625" style="1" bestFit="1" customWidth="1"/>
    <col min="12" max="12" width="10.28515625" style="1" bestFit="1" customWidth="1"/>
    <col min="13" max="13" width="11.42578125" style="1" bestFit="1" customWidth="1"/>
    <col min="14" max="14" width="12.28515625" style="1" bestFit="1" customWidth="1"/>
    <col min="15" max="15" width="5.42578125" style="1" bestFit="1" customWidth="1"/>
    <col min="16" max="16" width="14.140625" style="1" bestFit="1" customWidth="1"/>
    <col min="17" max="17" width="7.140625" style="1" bestFit="1" customWidth="1"/>
    <col min="18" max="18" width="9.7109375" style="1" bestFit="1" customWidth="1"/>
    <col min="19" max="19" width="13" style="1" bestFit="1" customWidth="1"/>
    <col min="20" max="20" width="8.85546875" style="1" bestFit="1" customWidth="1"/>
    <col min="21" max="21" width="8.28515625" style="1" bestFit="1" customWidth="1"/>
    <col min="22" max="16384" width="9.140625" style="1"/>
  </cols>
  <sheetData>
    <row r="1" spans="2:22" ht="15" customHeight="1" thickBot="1" x14ac:dyDescent="0.3"/>
    <row r="2" spans="2:22" ht="40.15" customHeight="1" thickBot="1" x14ac:dyDescent="0.3">
      <c r="B2" s="53" t="s">
        <v>30</v>
      </c>
      <c r="C2" s="54"/>
      <c r="D2" s="11"/>
      <c r="E2" s="12"/>
      <c r="F2" s="10"/>
      <c r="G2" s="11"/>
      <c r="H2" s="11"/>
      <c r="I2" s="1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2:22" s="13" customFormat="1" ht="15" customHeight="1" x14ac:dyDescent="0.3">
      <c r="B3" s="13" t="s">
        <v>4</v>
      </c>
      <c r="C3" s="14">
        <f ca="1">TODAY()</f>
        <v>46297</v>
      </c>
      <c r="D3" s="15"/>
      <c r="G3" s="15"/>
      <c r="H3" s="15"/>
      <c r="I3" s="15"/>
    </row>
    <row r="4" spans="2:22" s="4" customFormat="1" ht="19.899999999999999" customHeight="1" x14ac:dyDescent="0.2">
      <c r="B4" s="32"/>
      <c r="C4" s="33" t="s">
        <v>5</v>
      </c>
      <c r="D4" s="34">
        <v>50000</v>
      </c>
      <c r="E4" s="35" t="s">
        <v>6</v>
      </c>
      <c r="F4" s="34">
        <f>D4+Tableau1111213[[#Totals],[Encaissement]]-Tableau1111213[[#Totals],[Décaissemrnt]]</f>
        <v>5000</v>
      </c>
      <c r="G4" s="38"/>
      <c r="H4" s="38" t="s">
        <v>11</v>
      </c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</row>
    <row r="5" spans="2:22" ht="15" customHeight="1" x14ac:dyDescent="0.25">
      <c r="B5" s="2"/>
      <c r="C5" s="2"/>
    </row>
    <row r="6" spans="2:22" s="5" customFormat="1" ht="19.899999999999999" customHeight="1" x14ac:dyDescent="0.2">
      <c r="B6" s="6" t="s">
        <v>0</v>
      </c>
      <c r="C6" s="6" t="s">
        <v>10</v>
      </c>
      <c r="D6" s="23" t="s">
        <v>7</v>
      </c>
      <c r="E6" s="6" t="s">
        <v>8</v>
      </c>
      <c r="F6" s="7" t="s">
        <v>9</v>
      </c>
      <c r="G6" s="7" t="s">
        <v>2</v>
      </c>
      <c r="H6" s="6" t="s">
        <v>15</v>
      </c>
      <c r="I6" s="6" t="s">
        <v>13</v>
      </c>
      <c r="J6" s="6" t="s">
        <v>27</v>
      </c>
      <c r="K6" s="6" t="s">
        <v>12</v>
      </c>
      <c r="L6" s="6" t="s">
        <v>23</v>
      </c>
      <c r="M6" s="6" t="s">
        <v>14</v>
      </c>
      <c r="N6" s="6" t="s">
        <v>24</v>
      </c>
      <c r="O6" s="6" t="s">
        <v>25</v>
      </c>
      <c r="P6" s="6" t="s">
        <v>20</v>
      </c>
      <c r="Q6" s="6" t="s">
        <v>22</v>
      </c>
      <c r="R6" s="6" t="s">
        <v>16</v>
      </c>
      <c r="S6" s="6" t="s">
        <v>17</v>
      </c>
      <c r="T6" s="6" t="s">
        <v>21</v>
      </c>
      <c r="U6" s="6" t="s">
        <v>26</v>
      </c>
      <c r="V6" s="6" t="s">
        <v>1</v>
      </c>
    </row>
    <row r="7" spans="2:22" s="8" customFormat="1" ht="16.5" x14ac:dyDescent="0.25">
      <c r="B7" s="37"/>
      <c r="C7" s="16"/>
      <c r="D7" s="21"/>
      <c r="E7" s="19"/>
      <c r="F7" s="17">
        <v>45000</v>
      </c>
      <c r="G7" s="31">
        <f>D4+Tableau1111213[[#This Row],[Encaissement]]-Tableau1111213[[#This Row],[Décaissemrnt]]</f>
        <v>5000</v>
      </c>
      <c r="H7" s="27"/>
      <c r="I7" s="26">
        <v>20000</v>
      </c>
      <c r="J7" s="26">
        <v>20000</v>
      </c>
      <c r="K7" s="26">
        <v>5000</v>
      </c>
      <c r="L7" s="27"/>
      <c r="M7" s="27"/>
      <c r="N7" s="27"/>
      <c r="O7" s="27"/>
      <c r="P7" s="27"/>
      <c r="Q7" s="27"/>
      <c r="R7" s="27"/>
      <c r="S7" s="27"/>
      <c r="T7" s="27"/>
      <c r="U7" s="27"/>
      <c r="V7" s="29">
        <f>SUM(H7:U7)</f>
        <v>45000</v>
      </c>
    </row>
    <row r="8" spans="2:22" s="8" customFormat="1" ht="16.5" x14ac:dyDescent="0.25">
      <c r="B8" s="37"/>
      <c r="C8" s="16"/>
      <c r="D8" s="21"/>
      <c r="E8" s="19"/>
      <c r="F8" s="17"/>
      <c r="G8" s="31">
        <f>G7+Tableau1111213[[#This Row],[Encaissement]]-Tableau1111213[[#This Row],[Décaissemrnt]]</f>
        <v>5000</v>
      </c>
      <c r="H8" s="27"/>
      <c r="I8" s="26"/>
      <c r="J8" s="26"/>
      <c r="K8" s="26"/>
      <c r="L8" s="27"/>
      <c r="M8" s="27"/>
      <c r="N8" s="27"/>
      <c r="O8" s="27"/>
      <c r="P8" s="27"/>
      <c r="Q8" s="27"/>
      <c r="R8" s="27"/>
      <c r="S8" s="27"/>
      <c r="T8" s="27"/>
      <c r="U8" s="27"/>
      <c r="V8" s="29">
        <f>SUM(K8:U8)</f>
        <v>0</v>
      </c>
    </row>
    <row r="9" spans="2:22" s="8" customFormat="1" ht="17.25" thickBot="1" x14ac:dyDescent="0.3">
      <c r="B9" s="36"/>
      <c r="C9" s="9" t="s">
        <v>1</v>
      </c>
      <c r="D9" s="22">
        <f>SUBTOTAL(103,Tableau1111213[Libellé de l''opération])</f>
        <v>0</v>
      </c>
      <c r="E9" s="20">
        <f>SUBTOTAL(109,Tableau1111213[Encaissement])</f>
        <v>0</v>
      </c>
      <c r="F9" s="18">
        <f>SUBTOTAL(109,Tableau1111213[Décaissemrnt])</f>
        <v>45000</v>
      </c>
      <c r="G9" s="18">
        <f>SUBTOTAL(109,Tableau1111213[Solde])</f>
        <v>10000</v>
      </c>
      <c r="H9" s="28">
        <f>SUBTOTAL(109,Tableau1111213[AG])</f>
        <v>0</v>
      </c>
      <c r="I9" s="28">
        <f>SUBTOTAL(109,Tableau1111213[Carburant])</f>
        <v>20000</v>
      </c>
      <c r="J9" s="28">
        <f>SUBTOTAL(109,Tableau1111213[Missions/MinCce])</f>
        <v>20000</v>
      </c>
      <c r="K9" s="28">
        <f>SUBTOTAL(109,Tableau1111213[Taxi/peage/PAD])</f>
        <v>5000</v>
      </c>
      <c r="L9" s="28">
        <f>SUBTOTAL(109,Tableau1111213[Télécom])</f>
        <v>0</v>
      </c>
      <c r="M9" s="28">
        <f>SUBTOTAL(109,Tableau1111213[Entretien])</f>
        <v>0</v>
      </c>
      <c r="N9" s="28">
        <f>SUBTOTAL(109,Tableau1111213[Electricité])</f>
        <v>0</v>
      </c>
      <c r="O9" s="28">
        <f>SUBTOTAL(109,Tableau1111213[Eau])</f>
        <v>0</v>
      </c>
      <c r="P9" s="28">
        <f>SUBTOTAL(109,Tableau1111213[Impot/Cnps])</f>
        <v>0</v>
      </c>
      <c r="Q9" s="28">
        <f>SUBTOTAL(109,Tableau1111213[Loyer])</f>
        <v>0</v>
      </c>
      <c r="R9" s="28">
        <f>SUBTOTAL(109,Tableau1111213[Banque])</f>
        <v>0</v>
      </c>
      <c r="S9" s="28">
        <f>SUBTOTAL(109,Tableau1111213[Mat., mob.])</f>
        <v>0</v>
      </c>
      <c r="T9" s="28">
        <f>SUBTOTAL(109,Tableau1111213[Salaire])</f>
        <v>0</v>
      </c>
      <c r="U9" s="28">
        <f>SUBTOTAL(109,Tableau1111213[Autres])</f>
        <v>0</v>
      </c>
      <c r="V9" s="30">
        <f>SUBTOTAL(109,Tableau1111213[Total])</f>
        <v>45000</v>
      </c>
    </row>
    <row r="10" spans="2:22" ht="14.25" thickTop="1" x14ac:dyDescent="0.25"/>
    <row r="11" spans="2:22" x14ac:dyDescent="0.25">
      <c r="B11" s="24" t="s">
        <v>18</v>
      </c>
      <c r="D11" s="25" t="s">
        <v>19</v>
      </c>
    </row>
    <row r="12" spans="2:22" x14ac:dyDescent="0.25">
      <c r="B12" s="49"/>
      <c r="C12" s="49"/>
    </row>
    <row r="13" spans="2:22" x14ac:dyDescent="0.25">
      <c r="B13" s="49"/>
      <c r="C13" s="49"/>
    </row>
    <row r="14" spans="2:22" x14ac:dyDescent="0.25">
      <c r="B14" s="49"/>
      <c r="C14" s="49"/>
    </row>
    <row r="15" spans="2:22" x14ac:dyDescent="0.25">
      <c r="B15" s="49"/>
      <c r="C15" s="49"/>
    </row>
    <row r="16" spans="2:22" x14ac:dyDescent="0.25">
      <c r="B16" s="49"/>
      <c r="C16" s="49"/>
    </row>
  </sheetData>
  <mergeCells count="2">
    <mergeCell ref="B2:C2"/>
    <mergeCell ref="B12:C16"/>
  </mergeCells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/>
  </dataValidations>
  <printOptions horizontalCentered="1"/>
  <pageMargins left="0.75" right="0.75" top="1" bottom="1" header="0.5" footer="0.5"/>
  <pageSetup paperSize="9" scale="69" fitToHeight="0" orientation="portrait" r:id="rId1"/>
  <headerFooter alignWithMargins="0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1" tint="0.34998626667073579"/>
    <pageSetUpPr fitToPage="1"/>
  </sheetPr>
  <dimension ref="B1:V16"/>
  <sheetViews>
    <sheetView showGridLines="0" topLeftCell="B1" workbookViewId="0">
      <selection activeCell="F36" sqref="F36"/>
    </sheetView>
  </sheetViews>
  <sheetFormatPr baseColWidth="10" defaultColWidth="9.140625" defaultRowHeight="13.5" x14ac:dyDescent="0.25"/>
  <cols>
    <col min="1" max="1" width="5" style="1" customWidth="1"/>
    <col min="2" max="2" width="17.85546875" style="1" customWidth="1"/>
    <col min="3" max="3" width="20.85546875" style="1" customWidth="1"/>
    <col min="4" max="4" width="21.140625" style="3" bestFit="1" customWidth="1"/>
    <col min="5" max="5" width="25.5703125" style="1" customWidth="1"/>
    <col min="6" max="6" width="27.140625" style="1" customWidth="1"/>
    <col min="7" max="7" width="9.140625" style="3" bestFit="1" customWidth="1"/>
    <col min="8" max="8" width="11.28515625" style="3" customWidth="1"/>
    <col min="9" max="9" width="12.140625" style="3" bestFit="1" customWidth="1"/>
    <col min="10" max="10" width="20.140625" style="1" bestFit="1" customWidth="1"/>
    <col min="11" max="11" width="19.140625" style="1" bestFit="1" customWidth="1"/>
    <col min="12" max="12" width="10.28515625" style="1" bestFit="1" customWidth="1"/>
    <col min="13" max="13" width="11.42578125" style="1" bestFit="1" customWidth="1"/>
    <col min="14" max="14" width="12.28515625" style="1" bestFit="1" customWidth="1"/>
    <col min="15" max="15" width="5.42578125" style="1" bestFit="1" customWidth="1"/>
    <col min="16" max="16" width="14.140625" style="1" bestFit="1" customWidth="1"/>
    <col min="17" max="17" width="7.140625" style="1" bestFit="1" customWidth="1"/>
    <col min="18" max="18" width="9.7109375" style="1" bestFit="1" customWidth="1"/>
    <col min="19" max="19" width="13" style="1" bestFit="1" customWidth="1"/>
    <col min="20" max="20" width="8.85546875" style="1" bestFit="1" customWidth="1"/>
    <col min="21" max="21" width="8.28515625" style="1" bestFit="1" customWidth="1"/>
    <col min="22" max="16384" width="9.140625" style="1"/>
  </cols>
  <sheetData>
    <row r="1" spans="2:22" ht="15" customHeight="1" thickBot="1" x14ac:dyDescent="0.3"/>
    <row r="2" spans="2:22" ht="40.15" customHeight="1" thickBot="1" x14ac:dyDescent="0.3">
      <c r="B2" s="53" t="s">
        <v>31</v>
      </c>
      <c r="C2" s="54"/>
      <c r="D2" s="11"/>
      <c r="E2" s="12"/>
      <c r="F2" s="10"/>
      <c r="G2" s="11"/>
      <c r="H2" s="11"/>
      <c r="I2" s="1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2:22" s="13" customFormat="1" ht="15" customHeight="1" x14ac:dyDescent="0.3">
      <c r="B3" s="13" t="s">
        <v>4</v>
      </c>
      <c r="C3" s="14">
        <f ca="1">TODAY()</f>
        <v>46297</v>
      </c>
      <c r="D3" s="15"/>
      <c r="G3" s="15"/>
      <c r="H3" s="15"/>
      <c r="I3" s="15"/>
    </row>
    <row r="4" spans="2:22" s="4" customFormat="1" ht="19.899999999999999" customHeight="1" x14ac:dyDescent="0.2">
      <c r="B4" s="32"/>
      <c r="C4" s="33" t="s">
        <v>5</v>
      </c>
      <c r="D4" s="34">
        <v>50000</v>
      </c>
      <c r="E4" s="35" t="s">
        <v>6</v>
      </c>
      <c r="F4" s="34">
        <f>D4+Tableau111121314[[#Totals],[Encaissement]]-Tableau111121314[[#Totals],[Décaissemrnt]]</f>
        <v>5000</v>
      </c>
      <c r="G4" s="38"/>
      <c r="H4" s="38" t="s">
        <v>11</v>
      </c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</row>
    <row r="5" spans="2:22" ht="15" customHeight="1" x14ac:dyDescent="0.25">
      <c r="B5" s="2"/>
      <c r="C5" s="2"/>
    </row>
    <row r="6" spans="2:22" s="5" customFormat="1" ht="19.899999999999999" customHeight="1" x14ac:dyDescent="0.2">
      <c r="B6" s="6" t="s">
        <v>0</v>
      </c>
      <c r="C6" s="6" t="s">
        <v>10</v>
      </c>
      <c r="D6" s="23" t="s">
        <v>7</v>
      </c>
      <c r="E6" s="6" t="s">
        <v>8</v>
      </c>
      <c r="F6" s="7" t="s">
        <v>9</v>
      </c>
      <c r="G6" s="7" t="s">
        <v>2</v>
      </c>
      <c r="H6" s="6" t="s">
        <v>15</v>
      </c>
      <c r="I6" s="6" t="s">
        <v>13</v>
      </c>
      <c r="J6" s="6" t="s">
        <v>27</v>
      </c>
      <c r="K6" s="6" t="s">
        <v>12</v>
      </c>
      <c r="L6" s="6" t="s">
        <v>23</v>
      </c>
      <c r="M6" s="6" t="s">
        <v>14</v>
      </c>
      <c r="N6" s="6" t="s">
        <v>24</v>
      </c>
      <c r="O6" s="6" t="s">
        <v>25</v>
      </c>
      <c r="P6" s="6" t="s">
        <v>20</v>
      </c>
      <c r="Q6" s="6" t="s">
        <v>22</v>
      </c>
      <c r="R6" s="6" t="s">
        <v>16</v>
      </c>
      <c r="S6" s="6" t="s">
        <v>17</v>
      </c>
      <c r="T6" s="6" t="s">
        <v>21</v>
      </c>
      <c r="U6" s="6" t="s">
        <v>26</v>
      </c>
      <c r="V6" s="6" t="s">
        <v>1</v>
      </c>
    </row>
    <row r="7" spans="2:22" s="8" customFormat="1" ht="16.5" x14ac:dyDescent="0.25">
      <c r="B7" s="37"/>
      <c r="C7" s="16"/>
      <c r="D7" s="21"/>
      <c r="E7" s="19"/>
      <c r="F7" s="17">
        <v>45000</v>
      </c>
      <c r="G7" s="31">
        <f>D4+Tableau111121314[[#This Row],[Encaissement]]-Tableau111121314[[#This Row],[Décaissemrnt]]</f>
        <v>5000</v>
      </c>
      <c r="H7" s="27"/>
      <c r="I7" s="26">
        <v>20000</v>
      </c>
      <c r="J7" s="26">
        <v>20000</v>
      </c>
      <c r="K7" s="26">
        <v>5000</v>
      </c>
      <c r="L7" s="27"/>
      <c r="M7" s="27"/>
      <c r="N7" s="27"/>
      <c r="O7" s="27"/>
      <c r="P7" s="27"/>
      <c r="Q7" s="27"/>
      <c r="R7" s="27"/>
      <c r="S7" s="27"/>
      <c r="T7" s="27"/>
      <c r="U7" s="27"/>
      <c r="V7" s="29">
        <f>SUM(H7:U7)</f>
        <v>45000</v>
      </c>
    </row>
    <row r="8" spans="2:22" s="8" customFormat="1" ht="16.5" x14ac:dyDescent="0.25">
      <c r="B8" s="37"/>
      <c r="C8" s="16"/>
      <c r="D8" s="21"/>
      <c r="E8" s="19"/>
      <c r="F8" s="17"/>
      <c r="G8" s="31">
        <f>G7+Tableau111121314[[#This Row],[Encaissement]]-Tableau111121314[[#This Row],[Décaissemrnt]]</f>
        <v>5000</v>
      </c>
      <c r="H8" s="27"/>
      <c r="I8" s="26"/>
      <c r="J8" s="26"/>
      <c r="K8" s="26"/>
      <c r="L8" s="27"/>
      <c r="M8" s="27"/>
      <c r="N8" s="27"/>
      <c r="O8" s="27"/>
      <c r="P8" s="27"/>
      <c r="Q8" s="27"/>
      <c r="R8" s="27"/>
      <c r="S8" s="27"/>
      <c r="T8" s="27"/>
      <c r="U8" s="27"/>
      <c r="V8" s="29">
        <f>SUM(K8:U8)</f>
        <v>0</v>
      </c>
    </row>
    <row r="9" spans="2:22" s="8" customFormat="1" ht="17.25" thickBot="1" x14ac:dyDescent="0.3">
      <c r="B9" s="36"/>
      <c r="C9" s="9" t="s">
        <v>1</v>
      </c>
      <c r="D9" s="22">
        <f>SUBTOTAL(103,Tableau111121314[Libellé de l''opération])</f>
        <v>0</v>
      </c>
      <c r="E9" s="20">
        <f>SUBTOTAL(109,Tableau111121314[Encaissement])</f>
        <v>0</v>
      </c>
      <c r="F9" s="18">
        <f>SUBTOTAL(109,Tableau111121314[Décaissemrnt])</f>
        <v>45000</v>
      </c>
      <c r="G9" s="18">
        <f>SUBTOTAL(109,Tableau111121314[Solde])</f>
        <v>10000</v>
      </c>
      <c r="H9" s="28">
        <f>SUBTOTAL(109,Tableau111121314[AG])</f>
        <v>0</v>
      </c>
      <c r="I9" s="28">
        <f>SUBTOTAL(109,Tableau111121314[Carburant])</f>
        <v>20000</v>
      </c>
      <c r="J9" s="28">
        <f>SUBTOTAL(109,Tableau111121314[Missions/MinCce])</f>
        <v>20000</v>
      </c>
      <c r="K9" s="28">
        <f>SUBTOTAL(109,Tableau111121314[Taxi/peage/PAD])</f>
        <v>5000</v>
      </c>
      <c r="L9" s="28">
        <f>SUBTOTAL(109,Tableau111121314[Télécom])</f>
        <v>0</v>
      </c>
      <c r="M9" s="28">
        <f>SUBTOTAL(109,Tableau111121314[Entretien])</f>
        <v>0</v>
      </c>
      <c r="N9" s="28">
        <f>SUBTOTAL(109,Tableau111121314[Electricité])</f>
        <v>0</v>
      </c>
      <c r="O9" s="28">
        <f>SUBTOTAL(109,Tableau111121314[Eau])</f>
        <v>0</v>
      </c>
      <c r="P9" s="28">
        <f>SUBTOTAL(109,Tableau111121314[Impot/Cnps])</f>
        <v>0</v>
      </c>
      <c r="Q9" s="28">
        <f>SUBTOTAL(109,Tableau111121314[Loyer])</f>
        <v>0</v>
      </c>
      <c r="R9" s="28">
        <f>SUBTOTAL(109,Tableau111121314[Banque])</f>
        <v>0</v>
      </c>
      <c r="S9" s="28">
        <f>SUBTOTAL(109,Tableau111121314[Mat., mob.])</f>
        <v>0</v>
      </c>
      <c r="T9" s="28">
        <f>SUBTOTAL(109,Tableau111121314[Salaire])</f>
        <v>0</v>
      </c>
      <c r="U9" s="28">
        <f>SUBTOTAL(109,Tableau111121314[Autres])</f>
        <v>0</v>
      </c>
      <c r="V9" s="30">
        <f>SUBTOTAL(109,Tableau111121314[Total])</f>
        <v>45000</v>
      </c>
    </row>
    <row r="10" spans="2:22" ht="14.25" thickTop="1" x14ac:dyDescent="0.25"/>
    <row r="11" spans="2:22" x14ac:dyDescent="0.25">
      <c r="B11" s="24" t="s">
        <v>18</v>
      </c>
      <c r="D11" s="25" t="s">
        <v>19</v>
      </c>
    </row>
    <row r="12" spans="2:22" x14ac:dyDescent="0.25">
      <c r="B12" s="49"/>
      <c r="C12" s="49"/>
    </row>
    <row r="13" spans="2:22" x14ac:dyDescent="0.25">
      <c r="B13" s="49"/>
      <c r="C13" s="49"/>
    </row>
    <row r="14" spans="2:22" x14ac:dyDescent="0.25">
      <c r="B14" s="49"/>
      <c r="C14" s="49"/>
    </row>
    <row r="15" spans="2:22" x14ac:dyDescent="0.25">
      <c r="B15" s="49"/>
      <c r="C15" s="49"/>
    </row>
    <row r="16" spans="2:22" x14ac:dyDescent="0.25">
      <c r="B16" s="49"/>
      <c r="C16" s="49"/>
    </row>
  </sheetData>
  <mergeCells count="2">
    <mergeCell ref="B2:C2"/>
    <mergeCell ref="B12:C16"/>
  </mergeCells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/>
  </dataValidations>
  <printOptions horizontalCentered="1"/>
  <pageMargins left="0.75" right="0.75" top="1" bottom="1" header="0.5" footer="0.5"/>
  <pageSetup paperSize="9" scale="69" fitToHeight="0" orientation="portrait" r:id="rId1"/>
  <headerFooter alignWithMargins="0"/>
  <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8" tint="0.14999847407452621"/>
    <pageSetUpPr fitToPage="1"/>
  </sheetPr>
  <dimension ref="B1:V16"/>
  <sheetViews>
    <sheetView showGridLines="0" topLeftCell="B1" workbookViewId="0">
      <selection activeCell="F36" sqref="F36"/>
    </sheetView>
  </sheetViews>
  <sheetFormatPr baseColWidth="10" defaultColWidth="9.140625" defaultRowHeight="13.5" x14ac:dyDescent="0.25"/>
  <cols>
    <col min="1" max="1" width="5" style="1" customWidth="1"/>
    <col min="2" max="2" width="17.85546875" style="1" customWidth="1"/>
    <col min="3" max="3" width="20.85546875" style="1" customWidth="1"/>
    <col min="4" max="4" width="21.140625" style="3" bestFit="1" customWidth="1"/>
    <col min="5" max="5" width="25.5703125" style="1" customWidth="1"/>
    <col min="6" max="6" width="27.140625" style="1" customWidth="1"/>
    <col min="7" max="7" width="9.140625" style="3" bestFit="1" customWidth="1"/>
    <col min="8" max="8" width="11.28515625" style="3" customWidth="1"/>
    <col min="9" max="9" width="12.140625" style="3" bestFit="1" customWidth="1"/>
    <col min="10" max="10" width="20.140625" style="1" bestFit="1" customWidth="1"/>
    <col min="11" max="11" width="19.140625" style="1" bestFit="1" customWidth="1"/>
    <col min="12" max="12" width="10.28515625" style="1" bestFit="1" customWidth="1"/>
    <col min="13" max="13" width="11.42578125" style="1" bestFit="1" customWidth="1"/>
    <col min="14" max="14" width="12.28515625" style="1" bestFit="1" customWidth="1"/>
    <col min="15" max="15" width="5.42578125" style="1" bestFit="1" customWidth="1"/>
    <col min="16" max="16" width="14.140625" style="1" bestFit="1" customWidth="1"/>
    <col min="17" max="17" width="7.140625" style="1" bestFit="1" customWidth="1"/>
    <col min="18" max="18" width="9.7109375" style="1" bestFit="1" customWidth="1"/>
    <col min="19" max="19" width="13" style="1" bestFit="1" customWidth="1"/>
    <col min="20" max="20" width="8.85546875" style="1" bestFit="1" customWidth="1"/>
    <col min="21" max="21" width="8.28515625" style="1" bestFit="1" customWidth="1"/>
    <col min="22" max="16384" width="9.140625" style="1"/>
  </cols>
  <sheetData>
    <row r="1" spans="2:22" ht="15" customHeight="1" thickBot="1" x14ac:dyDescent="0.3"/>
    <row r="2" spans="2:22" ht="40.15" customHeight="1" thickBot="1" x14ac:dyDescent="0.3">
      <c r="B2" s="53" t="s">
        <v>32</v>
      </c>
      <c r="C2" s="54"/>
      <c r="D2" s="11"/>
      <c r="E2" s="12"/>
      <c r="F2" s="10"/>
      <c r="G2" s="11"/>
      <c r="H2" s="11"/>
      <c r="I2" s="1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2:22" s="13" customFormat="1" ht="15" customHeight="1" x14ac:dyDescent="0.3">
      <c r="B3" s="13" t="s">
        <v>4</v>
      </c>
      <c r="C3" s="14">
        <f ca="1">TODAY()</f>
        <v>46297</v>
      </c>
      <c r="D3" s="15"/>
      <c r="G3" s="15"/>
      <c r="H3" s="15"/>
      <c r="I3" s="15"/>
    </row>
    <row r="4" spans="2:22" s="4" customFormat="1" ht="19.899999999999999" customHeight="1" x14ac:dyDescent="0.2">
      <c r="B4" s="32"/>
      <c r="C4" s="33" t="s">
        <v>5</v>
      </c>
      <c r="D4" s="34">
        <v>50000</v>
      </c>
      <c r="E4" s="35" t="s">
        <v>6</v>
      </c>
      <c r="F4" s="34">
        <f>D4+Tableau11112131415[[#Totals],[Encaissement]]-Tableau11112131415[[#Totals],[Décaissemrnt]]</f>
        <v>5000</v>
      </c>
      <c r="G4" s="38"/>
      <c r="H4" s="38" t="s">
        <v>11</v>
      </c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</row>
    <row r="5" spans="2:22" ht="15" customHeight="1" x14ac:dyDescent="0.25">
      <c r="B5" s="2"/>
      <c r="C5" s="2"/>
    </row>
    <row r="6" spans="2:22" s="5" customFormat="1" ht="19.899999999999999" customHeight="1" x14ac:dyDescent="0.2">
      <c r="B6" s="6" t="s">
        <v>0</v>
      </c>
      <c r="C6" s="6" t="s">
        <v>10</v>
      </c>
      <c r="D6" s="23" t="s">
        <v>7</v>
      </c>
      <c r="E6" s="6" t="s">
        <v>8</v>
      </c>
      <c r="F6" s="7" t="s">
        <v>9</v>
      </c>
      <c r="G6" s="7" t="s">
        <v>2</v>
      </c>
      <c r="H6" s="6" t="s">
        <v>15</v>
      </c>
      <c r="I6" s="6" t="s">
        <v>13</v>
      </c>
      <c r="J6" s="6" t="s">
        <v>27</v>
      </c>
      <c r="K6" s="6" t="s">
        <v>12</v>
      </c>
      <c r="L6" s="6" t="s">
        <v>23</v>
      </c>
      <c r="M6" s="6" t="s">
        <v>14</v>
      </c>
      <c r="N6" s="6" t="s">
        <v>24</v>
      </c>
      <c r="O6" s="6" t="s">
        <v>25</v>
      </c>
      <c r="P6" s="6" t="s">
        <v>20</v>
      </c>
      <c r="Q6" s="6" t="s">
        <v>22</v>
      </c>
      <c r="R6" s="6" t="s">
        <v>16</v>
      </c>
      <c r="S6" s="6" t="s">
        <v>17</v>
      </c>
      <c r="T6" s="6" t="s">
        <v>21</v>
      </c>
      <c r="U6" s="6" t="s">
        <v>26</v>
      </c>
      <c r="V6" s="6" t="s">
        <v>1</v>
      </c>
    </row>
    <row r="7" spans="2:22" s="8" customFormat="1" ht="16.5" x14ac:dyDescent="0.25">
      <c r="B7" s="37"/>
      <c r="C7" s="16"/>
      <c r="D7" s="21"/>
      <c r="E7" s="19"/>
      <c r="F7" s="17">
        <v>45000</v>
      </c>
      <c r="G7" s="31">
        <f>D4+Tableau11112131415[[#This Row],[Encaissement]]-Tableau11112131415[[#This Row],[Décaissemrnt]]</f>
        <v>5000</v>
      </c>
      <c r="H7" s="27"/>
      <c r="I7" s="26">
        <v>20000</v>
      </c>
      <c r="J7" s="26">
        <v>20000</v>
      </c>
      <c r="K7" s="26">
        <v>5000</v>
      </c>
      <c r="L7" s="27"/>
      <c r="M7" s="27"/>
      <c r="N7" s="27"/>
      <c r="O7" s="27"/>
      <c r="P7" s="27"/>
      <c r="Q7" s="27"/>
      <c r="R7" s="27"/>
      <c r="S7" s="27"/>
      <c r="T7" s="27"/>
      <c r="U7" s="27"/>
      <c r="V7" s="29">
        <f>SUM(H7:U7)</f>
        <v>45000</v>
      </c>
    </row>
    <row r="8" spans="2:22" s="8" customFormat="1" ht="16.5" x14ac:dyDescent="0.25">
      <c r="B8" s="37"/>
      <c r="C8" s="16"/>
      <c r="D8" s="21"/>
      <c r="E8" s="19"/>
      <c r="F8" s="17"/>
      <c r="G8" s="31">
        <f>G7+Tableau11112131415[[#This Row],[Encaissement]]-Tableau11112131415[[#This Row],[Décaissemrnt]]</f>
        <v>5000</v>
      </c>
      <c r="H8" s="27"/>
      <c r="I8" s="26"/>
      <c r="J8" s="26"/>
      <c r="K8" s="26"/>
      <c r="L8" s="27"/>
      <c r="M8" s="27"/>
      <c r="N8" s="27"/>
      <c r="O8" s="27"/>
      <c r="P8" s="27"/>
      <c r="Q8" s="27"/>
      <c r="R8" s="27"/>
      <c r="S8" s="27"/>
      <c r="T8" s="27"/>
      <c r="U8" s="27"/>
      <c r="V8" s="29">
        <f>SUM(K8:U8)</f>
        <v>0</v>
      </c>
    </row>
    <row r="9" spans="2:22" s="8" customFormat="1" ht="17.25" thickBot="1" x14ac:dyDescent="0.3">
      <c r="B9" s="36"/>
      <c r="C9" s="9" t="s">
        <v>1</v>
      </c>
      <c r="D9" s="22">
        <f>SUBTOTAL(103,Tableau11112131415[Libellé de l''opération])</f>
        <v>0</v>
      </c>
      <c r="E9" s="20">
        <f>SUBTOTAL(109,Tableau11112131415[Encaissement])</f>
        <v>0</v>
      </c>
      <c r="F9" s="18">
        <f>SUBTOTAL(109,Tableau11112131415[Décaissemrnt])</f>
        <v>45000</v>
      </c>
      <c r="G9" s="18">
        <f>SUBTOTAL(109,Tableau11112131415[Solde])</f>
        <v>10000</v>
      </c>
      <c r="H9" s="28">
        <f>SUBTOTAL(109,Tableau11112131415[AG])</f>
        <v>0</v>
      </c>
      <c r="I9" s="28">
        <f>SUBTOTAL(109,Tableau11112131415[Carburant])</f>
        <v>20000</v>
      </c>
      <c r="J9" s="28">
        <f>SUBTOTAL(109,Tableau11112131415[Missions/MinCce])</f>
        <v>20000</v>
      </c>
      <c r="K9" s="28">
        <f>SUBTOTAL(109,Tableau11112131415[Taxi/peage/PAD])</f>
        <v>5000</v>
      </c>
      <c r="L9" s="28">
        <f>SUBTOTAL(109,Tableau11112131415[Télécom])</f>
        <v>0</v>
      </c>
      <c r="M9" s="28">
        <f>SUBTOTAL(109,Tableau11112131415[Entretien])</f>
        <v>0</v>
      </c>
      <c r="N9" s="28">
        <f>SUBTOTAL(109,Tableau11112131415[Electricité])</f>
        <v>0</v>
      </c>
      <c r="O9" s="28">
        <f>SUBTOTAL(109,Tableau11112131415[Eau])</f>
        <v>0</v>
      </c>
      <c r="P9" s="28">
        <f>SUBTOTAL(109,Tableau11112131415[Impot/Cnps])</f>
        <v>0</v>
      </c>
      <c r="Q9" s="28">
        <f>SUBTOTAL(109,Tableau11112131415[Loyer])</f>
        <v>0</v>
      </c>
      <c r="R9" s="28">
        <f>SUBTOTAL(109,Tableau11112131415[Banque])</f>
        <v>0</v>
      </c>
      <c r="S9" s="28">
        <f>SUBTOTAL(109,Tableau11112131415[Mat., mob.])</f>
        <v>0</v>
      </c>
      <c r="T9" s="28">
        <f>SUBTOTAL(109,Tableau11112131415[Salaire])</f>
        <v>0</v>
      </c>
      <c r="U9" s="28">
        <f>SUBTOTAL(109,Tableau11112131415[Autres])</f>
        <v>0</v>
      </c>
      <c r="V9" s="30">
        <f>SUBTOTAL(109,Tableau11112131415[Total])</f>
        <v>45000</v>
      </c>
    </row>
    <row r="10" spans="2:22" ht="14.25" thickTop="1" x14ac:dyDescent="0.25"/>
    <row r="11" spans="2:22" x14ac:dyDescent="0.25">
      <c r="B11" s="24" t="s">
        <v>18</v>
      </c>
      <c r="D11" s="25" t="s">
        <v>19</v>
      </c>
    </row>
    <row r="12" spans="2:22" x14ac:dyDescent="0.25">
      <c r="B12" s="49"/>
      <c r="C12" s="49"/>
    </row>
    <row r="13" spans="2:22" x14ac:dyDescent="0.25">
      <c r="B13" s="49"/>
      <c r="C13" s="49"/>
    </row>
    <row r="14" spans="2:22" x14ac:dyDescent="0.25">
      <c r="B14" s="49"/>
      <c r="C14" s="49"/>
    </row>
    <row r="15" spans="2:22" x14ac:dyDescent="0.25">
      <c r="B15" s="49"/>
      <c r="C15" s="49"/>
    </row>
    <row r="16" spans="2:22" x14ac:dyDescent="0.25">
      <c r="B16" s="49"/>
      <c r="C16" s="49"/>
    </row>
  </sheetData>
  <mergeCells count="2">
    <mergeCell ref="B2:C2"/>
    <mergeCell ref="B12:C16"/>
  </mergeCells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/>
  </dataValidations>
  <printOptions horizontalCentered="1"/>
  <pageMargins left="0.75" right="0.75" top="1" bottom="1" header="0.5" footer="0.5"/>
  <pageSetup paperSize="9" scale="69" fitToHeight="0" orientation="portrait" r:id="rId1"/>
  <headerFooter alignWithMargins="0"/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3" tint="0.39997558519241921"/>
    <pageSetUpPr fitToPage="1"/>
  </sheetPr>
  <dimension ref="B1:V16"/>
  <sheetViews>
    <sheetView showGridLines="0" workbookViewId="0">
      <selection activeCell="I23" sqref="I23"/>
    </sheetView>
  </sheetViews>
  <sheetFormatPr baseColWidth="10" defaultColWidth="9.140625" defaultRowHeight="13.5" x14ac:dyDescent="0.25"/>
  <cols>
    <col min="1" max="1" width="5" style="1" customWidth="1"/>
    <col min="2" max="2" width="17.85546875" style="1" customWidth="1"/>
    <col min="3" max="3" width="20.85546875" style="1" customWidth="1"/>
    <col min="4" max="4" width="21.140625" style="3" bestFit="1" customWidth="1"/>
    <col min="5" max="5" width="25.5703125" style="1" customWidth="1"/>
    <col min="6" max="6" width="27.140625" style="1" customWidth="1"/>
    <col min="7" max="7" width="9.140625" style="3" bestFit="1" customWidth="1"/>
    <col min="8" max="8" width="11.28515625" style="3" customWidth="1"/>
    <col min="9" max="9" width="12.140625" style="3" bestFit="1" customWidth="1"/>
    <col min="10" max="10" width="20.140625" style="1" bestFit="1" customWidth="1"/>
    <col min="11" max="11" width="19.140625" style="1" bestFit="1" customWidth="1"/>
    <col min="12" max="12" width="10.28515625" style="1" bestFit="1" customWidth="1"/>
    <col min="13" max="13" width="11.42578125" style="1" bestFit="1" customWidth="1"/>
    <col min="14" max="14" width="12.28515625" style="1" bestFit="1" customWidth="1"/>
    <col min="15" max="15" width="5.42578125" style="1" bestFit="1" customWidth="1"/>
    <col min="16" max="16" width="14.140625" style="1" bestFit="1" customWidth="1"/>
    <col min="17" max="17" width="7.140625" style="1" bestFit="1" customWidth="1"/>
    <col min="18" max="18" width="9.7109375" style="1" bestFit="1" customWidth="1"/>
    <col min="19" max="19" width="13" style="1" bestFit="1" customWidth="1"/>
    <col min="20" max="20" width="8.85546875" style="1" bestFit="1" customWidth="1"/>
    <col min="21" max="21" width="8.28515625" style="1" bestFit="1" customWidth="1"/>
    <col min="22" max="16384" width="9.140625" style="1"/>
  </cols>
  <sheetData>
    <row r="1" spans="2:22" ht="15" customHeight="1" thickBot="1" x14ac:dyDescent="0.3"/>
    <row r="2" spans="2:22" ht="40.15" customHeight="1" thickBot="1" x14ac:dyDescent="0.3">
      <c r="B2" s="53" t="s">
        <v>33</v>
      </c>
      <c r="C2" s="54"/>
      <c r="D2" s="11"/>
      <c r="E2" s="12"/>
      <c r="F2" s="10"/>
      <c r="G2" s="11"/>
      <c r="H2" s="11"/>
      <c r="I2" s="1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2:22" s="13" customFormat="1" ht="15" customHeight="1" x14ac:dyDescent="0.3">
      <c r="B3" s="13" t="s">
        <v>4</v>
      </c>
      <c r="C3" s="14">
        <f ca="1">TODAY()</f>
        <v>46297</v>
      </c>
      <c r="D3" s="15"/>
      <c r="G3" s="15"/>
      <c r="H3" s="15"/>
      <c r="I3" s="15"/>
    </row>
    <row r="4" spans="2:22" s="4" customFormat="1" ht="19.899999999999999" customHeight="1" x14ac:dyDescent="0.2">
      <c r="B4" s="32"/>
      <c r="C4" s="33" t="s">
        <v>5</v>
      </c>
      <c r="D4" s="34">
        <v>50000</v>
      </c>
      <c r="E4" s="35" t="s">
        <v>6</v>
      </c>
      <c r="F4" s="34">
        <f>D4+Tableau1111213141517[[#Totals],[Encaissement]]-Tableau1111213141517[[#Totals],[Décaissemrnt]]</f>
        <v>5000</v>
      </c>
      <c r="G4" s="38"/>
      <c r="H4" s="38" t="s">
        <v>11</v>
      </c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</row>
    <row r="5" spans="2:22" ht="15" customHeight="1" x14ac:dyDescent="0.25">
      <c r="B5" s="2"/>
      <c r="C5" s="2"/>
    </row>
    <row r="6" spans="2:22" s="5" customFormat="1" ht="19.899999999999999" customHeight="1" x14ac:dyDescent="0.2">
      <c r="B6" s="6" t="s">
        <v>0</v>
      </c>
      <c r="C6" s="6" t="s">
        <v>10</v>
      </c>
      <c r="D6" s="23" t="s">
        <v>7</v>
      </c>
      <c r="E6" s="6" t="s">
        <v>8</v>
      </c>
      <c r="F6" s="7" t="s">
        <v>9</v>
      </c>
      <c r="G6" s="7" t="s">
        <v>2</v>
      </c>
      <c r="H6" s="6" t="s">
        <v>15</v>
      </c>
      <c r="I6" s="6" t="s">
        <v>13</v>
      </c>
      <c r="J6" s="6" t="s">
        <v>27</v>
      </c>
      <c r="K6" s="6" t="s">
        <v>12</v>
      </c>
      <c r="L6" s="6" t="s">
        <v>23</v>
      </c>
      <c r="M6" s="6" t="s">
        <v>14</v>
      </c>
      <c r="N6" s="6" t="s">
        <v>24</v>
      </c>
      <c r="O6" s="6" t="s">
        <v>25</v>
      </c>
      <c r="P6" s="6" t="s">
        <v>20</v>
      </c>
      <c r="Q6" s="6" t="s">
        <v>22</v>
      </c>
      <c r="R6" s="6" t="s">
        <v>16</v>
      </c>
      <c r="S6" s="6" t="s">
        <v>17</v>
      </c>
      <c r="T6" s="6" t="s">
        <v>21</v>
      </c>
      <c r="U6" s="6" t="s">
        <v>26</v>
      </c>
      <c r="V6" s="6" t="s">
        <v>1</v>
      </c>
    </row>
    <row r="7" spans="2:22" s="8" customFormat="1" ht="16.5" x14ac:dyDescent="0.25">
      <c r="B7" s="37"/>
      <c r="C7" s="16"/>
      <c r="D7" s="21"/>
      <c r="E7" s="19"/>
      <c r="F7" s="17">
        <v>45000</v>
      </c>
      <c r="G7" s="31">
        <f>D4+Tableau1111213141517[[#This Row],[Encaissement]]-Tableau1111213141517[[#This Row],[Décaissemrnt]]</f>
        <v>5000</v>
      </c>
      <c r="H7" s="27"/>
      <c r="I7" s="26">
        <v>20000</v>
      </c>
      <c r="J7" s="26">
        <v>20000</v>
      </c>
      <c r="K7" s="26">
        <v>5000</v>
      </c>
      <c r="L7" s="27"/>
      <c r="M7" s="27"/>
      <c r="N7" s="27"/>
      <c r="O7" s="27"/>
      <c r="P7" s="27"/>
      <c r="Q7" s="27"/>
      <c r="R7" s="27"/>
      <c r="S7" s="27"/>
      <c r="T7" s="27"/>
      <c r="U7" s="27"/>
      <c r="V7" s="29">
        <f>SUM(H7:U7)</f>
        <v>45000</v>
      </c>
    </row>
    <row r="8" spans="2:22" s="8" customFormat="1" ht="16.5" x14ac:dyDescent="0.25">
      <c r="B8" s="37"/>
      <c r="C8" s="16"/>
      <c r="D8" s="21"/>
      <c r="E8" s="19"/>
      <c r="F8" s="17"/>
      <c r="G8" s="31">
        <f>G7+Tableau1111213141517[[#This Row],[Encaissement]]-Tableau1111213141517[[#This Row],[Décaissemrnt]]</f>
        <v>5000</v>
      </c>
      <c r="H8" s="27"/>
      <c r="I8" s="26"/>
      <c r="J8" s="26"/>
      <c r="K8" s="26"/>
      <c r="L8" s="27"/>
      <c r="M8" s="27"/>
      <c r="N8" s="27"/>
      <c r="O8" s="27"/>
      <c r="P8" s="27"/>
      <c r="Q8" s="27"/>
      <c r="R8" s="27"/>
      <c r="S8" s="27"/>
      <c r="T8" s="27"/>
      <c r="U8" s="27"/>
      <c r="V8" s="29">
        <f>SUM(K8:U8)</f>
        <v>0</v>
      </c>
    </row>
    <row r="9" spans="2:22" s="8" customFormat="1" ht="17.25" thickBot="1" x14ac:dyDescent="0.3">
      <c r="B9" s="36"/>
      <c r="C9" s="9" t="s">
        <v>1</v>
      </c>
      <c r="D9" s="22">
        <f>SUBTOTAL(103,Tableau1111213141517[Libellé de l''opération])</f>
        <v>0</v>
      </c>
      <c r="E9" s="20">
        <f>SUBTOTAL(109,Tableau1111213141517[Encaissement])</f>
        <v>0</v>
      </c>
      <c r="F9" s="18">
        <f>SUBTOTAL(109,Tableau1111213141517[Décaissemrnt])</f>
        <v>45000</v>
      </c>
      <c r="G9" s="18">
        <f>SUBTOTAL(109,Tableau1111213141517[Solde])</f>
        <v>10000</v>
      </c>
      <c r="H9" s="28">
        <f>SUBTOTAL(109,Tableau1111213141517[AG])</f>
        <v>0</v>
      </c>
      <c r="I9" s="28">
        <f>SUBTOTAL(109,Tableau1111213141517[Carburant])</f>
        <v>20000</v>
      </c>
      <c r="J9" s="28">
        <f>SUBTOTAL(109,Tableau1111213141517[Missions/MinCce])</f>
        <v>20000</v>
      </c>
      <c r="K9" s="28">
        <f>SUBTOTAL(109,Tableau1111213141517[Taxi/peage/PAD])</f>
        <v>5000</v>
      </c>
      <c r="L9" s="28">
        <f>SUBTOTAL(109,Tableau1111213141517[Télécom])</f>
        <v>0</v>
      </c>
      <c r="M9" s="28">
        <f>SUBTOTAL(109,Tableau1111213141517[Entretien])</f>
        <v>0</v>
      </c>
      <c r="N9" s="28">
        <f>SUBTOTAL(109,Tableau1111213141517[Electricité])</f>
        <v>0</v>
      </c>
      <c r="O9" s="28">
        <f>SUBTOTAL(109,Tableau1111213141517[Eau])</f>
        <v>0</v>
      </c>
      <c r="P9" s="28">
        <f>SUBTOTAL(109,Tableau1111213141517[Impot/Cnps])</f>
        <v>0</v>
      </c>
      <c r="Q9" s="28">
        <f>SUBTOTAL(109,Tableau1111213141517[Loyer])</f>
        <v>0</v>
      </c>
      <c r="R9" s="28">
        <f>SUBTOTAL(109,Tableau1111213141517[Banque])</f>
        <v>0</v>
      </c>
      <c r="S9" s="28">
        <f>SUBTOTAL(109,Tableau1111213141517[Mat., mob.])</f>
        <v>0</v>
      </c>
      <c r="T9" s="28">
        <f>SUBTOTAL(109,Tableau1111213141517[Salaire])</f>
        <v>0</v>
      </c>
      <c r="U9" s="28">
        <f>SUBTOTAL(109,Tableau1111213141517[Autres])</f>
        <v>0</v>
      </c>
      <c r="V9" s="30">
        <f>SUBTOTAL(109,Tableau1111213141517[Total])</f>
        <v>45000</v>
      </c>
    </row>
    <row r="10" spans="2:22" ht="14.25" thickTop="1" x14ac:dyDescent="0.25"/>
    <row r="11" spans="2:22" x14ac:dyDescent="0.25">
      <c r="B11" s="24" t="s">
        <v>18</v>
      </c>
      <c r="D11" s="25" t="s">
        <v>19</v>
      </c>
    </row>
    <row r="12" spans="2:22" x14ac:dyDescent="0.25">
      <c r="B12" s="49"/>
      <c r="C12" s="49"/>
    </row>
    <row r="13" spans="2:22" x14ac:dyDescent="0.25">
      <c r="B13" s="49"/>
      <c r="C13" s="49"/>
    </row>
    <row r="14" spans="2:22" x14ac:dyDescent="0.25">
      <c r="B14" s="49"/>
      <c r="C14" s="49"/>
    </row>
    <row r="15" spans="2:22" x14ac:dyDescent="0.25">
      <c r="B15" s="49"/>
      <c r="C15" s="49"/>
    </row>
    <row r="16" spans="2:22" x14ac:dyDescent="0.25">
      <c r="B16" s="49"/>
      <c r="C16" s="49"/>
    </row>
  </sheetData>
  <mergeCells count="2">
    <mergeCell ref="B2:C2"/>
    <mergeCell ref="B12:C16"/>
  </mergeCells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/>
  </dataValidations>
  <printOptions horizontalCentered="1"/>
  <pageMargins left="0.75" right="0.75" top="1" bottom="1" header="0.5" footer="0.5"/>
  <pageSetup paperSize="9" scale="69" fitToHeight="0" orientation="portrait" r:id="rId1"/>
  <headerFooter alignWithMargins="0"/>
  <drawing r:id="rId2"/>
  <tableParts count="1">
    <tablePart r:id="rId3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00B0F0"/>
    <pageSetUpPr fitToPage="1"/>
  </sheetPr>
  <dimension ref="B1:V16"/>
  <sheetViews>
    <sheetView showGridLines="0" workbookViewId="0">
      <selection activeCell="F26" sqref="F26"/>
    </sheetView>
  </sheetViews>
  <sheetFormatPr baseColWidth="10" defaultColWidth="9.140625" defaultRowHeight="13.5" x14ac:dyDescent="0.25"/>
  <cols>
    <col min="1" max="1" width="5" style="1" customWidth="1"/>
    <col min="2" max="2" width="17.85546875" style="1" customWidth="1"/>
    <col min="3" max="3" width="20.85546875" style="1" customWidth="1"/>
    <col min="4" max="4" width="21.140625" style="3" bestFit="1" customWidth="1"/>
    <col min="5" max="5" width="25.5703125" style="1" customWidth="1"/>
    <col min="6" max="6" width="27.140625" style="1" customWidth="1"/>
    <col min="7" max="7" width="9.140625" style="3" bestFit="1" customWidth="1"/>
    <col min="8" max="8" width="11.28515625" style="3" customWidth="1"/>
    <col min="9" max="9" width="12.140625" style="3" bestFit="1" customWidth="1"/>
    <col min="10" max="10" width="20.140625" style="1" bestFit="1" customWidth="1"/>
    <col min="11" max="11" width="19.140625" style="1" bestFit="1" customWidth="1"/>
    <col min="12" max="12" width="10.28515625" style="1" bestFit="1" customWidth="1"/>
    <col min="13" max="13" width="11.42578125" style="1" bestFit="1" customWidth="1"/>
    <col min="14" max="14" width="12.28515625" style="1" bestFit="1" customWidth="1"/>
    <col min="15" max="15" width="5.42578125" style="1" bestFit="1" customWidth="1"/>
    <col min="16" max="16" width="14.140625" style="1" bestFit="1" customWidth="1"/>
    <col min="17" max="17" width="7.140625" style="1" bestFit="1" customWidth="1"/>
    <col min="18" max="18" width="9.7109375" style="1" bestFit="1" customWidth="1"/>
    <col min="19" max="19" width="13" style="1" bestFit="1" customWidth="1"/>
    <col min="20" max="20" width="8.85546875" style="1" bestFit="1" customWidth="1"/>
    <col min="21" max="21" width="8.28515625" style="1" bestFit="1" customWidth="1"/>
    <col min="22" max="16384" width="9.140625" style="1"/>
  </cols>
  <sheetData>
    <row r="1" spans="2:22" ht="15" customHeight="1" thickBot="1" x14ac:dyDescent="0.3"/>
    <row r="2" spans="2:22" ht="40.15" customHeight="1" thickBot="1" x14ac:dyDescent="0.3">
      <c r="B2" s="53" t="s">
        <v>35</v>
      </c>
      <c r="C2" s="54"/>
      <c r="D2" s="11"/>
      <c r="E2" s="12"/>
      <c r="F2" s="10"/>
      <c r="G2" s="11"/>
      <c r="H2" s="11"/>
      <c r="I2" s="1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2:22" s="13" customFormat="1" ht="15" customHeight="1" x14ac:dyDescent="0.3">
      <c r="B3" s="13" t="s">
        <v>4</v>
      </c>
      <c r="C3" s="14">
        <f ca="1">TODAY()</f>
        <v>46297</v>
      </c>
      <c r="D3" s="15"/>
      <c r="G3" s="15"/>
      <c r="H3" s="15"/>
      <c r="I3" s="15"/>
    </row>
    <row r="4" spans="2:22" s="4" customFormat="1" ht="19.899999999999999" customHeight="1" x14ac:dyDescent="0.2">
      <c r="B4" s="32"/>
      <c r="C4" s="33" t="s">
        <v>5</v>
      </c>
      <c r="D4" s="34">
        <v>50000</v>
      </c>
      <c r="E4" s="35" t="s">
        <v>6</v>
      </c>
      <c r="F4" s="34">
        <f>D4+Tableau111121314151718[[#Totals],[Encaissement]]-Tableau111121314151718[[#Totals],[Décaissemrnt]]</f>
        <v>5000</v>
      </c>
      <c r="G4" s="38"/>
      <c r="H4" s="38" t="s">
        <v>11</v>
      </c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</row>
    <row r="5" spans="2:22" ht="15" customHeight="1" x14ac:dyDescent="0.25">
      <c r="B5" s="2"/>
      <c r="C5" s="2"/>
    </row>
    <row r="6" spans="2:22" s="5" customFormat="1" ht="19.899999999999999" customHeight="1" x14ac:dyDescent="0.2">
      <c r="B6" s="6" t="s">
        <v>0</v>
      </c>
      <c r="C6" s="6" t="s">
        <v>10</v>
      </c>
      <c r="D6" s="23" t="s">
        <v>7</v>
      </c>
      <c r="E6" s="6" t="s">
        <v>8</v>
      </c>
      <c r="F6" s="7" t="s">
        <v>9</v>
      </c>
      <c r="G6" s="7" t="s">
        <v>2</v>
      </c>
      <c r="H6" s="6" t="s">
        <v>15</v>
      </c>
      <c r="I6" s="6" t="s">
        <v>13</v>
      </c>
      <c r="J6" s="6" t="s">
        <v>27</v>
      </c>
      <c r="K6" s="6" t="s">
        <v>12</v>
      </c>
      <c r="L6" s="6" t="s">
        <v>23</v>
      </c>
      <c r="M6" s="6" t="s">
        <v>14</v>
      </c>
      <c r="N6" s="6" t="s">
        <v>24</v>
      </c>
      <c r="O6" s="6" t="s">
        <v>25</v>
      </c>
      <c r="P6" s="6" t="s">
        <v>20</v>
      </c>
      <c r="Q6" s="6" t="s">
        <v>22</v>
      </c>
      <c r="R6" s="6" t="s">
        <v>16</v>
      </c>
      <c r="S6" s="6" t="s">
        <v>17</v>
      </c>
      <c r="T6" s="6" t="s">
        <v>21</v>
      </c>
      <c r="U6" s="6" t="s">
        <v>26</v>
      </c>
      <c r="V6" s="6" t="s">
        <v>1</v>
      </c>
    </row>
    <row r="7" spans="2:22" s="8" customFormat="1" ht="16.5" x14ac:dyDescent="0.25">
      <c r="B7" s="37"/>
      <c r="C7" s="16"/>
      <c r="D7" s="21"/>
      <c r="E7" s="19"/>
      <c r="F7" s="17">
        <v>45000</v>
      </c>
      <c r="G7" s="31">
        <f>D4+Tableau111121314151718[[#This Row],[Encaissement]]-Tableau111121314151718[[#This Row],[Décaissemrnt]]</f>
        <v>5000</v>
      </c>
      <c r="H7" s="27"/>
      <c r="I7" s="26">
        <v>20000</v>
      </c>
      <c r="J7" s="26">
        <v>20000</v>
      </c>
      <c r="K7" s="26">
        <v>5000</v>
      </c>
      <c r="L7" s="27"/>
      <c r="M7" s="27"/>
      <c r="N7" s="27"/>
      <c r="O7" s="27"/>
      <c r="P7" s="27"/>
      <c r="Q7" s="27"/>
      <c r="R7" s="27"/>
      <c r="S7" s="27"/>
      <c r="T7" s="27"/>
      <c r="U7" s="27"/>
      <c r="V7" s="29">
        <f>SUM(H7:U7)</f>
        <v>45000</v>
      </c>
    </row>
    <row r="8" spans="2:22" s="8" customFormat="1" ht="16.5" x14ac:dyDescent="0.25">
      <c r="B8" s="37"/>
      <c r="C8" s="16"/>
      <c r="D8" s="21"/>
      <c r="E8" s="19"/>
      <c r="F8" s="17"/>
      <c r="G8" s="31">
        <f>G7+Tableau111121314151718[[#This Row],[Encaissement]]-Tableau111121314151718[[#This Row],[Décaissemrnt]]</f>
        <v>5000</v>
      </c>
      <c r="H8" s="27"/>
      <c r="I8" s="26"/>
      <c r="J8" s="26"/>
      <c r="K8" s="26"/>
      <c r="L8" s="27"/>
      <c r="M8" s="27"/>
      <c r="N8" s="27"/>
      <c r="O8" s="27"/>
      <c r="P8" s="27"/>
      <c r="Q8" s="27"/>
      <c r="R8" s="27"/>
      <c r="S8" s="27"/>
      <c r="T8" s="27"/>
      <c r="U8" s="27"/>
      <c r="V8" s="29">
        <f>SUM(K8:U8)</f>
        <v>0</v>
      </c>
    </row>
    <row r="9" spans="2:22" s="8" customFormat="1" ht="17.25" thickBot="1" x14ac:dyDescent="0.3">
      <c r="B9" s="36"/>
      <c r="C9" s="9" t="s">
        <v>1</v>
      </c>
      <c r="D9" s="22">
        <f>SUBTOTAL(103,Tableau111121314151718[Libellé de l''opération])</f>
        <v>0</v>
      </c>
      <c r="E9" s="20">
        <f>SUBTOTAL(109,Tableau111121314151718[Encaissement])</f>
        <v>0</v>
      </c>
      <c r="F9" s="18">
        <f>SUBTOTAL(109,Tableau111121314151718[Décaissemrnt])</f>
        <v>45000</v>
      </c>
      <c r="G9" s="18">
        <f>SUBTOTAL(109,Tableau111121314151718[Solde])</f>
        <v>10000</v>
      </c>
      <c r="H9" s="28">
        <f>SUBTOTAL(109,Tableau111121314151718[AG])</f>
        <v>0</v>
      </c>
      <c r="I9" s="28">
        <f>SUBTOTAL(109,Tableau111121314151718[Carburant])</f>
        <v>20000</v>
      </c>
      <c r="J9" s="28">
        <f>SUBTOTAL(109,Tableau111121314151718[Missions/MinCce])</f>
        <v>20000</v>
      </c>
      <c r="K9" s="28">
        <f>SUBTOTAL(109,Tableau111121314151718[Taxi/peage/PAD])</f>
        <v>5000</v>
      </c>
      <c r="L9" s="28">
        <f>SUBTOTAL(109,Tableau111121314151718[Télécom])</f>
        <v>0</v>
      </c>
      <c r="M9" s="28">
        <f>SUBTOTAL(109,Tableau111121314151718[Entretien])</f>
        <v>0</v>
      </c>
      <c r="N9" s="28">
        <f>SUBTOTAL(109,Tableau111121314151718[Electricité])</f>
        <v>0</v>
      </c>
      <c r="O9" s="28">
        <f>SUBTOTAL(109,Tableau111121314151718[Eau])</f>
        <v>0</v>
      </c>
      <c r="P9" s="28">
        <f>SUBTOTAL(109,Tableau111121314151718[Impot/Cnps])</f>
        <v>0</v>
      </c>
      <c r="Q9" s="28">
        <f>SUBTOTAL(109,Tableau111121314151718[Loyer])</f>
        <v>0</v>
      </c>
      <c r="R9" s="28">
        <f>SUBTOTAL(109,Tableau111121314151718[Banque])</f>
        <v>0</v>
      </c>
      <c r="S9" s="28">
        <f>SUBTOTAL(109,Tableau111121314151718[Mat., mob.])</f>
        <v>0</v>
      </c>
      <c r="T9" s="28">
        <f>SUBTOTAL(109,Tableau111121314151718[Salaire])</f>
        <v>0</v>
      </c>
      <c r="U9" s="28">
        <f>SUBTOTAL(109,Tableau111121314151718[Autres])</f>
        <v>0</v>
      </c>
      <c r="V9" s="30">
        <f>SUBTOTAL(109,Tableau111121314151718[Total])</f>
        <v>45000</v>
      </c>
    </row>
    <row r="10" spans="2:22" ht="14.25" thickTop="1" x14ac:dyDescent="0.25"/>
    <row r="11" spans="2:22" x14ac:dyDescent="0.25">
      <c r="B11" s="24" t="s">
        <v>18</v>
      </c>
      <c r="D11" s="25" t="s">
        <v>19</v>
      </c>
    </row>
    <row r="12" spans="2:22" x14ac:dyDescent="0.25">
      <c r="B12" s="49"/>
      <c r="C12" s="49"/>
    </row>
    <row r="13" spans="2:22" x14ac:dyDescent="0.25">
      <c r="B13" s="49"/>
      <c r="C13" s="49"/>
    </row>
    <row r="14" spans="2:22" x14ac:dyDescent="0.25">
      <c r="B14" s="49"/>
      <c r="C14" s="49"/>
    </row>
    <row r="15" spans="2:22" x14ac:dyDescent="0.25">
      <c r="B15" s="49"/>
      <c r="C15" s="49"/>
    </row>
    <row r="16" spans="2:22" x14ac:dyDescent="0.25">
      <c r="B16" s="49"/>
      <c r="C16" s="49"/>
    </row>
  </sheetData>
  <mergeCells count="2">
    <mergeCell ref="B2:C2"/>
    <mergeCell ref="B12:C16"/>
  </mergeCells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/>
  </dataValidations>
  <printOptions horizontalCentered="1"/>
  <pageMargins left="0.75" right="0.75" top="1" bottom="1" header="0.5" footer="0.5"/>
  <pageSetup paperSize="9" scale="69" fitToHeight="0" orientation="portrait" r:id="rId1"/>
  <headerFooter alignWithMargins="0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ServiceKeyPoints xmlns="71af3243-3dd4-4a8d-8c0d-dd76da1f02a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F111ED35F8CC479449609E8A0923A6" ma:contentTypeVersion="11" ma:contentTypeDescription="Create a new document." ma:contentTypeScope="" ma:versionID="1c2eb7a32e66fb6e4260f3771546a5e2">
  <xsd:schema xmlns:xsd="http://www.w3.org/2001/XMLSchema" xmlns:xs="http://www.w3.org/2001/XMLSchema" xmlns:p="http://schemas.microsoft.com/office/2006/metadata/properties" xmlns:ns2="71af3243-3dd4-4a8d-8c0d-dd76da1f02a5" xmlns:ns3="16c05727-aa75-4e4a-9b5f-8a80a1165891" targetNamespace="http://schemas.microsoft.com/office/2006/metadata/properties" ma:root="true" ma:fieldsID="04e1f6479c48b08974ba73b5ca973489" ns2:_="" ns3:_="">
    <xsd:import namespace="71af3243-3dd4-4a8d-8c0d-dd76da1f02a5"/>
    <xsd:import namespace="16c05727-aa75-4e4a-9b5f-8a80a116589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AutoTags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af3243-3dd4-4a8d-8c0d-dd76da1f02a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fals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c05727-aa75-4e4a-9b5f-8a80a116589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39734D5-4621-4580-8094-85EF7AEC5F3D}">
  <ds:schemaRefs>
    <ds:schemaRef ds:uri="http://www.w3.org/XML/1998/namespace"/>
    <ds:schemaRef ds:uri="http://purl.org/dc/elements/1.1/"/>
    <ds:schemaRef ds:uri="http://schemas.microsoft.com/office/2006/documentManagement/types"/>
    <ds:schemaRef ds:uri="16c05727-aa75-4e4a-9b5f-8a80a1165891"/>
    <ds:schemaRef ds:uri="http://schemas.microsoft.com/office/2006/metadata/properties"/>
    <ds:schemaRef ds:uri="71af3243-3dd4-4a8d-8c0d-dd76da1f02a5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B2F8C50E-0997-4B21-872E-71A9A4C1737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53D61B8-4E29-4C00-81AC-C4AA036285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1af3243-3dd4-4a8d-8c0d-dd76da1f02a5"/>
    <ds:schemaRef ds:uri="16c05727-aa75-4e4a-9b5f-8a80a11658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18</vt:i4>
      </vt:variant>
    </vt:vector>
  </HeadingPairs>
  <TitlesOfParts>
    <vt:vector size="28" baseType="lpstr">
      <vt:lpstr>Feuil1</vt:lpstr>
      <vt:lpstr>CENTRALISATION</vt:lpstr>
      <vt:lpstr>CAPI</vt:lpstr>
      <vt:lpstr>GICCOPACAM</vt:lpstr>
      <vt:lpstr>KENZO</vt:lpstr>
      <vt:lpstr>JET INDUSTRY</vt:lpstr>
      <vt:lpstr>JET INVESTMENT</vt:lpstr>
      <vt:lpstr>SCI-JET</vt:lpstr>
      <vt:lpstr>CFPM-JET</vt:lpstr>
      <vt:lpstr>EVOTA-T IMMO</vt:lpstr>
      <vt:lpstr>CAPI!Impression_des_titres</vt:lpstr>
      <vt:lpstr>CENTRALISATION!Impression_des_titres</vt:lpstr>
      <vt:lpstr>'CFPM-JET'!Impression_des_titres</vt:lpstr>
      <vt:lpstr>'EVOTA-T IMMO'!Impression_des_titres</vt:lpstr>
      <vt:lpstr>GICCOPACAM!Impression_des_titres</vt:lpstr>
      <vt:lpstr>'JET INDUSTRY'!Impression_des_titres</vt:lpstr>
      <vt:lpstr>'JET INVESTMENT'!Impression_des_titres</vt:lpstr>
      <vt:lpstr>KENZO!Impression_des_titres</vt:lpstr>
      <vt:lpstr>'SCI-JET'!Impression_des_titres</vt:lpstr>
      <vt:lpstr>CAPI!Zone_d_impression</vt:lpstr>
      <vt:lpstr>CENTRALISATION!Zone_d_impression</vt:lpstr>
      <vt:lpstr>'CFPM-JET'!Zone_d_impression</vt:lpstr>
      <vt:lpstr>'EVOTA-T IMMO'!Zone_d_impression</vt:lpstr>
      <vt:lpstr>GICCOPACAM!Zone_d_impression</vt:lpstr>
      <vt:lpstr>'JET INDUSTRY'!Zone_d_impression</vt:lpstr>
      <vt:lpstr>'JET INVESTMENT'!Zone_d_impression</vt:lpstr>
      <vt:lpstr>KENZO!Zone_d_impression</vt:lpstr>
      <vt:lpstr>'SCI-JET'!Zone_d_impression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2019-02-19T20:17:25Z</dcterms:created>
  <dcterms:modified xsi:type="dcterms:W3CDTF">2026-10-02T09:18:51Z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0x01010079F111ED35F8CC479449609E8A0923A6</vt:lpwstr>
  </property>
</Properties>
</file>