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-120" yWindow="-120" windowWidth="28800" windowHeight="16125"/>
  </bookViews>
  <sheets>
    <sheet name="CENTRALISATION" sheetId="2" r:id="rId1"/>
    <sheet name="CAPI" sheetId="1" r:id="rId2"/>
    <sheet name="GICCOPACAM" sheetId="4" r:id="rId3"/>
    <sheet name="KENZO" sheetId="5" r:id="rId4"/>
    <sheet name="JET INDUSTRY" sheetId="6" r:id="rId5"/>
    <sheet name="JET INVESTMENT" sheetId="7" r:id="rId6"/>
    <sheet name="SCI-JET" sheetId="8" r:id="rId7"/>
    <sheet name="CFPM-JET" sheetId="9" r:id="rId8"/>
    <sheet name="EVOTA-T IMMO" sheetId="11" r:id="rId9"/>
  </sheets>
  <definedNames>
    <definedName name="_xlnm.Print_Titles" localSheetId="1">CAPI!$6:$6</definedName>
    <definedName name="_xlnm.Print_Titles" localSheetId="0">CENTRALISATION!$6:$6</definedName>
    <definedName name="_xlnm.Print_Titles" localSheetId="7">'CFPM-JET'!$6:$6</definedName>
    <definedName name="_xlnm.Print_Titles" localSheetId="8">'EVOTA-T IMMO'!$6:$6</definedName>
    <definedName name="_xlnm.Print_Titles" localSheetId="2">GICCOPACAM!$6:$6</definedName>
    <definedName name="_xlnm.Print_Titles" localSheetId="4">'JET INDUSTRY'!$6:$6</definedName>
    <definedName name="_xlnm.Print_Titles" localSheetId="5">'JET INVESTMENT'!$6:$6</definedName>
    <definedName name="_xlnm.Print_Titles" localSheetId="3">KENZO!$6:$6</definedName>
    <definedName name="_xlnm.Print_Titles" localSheetId="6">'SCI-JET'!$6:$6</definedName>
    <definedName name="_xlnm.Print_Area" localSheetId="1">CAPI!$A$1:$G$17</definedName>
    <definedName name="_xlnm.Print_Area" localSheetId="0">CENTRALISATION!$A$1:$G$17</definedName>
    <definedName name="_xlnm.Print_Area" localSheetId="7">'CFPM-JET'!$A$1:$G$17</definedName>
    <definedName name="_xlnm.Print_Area" localSheetId="8">'EVOTA-T IMMO'!$A$1:$G$17</definedName>
    <definedName name="_xlnm.Print_Area" localSheetId="2">GICCOPACAM!$A$1:$G$17</definedName>
    <definedName name="_xlnm.Print_Area" localSheetId="4">'JET INDUSTRY'!$A$1:$G$17</definedName>
    <definedName name="_xlnm.Print_Area" localSheetId="5">'JET INVESTMENT'!$A$1:$G$17</definedName>
    <definedName name="_xlnm.Print_Area" localSheetId="3">KENZO!$A$1:$G$17</definedName>
    <definedName name="_xlnm.Print_Area" localSheetId="6">'SCI-JET'!$A$1:$G$17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U9" i="11" l="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F9" i="11"/>
  <c r="E9" i="11"/>
  <c r="F4" i="11" s="1"/>
  <c r="D9" i="11"/>
  <c r="V8" i="11"/>
  <c r="V7" i="11"/>
  <c r="G7" i="11"/>
  <c r="G8" i="11" s="1"/>
  <c r="G9" i="11" s="1"/>
  <c r="C3" i="11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F9" i="9"/>
  <c r="E9" i="9"/>
  <c r="D9" i="9"/>
  <c r="V8" i="9"/>
  <c r="V7" i="9"/>
  <c r="G7" i="9"/>
  <c r="G8" i="9" s="1"/>
  <c r="G9" i="9" s="1"/>
  <c r="C3" i="9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F9" i="2"/>
  <c r="E9" i="2"/>
  <c r="F4" i="2" s="1"/>
  <c r="D9" i="2"/>
  <c r="V8" i="2"/>
  <c r="V7" i="2"/>
  <c r="G7" i="2"/>
  <c r="G8" i="2" s="1"/>
  <c r="G9" i="2" s="1"/>
  <c r="C3" i="2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F9" i="8"/>
  <c r="E9" i="8"/>
  <c r="D9" i="8"/>
  <c r="V8" i="8"/>
  <c r="V7" i="8"/>
  <c r="G7" i="8"/>
  <c r="G8" i="8" s="1"/>
  <c r="G9" i="8" s="1"/>
  <c r="C3" i="8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F9" i="7"/>
  <c r="E9" i="7"/>
  <c r="F4" i="7" s="1"/>
  <c r="D9" i="7"/>
  <c r="V8" i="7"/>
  <c r="V7" i="7"/>
  <c r="G7" i="7"/>
  <c r="G8" i="7" s="1"/>
  <c r="G9" i="7" s="1"/>
  <c r="C3" i="7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F9" i="6"/>
  <c r="E9" i="6"/>
  <c r="D9" i="6"/>
  <c r="V8" i="6"/>
  <c r="V7" i="6"/>
  <c r="G7" i="6"/>
  <c r="G8" i="6" s="1"/>
  <c r="G9" i="6" s="1"/>
  <c r="C3" i="6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F9" i="5"/>
  <c r="E9" i="5"/>
  <c r="F4" i="5" s="1"/>
  <c r="D9" i="5"/>
  <c r="V8" i="5"/>
  <c r="V7" i="5"/>
  <c r="G7" i="5"/>
  <c r="G8" i="5" s="1"/>
  <c r="G9" i="5" s="1"/>
  <c r="C3" i="5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F9" i="4"/>
  <c r="E9" i="4"/>
  <c r="D9" i="4"/>
  <c r="V8" i="4"/>
  <c r="V7" i="4"/>
  <c r="G7" i="4"/>
  <c r="G8" i="4" s="1"/>
  <c r="G9" i="4" s="1"/>
  <c r="C3" i="4"/>
  <c r="F4" i="4" l="1"/>
  <c r="F4" i="6"/>
  <c r="F4" i="8"/>
  <c r="V9" i="4"/>
  <c r="V9" i="5"/>
  <c r="V9" i="6"/>
  <c r="V9" i="7"/>
  <c r="V9" i="8"/>
  <c r="V9" i="2"/>
  <c r="F4" i="9"/>
  <c r="V9" i="11"/>
  <c r="V9" i="9"/>
  <c r="V7" i="1"/>
  <c r="U9" i="1"/>
  <c r="O9" i="1"/>
  <c r="N9" i="1"/>
  <c r="L9" i="1"/>
  <c r="Q9" i="1"/>
  <c r="T9" i="1"/>
  <c r="P9" i="1"/>
  <c r="R9" i="1"/>
  <c r="H9" i="1"/>
  <c r="S9" i="1"/>
  <c r="M9" i="1"/>
  <c r="I9" i="1"/>
  <c r="J9" i="1"/>
  <c r="K9" i="1"/>
  <c r="V8" i="1"/>
  <c r="G7" i="1"/>
  <c r="G8" i="1" s="1"/>
  <c r="E9" i="1"/>
  <c r="D9" i="1"/>
  <c r="C3" i="1"/>
  <c r="V9" i="1" l="1"/>
  <c r="G9" i="1"/>
  <c r="F9" i="1"/>
  <c r="F4" i="1" s="1"/>
</calcChain>
</file>

<file path=xl/sharedStrings.xml><?xml version="1.0" encoding="utf-8"?>
<sst xmlns="http://schemas.openxmlformats.org/spreadsheetml/2006/main" count="262" uniqueCount="40">
  <si>
    <t>Date</t>
  </si>
  <si>
    <t>Total</t>
  </si>
  <si>
    <t>Solde</t>
  </si>
  <si>
    <t>CAPI CAMEROUN</t>
  </si>
  <si>
    <t>Date :</t>
  </si>
  <si>
    <t>Solde d'ouverture</t>
  </si>
  <si>
    <t>Solde de clôture</t>
  </si>
  <si>
    <t>Libellé de l'opération</t>
  </si>
  <si>
    <t>Encaissement</t>
  </si>
  <si>
    <t>Décaissemrnt</t>
  </si>
  <si>
    <t>N° pièce</t>
  </si>
  <si>
    <t>Zone de ventilation</t>
  </si>
  <si>
    <t>Taxi/peage/PAD</t>
  </si>
  <si>
    <t>Carburant</t>
  </si>
  <si>
    <t>Entretien</t>
  </si>
  <si>
    <t>AG</t>
  </si>
  <si>
    <t>Banque</t>
  </si>
  <si>
    <t>Mat., mob.</t>
  </si>
  <si>
    <t>Nom et ignature du caissier</t>
  </si>
  <si>
    <t>Nom et Signature du responsable</t>
  </si>
  <si>
    <t>Impot/Cnps</t>
  </si>
  <si>
    <t>Salaire</t>
  </si>
  <si>
    <t>Loyer</t>
  </si>
  <si>
    <t>Télécom</t>
  </si>
  <si>
    <t>Electricité</t>
  </si>
  <si>
    <t>Eau</t>
  </si>
  <si>
    <t>Autres</t>
  </si>
  <si>
    <t>Missions/MinCce</t>
  </si>
  <si>
    <t>GICCOPACAM</t>
  </si>
  <si>
    <t>KENZO &amp; Co.</t>
  </si>
  <si>
    <t>JET INDUSTRY</t>
  </si>
  <si>
    <t>JET INVESTMENT</t>
  </si>
  <si>
    <t>SCI-JET</t>
  </si>
  <si>
    <t>CFPM-JET</t>
  </si>
  <si>
    <t>TABLEAU RECAPITULATIF DES CAISSES</t>
  </si>
  <si>
    <t>EVORA-T</t>
  </si>
  <si>
    <t>Cumul des soldes d'ouverture</t>
  </si>
  <si>
    <t>Cumul soldes de clôture</t>
  </si>
  <si>
    <t>CARBURANT+MISSION+TAXI</t>
  </si>
  <si>
    <t>Décaissement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</si>
</sst>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\ &quot;€&quot;_-;\-* #,##0\ &quot;€&quot;_-;_-* &quot;-&quot;\ &quot;€&quot;_-;_-@_-"/>
    <numFmt numFmtId="165" formatCode="_-* #,##0.00\ &quot;€&quot;_-;\-* #,##0.00\ &quot;€&quot;_-;_-* &quot;-&quot;??\ &quot;€&quot;_-;_-@_-"/>
    <numFmt numFmtId="166" formatCode="_(* #,##0_);_(* \(#,##0\);_(* &quot;-&quot;_);_(@_)"/>
    <numFmt numFmtId="167" formatCode="_(* #,##0.00_);_(* \(#,##0.00\);_(* &quot;-&quot;??_);_(@_)"/>
  </numFmts>
  <fonts count="37" x14ac:knownFonts="1">
    <font>
      <sz val="10"/>
      <name val="Arial"/>
      <family val="2"/>
    </font>
    <font>
      <sz val="11"/>
      <color theme="1"/>
      <name val="Franklin Gothic Book"/>
      <family val="2"/>
      <scheme val="minor"/>
    </font>
    <font>
      <sz val="12"/>
      <color theme="1"/>
      <name val="Franklin Gothic Book"/>
      <family val="2"/>
      <scheme val="minor"/>
    </font>
    <font>
      <sz val="8"/>
      <name val="Arial"/>
      <family val="2"/>
    </font>
    <font>
      <sz val="10"/>
      <name val="Franklin Gothic Book"/>
      <family val="2"/>
      <scheme val="minor"/>
    </font>
    <font>
      <b/>
      <sz val="12"/>
      <name val="Franklin Gothic Book"/>
      <family val="2"/>
      <scheme val="minor"/>
    </font>
    <font>
      <b/>
      <sz val="10"/>
      <name val="Franklin Gothic Book"/>
      <family val="2"/>
      <scheme val="minor"/>
    </font>
    <font>
      <b/>
      <sz val="12"/>
      <color theme="1"/>
      <name val="Franklin Gothic Book"/>
      <family val="2"/>
      <scheme val="minor"/>
    </font>
    <font>
      <sz val="12"/>
      <name val="Franklin Gothic Book"/>
      <family val="2"/>
      <scheme val="minor"/>
    </font>
    <font>
      <b/>
      <sz val="12"/>
      <color theme="5" tint="-0.249977111117893"/>
      <name val="Franklin Gothic Book"/>
      <family val="2"/>
      <scheme val="minor"/>
    </font>
    <font>
      <b/>
      <sz val="12"/>
      <color theme="3"/>
      <name val="Franklin Gothic Book"/>
      <family val="2"/>
      <scheme val="minor"/>
    </font>
    <font>
      <sz val="12"/>
      <color theme="3"/>
      <name val="Franklin Gothic Book"/>
      <family val="2"/>
      <scheme val="minor"/>
    </font>
    <font>
      <sz val="18"/>
      <color theme="3"/>
      <name val="Constantia"/>
      <family val="2"/>
      <scheme val="major"/>
    </font>
    <font>
      <b/>
      <sz val="15"/>
      <color theme="3"/>
      <name val="Franklin Gothic Book"/>
      <family val="2"/>
      <scheme val="minor"/>
    </font>
    <font>
      <b/>
      <sz val="13"/>
      <color theme="3"/>
      <name val="Franklin Gothic Book"/>
      <family val="2"/>
      <scheme val="minor"/>
    </font>
    <font>
      <b/>
      <sz val="11"/>
      <color theme="3"/>
      <name val="Franklin Gothic Book"/>
      <family val="2"/>
      <scheme val="minor"/>
    </font>
    <font>
      <sz val="11"/>
      <color rgb="FF006100"/>
      <name val="Franklin Gothic Book"/>
      <family val="2"/>
      <scheme val="minor"/>
    </font>
    <font>
      <sz val="11"/>
      <color rgb="FF9C0006"/>
      <name val="Franklin Gothic Book"/>
      <family val="2"/>
      <scheme val="minor"/>
    </font>
    <font>
      <sz val="11"/>
      <color rgb="FF9C5700"/>
      <name val="Franklin Gothic Book"/>
      <family val="2"/>
      <scheme val="minor"/>
    </font>
    <font>
      <sz val="11"/>
      <color rgb="FF3F3F76"/>
      <name val="Franklin Gothic Book"/>
      <family val="2"/>
      <scheme val="minor"/>
    </font>
    <font>
      <b/>
      <sz val="11"/>
      <color rgb="FF3F3F3F"/>
      <name val="Franklin Gothic Book"/>
      <family val="2"/>
      <scheme val="minor"/>
    </font>
    <font>
      <b/>
      <sz val="11"/>
      <color rgb="FFFA7D00"/>
      <name val="Franklin Gothic Book"/>
      <family val="2"/>
      <scheme val="minor"/>
    </font>
    <font>
      <sz val="11"/>
      <color rgb="FFFA7D00"/>
      <name val="Franklin Gothic Book"/>
      <family val="2"/>
      <scheme val="minor"/>
    </font>
    <font>
      <b/>
      <sz val="11"/>
      <color theme="0"/>
      <name val="Franklin Gothic Book"/>
      <family val="2"/>
      <scheme val="minor"/>
    </font>
    <font>
      <sz val="11"/>
      <color rgb="FFFF0000"/>
      <name val="Franklin Gothic Book"/>
      <family val="2"/>
      <scheme val="minor"/>
    </font>
    <font>
      <i/>
      <sz val="11"/>
      <color rgb="FF7F7F7F"/>
      <name val="Franklin Gothic Book"/>
      <family val="2"/>
      <scheme val="minor"/>
    </font>
    <font>
      <b/>
      <sz val="11"/>
      <color theme="1"/>
      <name val="Franklin Gothic Book"/>
      <family val="2"/>
      <scheme val="minor"/>
    </font>
    <font>
      <sz val="11"/>
      <color theme="0"/>
      <name val="Franklin Gothic Book"/>
      <family val="2"/>
      <scheme val="minor"/>
    </font>
    <font>
      <sz val="10"/>
      <name val="Arial"/>
      <family val="2"/>
    </font>
    <font>
      <sz val="11"/>
      <name val="Franklin Gothic Book"/>
      <family val="2"/>
      <scheme val="minor"/>
    </font>
    <font>
      <b/>
      <sz val="11"/>
      <name val="Franklin Gothic Book"/>
      <family val="2"/>
      <scheme val="minor"/>
    </font>
    <font>
      <b/>
      <sz val="36"/>
      <name val="Franklin Gothic Book"/>
      <family val="2"/>
      <scheme val="minor"/>
    </font>
    <font>
      <sz val="12"/>
      <color theme="1"/>
      <name val="Arial Narrow"/>
      <family val="2"/>
    </font>
    <font>
      <b/>
      <u/>
      <sz val="10"/>
      <name val="Franklin Gothic Book"/>
      <family val="2"/>
      <scheme val="minor"/>
    </font>
    <font>
      <b/>
      <sz val="18"/>
      <name val="Arial Black"/>
      <family val="2"/>
    </font>
    <font>
      <b/>
      <sz val="10"/>
      <name val="Arial"/>
      <family val="2"/>
    </font>
    <font>
      <sz val="12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7">
    <xf numFmtId="0" fontId="0" fillId="0" borderId="0"/>
    <xf numFmtId="167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8" fillId="6" borderId="0" applyNumberFormat="0" applyBorder="0" applyAlignment="0" applyProtection="0"/>
    <xf numFmtId="0" fontId="19" fillId="7" borderId="5" applyNumberFormat="0" applyAlignment="0" applyProtection="0"/>
    <xf numFmtId="0" fontId="20" fillId="8" borderId="6" applyNumberFormat="0" applyAlignment="0" applyProtection="0"/>
    <xf numFmtId="0" fontId="21" fillId="8" borderId="5" applyNumberFormat="0" applyAlignment="0" applyProtection="0"/>
    <xf numFmtId="0" fontId="22" fillId="0" borderId="7" applyNumberFormat="0" applyFill="0" applyAlignment="0" applyProtection="0"/>
    <xf numFmtId="0" fontId="23" fillId="9" borderId="8" applyNumberFormat="0" applyAlignment="0" applyProtection="0"/>
    <xf numFmtId="0" fontId="24" fillId="0" borderId="0" applyNumberFormat="0" applyFill="0" applyBorder="0" applyAlignment="0" applyProtection="0"/>
    <xf numFmtId="0" fontId="28" fillId="10" borderId="9" applyNumberFormat="0" applyFont="0" applyAlignment="0" applyProtection="0"/>
    <xf numFmtId="0" fontId="25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</cellStyleXfs>
  <cellXfs count="48">
    <xf numFmtId="0" fontId="0" fillId="0" borderId="0" xfId="0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10" fillId="0" borderId="1" xfId="0" applyFont="1" applyFill="1" applyBorder="1" applyAlignment="1">
      <alignment vertical="center" wrapText="1"/>
    </xf>
    <xf numFmtId="0" fontId="6" fillId="0" borderId="0" xfId="0" applyNumberFormat="1" applyFont="1"/>
    <xf numFmtId="0" fontId="4" fillId="0" borderId="11" xfId="0" applyFont="1" applyBorder="1"/>
    <xf numFmtId="0" fontId="4" fillId="0" borderId="11" xfId="0" applyFont="1" applyBorder="1" applyAlignment="1">
      <alignment horizontal="left"/>
    </xf>
    <xf numFmtId="0" fontId="31" fillId="0" borderId="11" xfId="0" applyFont="1" applyBorder="1" applyAlignment="1">
      <alignment vertical="center"/>
    </xf>
    <xf numFmtId="0" fontId="29" fillId="0" borderId="0" xfId="0" applyFont="1"/>
    <xf numFmtId="14" fontId="30" fillId="0" borderId="0" xfId="0" applyNumberFormat="1" applyFont="1" applyAlignment="1">
      <alignment horizontal="left"/>
    </xf>
    <xf numFmtId="0" fontId="29" fillId="0" borderId="0" xfId="0" applyFont="1" applyAlignment="1">
      <alignment horizontal="left"/>
    </xf>
    <xf numFmtId="0" fontId="2" fillId="0" borderId="0" xfId="0" applyNumberFormat="1" applyFont="1" applyFill="1" applyBorder="1" applyAlignment="1">
      <alignment vertical="center" wrapText="1"/>
    </xf>
    <xf numFmtId="3" fontId="2" fillId="0" borderId="0" xfId="0" applyNumberFormat="1" applyFont="1" applyFill="1" applyBorder="1" applyAlignment="1">
      <alignment vertical="center" wrapText="1"/>
    </xf>
    <xf numFmtId="3" fontId="10" fillId="0" borderId="1" xfId="0" applyNumberFormat="1" applyFont="1" applyFill="1" applyBorder="1" applyAlignment="1">
      <alignment vertical="center" wrapText="1"/>
    </xf>
    <xf numFmtId="3" fontId="2" fillId="0" borderId="0" xfId="0" applyNumberFormat="1" applyFont="1" applyFill="1" applyBorder="1" applyAlignment="1">
      <alignment horizontal="left" vertical="center" wrapText="1"/>
    </xf>
    <xf numFmtId="3" fontId="11" fillId="0" borderId="1" xfId="0" applyNumberFormat="1" applyFont="1" applyFill="1" applyBorder="1" applyAlignment="1">
      <alignment horizontal="left" vertical="center" wrapText="1"/>
    </xf>
    <xf numFmtId="0" fontId="32" fillId="0" borderId="0" xfId="0" applyNumberFormat="1" applyFont="1" applyFill="1" applyBorder="1" applyAlignment="1">
      <alignment vertical="center" wrapText="1"/>
    </xf>
    <xf numFmtId="0" fontId="11" fillId="0" borderId="1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33" fillId="0" borderId="0" xfId="0" applyFont="1"/>
    <xf numFmtId="0" fontId="4" fillId="0" borderId="14" xfId="0" applyFont="1" applyBorder="1" applyAlignment="1">
      <alignment horizontal="center"/>
    </xf>
    <xf numFmtId="0" fontId="33" fillId="0" borderId="0" xfId="0" applyFont="1" applyAlignment="1">
      <alignment horizontal="left"/>
    </xf>
    <xf numFmtId="0" fontId="34" fillId="3" borderId="12" xfId="0" applyFont="1" applyFill="1" applyBorder="1" applyAlignment="1">
      <alignment horizontal="center" vertical="center"/>
    </xf>
    <xf numFmtId="0" fontId="34" fillId="3" borderId="13" xfId="0" applyFont="1" applyFill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right" vertical="center" wrapText="1"/>
    </xf>
    <xf numFmtId="3" fontId="0" fillId="0" borderId="0" xfId="0" applyNumberFormat="1" applyFont="1" applyFill="1" applyAlignment="1">
      <alignment horizontal="right" vertical="top" wrapText="1"/>
    </xf>
    <xf numFmtId="3" fontId="11" fillId="0" borderId="1" xfId="0" applyNumberFormat="1" applyFont="1" applyFill="1" applyBorder="1" applyAlignment="1">
      <alignment horizontal="right" vertical="center" wrapText="1"/>
    </xf>
    <xf numFmtId="3" fontId="35" fillId="0" borderId="0" xfId="0" applyNumberFormat="1" applyFont="1" applyFill="1" applyAlignment="1">
      <alignment horizontal="right" vertical="top" wrapText="1"/>
    </xf>
    <xf numFmtId="3" fontId="10" fillId="0" borderId="1" xfId="0" applyNumberFormat="1" applyFont="1" applyFill="1" applyBorder="1" applyAlignment="1">
      <alignment horizontal="right" vertical="center" wrapText="1"/>
    </xf>
    <xf numFmtId="3" fontId="7" fillId="0" borderId="0" xfId="0" applyNumberFormat="1" applyFont="1" applyFill="1" applyBorder="1" applyAlignment="1">
      <alignment vertical="center" wrapText="1"/>
    </xf>
    <xf numFmtId="14" fontId="7" fillId="2" borderId="15" xfId="0" applyNumberFormat="1" applyFont="1" applyFill="1" applyBorder="1" applyAlignment="1">
      <alignment vertical="center"/>
    </xf>
    <xf numFmtId="14" fontId="7" fillId="2" borderId="15" xfId="0" applyNumberFormat="1" applyFont="1" applyFill="1" applyBorder="1" applyAlignment="1">
      <alignment horizontal="right" vertical="center"/>
    </xf>
    <xf numFmtId="3" fontId="9" fillId="35" borderId="15" xfId="0" applyNumberFormat="1" applyFont="1" applyFill="1" applyBorder="1" applyAlignment="1">
      <alignment horizontal="right" vertical="center"/>
    </xf>
    <xf numFmtId="0" fontId="7" fillId="2" borderId="15" xfId="0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right" vertical="center" wrapText="1"/>
    </xf>
    <xf numFmtId="14" fontId="36" fillId="0" borderId="0" xfId="0" applyNumberFormat="1" applyFont="1" applyFill="1" applyBorder="1" applyAlignment="1">
      <alignment horizontal="right" vertical="top" wrapText="1"/>
    </xf>
    <xf numFmtId="0" fontId="9" fillId="2" borderId="15" xfId="0" applyNumberFormat="1" applyFont="1" applyFill="1" applyBorder="1" applyAlignment="1">
      <alignment vertical="center"/>
    </xf>
    <xf numFmtId="0" fontId="34" fillId="3" borderId="16" xfId="0" applyFont="1" applyFill="1" applyBorder="1" applyAlignment="1">
      <alignment horizontal="center" vertical="center"/>
    </xf>
    <xf numFmtId="0" fontId="34" fillId="3" borderId="17" xfId="0" applyFont="1" applyFill="1" applyBorder="1" applyAlignment="1">
      <alignment horizontal="center" vertical="center"/>
    </xf>
    <xf numFmtId="0" fontId="34" fillId="3" borderId="18" xfId="0" applyFont="1" applyFill="1" applyBorder="1" applyAlignment="1">
      <alignment horizontal="center" vertical="center"/>
    </xf>
    <xf numFmtId="14" fontId="7" fillId="2" borderId="15" xfId="0" applyNumberFormat="1" applyFont="1" applyFill="1" applyBorder="1" applyAlignment="1">
      <alignment horizontal="left" vertical="center"/>
    </xf>
  </cellXfs>
  <cellStyles count="47">
    <cellStyle name="20 % - Accent1" xfId="24" builtinId="30" customBuiltin="1"/>
    <cellStyle name="20 % - Accent2" xfId="28" builtinId="34" customBuiltin="1"/>
    <cellStyle name="20 % - Accent3" xfId="32" builtinId="38" customBuiltin="1"/>
    <cellStyle name="20 % - Accent4" xfId="36" builtinId="42" customBuiltin="1"/>
    <cellStyle name="20 % - Accent5" xfId="40" builtinId="46" customBuiltin="1"/>
    <cellStyle name="20 % - Accent6" xfId="44" builtinId="50" customBuiltin="1"/>
    <cellStyle name="40 % - Accent1" xfId="25" builtinId="31" customBuiltin="1"/>
    <cellStyle name="40 % - Accent2" xfId="29" builtinId="35" customBuiltin="1"/>
    <cellStyle name="40 % - Accent3" xfId="33" builtinId="39" customBuiltin="1"/>
    <cellStyle name="40 % - Accent4" xfId="37" builtinId="43" customBuiltin="1"/>
    <cellStyle name="40 % - Accent5" xfId="41" builtinId="47" customBuiltin="1"/>
    <cellStyle name="40 % - Accent6" xfId="45" builtinId="51" customBuiltin="1"/>
    <cellStyle name="60 % - Accent1" xfId="26" builtinId="32" customBuiltin="1"/>
    <cellStyle name="60 % - Accent2" xfId="30" builtinId="36" customBuiltin="1"/>
    <cellStyle name="60 % - Accent3" xfId="34" builtinId="40" customBuiltin="1"/>
    <cellStyle name="60 % - Accent4" xfId="38" builtinId="44" customBuiltin="1"/>
    <cellStyle name="60 % - Accent5" xfId="42" builtinId="48" customBuiltin="1"/>
    <cellStyle name="60 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" xfId="20" builtinId="10" customBuiltin="1"/>
    <cellStyle name="Entrée" xfId="14" builtinId="20" customBuiltin="1"/>
    <cellStyle name="Insatisfaisant" xfId="12" builtinId="27" customBuiltin="1"/>
    <cellStyle name="Milliers" xfId="1" builtinId="3" customBuiltin="1"/>
    <cellStyle name="Milliers [0]" xfId="2" builtinId="6" customBuiltin="1"/>
    <cellStyle name="Monétaire" xfId="3" builtinId="4" customBuiltin="1"/>
    <cellStyle name="Monétaire [0]" xfId="4" builtinId="7" customBuiltin="1"/>
    <cellStyle name="Neutre" xfId="13" builtinId="28" customBuiltin="1"/>
    <cellStyle name="Normal" xfId="0" builtinId="0" customBuiltin="1"/>
    <cellStyle name="Pourcentage" xfId="5" builtinId="5" customBuiltin="1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40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AEAEA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990000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3" name="Rectangle 2"/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4" name="Rectangle 3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76200</xdr:colOff>
      <xdr:row>0</xdr:row>
      <xdr:rowOff>161925</xdr:rowOff>
    </xdr:from>
    <xdr:to>
      <xdr:col>5</xdr:col>
      <xdr:colOff>1295400</xdr:colOff>
      <xdr:row>1</xdr:row>
      <xdr:rowOff>476250</xdr:rowOff>
    </xdr:to>
    <xdr:sp macro="" textlink="">
      <xdr:nvSpPr>
        <xdr:cNvPr id="2" name="Rectangle 1"/>
        <xdr:cNvSpPr/>
      </xdr:nvSpPr>
      <xdr:spPr>
        <a:xfrm>
          <a:off x="2990850" y="161925"/>
          <a:ext cx="531495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6" name="Rectangle 5"/>
        <xdr:cNvSpPr/>
      </xdr:nvSpPr>
      <xdr:spPr>
        <a:xfrm>
          <a:off x="5353050" y="277177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47625</xdr:colOff>
      <xdr:row>0</xdr:row>
      <xdr:rowOff>161925</xdr:rowOff>
    </xdr:from>
    <xdr:to>
      <xdr:col>5</xdr:col>
      <xdr:colOff>1628775</xdr:colOff>
      <xdr:row>1</xdr:row>
      <xdr:rowOff>476250</xdr:rowOff>
    </xdr:to>
    <xdr:sp macro="" textlink="">
      <xdr:nvSpPr>
        <xdr:cNvPr id="2" name="Rectangle 1"/>
        <xdr:cNvSpPr/>
      </xdr:nvSpPr>
      <xdr:spPr>
        <a:xfrm>
          <a:off x="2962275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3" name="Rectangle 2"/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4" name="Rectangle 3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</xdr:colOff>
      <xdr:row>0</xdr:row>
      <xdr:rowOff>161925</xdr:rowOff>
    </xdr:from>
    <xdr:to>
      <xdr:col>5</xdr:col>
      <xdr:colOff>1638300</xdr:colOff>
      <xdr:row>1</xdr:row>
      <xdr:rowOff>476250</xdr:rowOff>
    </xdr:to>
    <xdr:sp macro="" textlink="">
      <xdr:nvSpPr>
        <xdr:cNvPr id="2" name="Rectangle 1"/>
        <xdr:cNvSpPr/>
      </xdr:nvSpPr>
      <xdr:spPr>
        <a:xfrm>
          <a:off x="2971800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3" name="Rectangle 2"/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4" name="Rectangle 3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5" name="Rectangle 4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171450</xdr:rowOff>
    </xdr:from>
    <xdr:to>
      <xdr:col>5</xdr:col>
      <xdr:colOff>1619250</xdr:colOff>
      <xdr:row>1</xdr:row>
      <xdr:rowOff>485775</xdr:rowOff>
    </xdr:to>
    <xdr:sp macro="" textlink="">
      <xdr:nvSpPr>
        <xdr:cNvPr id="2" name="Rectangle 1"/>
        <xdr:cNvSpPr/>
      </xdr:nvSpPr>
      <xdr:spPr>
        <a:xfrm>
          <a:off x="2952750" y="17145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3" name="Rectangle 2"/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4" name="Rectangle 3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5" name="Rectangle 4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6" name="Rectangle 5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152400</xdr:rowOff>
    </xdr:from>
    <xdr:to>
      <xdr:col>5</xdr:col>
      <xdr:colOff>1619250</xdr:colOff>
      <xdr:row>1</xdr:row>
      <xdr:rowOff>466725</xdr:rowOff>
    </xdr:to>
    <xdr:sp macro="" textlink="">
      <xdr:nvSpPr>
        <xdr:cNvPr id="2" name="Rectangle 1"/>
        <xdr:cNvSpPr/>
      </xdr:nvSpPr>
      <xdr:spPr>
        <a:xfrm>
          <a:off x="2952750" y="15240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3" name="Rectangle 2"/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4" name="Rectangle 3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5" name="Rectangle 4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6" name="Rectangle 5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7" name="Rectangle 6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</xdr:colOff>
      <xdr:row>0</xdr:row>
      <xdr:rowOff>161925</xdr:rowOff>
    </xdr:from>
    <xdr:to>
      <xdr:col>5</xdr:col>
      <xdr:colOff>1638300</xdr:colOff>
      <xdr:row>1</xdr:row>
      <xdr:rowOff>476250</xdr:rowOff>
    </xdr:to>
    <xdr:sp macro="" textlink="">
      <xdr:nvSpPr>
        <xdr:cNvPr id="2" name="Rectangle 1"/>
        <xdr:cNvSpPr/>
      </xdr:nvSpPr>
      <xdr:spPr>
        <a:xfrm>
          <a:off x="2971800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3" name="Rectangle 2"/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4" name="Rectangle 3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5" name="Rectangle 4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6" name="Rectangle 5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7" name="Rectangle 6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8" name="Rectangle 7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76200</xdr:colOff>
      <xdr:row>0</xdr:row>
      <xdr:rowOff>142875</xdr:rowOff>
    </xdr:from>
    <xdr:to>
      <xdr:col>5</xdr:col>
      <xdr:colOff>1657350</xdr:colOff>
      <xdr:row>1</xdr:row>
      <xdr:rowOff>457200</xdr:rowOff>
    </xdr:to>
    <xdr:sp macro="" textlink="">
      <xdr:nvSpPr>
        <xdr:cNvPr id="2" name="Rectangle 1"/>
        <xdr:cNvSpPr/>
      </xdr:nvSpPr>
      <xdr:spPr>
        <a:xfrm>
          <a:off x="2990850" y="14287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3" name="Rectangle 2"/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4" name="Rectangle 3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5" name="Rectangle 4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6" name="Rectangle 5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7" name="Rectangle 6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8" name="Rectangle 7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9" name="Rectangle 8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171450</xdr:rowOff>
    </xdr:from>
    <xdr:to>
      <xdr:col>5</xdr:col>
      <xdr:colOff>1619250</xdr:colOff>
      <xdr:row>1</xdr:row>
      <xdr:rowOff>485775</xdr:rowOff>
    </xdr:to>
    <xdr:sp macro="" textlink="">
      <xdr:nvSpPr>
        <xdr:cNvPr id="2" name="Rectangle 1"/>
        <xdr:cNvSpPr/>
      </xdr:nvSpPr>
      <xdr:spPr>
        <a:xfrm>
          <a:off x="2952750" y="17145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3" name="Rectangle 2"/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4" name="Rectangle 3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5" name="Rectangle 4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6" name="Rectangle 5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7" name="Rectangle 6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8" name="Rectangle 7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9" name="Rectangle 8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10" name="Rectangle 9"/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5" name="Central" displayName="Central" ref="B6:V9" totalsRowCount="1" headerRowDxfId="155" dataDxfId="154" totalsRowDxfId="153">
  <tableColumns count="21">
    <tableColumn id="21" name="Date" dataDxfId="152" totalsRowDxfId="20"/>
    <tableColumn id="1" name="N° pièce" totalsRowLabel="Total" dataDxfId="151" totalsRowDxfId="19"/>
    <tableColumn id="2" name="Libellé de l'opération" totalsRowFunction="count" dataDxfId="150" totalsRowDxfId="18"/>
    <tableColumn id="3" name="Encaissement" totalsRowFunction="sum" dataDxfId="149" totalsRowDxfId="17"/>
    <tableColumn id="4" name="Décaissement" totalsRowFunction="sum" dataDxfId="148" totalsRowDxfId="16"/>
    <tableColumn id="5" name="Solde" totalsRowFunction="sum" dataDxfId="147" totalsRowDxfId="15"/>
    <tableColumn id="11" name="AG" totalsRowFunction="sum" dataDxfId="146" totalsRowDxfId="14"/>
    <tableColumn id="8" name="Carburant" totalsRowFunction="sum" dataDxfId="145" totalsRowDxfId="13"/>
    <tableColumn id="7" name="Missions/MinCce" totalsRowFunction="sum" dataDxfId="144" totalsRowDxfId="12"/>
    <tableColumn id="6" name="Taxi/peage/PAD" totalsRowFunction="sum" dataDxfId="143" totalsRowDxfId="11"/>
    <tableColumn id="16" name="Télécom" totalsRowFunction="sum" dataDxfId="142" totalsRowDxfId="10"/>
    <tableColumn id="9" name="Entretien" totalsRowFunction="sum" dataDxfId="141" totalsRowDxfId="9"/>
    <tableColumn id="17" name="Electricité" totalsRowFunction="sum" dataDxfId="140" totalsRowDxfId="8"/>
    <tableColumn id="18" name="Eau" totalsRowFunction="sum" dataDxfId="139" totalsRowDxfId="7"/>
    <tableColumn id="13" name="Impot/Cnps" totalsRowFunction="sum" dataDxfId="138" totalsRowDxfId="6"/>
    <tableColumn id="15" name="Loyer" totalsRowFunction="sum" dataDxfId="137" totalsRowDxfId="5"/>
    <tableColumn id="12" name="Banque" totalsRowFunction="sum" dataDxfId="136" totalsRowDxfId="4"/>
    <tableColumn id="10" name="Mat., mob." totalsRowFunction="sum" dataDxfId="135" totalsRowDxfId="3"/>
    <tableColumn id="14" name="Salaire" totalsRowFunction="sum" dataDxfId="134" totalsRowDxfId="2"/>
    <tableColumn id="19" name="Autres" totalsRowFunction="sum" dataDxfId="133" totalsRowDxfId="1"/>
    <tableColumn id="20" name="Total" totalsRowFunction="sum" dataDxfId="132" totalsRowDxfId="0">
      <calculatedColumnFormula>SUM(K7:U7)</calculatedColumnFormula>
    </tableColumn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id="1" name="Capi" displayName="Capi" ref="B6:V9" totalsRowCount="1" headerRowDxfId="359" dataDxfId="358" totalsRowDxfId="357">
  <tableColumns count="21">
    <tableColumn id="21" name="Date" dataDxfId="356" totalsRowDxfId="41"/>
    <tableColumn id="1" name="N° pièce" totalsRowLabel="Total" dataDxfId="355" totalsRowDxfId="40"/>
    <tableColumn id="2" name="Libellé de l'opération" totalsRowFunction="count" dataDxfId="354" totalsRowDxfId="39"/>
    <tableColumn id="3" name="Encaissement" totalsRowFunction="sum" dataDxfId="353" totalsRowDxfId="38"/>
    <tableColumn id="4" name="Décaissemrnt" totalsRowFunction="sum" dataDxfId="352" totalsRowDxfId="37"/>
    <tableColumn id="5" name="Solde" totalsRowFunction="sum" dataDxfId="351" totalsRowDxfId="36"/>
    <tableColumn id="11" name="AG" totalsRowFunction="sum" dataDxfId="350" totalsRowDxfId="35"/>
    <tableColumn id="8" name="Carburant" totalsRowFunction="sum" dataDxfId="349" totalsRowDxfId="34"/>
    <tableColumn id="7" name="Missions/MinCce" totalsRowFunction="sum" dataDxfId="348" totalsRowDxfId="33"/>
    <tableColumn id="6" name="Taxi/peage/PAD" totalsRowFunction="sum" dataDxfId="347" totalsRowDxfId="32"/>
    <tableColumn id="16" name="Télécom" totalsRowFunction="sum" dataDxfId="346" totalsRowDxfId="31"/>
    <tableColumn id="9" name="Entretien" totalsRowFunction="sum" dataDxfId="345" totalsRowDxfId="30"/>
    <tableColumn id="17" name="Electricité" totalsRowFunction="sum" dataDxfId="344" totalsRowDxfId="29"/>
    <tableColumn id="18" name="Eau" totalsRowFunction="sum" dataDxfId="343" totalsRowDxfId="28"/>
    <tableColumn id="13" name="Impot/Cnps" totalsRowFunction="sum" dataDxfId="342" totalsRowDxfId="27"/>
    <tableColumn id="15" name="Loyer" totalsRowFunction="sum" dataDxfId="341" totalsRowDxfId="26"/>
    <tableColumn id="12" name="Banque" totalsRowFunction="sum" dataDxfId="340" totalsRowDxfId="25"/>
    <tableColumn id="10" name="Mat., mob." totalsRowFunction="sum" dataDxfId="339" totalsRowDxfId="24"/>
    <tableColumn id="14" name="Salaire" totalsRowFunction="sum" dataDxfId="338" totalsRowDxfId="23"/>
    <tableColumn id="19" name="Autres" totalsRowFunction="sum" dataDxfId="337" totalsRowDxfId="22"/>
    <tableColumn id="20" name="Total" totalsRowFunction="sum" dataDxfId="336" totalsRowDxfId="21">
      <calculatedColumnFormula>SUM(K7:U7)</calculatedColumnFormula>
    </tableColumn>
  </tableColumns>
  <tableStyleInfo name="TableStyleLight4" showFirstColumn="0" showLastColumn="0" showRowStripes="1" showColumnStripes="0"/>
</table>
</file>

<file path=xl/tables/table3.xml><?xml version="1.0" encoding="utf-8"?>
<table xmlns="http://schemas.openxmlformats.org/spreadsheetml/2006/main" id="10" name="Tableau111" displayName="Tableau111" ref="B6:V9" totalsRowCount="1" headerRowDxfId="404" dataDxfId="403" totalsRowDxfId="402">
  <tableColumns count="21">
    <tableColumn id="21" name="Date" dataDxfId="400" totalsRowDxfId="401"/>
    <tableColumn id="1" name="N° pièce" totalsRowLabel="Total" dataDxfId="398" totalsRowDxfId="399"/>
    <tableColumn id="2" name="Libellé de l'opération" totalsRowFunction="count" dataDxfId="396" totalsRowDxfId="397"/>
    <tableColumn id="3" name="Encaissement" totalsRowFunction="sum" dataDxfId="394" totalsRowDxfId="395"/>
    <tableColumn id="4" name="Décaissemrnt" totalsRowFunction="sum" dataDxfId="392" totalsRowDxfId="393"/>
    <tableColumn id="5" name="Solde" totalsRowFunction="sum" dataDxfId="390" totalsRowDxfId="391"/>
    <tableColumn id="11" name="AG" totalsRowFunction="sum" dataDxfId="388" totalsRowDxfId="389"/>
    <tableColumn id="8" name="Carburant" totalsRowFunction="sum" dataDxfId="386" totalsRowDxfId="387"/>
    <tableColumn id="7" name="Missions/MinCce" totalsRowFunction="sum" dataDxfId="384" totalsRowDxfId="385"/>
    <tableColumn id="6" name="Taxi/peage/PAD" totalsRowFunction="sum" dataDxfId="382" totalsRowDxfId="383"/>
    <tableColumn id="16" name="Télécom" totalsRowFunction="sum" dataDxfId="380" totalsRowDxfId="381"/>
    <tableColumn id="9" name="Entretien" totalsRowFunction="sum" dataDxfId="378" totalsRowDxfId="379"/>
    <tableColumn id="17" name="Electricité" totalsRowFunction="sum" dataDxfId="376" totalsRowDxfId="377"/>
    <tableColumn id="18" name="Eau" totalsRowFunction="sum" dataDxfId="374" totalsRowDxfId="375"/>
    <tableColumn id="13" name="Impot/Cnps" totalsRowFunction="sum" dataDxfId="372" totalsRowDxfId="373"/>
    <tableColumn id="15" name="Loyer" totalsRowFunction="sum" dataDxfId="370" totalsRowDxfId="371"/>
    <tableColumn id="12" name="Banque" totalsRowFunction="sum" dataDxfId="368" totalsRowDxfId="369"/>
    <tableColumn id="10" name="Mat., mob." totalsRowFunction="sum" dataDxfId="366" totalsRowDxfId="367"/>
    <tableColumn id="14" name="Salaire" totalsRowFunction="sum" dataDxfId="364" totalsRowDxfId="365"/>
    <tableColumn id="19" name="Autres" totalsRowFunction="sum" dataDxfId="362" totalsRowDxfId="363"/>
    <tableColumn id="20" name="Total" totalsRowFunction="sum" dataDxfId="360" totalsRowDxfId="361">
      <calculatedColumnFormula>SUM(K7:U7)</calculatedColumnFormula>
    </tableColumn>
  </tableColumns>
  <tableStyleInfo name="TableStyleLight4" showFirstColumn="0" showLastColumn="0" showRowStripes="1" showColumnStripes="0"/>
</table>
</file>

<file path=xl/tables/table4.xml><?xml version="1.0" encoding="utf-8"?>
<table xmlns="http://schemas.openxmlformats.org/spreadsheetml/2006/main" id="11" name="Tableau11112" displayName="Tableau11112" ref="B6:V9" totalsRowCount="1" headerRowDxfId="335" dataDxfId="334" totalsRowDxfId="333">
  <tableColumns count="21">
    <tableColumn id="21" name="Date" dataDxfId="331" totalsRowDxfId="332"/>
    <tableColumn id="1" name="N° pièce" totalsRowLabel="Total" dataDxfId="329" totalsRowDxfId="330"/>
    <tableColumn id="2" name="Libellé de l'opération" totalsRowFunction="count" dataDxfId="327" totalsRowDxfId="328"/>
    <tableColumn id="3" name="Encaissement" totalsRowFunction="sum" dataDxfId="325" totalsRowDxfId="326"/>
    <tableColumn id="4" name="Décaissemrnt" totalsRowFunction="sum" dataDxfId="323" totalsRowDxfId="324"/>
    <tableColumn id="5" name="Solde" totalsRowFunction="sum" dataDxfId="321" totalsRowDxfId="322"/>
    <tableColumn id="11" name="AG" totalsRowFunction="sum" dataDxfId="319" totalsRowDxfId="320"/>
    <tableColumn id="8" name="Carburant" totalsRowFunction="sum" dataDxfId="317" totalsRowDxfId="318"/>
    <tableColumn id="7" name="Missions/MinCce" totalsRowFunction="sum" dataDxfId="315" totalsRowDxfId="316"/>
    <tableColumn id="6" name="Taxi/peage/PAD" totalsRowFunction="sum" dataDxfId="313" totalsRowDxfId="314"/>
    <tableColumn id="16" name="Télécom" totalsRowFunction="sum" dataDxfId="311" totalsRowDxfId="312"/>
    <tableColumn id="9" name="Entretien" totalsRowFunction="sum" dataDxfId="309" totalsRowDxfId="310"/>
    <tableColumn id="17" name="Electricité" totalsRowFunction="sum" dataDxfId="307" totalsRowDxfId="308"/>
    <tableColumn id="18" name="Eau" totalsRowFunction="sum" dataDxfId="305" totalsRowDxfId="306"/>
    <tableColumn id="13" name="Impot/Cnps" totalsRowFunction="sum" dataDxfId="303" totalsRowDxfId="304"/>
    <tableColumn id="15" name="Loyer" totalsRowFunction="sum" dataDxfId="301" totalsRowDxfId="302"/>
    <tableColumn id="12" name="Banque" totalsRowFunction="sum" dataDxfId="299" totalsRowDxfId="300"/>
    <tableColumn id="10" name="Mat., mob." totalsRowFunction="sum" dataDxfId="297" totalsRowDxfId="298"/>
    <tableColumn id="14" name="Salaire" totalsRowFunction="sum" dataDxfId="295" totalsRowDxfId="296"/>
    <tableColumn id="19" name="Autres" totalsRowFunction="sum" dataDxfId="293" totalsRowDxfId="294"/>
    <tableColumn id="20" name="Total" totalsRowFunction="sum" dataDxfId="291" totalsRowDxfId="292">
      <calculatedColumnFormula>SUM(K7:U7)</calculatedColumnFormula>
    </tableColumn>
  </tableColumns>
  <tableStyleInfo name="TableStyleLight4" showFirstColumn="0" showLastColumn="0" showRowStripes="1" showColumnStripes="0"/>
</table>
</file>

<file path=xl/tables/table5.xml><?xml version="1.0" encoding="utf-8"?>
<table xmlns="http://schemas.openxmlformats.org/spreadsheetml/2006/main" id="12" name="Tableau1111213" displayName="Tableau1111213" ref="B6:V9" totalsRowCount="1" headerRowDxfId="290" dataDxfId="289" totalsRowDxfId="288">
  <tableColumns count="21">
    <tableColumn id="21" name="Date" dataDxfId="286" totalsRowDxfId="287"/>
    <tableColumn id="1" name="N° pièce" totalsRowLabel="Total" dataDxfId="284" totalsRowDxfId="285"/>
    <tableColumn id="2" name="Libellé de l'opération" totalsRowFunction="count" dataDxfId="282" totalsRowDxfId="283"/>
    <tableColumn id="3" name="Encaissement" totalsRowFunction="sum" dataDxfId="280" totalsRowDxfId="281"/>
    <tableColumn id="4" name="Décaissemrnt" totalsRowFunction="sum" dataDxfId="278" totalsRowDxfId="279"/>
    <tableColumn id="5" name="Solde" totalsRowFunction="sum" dataDxfId="276" totalsRowDxfId="277"/>
    <tableColumn id="11" name="AG" totalsRowFunction="sum" dataDxfId="274" totalsRowDxfId="275"/>
    <tableColumn id="8" name="Carburant" totalsRowFunction="sum" dataDxfId="272" totalsRowDxfId="273"/>
    <tableColumn id="7" name="Missions/MinCce" totalsRowFunction="sum" dataDxfId="270" totalsRowDxfId="271"/>
    <tableColumn id="6" name="Taxi/peage/PAD" totalsRowFunction="sum" dataDxfId="268" totalsRowDxfId="269"/>
    <tableColumn id="16" name="Télécom" totalsRowFunction="sum" dataDxfId="266" totalsRowDxfId="267"/>
    <tableColumn id="9" name="Entretien" totalsRowFunction="sum" dataDxfId="264" totalsRowDxfId="265"/>
    <tableColumn id="17" name="Electricité" totalsRowFunction="sum" dataDxfId="262" totalsRowDxfId="263"/>
    <tableColumn id="18" name="Eau" totalsRowFunction="sum" dataDxfId="260" totalsRowDxfId="261"/>
    <tableColumn id="13" name="Impot/Cnps" totalsRowFunction="sum" dataDxfId="258" totalsRowDxfId="259"/>
    <tableColumn id="15" name="Loyer" totalsRowFunction="sum" dataDxfId="256" totalsRowDxfId="257"/>
    <tableColumn id="12" name="Banque" totalsRowFunction="sum" dataDxfId="254" totalsRowDxfId="255"/>
    <tableColumn id="10" name="Mat., mob." totalsRowFunction="sum" dataDxfId="252" totalsRowDxfId="253"/>
    <tableColumn id="14" name="Salaire" totalsRowFunction="sum" dataDxfId="250" totalsRowDxfId="251"/>
    <tableColumn id="19" name="Autres" totalsRowFunction="sum" dataDxfId="248" totalsRowDxfId="249"/>
    <tableColumn id="20" name="Total" totalsRowFunction="sum" dataDxfId="246" totalsRowDxfId="247">
      <calculatedColumnFormula>SUM(K7:U7)</calculatedColumnFormula>
    </tableColumn>
  </tableColumns>
  <tableStyleInfo name="TableStyleLight4" showFirstColumn="0" showLastColumn="0" showRowStripes="1" showColumnStripes="0"/>
</table>
</file>

<file path=xl/tables/table6.xml><?xml version="1.0" encoding="utf-8"?>
<table xmlns="http://schemas.openxmlformats.org/spreadsheetml/2006/main" id="13" name="Tableau111121314" displayName="Tableau111121314" ref="B6:V9" totalsRowCount="1" headerRowDxfId="245" dataDxfId="244" totalsRowDxfId="243">
  <tableColumns count="21">
    <tableColumn id="21" name="Date" dataDxfId="241" totalsRowDxfId="242"/>
    <tableColumn id="1" name="N° pièce" totalsRowLabel="Total" dataDxfId="239" totalsRowDxfId="240"/>
    <tableColumn id="2" name="Libellé de l'opération" totalsRowFunction="count" dataDxfId="237" totalsRowDxfId="238"/>
    <tableColumn id="3" name="Encaissement" totalsRowFunction="sum" dataDxfId="235" totalsRowDxfId="236"/>
    <tableColumn id="4" name="Décaissemrnt" totalsRowFunction="sum" dataDxfId="233" totalsRowDxfId="234"/>
    <tableColumn id="5" name="Solde" totalsRowFunction="sum" dataDxfId="231" totalsRowDxfId="232"/>
    <tableColumn id="11" name="AG" totalsRowFunction="sum" dataDxfId="229" totalsRowDxfId="230"/>
    <tableColumn id="8" name="Carburant" totalsRowFunction="sum" dataDxfId="227" totalsRowDxfId="228"/>
    <tableColumn id="7" name="Missions/MinCce" totalsRowFunction="sum" dataDxfId="225" totalsRowDxfId="226"/>
    <tableColumn id="6" name="Taxi/peage/PAD" totalsRowFunction="sum" dataDxfId="223" totalsRowDxfId="224"/>
    <tableColumn id="16" name="Télécom" totalsRowFunction="sum" dataDxfId="221" totalsRowDxfId="222"/>
    <tableColumn id="9" name="Entretien" totalsRowFunction="sum" dataDxfId="219" totalsRowDxfId="220"/>
    <tableColumn id="17" name="Electricité" totalsRowFunction="sum" dataDxfId="217" totalsRowDxfId="218"/>
    <tableColumn id="18" name="Eau" totalsRowFunction="sum" dataDxfId="215" totalsRowDxfId="216"/>
    <tableColumn id="13" name="Impot/Cnps" totalsRowFunction="sum" dataDxfId="213" totalsRowDxfId="214"/>
    <tableColumn id="15" name="Loyer" totalsRowFunction="sum" dataDxfId="211" totalsRowDxfId="212"/>
    <tableColumn id="12" name="Banque" totalsRowFunction="sum" dataDxfId="209" totalsRowDxfId="210"/>
    <tableColumn id="10" name="Mat., mob." totalsRowFunction="sum" dataDxfId="207" totalsRowDxfId="208"/>
    <tableColumn id="14" name="Salaire" totalsRowFunction="sum" dataDxfId="205" totalsRowDxfId="206"/>
    <tableColumn id="19" name="Autres" totalsRowFunction="sum" dataDxfId="203" totalsRowDxfId="204"/>
    <tableColumn id="20" name="Total" totalsRowFunction="sum" dataDxfId="201" totalsRowDxfId="202">
      <calculatedColumnFormula>SUM(K7:U7)</calculatedColumnFormula>
    </tableColumn>
  </tableColumns>
  <tableStyleInfo name="TableStyleLight4" showFirstColumn="0" showLastColumn="0" showRowStripes="1" showColumnStripes="0"/>
</table>
</file>

<file path=xl/tables/table7.xml><?xml version="1.0" encoding="utf-8"?>
<table xmlns="http://schemas.openxmlformats.org/spreadsheetml/2006/main" id="14" name="Tableau11112131415" displayName="Tableau11112131415" ref="B6:V9" totalsRowCount="1" headerRowDxfId="200" dataDxfId="199" totalsRowDxfId="198">
  <tableColumns count="21">
    <tableColumn id="21" name="Date" dataDxfId="196" totalsRowDxfId="197"/>
    <tableColumn id="1" name="N° pièce" totalsRowLabel="Total" dataDxfId="194" totalsRowDxfId="195"/>
    <tableColumn id="2" name="Libellé de l'opération" totalsRowFunction="count" dataDxfId="192" totalsRowDxfId="193"/>
    <tableColumn id="3" name="Encaissement" totalsRowFunction="sum" dataDxfId="190" totalsRowDxfId="191"/>
    <tableColumn id="4" name="Décaissemrnt" totalsRowFunction="sum" dataDxfId="188" totalsRowDxfId="189"/>
    <tableColumn id="5" name="Solde" totalsRowFunction="sum" dataDxfId="186" totalsRowDxfId="187"/>
    <tableColumn id="11" name="AG" totalsRowFunction="sum" dataDxfId="184" totalsRowDxfId="185"/>
    <tableColumn id="8" name="Carburant" totalsRowFunction="sum" dataDxfId="182" totalsRowDxfId="183"/>
    <tableColumn id="7" name="Missions/MinCce" totalsRowFunction="sum" dataDxfId="180" totalsRowDxfId="181"/>
    <tableColumn id="6" name="Taxi/peage/PAD" totalsRowFunction="sum" dataDxfId="178" totalsRowDxfId="179"/>
    <tableColumn id="16" name="Télécom" totalsRowFunction="sum" dataDxfId="176" totalsRowDxfId="177"/>
    <tableColumn id="9" name="Entretien" totalsRowFunction="sum" dataDxfId="174" totalsRowDxfId="175"/>
    <tableColumn id="17" name="Electricité" totalsRowFunction="sum" dataDxfId="172" totalsRowDxfId="173"/>
    <tableColumn id="18" name="Eau" totalsRowFunction="sum" dataDxfId="170" totalsRowDxfId="171"/>
    <tableColumn id="13" name="Impot/Cnps" totalsRowFunction="sum" dataDxfId="168" totalsRowDxfId="169"/>
    <tableColumn id="15" name="Loyer" totalsRowFunction="sum" dataDxfId="166" totalsRowDxfId="167"/>
    <tableColumn id="12" name="Banque" totalsRowFunction="sum" dataDxfId="164" totalsRowDxfId="165"/>
    <tableColumn id="10" name="Mat., mob." totalsRowFunction="sum" dataDxfId="162" totalsRowDxfId="163"/>
    <tableColumn id="14" name="Salaire" totalsRowFunction="sum" dataDxfId="160" totalsRowDxfId="161"/>
    <tableColumn id="19" name="Autres" totalsRowFunction="sum" dataDxfId="158" totalsRowDxfId="159"/>
    <tableColumn id="20" name="Total" totalsRowFunction="sum" dataDxfId="156" totalsRowDxfId="157">
      <calculatedColumnFormula>SUM(K7:U7)</calculatedColumnFormula>
    </tableColumn>
  </tableColumns>
  <tableStyleInfo name="TableStyleLight4" showFirstColumn="0" showLastColumn="0" showRowStripes="1" showColumnStripes="0"/>
</table>
</file>

<file path=xl/tables/table8.xml><?xml version="1.0" encoding="utf-8"?>
<table xmlns="http://schemas.openxmlformats.org/spreadsheetml/2006/main" id="16" name="Tableau1111213141517" displayName="Tableau1111213141517" ref="B6:V9" totalsRowCount="1" headerRowDxfId="131" dataDxfId="130" totalsRowDxfId="129">
  <tableColumns count="21">
    <tableColumn id="21" name="Date" dataDxfId="127" totalsRowDxfId="128"/>
    <tableColumn id="1" name="N° pièce" totalsRowLabel="Total" dataDxfId="125" totalsRowDxfId="126"/>
    <tableColumn id="2" name="Libellé de l'opération" totalsRowFunction="count" dataDxfId="123" totalsRowDxfId="124"/>
    <tableColumn id="3" name="Encaissement" totalsRowFunction="sum" dataDxfId="121" totalsRowDxfId="122"/>
    <tableColumn id="4" name="Décaissemrnt" totalsRowFunction="sum" dataDxfId="119" totalsRowDxfId="120"/>
    <tableColumn id="5" name="Solde" totalsRowFunction="sum" dataDxfId="117" totalsRowDxfId="118"/>
    <tableColumn id="11" name="AG" totalsRowFunction="sum" dataDxfId="115" totalsRowDxfId="116"/>
    <tableColumn id="8" name="Carburant" totalsRowFunction="sum" dataDxfId="113" totalsRowDxfId="114"/>
    <tableColumn id="7" name="Missions/MinCce" totalsRowFunction="sum" dataDxfId="111" totalsRowDxfId="112"/>
    <tableColumn id="6" name="Taxi/peage/PAD" totalsRowFunction="sum" dataDxfId="109" totalsRowDxfId="110"/>
    <tableColumn id="16" name="Télécom" totalsRowFunction="sum" dataDxfId="107" totalsRowDxfId="108"/>
    <tableColumn id="9" name="Entretien" totalsRowFunction="sum" dataDxfId="105" totalsRowDxfId="106"/>
    <tableColumn id="17" name="Electricité" totalsRowFunction="sum" dataDxfId="103" totalsRowDxfId="104"/>
    <tableColumn id="18" name="Eau" totalsRowFunction="sum" dataDxfId="101" totalsRowDxfId="102"/>
    <tableColumn id="13" name="Impot/Cnps" totalsRowFunction="sum" dataDxfId="99" totalsRowDxfId="100"/>
    <tableColumn id="15" name="Loyer" totalsRowFunction="sum" dataDxfId="97" totalsRowDxfId="98"/>
    <tableColumn id="12" name="Banque" totalsRowFunction="sum" dataDxfId="95" totalsRowDxfId="96"/>
    <tableColumn id="10" name="Mat., mob." totalsRowFunction="sum" dataDxfId="93" totalsRowDxfId="94"/>
    <tableColumn id="14" name="Salaire" totalsRowFunction="sum" dataDxfId="91" totalsRowDxfId="92"/>
    <tableColumn id="19" name="Autres" totalsRowFunction="sum" dataDxfId="89" totalsRowDxfId="90"/>
    <tableColumn id="20" name="Total" totalsRowFunction="sum" dataDxfId="87" totalsRowDxfId="88">
      <calculatedColumnFormula>SUM(K7:U7)</calculatedColumnFormula>
    </tableColumn>
  </tableColumns>
  <tableStyleInfo name="TableStyleLight4" showFirstColumn="0" showLastColumn="0" showRowStripes="1" showColumnStripes="0"/>
</table>
</file>

<file path=xl/tables/table9.xml><?xml version="1.0" encoding="utf-8"?>
<table xmlns="http://schemas.openxmlformats.org/spreadsheetml/2006/main" id="17" name="Tableau111121314151718" displayName="Tableau111121314151718" ref="B6:V9" totalsRowCount="1" headerRowDxfId="86" dataDxfId="85" totalsRowDxfId="84">
  <tableColumns count="21">
    <tableColumn id="21" name="Date" dataDxfId="82" totalsRowDxfId="83"/>
    <tableColumn id="1" name="N° pièce" totalsRowLabel="Total" dataDxfId="80" totalsRowDxfId="81"/>
    <tableColumn id="2" name="Libellé de l'opération" totalsRowFunction="count" dataDxfId="78" totalsRowDxfId="79"/>
    <tableColumn id="3" name="Encaissement" totalsRowFunction="sum" dataDxfId="76" totalsRowDxfId="77"/>
    <tableColumn id="4" name="Décaissemrnt" totalsRowFunction="sum" dataDxfId="74" totalsRowDxfId="75"/>
    <tableColumn id="5" name="Solde" totalsRowFunction="sum" dataDxfId="72" totalsRowDxfId="73"/>
    <tableColumn id="11" name="AG" totalsRowFunction="sum" dataDxfId="70" totalsRowDxfId="71"/>
    <tableColumn id="8" name="Carburant" totalsRowFunction="sum" dataDxfId="68" totalsRowDxfId="69"/>
    <tableColumn id="7" name="Missions/MinCce" totalsRowFunction="sum" dataDxfId="66" totalsRowDxfId="67"/>
    <tableColumn id="6" name="Taxi/peage/PAD" totalsRowFunction="sum" dataDxfId="64" totalsRowDxfId="65"/>
    <tableColumn id="16" name="Télécom" totalsRowFunction="sum" dataDxfId="62" totalsRowDxfId="63"/>
    <tableColumn id="9" name="Entretien" totalsRowFunction="sum" dataDxfId="60" totalsRowDxfId="61"/>
    <tableColumn id="17" name="Electricité" totalsRowFunction="sum" dataDxfId="58" totalsRowDxfId="59"/>
    <tableColumn id="18" name="Eau" totalsRowFunction="sum" dataDxfId="56" totalsRowDxfId="57"/>
    <tableColumn id="13" name="Impot/Cnps" totalsRowFunction="sum" dataDxfId="54" totalsRowDxfId="55"/>
    <tableColumn id="15" name="Loyer" totalsRowFunction="sum" dataDxfId="52" totalsRowDxfId="53"/>
    <tableColumn id="12" name="Banque" totalsRowFunction="sum" dataDxfId="50" totalsRowDxfId="51"/>
    <tableColumn id="10" name="Mat., mob." totalsRowFunction="sum" dataDxfId="48" totalsRowDxfId="49"/>
    <tableColumn id="14" name="Salaire" totalsRowFunction="sum" dataDxfId="46" totalsRowDxfId="47"/>
    <tableColumn id="19" name="Autres" totalsRowFunction="sum" dataDxfId="44" totalsRowDxfId="45"/>
    <tableColumn id="20" name="Total" totalsRowFunction="sum" dataDxfId="42" totalsRowDxfId="43">
      <calculatedColumnFormula>SUM(K7:U7)</calculatedColumnFormula>
    </tableColumn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eme1">
  <a:themeElements>
    <a:clrScheme name="BUS_Activity Based Cost Track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F7F5E6"/>
      </a:accent1>
      <a:accent2>
        <a:srgbClr val="333A56"/>
      </a:accent2>
      <a:accent3>
        <a:srgbClr val="52658F"/>
      </a:accent3>
      <a:accent4>
        <a:srgbClr val="E8E8E8"/>
      </a:accent4>
      <a:accent5>
        <a:srgbClr val="000000"/>
      </a:accent5>
      <a:accent6>
        <a:srgbClr val="8A8A8A"/>
      </a:accent6>
      <a:hlink>
        <a:srgbClr val="0096D2"/>
      </a:hlink>
      <a:folHlink>
        <a:srgbClr val="00578B"/>
      </a:folHlink>
    </a:clrScheme>
    <a:fontScheme name="BUS_Activity Based Cost Tracker">
      <a:majorFont>
        <a:latin typeface="Constantia"/>
        <a:ea typeface=""/>
        <a:cs typeface=""/>
      </a:majorFont>
      <a:minorFont>
        <a:latin typeface="Franklin Gothic Book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Dark" id="{D39323B7-B2D6-4C10-818B-A5CD4ACE85BD}" vid="{15FD9199-0511-4D87-8BFB-2FF3F0C5B55D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externalLinkPath" Target="file:///X:\AA_DOSSIERS%20EN%20COURS%20GROUPE%20JET\CAPI\JET_JOURNAL%20DE%20CAISSE%20V02%20MINIMALISTE.xlsx" TargetMode="External"/><Relationship Id="rId7" Type="http://schemas.openxmlformats.org/officeDocument/2006/relationships/externalLinkPath" Target="file:///X:\AA_DOSSIERS%20EN%20COURS%20GROUPE%20JET\CAPI\JET_JOURNAL%20DE%20CAISSE%20V02%20MINIMALISTE.xlsx" TargetMode="External"/><Relationship Id="rId2" Type="http://schemas.openxmlformats.org/officeDocument/2006/relationships/externalLinkPath" Target="file:///X:\AA_DOSSIERS%20EN%20COURS%20GROUPE%20JET\CAPI\JET_JOURNAL%20DE%20CAISSE%20V02%20MINIMALISTE.xlsx" TargetMode="External"/><Relationship Id="rId1" Type="http://schemas.openxmlformats.org/officeDocument/2006/relationships/externalLinkPath" Target="file:///X:\AA_DOSSIERS%20EN%20COURS%20GROUPE%20JET\CAPI\JET_JOURNAL%20DE%20CAISSE%20V02%20MINIMALISTE.xlsx" TargetMode="External"/><Relationship Id="rId6" Type="http://schemas.openxmlformats.org/officeDocument/2006/relationships/externalLinkPath" Target="file:///X:\AA_DOSSIERS%20EN%20COURS%20GROUPE%20JET\CAPI\JET_JOURNAL%20DE%20CAISSE%20V02%20MINIMALISTE.xlsx" TargetMode="External"/><Relationship Id="rId5" Type="http://schemas.openxmlformats.org/officeDocument/2006/relationships/externalLinkPath" Target="file:///X:\AA_DOSSIERS%20EN%20COURS%20GROUPE%20JET\CAPI\JET_JOURNAL%20DE%20CAISSE%20V02%20MINIMALISTE.xlsx" TargetMode="External"/><Relationship Id="rId10" Type="http://schemas.openxmlformats.org/officeDocument/2006/relationships/table" Target="../tables/table1.xml"/><Relationship Id="rId4" Type="http://schemas.openxmlformats.org/officeDocument/2006/relationships/externalLinkPath" Target="file:///X:\AA_DOSSIERS%20EN%20COURS%20GROUPE%20JET\CAPI\JET_JOURNAL%20DE%20CAISSE%20V02%20MINIMALISTE.xlsx" TargetMode="External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B1:V16"/>
  <sheetViews>
    <sheetView showGridLines="0" tabSelected="1" workbookViewId="0">
      <selection activeCell="I4" sqref="I4"/>
    </sheetView>
  </sheetViews>
  <sheetFormatPr baseColWidth="10" defaultColWidth="9.140625" defaultRowHeight="13.5" x14ac:dyDescent="0.25"/>
  <cols>
    <col min="1" max="1" width="5" style="1" customWidth="1"/>
    <col min="2" max="2" width="17.85546875" style="1" customWidth="1"/>
    <col min="3" max="3" width="20.85546875" style="1" customWidth="1"/>
    <col min="4" max="4" width="32.5703125" style="3" bestFit="1" customWidth="1"/>
    <col min="5" max="5" width="28.140625" style="1" bestFit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 x14ac:dyDescent="0.3"/>
    <row r="2" spans="2:22" ht="40.15" customHeight="1" thickBot="1" x14ac:dyDescent="0.3">
      <c r="B2" s="44" t="s">
        <v>34</v>
      </c>
      <c r="C2" s="45"/>
      <c r="D2" s="45"/>
      <c r="E2" s="45"/>
      <c r="F2" s="46"/>
      <c r="G2" s="12"/>
      <c r="H2" s="12"/>
      <c r="I2" s="12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2:22" s="14" customFormat="1" ht="15" customHeight="1" x14ac:dyDescent="0.3">
      <c r="B3" s="14" t="s">
        <v>4</v>
      </c>
      <c r="C3" s="15">
        <f ca="1">TODAY()</f>
        <v>46296</v>
      </c>
      <c r="D3" s="16"/>
      <c r="G3" s="16"/>
      <c r="H3" s="16"/>
      <c r="I3" s="16"/>
    </row>
    <row r="4" spans="2:22" s="4" customFormat="1" ht="19.899999999999999" customHeight="1" x14ac:dyDescent="0.2">
      <c r="B4" s="47" t="s">
        <v>36</v>
      </c>
      <c r="C4" s="38"/>
      <c r="D4" s="39">
        <v>50000</v>
      </c>
      <c r="E4" s="40" t="s">
        <v>37</v>
      </c>
      <c r="F4" s="39">
        <f>D4+Central[[#Totals],[Encaissement]]-Central[[#Totals],[Décaissement]]</f>
        <v>5000</v>
      </c>
      <c r="G4" s="43"/>
      <c r="H4" s="43" t="s">
        <v>11</v>
      </c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</row>
    <row r="5" spans="2:22" ht="15" customHeight="1" x14ac:dyDescent="0.25">
      <c r="B5" s="2"/>
      <c r="C5" s="10"/>
    </row>
    <row r="6" spans="2:22" s="5" customFormat="1" ht="19.899999999999999" customHeight="1" x14ac:dyDescent="0.2">
      <c r="B6" s="6" t="s">
        <v>0</v>
      </c>
      <c r="C6" s="6" t="s">
        <v>10</v>
      </c>
      <c r="D6" s="24" t="s">
        <v>7</v>
      </c>
      <c r="E6" s="6" t="s">
        <v>8</v>
      </c>
      <c r="F6" s="7" t="s">
        <v>39</v>
      </c>
      <c r="G6" s="7" t="s">
        <v>2</v>
      </c>
      <c r="H6" s="25" t="s">
        <v>15</v>
      </c>
      <c r="I6" s="6" t="s">
        <v>13</v>
      </c>
      <c r="J6" s="6" t="s">
        <v>27</v>
      </c>
      <c r="K6" s="6" t="s">
        <v>12</v>
      </c>
      <c r="L6" s="25" t="s">
        <v>23</v>
      </c>
      <c r="M6" s="25" t="s">
        <v>14</v>
      </c>
      <c r="N6" s="25" t="s">
        <v>24</v>
      </c>
      <c r="O6" s="25" t="s">
        <v>25</v>
      </c>
      <c r="P6" s="25" t="s">
        <v>20</v>
      </c>
      <c r="Q6" s="25" t="s">
        <v>22</v>
      </c>
      <c r="R6" s="25" t="s">
        <v>16</v>
      </c>
      <c r="S6" s="25" t="s">
        <v>17</v>
      </c>
      <c r="T6" s="25" t="s">
        <v>21</v>
      </c>
      <c r="U6" s="25" t="s">
        <v>26</v>
      </c>
      <c r="V6" s="25" t="s">
        <v>1</v>
      </c>
    </row>
    <row r="7" spans="2:22" s="8" customFormat="1" ht="16.5" x14ac:dyDescent="0.25">
      <c r="B7" s="42"/>
      <c r="C7" s="17"/>
      <c r="D7" s="22"/>
      <c r="E7" s="20"/>
      <c r="F7" s="18">
        <v>45000</v>
      </c>
      <c r="G7" s="36">
        <f>D4+Central[[#This Row],[Encaissement]]-Central[[#This Row],[Décaissement]]</f>
        <v>5000</v>
      </c>
      <c r="H7" s="32"/>
      <c r="I7" s="31">
        <v>20000</v>
      </c>
      <c r="J7" s="31">
        <v>20000</v>
      </c>
      <c r="K7" s="31">
        <v>5000</v>
      </c>
      <c r="L7" s="32"/>
      <c r="M7" s="32"/>
      <c r="N7" s="32"/>
      <c r="O7" s="32"/>
      <c r="P7" s="32"/>
      <c r="Q7" s="32"/>
      <c r="R7" s="32"/>
      <c r="S7" s="32"/>
      <c r="T7" s="32"/>
      <c r="U7" s="32"/>
      <c r="V7" s="34">
        <f>SUM(H7:U7)</f>
        <v>45000</v>
      </c>
    </row>
    <row r="8" spans="2:22" s="8" customFormat="1" ht="16.5" x14ac:dyDescent="0.25">
      <c r="B8" s="42"/>
      <c r="C8" s="17"/>
      <c r="D8" s="22"/>
      <c r="E8" s="20"/>
      <c r="F8" s="18"/>
      <c r="G8" s="36">
        <f>G7+Central[[#This Row],[Encaissement]]-Central[[#This Row],[Décaissement]]</f>
        <v>5000</v>
      </c>
      <c r="H8" s="32"/>
      <c r="I8" s="31"/>
      <c r="J8" s="31"/>
      <c r="K8" s="31"/>
      <c r="L8" s="32"/>
      <c r="M8" s="32"/>
      <c r="N8" s="32"/>
      <c r="O8" s="32"/>
      <c r="P8" s="32"/>
      <c r="Q8" s="32"/>
      <c r="R8" s="32"/>
      <c r="S8" s="32"/>
      <c r="T8" s="32"/>
      <c r="U8" s="32"/>
      <c r="V8" s="34">
        <f>SUM(K8:U8)</f>
        <v>0</v>
      </c>
    </row>
    <row r="9" spans="2:22" s="8" customFormat="1" ht="17.25" thickBot="1" x14ac:dyDescent="0.3">
      <c r="B9" s="41"/>
      <c r="C9" s="9" t="s">
        <v>1</v>
      </c>
      <c r="D9" s="23">
        <f>SUBTOTAL(103,Central[Libellé de l''opération])</f>
        <v>0</v>
      </c>
      <c r="E9" s="21">
        <f>SUBTOTAL(109,Central[Encaissement])</f>
        <v>0</v>
      </c>
      <c r="F9" s="19">
        <f>SUBTOTAL(109,Central[Décaissement])</f>
        <v>45000</v>
      </c>
      <c r="G9" s="19">
        <f>SUBTOTAL(109,Central[Solde])</f>
        <v>10000</v>
      </c>
      <c r="H9" s="33">
        <f>SUBTOTAL(109,Central[AG])</f>
        <v>0</v>
      </c>
      <c r="I9" s="33">
        <f>SUBTOTAL(109,Central[Carburant])</f>
        <v>20000</v>
      </c>
      <c r="J9" s="33">
        <f>SUBTOTAL(109,Central[Missions/MinCce])</f>
        <v>20000</v>
      </c>
      <c r="K9" s="33">
        <f>SUBTOTAL(109,Central[Taxi/peage/PAD])</f>
        <v>5000</v>
      </c>
      <c r="L9" s="33">
        <f>SUBTOTAL(109,Central[Télécom])</f>
        <v>0</v>
      </c>
      <c r="M9" s="33">
        <f>SUBTOTAL(109,Central[Entretien])</f>
        <v>0</v>
      </c>
      <c r="N9" s="33">
        <f>SUBTOTAL(109,Central[Electricité])</f>
        <v>0</v>
      </c>
      <c r="O9" s="33">
        <f>SUBTOTAL(109,Central[Eau])</f>
        <v>0</v>
      </c>
      <c r="P9" s="33">
        <f>SUBTOTAL(109,Central[Impot/Cnps])</f>
        <v>0</v>
      </c>
      <c r="Q9" s="33">
        <f>SUBTOTAL(109,Central[Loyer])</f>
        <v>0</v>
      </c>
      <c r="R9" s="33">
        <f>SUBTOTAL(109,Central[Banque])</f>
        <v>0</v>
      </c>
      <c r="S9" s="33">
        <f>SUBTOTAL(109,Central[Mat., mob.])</f>
        <v>0</v>
      </c>
      <c r="T9" s="33">
        <f>SUBTOTAL(109,Central[Salaire])</f>
        <v>0</v>
      </c>
      <c r="U9" s="33">
        <f>SUBTOTAL(109,Central[Autres])</f>
        <v>0</v>
      </c>
      <c r="V9" s="35">
        <f>SUBTOTAL(109,Central[Total])</f>
        <v>45000</v>
      </c>
    </row>
    <row r="10" spans="2:22" ht="14.25" thickTop="1" x14ac:dyDescent="0.25"/>
    <row r="11" spans="2:22" x14ac:dyDescent="0.25">
      <c r="B11" s="26" t="s">
        <v>18</v>
      </c>
      <c r="D11" s="28" t="s">
        <v>19</v>
      </c>
    </row>
    <row r="12" spans="2:22" x14ac:dyDescent="0.25">
      <c r="B12" s="27"/>
      <c r="C12" s="27"/>
    </row>
    <row r="13" spans="2:22" x14ac:dyDescent="0.25">
      <c r="B13" s="27"/>
      <c r="C13" s="27"/>
    </row>
    <row r="14" spans="2:22" x14ac:dyDescent="0.25">
      <c r="B14" s="27"/>
      <c r="C14" s="27"/>
    </row>
    <row r="15" spans="2:22" x14ac:dyDescent="0.25">
      <c r="B15" s="27"/>
      <c r="C15" s="27"/>
    </row>
    <row r="16" spans="2:22" x14ac:dyDescent="0.25">
      <c r="B16" s="27"/>
      <c r="C16" s="27"/>
    </row>
  </sheetData>
  <dataConsolidate topLabels="1" link="1">
    <dataRefs count="7">
      <dataRef ref="B7:V8" sheet="CAPI" r:id="rId1"/>
      <dataRef ref="B7:V8" sheet="CFPM-JET" r:id="rId2"/>
      <dataRef ref="B7:V8" sheet="GICCOPACAM" r:id="rId3"/>
      <dataRef ref="B7:V8" sheet="JET INDUSTRY" r:id="rId4"/>
      <dataRef ref="B7:V8" sheet="JET INVESTMENT" r:id="rId5"/>
      <dataRef ref="B7:V8" sheet="KENZO" r:id="rId6"/>
      <dataRef ref="B7:V8" sheet="SCI-JET" r:id="rId7"/>
    </dataRefs>
  </dataConsolidate>
  <mergeCells count="2">
    <mergeCell ref="B12:C16"/>
    <mergeCell ref="B2:F2"/>
  </mergeCells>
  <printOptions horizontalCentered="1"/>
  <pageMargins left="0.75" right="0.75" top="1" bottom="1" header="0.5" footer="0.5"/>
  <pageSetup paperSize="9" scale="62" fitToHeight="0" orientation="portrait" r:id="rId8"/>
  <headerFooter alignWithMargins="0"/>
  <drawing r:id="rId9"/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  <pageSetUpPr fitToPage="1"/>
  </sheetPr>
  <dimension ref="B1:V16"/>
  <sheetViews>
    <sheetView showGridLines="0" topLeftCell="B1" workbookViewId="0">
      <selection activeCell="E7" sqref="E7"/>
    </sheetView>
  </sheetViews>
  <sheetFormatPr baseColWidth="10" defaultColWidth="9.140625" defaultRowHeight="13.5" x14ac:dyDescent="0.25"/>
  <cols>
    <col min="1" max="1" width="5" style="1" customWidth="1"/>
    <col min="2" max="2" width="17.85546875" style="1" customWidth="1"/>
    <col min="3" max="3" width="20.85546875" style="1" customWidth="1"/>
    <col min="4" max="4" width="35.85546875" style="3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 x14ac:dyDescent="0.3"/>
    <row r="2" spans="2:22" ht="40.15" customHeight="1" thickBot="1" x14ac:dyDescent="0.3">
      <c r="B2" s="29" t="s">
        <v>3</v>
      </c>
      <c r="C2" s="30"/>
      <c r="D2" s="12"/>
      <c r="E2" s="13"/>
      <c r="F2" s="11"/>
      <c r="G2" s="12"/>
      <c r="H2" s="12"/>
      <c r="I2" s="12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2:22" s="14" customFormat="1" ht="15" customHeight="1" x14ac:dyDescent="0.3">
      <c r="B3" s="14" t="s">
        <v>4</v>
      </c>
      <c r="C3" s="15">
        <f ca="1">TODAY()</f>
        <v>46296</v>
      </c>
      <c r="D3" s="16"/>
      <c r="G3" s="16"/>
      <c r="H3" s="16"/>
      <c r="I3" s="16"/>
    </row>
    <row r="4" spans="2:22" s="4" customFormat="1" ht="19.899999999999999" customHeight="1" x14ac:dyDescent="0.2">
      <c r="B4" s="37"/>
      <c r="C4" s="38" t="s">
        <v>5</v>
      </c>
      <c r="D4" s="39">
        <v>50000</v>
      </c>
      <c r="E4" s="40" t="s">
        <v>6</v>
      </c>
      <c r="F4" s="39">
        <f>D4+Capi[[#Totals],[Encaissement]]-Capi[[#Totals],[Décaissemrnt]]</f>
        <v>5000</v>
      </c>
      <c r="G4" s="43"/>
      <c r="H4" s="43" t="s">
        <v>11</v>
      </c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</row>
    <row r="5" spans="2:22" ht="15" customHeight="1" x14ac:dyDescent="0.25">
      <c r="B5" s="2"/>
      <c r="C5" s="10"/>
    </row>
    <row r="6" spans="2:22" s="5" customFormat="1" ht="19.899999999999999" customHeight="1" x14ac:dyDescent="0.2">
      <c r="B6" s="6" t="s">
        <v>0</v>
      </c>
      <c r="C6" s="6" t="s">
        <v>10</v>
      </c>
      <c r="D6" s="24" t="s">
        <v>7</v>
      </c>
      <c r="E6" s="6" t="s">
        <v>8</v>
      </c>
      <c r="F6" s="7" t="s">
        <v>9</v>
      </c>
      <c r="G6" s="7" t="s">
        <v>2</v>
      </c>
      <c r="H6" s="25" t="s">
        <v>15</v>
      </c>
      <c r="I6" s="6" t="s">
        <v>13</v>
      </c>
      <c r="J6" s="6" t="s">
        <v>27</v>
      </c>
      <c r="K6" s="6" t="s">
        <v>12</v>
      </c>
      <c r="L6" s="25" t="s">
        <v>23</v>
      </c>
      <c r="M6" s="25" t="s">
        <v>14</v>
      </c>
      <c r="N6" s="25" t="s">
        <v>24</v>
      </c>
      <c r="O6" s="25" t="s">
        <v>25</v>
      </c>
      <c r="P6" s="25" t="s">
        <v>20</v>
      </c>
      <c r="Q6" s="25" t="s">
        <v>22</v>
      </c>
      <c r="R6" s="25" t="s">
        <v>16</v>
      </c>
      <c r="S6" s="25" t="s">
        <v>17</v>
      </c>
      <c r="T6" s="25" t="s">
        <v>21</v>
      </c>
      <c r="U6" s="25" t="s">
        <v>26</v>
      </c>
      <c r="V6" s="25" t="s">
        <v>1</v>
      </c>
    </row>
    <row r="7" spans="2:22" s="8" customFormat="1" ht="31.5" x14ac:dyDescent="0.25">
      <c r="B7" s="42">
        <v>46296</v>
      </c>
      <c r="C7" s="17">
        <v>1</v>
      </c>
      <c r="D7" s="22" t="s">
        <v>38</v>
      </c>
      <c r="E7" s="20"/>
      <c r="F7" s="18">
        <v>45000</v>
      </c>
      <c r="G7" s="36">
        <f>D4+Capi[[#This Row],[Encaissement]]-Capi[[#This Row],[Décaissemrnt]]</f>
        <v>5000</v>
      </c>
      <c r="H7" s="32"/>
      <c r="I7" s="31">
        <v>20000</v>
      </c>
      <c r="J7" s="31">
        <v>20000</v>
      </c>
      <c r="K7" s="31">
        <v>5000</v>
      </c>
      <c r="L7" s="32"/>
      <c r="M7" s="32"/>
      <c r="N7" s="32"/>
      <c r="O7" s="32"/>
      <c r="P7" s="32"/>
      <c r="Q7" s="32"/>
      <c r="R7" s="32"/>
      <c r="S7" s="32"/>
      <c r="T7" s="32"/>
      <c r="U7" s="32"/>
      <c r="V7" s="34">
        <f>SUM(H7:U7)</f>
        <v>45000</v>
      </c>
    </row>
    <row r="8" spans="2:22" s="8" customFormat="1" ht="16.5" x14ac:dyDescent="0.25">
      <c r="B8" s="42"/>
      <c r="C8" s="17"/>
      <c r="D8" s="22"/>
      <c r="E8" s="20"/>
      <c r="F8" s="18"/>
      <c r="G8" s="36">
        <f>G7+Capi[[#This Row],[Encaissement]]-Capi[[#This Row],[Décaissemrnt]]</f>
        <v>5000</v>
      </c>
      <c r="H8" s="32"/>
      <c r="I8" s="31"/>
      <c r="J8" s="31"/>
      <c r="K8" s="31"/>
      <c r="L8" s="32"/>
      <c r="M8" s="32"/>
      <c r="N8" s="32"/>
      <c r="O8" s="32"/>
      <c r="P8" s="32"/>
      <c r="Q8" s="32"/>
      <c r="R8" s="32"/>
      <c r="S8" s="32"/>
      <c r="T8" s="32"/>
      <c r="U8" s="32"/>
      <c r="V8" s="34">
        <f>SUM(K8:U8)</f>
        <v>0</v>
      </c>
    </row>
    <row r="9" spans="2:22" s="8" customFormat="1" ht="17.25" thickBot="1" x14ac:dyDescent="0.3">
      <c r="B9" s="41"/>
      <c r="C9" s="9" t="s">
        <v>1</v>
      </c>
      <c r="D9" s="23">
        <f>SUBTOTAL(103,Capi[Libellé de l''opération])</f>
        <v>1</v>
      </c>
      <c r="E9" s="21">
        <f>SUBTOTAL(109,Capi[Encaissement])</f>
        <v>0</v>
      </c>
      <c r="F9" s="19">
        <f>SUBTOTAL(109,Capi[Décaissemrnt])</f>
        <v>45000</v>
      </c>
      <c r="G9" s="19">
        <f>SUBTOTAL(109,Capi[Solde])</f>
        <v>10000</v>
      </c>
      <c r="H9" s="33">
        <f>SUBTOTAL(109,Capi[AG])</f>
        <v>0</v>
      </c>
      <c r="I9" s="33">
        <f>SUBTOTAL(109,Capi[Carburant])</f>
        <v>20000</v>
      </c>
      <c r="J9" s="33">
        <f>SUBTOTAL(109,Capi[Missions/MinCce])</f>
        <v>20000</v>
      </c>
      <c r="K9" s="33">
        <f>SUBTOTAL(109,Capi[Taxi/peage/PAD])</f>
        <v>5000</v>
      </c>
      <c r="L9" s="33">
        <f>SUBTOTAL(109,Capi[Télécom])</f>
        <v>0</v>
      </c>
      <c r="M9" s="33">
        <f>SUBTOTAL(109,Capi[Entretien])</f>
        <v>0</v>
      </c>
      <c r="N9" s="33">
        <f>SUBTOTAL(109,Capi[Electricité])</f>
        <v>0</v>
      </c>
      <c r="O9" s="33">
        <f>SUBTOTAL(109,Capi[Eau])</f>
        <v>0</v>
      </c>
      <c r="P9" s="33">
        <f>SUBTOTAL(109,Capi[Impot/Cnps])</f>
        <v>0</v>
      </c>
      <c r="Q9" s="33">
        <f>SUBTOTAL(109,Capi[Loyer])</f>
        <v>0</v>
      </c>
      <c r="R9" s="33">
        <f>SUBTOTAL(109,Capi[Banque])</f>
        <v>0</v>
      </c>
      <c r="S9" s="33">
        <f>SUBTOTAL(109,Capi[Mat., mob.])</f>
        <v>0</v>
      </c>
      <c r="T9" s="33">
        <f>SUBTOTAL(109,Capi[Salaire])</f>
        <v>0</v>
      </c>
      <c r="U9" s="33">
        <f>SUBTOTAL(109,Capi[Autres])</f>
        <v>0</v>
      </c>
      <c r="V9" s="35">
        <f>SUBTOTAL(109,Capi[Total])</f>
        <v>45000</v>
      </c>
    </row>
    <row r="10" spans="2:22" ht="14.25" thickTop="1" x14ac:dyDescent="0.25"/>
    <row r="11" spans="2:22" x14ac:dyDescent="0.25">
      <c r="B11" s="26" t="s">
        <v>18</v>
      </c>
      <c r="D11" s="28" t="s">
        <v>19</v>
      </c>
    </row>
    <row r="12" spans="2:22" x14ac:dyDescent="0.25">
      <c r="B12" s="27"/>
      <c r="C12" s="27"/>
    </row>
    <row r="13" spans="2:22" x14ac:dyDescent="0.25">
      <c r="B13" s="27"/>
      <c r="C13" s="27"/>
    </row>
    <row r="14" spans="2:22" x14ac:dyDescent="0.25">
      <c r="B14" s="27"/>
      <c r="C14" s="27"/>
    </row>
    <row r="15" spans="2:22" x14ac:dyDescent="0.25">
      <c r="B15" s="27"/>
      <c r="C15" s="27"/>
    </row>
    <row r="16" spans="2:22" x14ac:dyDescent="0.25">
      <c r="B16" s="27"/>
      <c r="C16" s="27"/>
    </row>
  </sheetData>
  <mergeCells count="2">
    <mergeCell ref="B2:C2"/>
    <mergeCell ref="B12:C16"/>
  </mergeCells>
  <phoneticPr fontId="3" type="noConversion"/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19685039370078741" right="0.19685039370078741" top="0.15748031496062992" bottom="0.15748031496062992" header="0.19685039370078741" footer="0.19685039370078741"/>
  <pageSetup paperSize="9" scale="72" fitToHeight="0" orientation="portrait" r:id="rId1"/>
  <headerFooter alignWithMargins="0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  <pageSetUpPr fitToPage="1"/>
  </sheetPr>
  <dimension ref="B1:V16"/>
  <sheetViews>
    <sheetView showGridLines="0" workbookViewId="0">
      <selection activeCell="F8" sqref="F8"/>
    </sheetView>
  </sheetViews>
  <sheetFormatPr baseColWidth="10" defaultColWidth="9.140625" defaultRowHeight="13.5" x14ac:dyDescent="0.2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 x14ac:dyDescent="0.3"/>
    <row r="2" spans="2:22" ht="40.15" customHeight="1" thickBot="1" x14ac:dyDescent="0.3">
      <c r="B2" s="29" t="s">
        <v>28</v>
      </c>
      <c r="C2" s="30"/>
      <c r="D2" s="12"/>
      <c r="E2" s="13"/>
      <c r="F2" s="11"/>
      <c r="G2" s="12"/>
      <c r="H2" s="12"/>
      <c r="I2" s="12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2:22" s="14" customFormat="1" ht="15" customHeight="1" x14ac:dyDescent="0.3">
      <c r="B3" s="14" t="s">
        <v>4</v>
      </c>
      <c r="C3" s="15">
        <f ca="1">TODAY()</f>
        <v>46296</v>
      </c>
      <c r="D3" s="16"/>
      <c r="G3" s="16"/>
      <c r="H3" s="16"/>
      <c r="I3" s="16"/>
    </row>
    <row r="4" spans="2:22" s="4" customFormat="1" ht="19.899999999999999" customHeight="1" x14ac:dyDescent="0.2">
      <c r="B4" s="37"/>
      <c r="C4" s="38" t="s">
        <v>5</v>
      </c>
      <c r="D4" s="39">
        <v>50000</v>
      </c>
      <c r="E4" s="40" t="s">
        <v>6</v>
      </c>
      <c r="F4" s="39">
        <f>D4+Tableau111[[#Totals],[Encaissement]]-Tableau111[[#Totals],[Décaissemrnt]]</f>
        <v>5000</v>
      </c>
      <c r="G4" s="43"/>
      <c r="H4" s="43" t="s">
        <v>11</v>
      </c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</row>
    <row r="5" spans="2:22" ht="15" customHeight="1" x14ac:dyDescent="0.25">
      <c r="B5" s="2"/>
      <c r="C5" s="10"/>
    </row>
    <row r="6" spans="2:22" s="5" customFormat="1" ht="19.899999999999999" customHeight="1" x14ac:dyDescent="0.2">
      <c r="B6" s="6" t="s">
        <v>0</v>
      </c>
      <c r="C6" s="6" t="s">
        <v>10</v>
      </c>
      <c r="D6" s="24" t="s">
        <v>7</v>
      </c>
      <c r="E6" s="6" t="s">
        <v>8</v>
      </c>
      <c r="F6" s="7" t="s">
        <v>9</v>
      </c>
      <c r="G6" s="7" t="s">
        <v>2</v>
      </c>
      <c r="H6" s="25" t="s">
        <v>15</v>
      </c>
      <c r="I6" s="6" t="s">
        <v>13</v>
      </c>
      <c r="J6" s="6" t="s">
        <v>27</v>
      </c>
      <c r="K6" s="6" t="s">
        <v>12</v>
      </c>
      <c r="L6" s="25" t="s">
        <v>23</v>
      </c>
      <c r="M6" s="25" t="s">
        <v>14</v>
      </c>
      <c r="N6" s="25" t="s">
        <v>24</v>
      </c>
      <c r="O6" s="25" t="s">
        <v>25</v>
      </c>
      <c r="P6" s="25" t="s">
        <v>20</v>
      </c>
      <c r="Q6" s="25" t="s">
        <v>22</v>
      </c>
      <c r="R6" s="25" t="s">
        <v>16</v>
      </c>
      <c r="S6" s="25" t="s">
        <v>17</v>
      </c>
      <c r="T6" s="25" t="s">
        <v>21</v>
      </c>
      <c r="U6" s="25" t="s">
        <v>26</v>
      </c>
      <c r="V6" s="25" t="s">
        <v>1</v>
      </c>
    </row>
    <row r="7" spans="2:22" s="8" customFormat="1" ht="16.5" x14ac:dyDescent="0.25">
      <c r="B7" s="42"/>
      <c r="C7" s="17"/>
      <c r="D7" s="22"/>
      <c r="E7" s="20"/>
      <c r="F7" s="18">
        <v>45000</v>
      </c>
      <c r="G7" s="36">
        <f>D4+Tableau111[[#This Row],[Encaissement]]-Tableau111[[#This Row],[Décaissemrnt]]</f>
        <v>5000</v>
      </c>
      <c r="H7" s="32"/>
      <c r="I7" s="31">
        <v>20000</v>
      </c>
      <c r="J7" s="31">
        <v>20000</v>
      </c>
      <c r="K7" s="31">
        <v>5000</v>
      </c>
      <c r="L7" s="32"/>
      <c r="M7" s="32"/>
      <c r="N7" s="32"/>
      <c r="O7" s="32"/>
      <c r="P7" s="32"/>
      <c r="Q7" s="32"/>
      <c r="R7" s="32"/>
      <c r="S7" s="32"/>
      <c r="T7" s="32"/>
      <c r="U7" s="32"/>
      <c r="V7" s="34">
        <f>SUM(H7:U7)</f>
        <v>45000</v>
      </c>
    </row>
    <row r="8" spans="2:22" s="8" customFormat="1" ht="16.5" x14ac:dyDescent="0.25">
      <c r="B8" s="42"/>
      <c r="C8" s="17"/>
      <c r="D8" s="22"/>
      <c r="E8" s="20"/>
      <c r="F8" s="18"/>
      <c r="G8" s="36">
        <f>G7+Tableau111[[#This Row],[Encaissement]]-Tableau111[[#This Row],[Décaissemrnt]]</f>
        <v>5000</v>
      </c>
      <c r="H8" s="32"/>
      <c r="I8" s="31"/>
      <c r="J8" s="31"/>
      <c r="K8" s="31"/>
      <c r="L8" s="32"/>
      <c r="M8" s="32"/>
      <c r="N8" s="32"/>
      <c r="O8" s="32"/>
      <c r="P8" s="32"/>
      <c r="Q8" s="32"/>
      <c r="R8" s="32"/>
      <c r="S8" s="32"/>
      <c r="T8" s="32"/>
      <c r="U8" s="32"/>
      <c r="V8" s="34">
        <f>SUM(K8:U8)</f>
        <v>0</v>
      </c>
    </row>
    <row r="9" spans="2:22" s="8" customFormat="1" ht="17.25" thickBot="1" x14ac:dyDescent="0.3">
      <c r="B9" s="41"/>
      <c r="C9" s="9" t="s">
        <v>1</v>
      </c>
      <c r="D9" s="23">
        <f>SUBTOTAL(103,Tableau111[Libellé de l''opération])</f>
        <v>0</v>
      </c>
      <c r="E9" s="21">
        <f>SUBTOTAL(109,Tableau111[Encaissement])</f>
        <v>0</v>
      </c>
      <c r="F9" s="19">
        <f>SUBTOTAL(109,Tableau111[Décaissemrnt])</f>
        <v>45000</v>
      </c>
      <c r="G9" s="19">
        <f>SUBTOTAL(109,Tableau111[Solde])</f>
        <v>10000</v>
      </c>
      <c r="H9" s="33">
        <f>SUBTOTAL(109,Tableau111[AG])</f>
        <v>0</v>
      </c>
      <c r="I9" s="33">
        <f>SUBTOTAL(109,Tableau111[Carburant])</f>
        <v>20000</v>
      </c>
      <c r="J9" s="33">
        <f>SUBTOTAL(109,Tableau111[Missions/MinCce])</f>
        <v>20000</v>
      </c>
      <c r="K9" s="33">
        <f>SUBTOTAL(109,Tableau111[Taxi/peage/PAD])</f>
        <v>5000</v>
      </c>
      <c r="L9" s="33">
        <f>SUBTOTAL(109,Tableau111[Télécom])</f>
        <v>0</v>
      </c>
      <c r="M9" s="33">
        <f>SUBTOTAL(109,Tableau111[Entretien])</f>
        <v>0</v>
      </c>
      <c r="N9" s="33">
        <f>SUBTOTAL(109,Tableau111[Electricité])</f>
        <v>0</v>
      </c>
      <c r="O9" s="33">
        <f>SUBTOTAL(109,Tableau111[Eau])</f>
        <v>0</v>
      </c>
      <c r="P9" s="33">
        <f>SUBTOTAL(109,Tableau111[Impot/Cnps])</f>
        <v>0</v>
      </c>
      <c r="Q9" s="33">
        <f>SUBTOTAL(109,Tableau111[Loyer])</f>
        <v>0</v>
      </c>
      <c r="R9" s="33">
        <f>SUBTOTAL(109,Tableau111[Banque])</f>
        <v>0</v>
      </c>
      <c r="S9" s="33">
        <f>SUBTOTAL(109,Tableau111[Mat., mob.])</f>
        <v>0</v>
      </c>
      <c r="T9" s="33">
        <f>SUBTOTAL(109,Tableau111[Salaire])</f>
        <v>0</v>
      </c>
      <c r="U9" s="33">
        <f>SUBTOTAL(109,Tableau111[Autres])</f>
        <v>0</v>
      </c>
      <c r="V9" s="35">
        <f>SUBTOTAL(109,Tableau111[Total])</f>
        <v>45000</v>
      </c>
    </row>
    <row r="10" spans="2:22" ht="14.25" thickTop="1" x14ac:dyDescent="0.25"/>
    <row r="11" spans="2:22" x14ac:dyDescent="0.25">
      <c r="B11" s="26" t="s">
        <v>18</v>
      </c>
      <c r="D11" s="28" t="s">
        <v>19</v>
      </c>
    </row>
    <row r="12" spans="2:22" x14ac:dyDescent="0.25">
      <c r="B12" s="27"/>
      <c r="C12" s="27"/>
    </row>
    <row r="13" spans="2:22" x14ac:dyDescent="0.25">
      <c r="B13" s="27"/>
      <c r="C13" s="27"/>
    </row>
    <row r="14" spans="2:22" x14ac:dyDescent="0.25">
      <c r="B14" s="27"/>
      <c r="C14" s="27"/>
    </row>
    <row r="15" spans="2:22" x14ac:dyDescent="0.25">
      <c r="B15" s="27"/>
      <c r="C15" s="27"/>
    </row>
    <row r="16" spans="2:22" x14ac:dyDescent="0.25">
      <c r="B16" s="27"/>
      <c r="C16" s="27"/>
    </row>
  </sheetData>
  <mergeCells count="2">
    <mergeCell ref="B2:C2"/>
    <mergeCell ref="B12:C16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8" tint="4.9989318521683403E-2"/>
    <pageSetUpPr fitToPage="1"/>
  </sheetPr>
  <dimension ref="B1:V16"/>
  <sheetViews>
    <sheetView showGridLines="0" topLeftCell="B1" workbookViewId="0">
      <selection sqref="A1:XFD1048576"/>
    </sheetView>
  </sheetViews>
  <sheetFormatPr baseColWidth="10" defaultColWidth="9.140625" defaultRowHeight="13.5" x14ac:dyDescent="0.2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 x14ac:dyDescent="0.3"/>
    <row r="2" spans="2:22" ht="40.15" customHeight="1" thickBot="1" x14ac:dyDescent="0.3">
      <c r="B2" s="29" t="s">
        <v>29</v>
      </c>
      <c r="C2" s="30"/>
      <c r="D2" s="12"/>
      <c r="E2" s="13"/>
      <c r="F2" s="11"/>
      <c r="G2" s="12"/>
      <c r="H2" s="12"/>
      <c r="I2" s="12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2:22" s="14" customFormat="1" ht="15" customHeight="1" x14ac:dyDescent="0.3">
      <c r="B3" s="14" t="s">
        <v>4</v>
      </c>
      <c r="C3" s="15">
        <f ca="1">TODAY()</f>
        <v>46296</v>
      </c>
      <c r="D3" s="16"/>
      <c r="G3" s="16"/>
      <c r="H3" s="16"/>
      <c r="I3" s="16"/>
    </row>
    <row r="4" spans="2:22" s="4" customFormat="1" ht="19.899999999999999" customHeight="1" x14ac:dyDescent="0.2">
      <c r="B4" s="37"/>
      <c r="C4" s="38" t="s">
        <v>5</v>
      </c>
      <c r="D4" s="39">
        <v>50000</v>
      </c>
      <c r="E4" s="40" t="s">
        <v>6</v>
      </c>
      <c r="F4" s="39">
        <f>D4+Tableau11112[[#Totals],[Encaissement]]-Tableau11112[[#Totals],[Décaissemrnt]]</f>
        <v>5000</v>
      </c>
      <c r="G4" s="43"/>
      <c r="H4" s="43" t="s">
        <v>11</v>
      </c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</row>
    <row r="5" spans="2:22" ht="15" customHeight="1" x14ac:dyDescent="0.25">
      <c r="B5" s="2"/>
      <c r="C5" s="10"/>
    </row>
    <row r="6" spans="2:22" s="5" customFormat="1" ht="19.899999999999999" customHeight="1" x14ac:dyDescent="0.2">
      <c r="B6" s="6" t="s">
        <v>0</v>
      </c>
      <c r="C6" s="6" t="s">
        <v>10</v>
      </c>
      <c r="D6" s="24" t="s">
        <v>7</v>
      </c>
      <c r="E6" s="6" t="s">
        <v>8</v>
      </c>
      <c r="F6" s="7" t="s">
        <v>9</v>
      </c>
      <c r="G6" s="7" t="s">
        <v>2</v>
      </c>
      <c r="H6" s="25" t="s">
        <v>15</v>
      </c>
      <c r="I6" s="6" t="s">
        <v>13</v>
      </c>
      <c r="J6" s="6" t="s">
        <v>27</v>
      </c>
      <c r="K6" s="6" t="s">
        <v>12</v>
      </c>
      <c r="L6" s="25" t="s">
        <v>23</v>
      </c>
      <c r="M6" s="25" t="s">
        <v>14</v>
      </c>
      <c r="N6" s="25" t="s">
        <v>24</v>
      </c>
      <c r="O6" s="25" t="s">
        <v>25</v>
      </c>
      <c r="P6" s="25" t="s">
        <v>20</v>
      </c>
      <c r="Q6" s="25" t="s">
        <v>22</v>
      </c>
      <c r="R6" s="25" t="s">
        <v>16</v>
      </c>
      <c r="S6" s="25" t="s">
        <v>17</v>
      </c>
      <c r="T6" s="25" t="s">
        <v>21</v>
      </c>
      <c r="U6" s="25" t="s">
        <v>26</v>
      </c>
      <c r="V6" s="25" t="s">
        <v>1</v>
      </c>
    </row>
    <row r="7" spans="2:22" s="8" customFormat="1" ht="16.5" x14ac:dyDescent="0.25">
      <c r="B7" s="42"/>
      <c r="C7" s="17"/>
      <c r="D7" s="22"/>
      <c r="E7" s="20"/>
      <c r="F7" s="18">
        <v>45000</v>
      </c>
      <c r="G7" s="36">
        <f>D4+Tableau11112[[#This Row],[Encaissement]]-Tableau11112[[#This Row],[Décaissemrnt]]</f>
        <v>5000</v>
      </c>
      <c r="H7" s="32"/>
      <c r="I7" s="31">
        <v>20000</v>
      </c>
      <c r="J7" s="31">
        <v>20000</v>
      </c>
      <c r="K7" s="31">
        <v>5000</v>
      </c>
      <c r="L7" s="32"/>
      <c r="M7" s="32"/>
      <c r="N7" s="32"/>
      <c r="O7" s="32"/>
      <c r="P7" s="32"/>
      <c r="Q7" s="32"/>
      <c r="R7" s="32"/>
      <c r="S7" s="32"/>
      <c r="T7" s="32"/>
      <c r="U7" s="32"/>
      <c r="V7" s="34">
        <f>SUM(H7:U7)</f>
        <v>45000</v>
      </c>
    </row>
    <row r="8" spans="2:22" s="8" customFormat="1" ht="16.5" x14ac:dyDescent="0.25">
      <c r="B8" s="42"/>
      <c r="C8" s="17"/>
      <c r="D8" s="22"/>
      <c r="E8" s="20"/>
      <c r="F8" s="18"/>
      <c r="G8" s="36">
        <f>G7+Tableau11112[[#This Row],[Encaissement]]-Tableau11112[[#This Row],[Décaissemrnt]]</f>
        <v>5000</v>
      </c>
      <c r="H8" s="32"/>
      <c r="I8" s="31"/>
      <c r="J8" s="31"/>
      <c r="K8" s="31"/>
      <c r="L8" s="32"/>
      <c r="M8" s="32"/>
      <c r="N8" s="32"/>
      <c r="O8" s="32"/>
      <c r="P8" s="32"/>
      <c r="Q8" s="32"/>
      <c r="R8" s="32"/>
      <c r="S8" s="32"/>
      <c r="T8" s="32"/>
      <c r="U8" s="32"/>
      <c r="V8" s="34">
        <f>SUM(K8:U8)</f>
        <v>0</v>
      </c>
    </row>
    <row r="9" spans="2:22" s="8" customFormat="1" ht="17.25" thickBot="1" x14ac:dyDescent="0.3">
      <c r="B9" s="41"/>
      <c r="C9" s="9" t="s">
        <v>1</v>
      </c>
      <c r="D9" s="23">
        <f>SUBTOTAL(103,Tableau11112[Libellé de l''opération])</f>
        <v>0</v>
      </c>
      <c r="E9" s="21">
        <f>SUBTOTAL(109,Tableau11112[Encaissement])</f>
        <v>0</v>
      </c>
      <c r="F9" s="19">
        <f>SUBTOTAL(109,Tableau11112[Décaissemrnt])</f>
        <v>45000</v>
      </c>
      <c r="G9" s="19">
        <f>SUBTOTAL(109,Tableau11112[Solde])</f>
        <v>10000</v>
      </c>
      <c r="H9" s="33">
        <f>SUBTOTAL(109,Tableau11112[AG])</f>
        <v>0</v>
      </c>
      <c r="I9" s="33">
        <f>SUBTOTAL(109,Tableau11112[Carburant])</f>
        <v>20000</v>
      </c>
      <c r="J9" s="33">
        <f>SUBTOTAL(109,Tableau11112[Missions/MinCce])</f>
        <v>20000</v>
      </c>
      <c r="K9" s="33">
        <f>SUBTOTAL(109,Tableau11112[Taxi/peage/PAD])</f>
        <v>5000</v>
      </c>
      <c r="L9" s="33">
        <f>SUBTOTAL(109,Tableau11112[Télécom])</f>
        <v>0</v>
      </c>
      <c r="M9" s="33">
        <f>SUBTOTAL(109,Tableau11112[Entretien])</f>
        <v>0</v>
      </c>
      <c r="N9" s="33">
        <f>SUBTOTAL(109,Tableau11112[Electricité])</f>
        <v>0</v>
      </c>
      <c r="O9" s="33">
        <f>SUBTOTAL(109,Tableau11112[Eau])</f>
        <v>0</v>
      </c>
      <c r="P9" s="33">
        <f>SUBTOTAL(109,Tableau11112[Impot/Cnps])</f>
        <v>0</v>
      </c>
      <c r="Q9" s="33">
        <f>SUBTOTAL(109,Tableau11112[Loyer])</f>
        <v>0</v>
      </c>
      <c r="R9" s="33">
        <f>SUBTOTAL(109,Tableau11112[Banque])</f>
        <v>0</v>
      </c>
      <c r="S9" s="33">
        <f>SUBTOTAL(109,Tableau11112[Mat., mob.])</f>
        <v>0</v>
      </c>
      <c r="T9" s="33">
        <f>SUBTOTAL(109,Tableau11112[Salaire])</f>
        <v>0</v>
      </c>
      <c r="U9" s="33">
        <f>SUBTOTAL(109,Tableau11112[Autres])</f>
        <v>0</v>
      </c>
      <c r="V9" s="35">
        <f>SUBTOTAL(109,Tableau11112[Total])</f>
        <v>45000</v>
      </c>
    </row>
    <row r="10" spans="2:22" ht="14.25" thickTop="1" x14ac:dyDescent="0.25"/>
    <row r="11" spans="2:22" x14ac:dyDescent="0.25">
      <c r="B11" s="26" t="s">
        <v>18</v>
      </c>
      <c r="D11" s="28" t="s">
        <v>19</v>
      </c>
    </row>
    <row r="12" spans="2:22" x14ac:dyDescent="0.25">
      <c r="B12" s="27"/>
      <c r="C12" s="27"/>
    </row>
    <row r="13" spans="2:22" x14ac:dyDescent="0.25">
      <c r="B13" s="27"/>
      <c r="C13" s="27"/>
    </row>
    <row r="14" spans="2:22" x14ac:dyDescent="0.25">
      <c r="B14" s="27"/>
      <c r="C14" s="27"/>
    </row>
    <row r="15" spans="2:22" x14ac:dyDescent="0.25">
      <c r="B15" s="27"/>
      <c r="C15" s="27"/>
    </row>
    <row r="16" spans="2:22" x14ac:dyDescent="0.25">
      <c r="B16" s="27"/>
      <c r="C16" s="27"/>
    </row>
  </sheetData>
  <mergeCells count="2">
    <mergeCell ref="B2:C2"/>
    <mergeCell ref="B12:C16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2" tint="-0.499984740745262"/>
    <pageSetUpPr fitToPage="1"/>
  </sheetPr>
  <dimension ref="B1:V16"/>
  <sheetViews>
    <sheetView showGridLines="0" topLeftCell="B1" workbookViewId="0">
      <selection sqref="A1:XFD1048576"/>
    </sheetView>
  </sheetViews>
  <sheetFormatPr baseColWidth="10" defaultColWidth="9.140625" defaultRowHeight="13.5" x14ac:dyDescent="0.2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 x14ac:dyDescent="0.3"/>
    <row r="2" spans="2:22" ht="40.15" customHeight="1" thickBot="1" x14ac:dyDescent="0.3">
      <c r="B2" s="29" t="s">
        <v>30</v>
      </c>
      <c r="C2" s="30"/>
      <c r="D2" s="12"/>
      <c r="E2" s="13"/>
      <c r="F2" s="11"/>
      <c r="G2" s="12"/>
      <c r="H2" s="12"/>
      <c r="I2" s="12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2:22" s="14" customFormat="1" ht="15" customHeight="1" x14ac:dyDescent="0.3">
      <c r="B3" s="14" t="s">
        <v>4</v>
      </c>
      <c r="C3" s="15">
        <f ca="1">TODAY()</f>
        <v>46296</v>
      </c>
      <c r="D3" s="16"/>
      <c r="G3" s="16"/>
      <c r="H3" s="16"/>
      <c r="I3" s="16"/>
    </row>
    <row r="4" spans="2:22" s="4" customFormat="1" ht="19.899999999999999" customHeight="1" x14ac:dyDescent="0.2">
      <c r="B4" s="37"/>
      <c r="C4" s="38" t="s">
        <v>5</v>
      </c>
      <c r="D4" s="39">
        <v>50000</v>
      </c>
      <c r="E4" s="40" t="s">
        <v>6</v>
      </c>
      <c r="F4" s="39">
        <f>D4+Tableau1111213[[#Totals],[Encaissement]]-Tableau1111213[[#Totals],[Décaissemrnt]]</f>
        <v>5000</v>
      </c>
      <c r="G4" s="43"/>
      <c r="H4" s="43" t="s">
        <v>11</v>
      </c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</row>
    <row r="5" spans="2:22" ht="15" customHeight="1" x14ac:dyDescent="0.25">
      <c r="B5" s="2"/>
      <c r="C5" s="10"/>
    </row>
    <row r="6" spans="2:22" s="5" customFormat="1" ht="19.899999999999999" customHeight="1" x14ac:dyDescent="0.2">
      <c r="B6" s="6" t="s">
        <v>0</v>
      </c>
      <c r="C6" s="6" t="s">
        <v>10</v>
      </c>
      <c r="D6" s="24" t="s">
        <v>7</v>
      </c>
      <c r="E6" s="6" t="s">
        <v>8</v>
      </c>
      <c r="F6" s="7" t="s">
        <v>9</v>
      </c>
      <c r="G6" s="7" t="s">
        <v>2</v>
      </c>
      <c r="H6" s="25" t="s">
        <v>15</v>
      </c>
      <c r="I6" s="6" t="s">
        <v>13</v>
      </c>
      <c r="J6" s="6" t="s">
        <v>27</v>
      </c>
      <c r="K6" s="6" t="s">
        <v>12</v>
      </c>
      <c r="L6" s="25" t="s">
        <v>23</v>
      </c>
      <c r="M6" s="25" t="s">
        <v>14</v>
      </c>
      <c r="N6" s="25" t="s">
        <v>24</v>
      </c>
      <c r="O6" s="25" t="s">
        <v>25</v>
      </c>
      <c r="P6" s="25" t="s">
        <v>20</v>
      </c>
      <c r="Q6" s="25" t="s">
        <v>22</v>
      </c>
      <c r="R6" s="25" t="s">
        <v>16</v>
      </c>
      <c r="S6" s="25" t="s">
        <v>17</v>
      </c>
      <c r="T6" s="25" t="s">
        <v>21</v>
      </c>
      <c r="U6" s="25" t="s">
        <v>26</v>
      </c>
      <c r="V6" s="25" t="s">
        <v>1</v>
      </c>
    </row>
    <row r="7" spans="2:22" s="8" customFormat="1" ht="16.5" x14ac:dyDescent="0.25">
      <c r="B7" s="42"/>
      <c r="C7" s="17"/>
      <c r="D7" s="22"/>
      <c r="E7" s="20"/>
      <c r="F7" s="18">
        <v>45000</v>
      </c>
      <c r="G7" s="36">
        <f>D4+Tableau1111213[[#This Row],[Encaissement]]-Tableau1111213[[#This Row],[Décaissemrnt]]</f>
        <v>5000</v>
      </c>
      <c r="H7" s="32"/>
      <c r="I7" s="31">
        <v>20000</v>
      </c>
      <c r="J7" s="31">
        <v>20000</v>
      </c>
      <c r="K7" s="31">
        <v>5000</v>
      </c>
      <c r="L7" s="32"/>
      <c r="M7" s="32"/>
      <c r="N7" s="32"/>
      <c r="O7" s="32"/>
      <c r="P7" s="32"/>
      <c r="Q7" s="32"/>
      <c r="R7" s="32"/>
      <c r="S7" s="32"/>
      <c r="T7" s="32"/>
      <c r="U7" s="32"/>
      <c r="V7" s="34">
        <f>SUM(H7:U7)</f>
        <v>45000</v>
      </c>
    </row>
    <row r="8" spans="2:22" s="8" customFormat="1" ht="16.5" x14ac:dyDescent="0.25">
      <c r="B8" s="42"/>
      <c r="C8" s="17"/>
      <c r="D8" s="22"/>
      <c r="E8" s="20"/>
      <c r="F8" s="18"/>
      <c r="G8" s="36">
        <f>G7+Tableau1111213[[#This Row],[Encaissement]]-Tableau1111213[[#This Row],[Décaissemrnt]]</f>
        <v>5000</v>
      </c>
      <c r="H8" s="32"/>
      <c r="I8" s="31"/>
      <c r="J8" s="31"/>
      <c r="K8" s="31"/>
      <c r="L8" s="32"/>
      <c r="M8" s="32"/>
      <c r="N8" s="32"/>
      <c r="O8" s="32"/>
      <c r="P8" s="32"/>
      <c r="Q8" s="32"/>
      <c r="R8" s="32"/>
      <c r="S8" s="32"/>
      <c r="T8" s="32"/>
      <c r="U8" s="32"/>
      <c r="V8" s="34">
        <f>SUM(K8:U8)</f>
        <v>0</v>
      </c>
    </row>
    <row r="9" spans="2:22" s="8" customFormat="1" ht="17.25" thickBot="1" x14ac:dyDescent="0.3">
      <c r="B9" s="41"/>
      <c r="C9" s="9" t="s">
        <v>1</v>
      </c>
      <c r="D9" s="23">
        <f>SUBTOTAL(103,Tableau1111213[Libellé de l''opération])</f>
        <v>0</v>
      </c>
      <c r="E9" s="21">
        <f>SUBTOTAL(109,Tableau1111213[Encaissement])</f>
        <v>0</v>
      </c>
      <c r="F9" s="19">
        <f>SUBTOTAL(109,Tableau1111213[Décaissemrnt])</f>
        <v>45000</v>
      </c>
      <c r="G9" s="19">
        <f>SUBTOTAL(109,Tableau1111213[Solde])</f>
        <v>10000</v>
      </c>
      <c r="H9" s="33">
        <f>SUBTOTAL(109,Tableau1111213[AG])</f>
        <v>0</v>
      </c>
      <c r="I9" s="33">
        <f>SUBTOTAL(109,Tableau1111213[Carburant])</f>
        <v>20000</v>
      </c>
      <c r="J9" s="33">
        <f>SUBTOTAL(109,Tableau1111213[Missions/MinCce])</f>
        <v>20000</v>
      </c>
      <c r="K9" s="33">
        <f>SUBTOTAL(109,Tableau1111213[Taxi/peage/PAD])</f>
        <v>5000</v>
      </c>
      <c r="L9" s="33">
        <f>SUBTOTAL(109,Tableau1111213[Télécom])</f>
        <v>0</v>
      </c>
      <c r="M9" s="33">
        <f>SUBTOTAL(109,Tableau1111213[Entretien])</f>
        <v>0</v>
      </c>
      <c r="N9" s="33">
        <f>SUBTOTAL(109,Tableau1111213[Electricité])</f>
        <v>0</v>
      </c>
      <c r="O9" s="33">
        <f>SUBTOTAL(109,Tableau1111213[Eau])</f>
        <v>0</v>
      </c>
      <c r="P9" s="33">
        <f>SUBTOTAL(109,Tableau1111213[Impot/Cnps])</f>
        <v>0</v>
      </c>
      <c r="Q9" s="33">
        <f>SUBTOTAL(109,Tableau1111213[Loyer])</f>
        <v>0</v>
      </c>
      <c r="R9" s="33">
        <f>SUBTOTAL(109,Tableau1111213[Banque])</f>
        <v>0</v>
      </c>
      <c r="S9" s="33">
        <f>SUBTOTAL(109,Tableau1111213[Mat., mob.])</f>
        <v>0</v>
      </c>
      <c r="T9" s="33">
        <f>SUBTOTAL(109,Tableau1111213[Salaire])</f>
        <v>0</v>
      </c>
      <c r="U9" s="33">
        <f>SUBTOTAL(109,Tableau1111213[Autres])</f>
        <v>0</v>
      </c>
      <c r="V9" s="35">
        <f>SUBTOTAL(109,Tableau1111213[Total])</f>
        <v>45000</v>
      </c>
    </row>
    <row r="10" spans="2:22" ht="14.25" thickTop="1" x14ac:dyDescent="0.25"/>
    <row r="11" spans="2:22" x14ac:dyDescent="0.25">
      <c r="B11" s="26" t="s">
        <v>18</v>
      </c>
      <c r="D11" s="28" t="s">
        <v>19</v>
      </c>
    </row>
    <row r="12" spans="2:22" x14ac:dyDescent="0.25">
      <c r="B12" s="27"/>
      <c r="C12" s="27"/>
    </row>
    <row r="13" spans="2:22" x14ac:dyDescent="0.25">
      <c r="B13" s="27"/>
      <c r="C13" s="27"/>
    </row>
    <row r="14" spans="2:22" x14ac:dyDescent="0.25">
      <c r="B14" s="27"/>
      <c r="C14" s="27"/>
    </row>
    <row r="15" spans="2:22" x14ac:dyDescent="0.25">
      <c r="B15" s="27"/>
      <c r="C15" s="27"/>
    </row>
    <row r="16" spans="2:22" x14ac:dyDescent="0.25">
      <c r="B16" s="27"/>
      <c r="C16" s="27"/>
    </row>
  </sheetData>
  <mergeCells count="2">
    <mergeCell ref="B2:C2"/>
    <mergeCell ref="B12:C16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 tint="0.34998626667073579"/>
    <pageSetUpPr fitToPage="1"/>
  </sheetPr>
  <dimension ref="B1:V16"/>
  <sheetViews>
    <sheetView showGridLines="0" topLeftCell="B1" workbookViewId="0">
      <selection activeCell="F36" sqref="F36"/>
    </sheetView>
  </sheetViews>
  <sheetFormatPr baseColWidth="10" defaultColWidth="9.140625" defaultRowHeight="13.5" x14ac:dyDescent="0.2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 x14ac:dyDescent="0.3"/>
    <row r="2" spans="2:22" ht="40.15" customHeight="1" thickBot="1" x14ac:dyDescent="0.3">
      <c r="B2" s="29" t="s">
        <v>31</v>
      </c>
      <c r="C2" s="30"/>
      <c r="D2" s="12"/>
      <c r="E2" s="13"/>
      <c r="F2" s="11"/>
      <c r="G2" s="12"/>
      <c r="H2" s="12"/>
      <c r="I2" s="12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2:22" s="14" customFormat="1" ht="15" customHeight="1" x14ac:dyDescent="0.3">
      <c r="B3" s="14" t="s">
        <v>4</v>
      </c>
      <c r="C3" s="15">
        <f ca="1">TODAY()</f>
        <v>46296</v>
      </c>
      <c r="D3" s="16"/>
      <c r="G3" s="16"/>
      <c r="H3" s="16"/>
      <c r="I3" s="16"/>
    </row>
    <row r="4" spans="2:22" s="4" customFormat="1" ht="19.899999999999999" customHeight="1" x14ac:dyDescent="0.2">
      <c r="B4" s="37"/>
      <c r="C4" s="38" t="s">
        <v>5</v>
      </c>
      <c r="D4" s="39">
        <v>50000</v>
      </c>
      <c r="E4" s="40" t="s">
        <v>6</v>
      </c>
      <c r="F4" s="39">
        <f>D4+Tableau111121314[[#Totals],[Encaissement]]-Tableau111121314[[#Totals],[Décaissemrnt]]</f>
        <v>5000</v>
      </c>
      <c r="G4" s="43"/>
      <c r="H4" s="43" t="s">
        <v>11</v>
      </c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</row>
    <row r="5" spans="2:22" ht="15" customHeight="1" x14ac:dyDescent="0.25">
      <c r="B5" s="2"/>
      <c r="C5" s="10"/>
    </row>
    <row r="6" spans="2:22" s="5" customFormat="1" ht="19.899999999999999" customHeight="1" x14ac:dyDescent="0.2">
      <c r="B6" s="6" t="s">
        <v>0</v>
      </c>
      <c r="C6" s="6" t="s">
        <v>10</v>
      </c>
      <c r="D6" s="24" t="s">
        <v>7</v>
      </c>
      <c r="E6" s="6" t="s">
        <v>8</v>
      </c>
      <c r="F6" s="7" t="s">
        <v>9</v>
      </c>
      <c r="G6" s="7" t="s">
        <v>2</v>
      </c>
      <c r="H6" s="25" t="s">
        <v>15</v>
      </c>
      <c r="I6" s="6" t="s">
        <v>13</v>
      </c>
      <c r="J6" s="6" t="s">
        <v>27</v>
      </c>
      <c r="K6" s="6" t="s">
        <v>12</v>
      </c>
      <c r="L6" s="25" t="s">
        <v>23</v>
      </c>
      <c r="M6" s="25" t="s">
        <v>14</v>
      </c>
      <c r="N6" s="25" t="s">
        <v>24</v>
      </c>
      <c r="O6" s="25" t="s">
        <v>25</v>
      </c>
      <c r="P6" s="25" t="s">
        <v>20</v>
      </c>
      <c r="Q6" s="25" t="s">
        <v>22</v>
      </c>
      <c r="R6" s="25" t="s">
        <v>16</v>
      </c>
      <c r="S6" s="25" t="s">
        <v>17</v>
      </c>
      <c r="T6" s="25" t="s">
        <v>21</v>
      </c>
      <c r="U6" s="25" t="s">
        <v>26</v>
      </c>
      <c r="V6" s="25" t="s">
        <v>1</v>
      </c>
    </row>
    <row r="7" spans="2:22" s="8" customFormat="1" ht="16.5" x14ac:dyDescent="0.25">
      <c r="B7" s="42"/>
      <c r="C7" s="17"/>
      <c r="D7" s="22"/>
      <c r="E7" s="20"/>
      <c r="F7" s="18">
        <v>45000</v>
      </c>
      <c r="G7" s="36">
        <f>D4+Tableau111121314[[#This Row],[Encaissement]]-Tableau111121314[[#This Row],[Décaissemrnt]]</f>
        <v>5000</v>
      </c>
      <c r="H7" s="32"/>
      <c r="I7" s="31">
        <v>20000</v>
      </c>
      <c r="J7" s="31">
        <v>20000</v>
      </c>
      <c r="K7" s="31">
        <v>5000</v>
      </c>
      <c r="L7" s="32"/>
      <c r="M7" s="32"/>
      <c r="N7" s="32"/>
      <c r="O7" s="32"/>
      <c r="P7" s="32"/>
      <c r="Q7" s="32"/>
      <c r="R7" s="32"/>
      <c r="S7" s="32"/>
      <c r="T7" s="32"/>
      <c r="U7" s="32"/>
      <c r="V7" s="34">
        <f>SUM(H7:U7)</f>
        <v>45000</v>
      </c>
    </row>
    <row r="8" spans="2:22" s="8" customFormat="1" ht="16.5" x14ac:dyDescent="0.25">
      <c r="B8" s="42"/>
      <c r="C8" s="17"/>
      <c r="D8" s="22"/>
      <c r="E8" s="20"/>
      <c r="F8" s="18"/>
      <c r="G8" s="36">
        <f>G7+Tableau111121314[[#This Row],[Encaissement]]-Tableau111121314[[#This Row],[Décaissemrnt]]</f>
        <v>5000</v>
      </c>
      <c r="H8" s="32"/>
      <c r="I8" s="31"/>
      <c r="J8" s="31"/>
      <c r="K8" s="31"/>
      <c r="L8" s="32"/>
      <c r="M8" s="32"/>
      <c r="N8" s="32"/>
      <c r="O8" s="32"/>
      <c r="P8" s="32"/>
      <c r="Q8" s="32"/>
      <c r="R8" s="32"/>
      <c r="S8" s="32"/>
      <c r="T8" s="32"/>
      <c r="U8" s="32"/>
      <c r="V8" s="34">
        <f>SUM(K8:U8)</f>
        <v>0</v>
      </c>
    </row>
    <row r="9" spans="2:22" s="8" customFormat="1" ht="17.25" thickBot="1" x14ac:dyDescent="0.3">
      <c r="B9" s="41"/>
      <c r="C9" s="9" t="s">
        <v>1</v>
      </c>
      <c r="D9" s="23">
        <f>SUBTOTAL(103,Tableau111121314[Libellé de l''opération])</f>
        <v>0</v>
      </c>
      <c r="E9" s="21">
        <f>SUBTOTAL(109,Tableau111121314[Encaissement])</f>
        <v>0</v>
      </c>
      <c r="F9" s="19">
        <f>SUBTOTAL(109,Tableau111121314[Décaissemrnt])</f>
        <v>45000</v>
      </c>
      <c r="G9" s="19">
        <f>SUBTOTAL(109,Tableau111121314[Solde])</f>
        <v>10000</v>
      </c>
      <c r="H9" s="33">
        <f>SUBTOTAL(109,Tableau111121314[AG])</f>
        <v>0</v>
      </c>
      <c r="I9" s="33">
        <f>SUBTOTAL(109,Tableau111121314[Carburant])</f>
        <v>20000</v>
      </c>
      <c r="J9" s="33">
        <f>SUBTOTAL(109,Tableau111121314[Missions/MinCce])</f>
        <v>20000</v>
      </c>
      <c r="K9" s="33">
        <f>SUBTOTAL(109,Tableau111121314[Taxi/peage/PAD])</f>
        <v>5000</v>
      </c>
      <c r="L9" s="33">
        <f>SUBTOTAL(109,Tableau111121314[Télécom])</f>
        <v>0</v>
      </c>
      <c r="M9" s="33">
        <f>SUBTOTAL(109,Tableau111121314[Entretien])</f>
        <v>0</v>
      </c>
      <c r="N9" s="33">
        <f>SUBTOTAL(109,Tableau111121314[Electricité])</f>
        <v>0</v>
      </c>
      <c r="O9" s="33">
        <f>SUBTOTAL(109,Tableau111121314[Eau])</f>
        <v>0</v>
      </c>
      <c r="P9" s="33">
        <f>SUBTOTAL(109,Tableau111121314[Impot/Cnps])</f>
        <v>0</v>
      </c>
      <c r="Q9" s="33">
        <f>SUBTOTAL(109,Tableau111121314[Loyer])</f>
        <v>0</v>
      </c>
      <c r="R9" s="33">
        <f>SUBTOTAL(109,Tableau111121314[Banque])</f>
        <v>0</v>
      </c>
      <c r="S9" s="33">
        <f>SUBTOTAL(109,Tableau111121314[Mat., mob.])</f>
        <v>0</v>
      </c>
      <c r="T9" s="33">
        <f>SUBTOTAL(109,Tableau111121314[Salaire])</f>
        <v>0</v>
      </c>
      <c r="U9" s="33">
        <f>SUBTOTAL(109,Tableau111121314[Autres])</f>
        <v>0</v>
      </c>
      <c r="V9" s="35">
        <f>SUBTOTAL(109,Tableau111121314[Total])</f>
        <v>45000</v>
      </c>
    </row>
    <row r="10" spans="2:22" ht="14.25" thickTop="1" x14ac:dyDescent="0.25"/>
    <row r="11" spans="2:22" x14ac:dyDescent="0.25">
      <c r="B11" s="26" t="s">
        <v>18</v>
      </c>
      <c r="D11" s="28" t="s">
        <v>19</v>
      </c>
    </row>
    <row r="12" spans="2:22" x14ac:dyDescent="0.25">
      <c r="B12" s="27"/>
      <c r="C12" s="27"/>
    </row>
    <row r="13" spans="2:22" x14ac:dyDescent="0.25">
      <c r="B13" s="27"/>
      <c r="C13" s="27"/>
    </row>
    <row r="14" spans="2:22" x14ac:dyDescent="0.25">
      <c r="B14" s="27"/>
      <c r="C14" s="27"/>
    </row>
    <row r="15" spans="2:22" x14ac:dyDescent="0.25">
      <c r="B15" s="27"/>
      <c r="C15" s="27"/>
    </row>
    <row r="16" spans="2:22" x14ac:dyDescent="0.25">
      <c r="B16" s="27"/>
      <c r="C16" s="27"/>
    </row>
  </sheetData>
  <mergeCells count="2">
    <mergeCell ref="B2:C2"/>
    <mergeCell ref="B12:C16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8" tint="0.14999847407452621"/>
    <pageSetUpPr fitToPage="1"/>
  </sheetPr>
  <dimension ref="B1:V16"/>
  <sheetViews>
    <sheetView showGridLines="0" topLeftCell="B1" workbookViewId="0">
      <selection activeCell="F36" sqref="F36"/>
    </sheetView>
  </sheetViews>
  <sheetFormatPr baseColWidth="10" defaultColWidth="9.140625" defaultRowHeight="13.5" x14ac:dyDescent="0.2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 x14ac:dyDescent="0.3"/>
    <row r="2" spans="2:22" ht="40.15" customHeight="1" thickBot="1" x14ac:dyDescent="0.3">
      <c r="B2" s="29" t="s">
        <v>32</v>
      </c>
      <c r="C2" s="30"/>
      <c r="D2" s="12"/>
      <c r="E2" s="13"/>
      <c r="F2" s="11"/>
      <c r="G2" s="12"/>
      <c r="H2" s="12"/>
      <c r="I2" s="12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2:22" s="14" customFormat="1" ht="15" customHeight="1" x14ac:dyDescent="0.3">
      <c r="B3" s="14" t="s">
        <v>4</v>
      </c>
      <c r="C3" s="15">
        <f ca="1">TODAY()</f>
        <v>46296</v>
      </c>
      <c r="D3" s="16"/>
      <c r="G3" s="16"/>
      <c r="H3" s="16"/>
      <c r="I3" s="16"/>
    </row>
    <row r="4" spans="2:22" s="4" customFormat="1" ht="19.899999999999999" customHeight="1" x14ac:dyDescent="0.2">
      <c r="B4" s="37"/>
      <c r="C4" s="38" t="s">
        <v>5</v>
      </c>
      <c r="D4" s="39">
        <v>50000</v>
      </c>
      <c r="E4" s="40" t="s">
        <v>6</v>
      </c>
      <c r="F4" s="39">
        <f>D4+Tableau11112131415[[#Totals],[Encaissement]]-Tableau11112131415[[#Totals],[Décaissemrnt]]</f>
        <v>5000</v>
      </c>
      <c r="G4" s="43"/>
      <c r="H4" s="43" t="s">
        <v>11</v>
      </c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</row>
    <row r="5" spans="2:22" ht="15" customHeight="1" x14ac:dyDescent="0.25">
      <c r="B5" s="2"/>
      <c r="C5" s="10"/>
    </row>
    <row r="6" spans="2:22" s="5" customFormat="1" ht="19.899999999999999" customHeight="1" x14ac:dyDescent="0.2">
      <c r="B6" s="6" t="s">
        <v>0</v>
      </c>
      <c r="C6" s="6" t="s">
        <v>10</v>
      </c>
      <c r="D6" s="24" t="s">
        <v>7</v>
      </c>
      <c r="E6" s="6" t="s">
        <v>8</v>
      </c>
      <c r="F6" s="7" t="s">
        <v>9</v>
      </c>
      <c r="G6" s="7" t="s">
        <v>2</v>
      </c>
      <c r="H6" s="25" t="s">
        <v>15</v>
      </c>
      <c r="I6" s="6" t="s">
        <v>13</v>
      </c>
      <c r="J6" s="6" t="s">
        <v>27</v>
      </c>
      <c r="K6" s="6" t="s">
        <v>12</v>
      </c>
      <c r="L6" s="25" t="s">
        <v>23</v>
      </c>
      <c r="M6" s="25" t="s">
        <v>14</v>
      </c>
      <c r="N6" s="25" t="s">
        <v>24</v>
      </c>
      <c r="O6" s="25" t="s">
        <v>25</v>
      </c>
      <c r="P6" s="25" t="s">
        <v>20</v>
      </c>
      <c r="Q6" s="25" t="s">
        <v>22</v>
      </c>
      <c r="R6" s="25" t="s">
        <v>16</v>
      </c>
      <c r="S6" s="25" t="s">
        <v>17</v>
      </c>
      <c r="T6" s="25" t="s">
        <v>21</v>
      </c>
      <c r="U6" s="25" t="s">
        <v>26</v>
      </c>
      <c r="V6" s="25" t="s">
        <v>1</v>
      </c>
    </row>
    <row r="7" spans="2:22" s="8" customFormat="1" ht="16.5" x14ac:dyDescent="0.25">
      <c r="B7" s="42"/>
      <c r="C7" s="17"/>
      <c r="D7" s="22"/>
      <c r="E7" s="20"/>
      <c r="F7" s="18">
        <v>45000</v>
      </c>
      <c r="G7" s="36">
        <f>D4+Tableau11112131415[[#This Row],[Encaissement]]-Tableau11112131415[[#This Row],[Décaissemrnt]]</f>
        <v>5000</v>
      </c>
      <c r="H7" s="32"/>
      <c r="I7" s="31">
        <v>20000</v>
      </c>
      <c r="J7" s="31">
        <v>20000</v>
      </c>
      <c r="K7" s="31">
        <v>5000</v>
      </c>
      <c r="L7" s="32"/>
      <c r="M7" s="32"/>
      <c r="N7" s="32"/>
      <c r="O7" s="32"/>
      <c r="P7" s="32"/>
      <c r="Q7" s="32"/>
      <c r="R7" s="32"/>
      <c r="S7" s="32"/>
      <c r="T7" s="32"/>
      <c r="U7" s="32"/>
      <c r="V7" s="34">
        <f>SUM(H7:U7)</f>
        <v>45000</v>
      </c>
    </row>
    <row r="8" spans="2:22" s="8" customFormat="1" ht="16.5" x14ac:dyDescent="0.25">
      <c r="B8" s="42"/>
      <c r="C8" s="17"/>
      <c r="D8" s="22"/>
      <c r="E8" s="20"/>
      <c r="F8" s="18"/>
      <c r="G8" s="36">
        <f>G7+Tableau11112131415[[#This Row],[Encaissement]]-Tableau11112131415[[#This Row],[Décaissemrnt]]</f>
        <v>5000</v>
      </c>
      <c r="H8" s="32"/>
      <c r="I8" s="31"/>
      <c r="J8" s="31"/>
      <c r="K8" s="31"/>
      <c r="L8" s="32"/>
      <c r="M8" s="32"/>
      <c r="N8" s="32"/>
      <c r="O8" s="32"/>
      <c r="P8" s="32"/>
      <c r="Q8" s="32"/>
      <c r="R8" s="32"/>
      <c r="S8" s="32"/>
      <c r="T8" s="32"/>
      <c r="U8" s="32"/>
      <c r="V8" s="34">
        <f>SUM(K8:U8)</f>
        <v>0</v>
      </c>
    </row>
    <row r="9" spans="2:22" s="8" customFormat="1" ht="17.25" thickBot="1" x14ac:dyDescent="0.3">
      <c r="B9" s="41"/>
      <c r="C9" s="9" t="s">
        <v>1</v>
      </c>
      <c r="D9" s="23">
        <f>SUBTOTAL(103,Tableau11112131415[Libellé de l''opération])</f>
        <v>0</v>
      </c>
      <c r="E9" s="21">
        <f>SUBTOTAL(109,Tableau11112131415[Encaissement])</f>
        <v>0</v>
      </c>
      <c r="F9" s="19">
        <f>SUBTOTAL(109,Tableau11112131415[Décaissemrnt])</f>
        <v>45000</v>
      </c>
      <c r="G9" s="19">
        <f>SUBTOTAL(109,Tableau11112131415[Solde])</f>
        <v>10000</v>
      </c>
      <c r="H9" s="33">
        <f>SUBTOTAL(109,Tableau11112131415[AG])</f>
        <v>0</v>
      </c>
      <c r="I9" s="33">
        <f>SUBTOTAL(109,Tableau11112131415[Carburant])</f>
        <v>20000</v>
      </c>
      <c r="J9" s="33">
        <f>SUBTOTAL(109,Tableau11112131415[Missions/MinCce])</f>
        <v>20000</v>
      </c>
      <c r="K9" s="33">
        <f>SUBTOTAL(109,Tableau11112131415[Taxi/peage/PAD])</f>
        <v>5000</v>
      </c>
      <c r="L9" s="33">
        <f>SUBTOTAL(109,Tableau11112131415[Télécom])</f>
        <v>0</v>
      </c>
      <c r="M9" s="33">
        <f>SUBTOTAL(109,Tableau11112131415[Entretien])</f>
        <v>0</v>
      </c>
      <c r="N9" s="33">
        <f>SUBTOTAL(109,Tableau11112131415[Electricité])</f>
        <v>0</v>
      </c>
      <c r="O9" s="33">
        <f>SUBTOTAL(109,Tableau11112131415[Eau])</f>
        <v>0</v>
      </c>
      <c r="P9" s="33">
        <f>SUBTOTAL(109,Tableau11112131415[Impot/Cnps])</f>
        <v>0</v>
      </c>
      <c r="Q9" s="33">
        <f>SUBTOTAL(109,Tableau11112131415[Loyer])</f>
        <v>0</v>
      </c>
      <c r="R9" s="33">
        <f>SUBTOTAL(109,Tableau11112131415[Banque])</f>
        <v>0</v>
      </c>
      <c r="S9" s="33">
        <f>SUBTOTAL(109,Tableau11112131415[Mat., mob.])</f>
        <v>0</v>
      </c>
      <c r="T9" s="33">
        <f>SUBTOTAL(109,Tableau11112131415[Salaire])</f>
        <v>0</v>
      </c>
      <c r="U9" s="33">
        <f>SUBTOTAL(109,Tableau11112131415[Autres])</f>
        <v>0</v>
      </c>
      <c r="V9" s="35">
        <f>SUBTOTAL(109,Tableau11112131415[Total])</f>
        <v>45000</v>
      </c>
    </row>
    <row r="10" spans="2:22" ht="14.25" thickTop="1" x14ac:dyDescent="0.25"/>
    <row r="11" spans="2:22" x14ac:dyDescent="0.25">
      <c r="B11" s="26" t="s">
        <v>18</v>
      </c>
      <c r="D11" s="28" t="s">
        <v>19</v>
      </c>
    </row>
    <row r="12" spans="2:22" x14ac:dyDescent="0.25">
      <c r="B12" s="27"/>
      <c r="C12" s="27"/>
    </row>
    <row r="13" spans="2:22" x14ac:dyDescent="0.25">
      <c r="B13" s="27"/>
      <c r="C13" s="27"/>
    </row>
    <row r="14" spans="2:22" x14ac:dyDescent="0.25">
      <c r="B14" s="27"/>
      <c r="C14" s="27"/>
    </row>
    <row r="15" spans="2:22" x14ac:dyDescent="0.25">
      <c r="B15" s="27"/>
      <c r="C15" s="27"/>
    </row>
    <row r="16" spans="2:22" x14ac:dyDescent="0.25">
      <c r="B16" s="27"/>
      <c r="C16" s="27"/>
    </row>
  </sheetData>
  <mergeCells count="2">
    <mergeCell ref="B2:C2"/>
    <mergeCell ref="B12:C16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3" tint="0.39997558519241921"/>
    <pageSetUpPr fitToPage="1"/>
  </sheetPr>
  <dimension ref="B1:V16"/>
  <sheetViews>
    <sheetView showGridLines="0" workbookViewId="0">
      <selection activeCell="I23" sqref="I23"/>
    </sheetView>
  </sheetViews>
  <sheetFormatPr baseColWidth="10" defaultColWidth="9.140625" defaultRowHeight="13.5" x14ac:dyDescent="0.2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 x14ac:dyDescent="0.3"/>
    <row r="2" spans="2:22" ht="40.15" customHeight="1" thickBot="1" x14ac:dyDescent="0.3">
      <c r="B2" s="29" t="s">
        <v>33</v>
      </c>
      <c r="C2" s="30"/>
      <c r="D2" s="12"/>
      <c r="E2" s="13"/>
      <c r="F2" s="11"/>
      <c r="G2" s="12"/>
      <c r="H2" s="12"/>
      <c r="I2" s="12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2:22" s="14" customFormat="1" ht="15" customHeight="1" x14ac:dyDescent="0.3">
      <c r="B3" s="14" t="s">
        <v>4</v>
      </c>
      <c r="C3" s="15">
        <f ca="1">TODAY()</f>
        <v>46296</v>
      </c>
      <c r="D3" s="16"/>
      <c r="G3" s="16"/>
      <c r="H3" s="16"/>
      <c r="I3" s="16"/>
    </row>
    <row r="4" spans="2:22" s="4" customFormat="1" ht="19.899999999999999" customHeight="1" x14ac:dyDescent="0.2">
      <c r="B4" s="37"/>
      <c r="C4" s="38" t="s">
        <v>5</v>
      </c>
      <c r="D4" s="39">
        <v>50000</v>
      </c>
      <c r="E4" s="40" t="s">
        <v>6</v>
      </c>
      <c r="F4" s="39">
        <f>D4+Tableau1111213141517[[#Totals],[Encaissement]]-Tableau1111213141517[[#Totals],[Décaissemrnt]]</f>
        <v>5000</v>
      </c>
      <c r="G4" s="43"/>
      <c r="H4" s="43" t="s">
        <v>11</v>
      </c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</row>
    <row r="5" spans="2:22" ht="15" customHeight="1" x14ac:dyDescent="0.25">
      <c r="B5" s="2"/>
      <c r="C5" s="10"/>
    </row>
    <row r="6" spans="2:22" s="5" customFormat="1" ht="19.899999999999999" customHeight="1" x14ac:dyDescent="0.2">
      <c r="B6" s="6" t="s">
        <v>0</v>
      </c>
      <c r="C6" s="6" t="s">
        <v>10</v>
      </c>
      <c r="D6" s="24" t="s">
        <v>7</v>
      </c>
      <c r="E6" s="6" t="s">
        <v>8</v>
      </c>
      <c r="F6" s="7" t="s">
        <v>9</v>
      </c>
      <c r="G6" s="7" t="s">
        <v>2</v>
      </c>
      <c r="H6" s="25" t="s">
        <v>15</v>
      </c>
      <c r="I6" s="6" t="s">
        <v>13</v>
      </c>
      <c r="J6" s="6" t="s">
        <v>27</v>
      </c>
      <c r="K6" s="6" t="s">
        <v>12</v>
      </c>
      <c r="L6" s="25" t="s">
        <v>23</v>
      </c>
      <c r="M6" s="25" t="s">
        <v>14</v>
      </c>
      <c r="N6" s="25" t="s">
        <v>24</v>
      </c>
      <c r="O6" s="25" t="s">
        <v>25</v>
      </c>
      <c r="P6" s="25" t="s">
        <v>20</v>
      </c>
      <c r="Q6" s="25" t="s">
        <v>22</v>
      </c>
      <c r="R6" s="25" t="s">
        <v>16</v>
      </c>
      <c r="S6" s="25" t="s">
        <v>17</v>
      </c>
      <c r="T6" s="25" t="s">
        <v>21</v>
      </c>
      <c r="U6" s="25" t="s">
        <v>26</v>
      </c>
      <c r="V6" s="25" t="s">
        <v>1</v>
      </c>
    </row>
    <row r="7" spans="2:22" s="8" customFormat="1" ht="16.5" x14ac:dyDescent="0.25">
      <c r="B7" s="42"/>
      <c r="C7" s="17"/>
      <c r="D7" s="22"/>
      <c r="E7" s="20"/>
      <c r="F7" s="18">
        <v>45000</v>
      </c>
      <c r="G7" s="36">
        <f>D4+Tableau1111213141517[[#This Row],[Encaissement]]-Tableau1111213141517[[#This Row],[Décaissemrnt]]</f>
        <v>5000</v>
      </c>
      <c r="H7" s="32"/>
      <c r="I7" s="31">
        <v>20000</v>
      </c>
      <c r="J7" s="31">
        <v>20000</v>
      </c>
      <c r="K7" s="31">
        <v>5000</v>
      </c>
      <c r="L7" s="32"/>
      <c r="M7" s="32"/>
      <c r="N7" s="32"/>
      <c r="O7" s="32"/>
      <c r="P7" s="32"/>
      <c r="Q7" s="32"/>
      <c r="R7" s="32"/>
      <c r="S7" s="32"/>
      <c r="T7" s="32"/>
      <c r="U7" s="32"/>
      <c r="V7" s="34">
        <f>SUM(H7:U7)</f>
        <v>45000</v>
      </c>
    </row>
    <row r="8" spans="2:22" s="8" customFormat="1" ht="16.5" x14ac:dyDescent="0.25">
      <c r="B8" s="42"/>
      <c r="C8" s="17"/>
      <c r="D8" s="22"/>
      <c r="E8" s="20"/>
      <c r="F8" s="18"/>
      <c r="G8" s="36">
        <f>G7+Tableau1111213141517[[#This Row],[Encaissement]]-Tableau1111213141517[[#This Row],[Décaissemrnt]]</f>
        <v>5000</v>
      </c>
      <c r="H8" s="32"/>
      <c r="I8" s="31"/>
      <c r="J8" s="31"/>
      <c r="K8" s="31"/>
      <c r="L8" s="32"/>
      <c r="M8" s="32"/>
      <c r="N8" s="32"/>
      <c r="O8" s="32"/>
      <c r="P8" s="32"/>
      <c r="Q8" s="32"/>
      <c r="R8" s="32"/>
      <c r="S8" s="32"/>
      <c r="T8" s="32"/>
      <c r="U8" s="32"/>
      <c r="V8" s="34">
        <f>SUM(K8:U8)</f>
        <v>0</v>
      </c>
    </row>
    <row r="9" spans="2:22" s="8" customFormat="1" ht="17.25" thickBot="1" x14ac:dyDescent="0.3">
      <c r="B9" s="41"/>
      <c r="C9" s="9" t="s">
        <v>1</v>
      </c>
      <c r="D9" s="23">
        <f>SUBTOTAL(103,Tableau1111213141517[Libellé de l''opération])</f>
        <v>0</v>
      </c>
      <c r="E9" s="21">
        <f>SUBTOTAL(109,Tableau1111213141517[Encaissement])</f>
        <v>0</v>
      </c>
      <c r="F9" s="19">
        <f>SUBTOTAL(109,Tableau1111213141517[Décaissemrnt])</f>
        <v>45000</v>
      </c>
      <c r="G9" s="19">
        <f>SUBTOTAL(109,Tableau1111213141517[Solde])</f>
        <v>10000</v>
      </c>
      <c r="H9" s="33">
        <f>SUBTOTAL(109,Tableau1111213141517[AG])</f>
        <v>0</v>
      </c>
      <c r="I9" s="33">
        <f>SUBTOTAL(109,Tableau1111213141517[Carburant])</f>
        <v>20000</v>
      </c>
      <c r="J9" s="33">
        <f>SUBTOTAL(109,Tableau1111213141517[Missions/MinCce])</f>
        <v>20000</v>
      </c>
      <c r="K9" s="33">
        <f>SUBTOTAL(109,Tableau1111213141517[Taxi/peage/PAD])</f>
        <v>5000</v>
      </c>
      <c r="L9" s="33">
        <f>SUBTOTAL(109,Tableau1111213141517[Télécom])</f>
        <v>0</v>
      </c>
      <c r="M9" s="33">
        <f>SUBTOTAL(109,Tableau1111213141517[Entretien])</f>
        <v>0</v>
      </c>
      <c r="N9" s="33">
        <f>SUBTOTAL(109,Tableau1111213141517[Electricité])</f>
        <v>0</v>
      </c>
      <c r="O9" s="33">
        <f>SUBTOTAL(109,Tableau1111213141517[Eau])</f>
        <v>0</v>
      </c>
      <c r="P9" s="33">
        <f>SUBTOTAL(109,Tableau1111213141517[Impot/Cnps])</f>
        <v>0</v>
      </c>
      <c r="Q9" s="33">
        <f>SUBTOTAL(109,Tableau1111213141517[Loyer])</f>
        <v>0</v>
      </c>
      <c r="R9" s="33">
        <f>SUBTOTAL(109,Tableau1111213141517[Banque])</f>
        <v>0</v>
      </c>
      <c r="S9" s="33">
        <f>SUBTOTAL(109,Tableau1111213141517[Mat., mob.])</f>
        <v>0</v>
      </c>
      <c r="T9" s="33">
        <f>SUBTOTAL(109,Tableau1111213141517[Salaire])</f>
        <v>0</v>
      </c>
      <c r="U9" s="33">
        <f>SUBTOTAL(109,Tableau1111213141517[Autres])</f>
        <v>0</v>
      </c>
      <c r="V9" s="35">
        <f>SUBTOTAL(109,Tableau1111213141517[Total])</f>
        <v>45000</v>
      </c>
    </row>
    <row r="10" spans="2:22" ht="14.25" thickTop="1" x14ac:dyDescent="0.25"/>
    <row r="11" spans="2:22" x14ac:dyDescent="0.25">
      <c r="B11" s="26" t="s">
        <v>18</v>
      </c>
      <c r="D11" s="28" t="s">
        <v>19</v>
      </c>
    </row>
    <row r="12" spans="2:22" x14ac:dyDescent="0.25">
      <c r="B12" s="27"/>
      <c r="C12" s="27"/>
    </row>
    <row r="13" spans="2:22" x14ac:dyDescent="0.25">
      <c r="B13" s="27"/>
      <c r="C13" s="27"/>
    </row>
    <row r="14" spans="2:22" x14ac:dyDescent="0.25">
      <c r="B14" s="27"/>
      <c r="C14" s="27"/>
    </row>
    <row r="15" spans="2:22" x14ac:dyDescent="0.25">
      <c r="B15" s="27"/>
      <c r="C15" s="27"/>
    </row>
    <row r="16" spans="2:22" x14ac:dyDescent="0.25">
      <c r="B16" s="27"/>
      <c r="C16" s="27"/>
    </row>
  </sheetData>
  <mergeCells count="2">
    <mergeCell ref="B2:C2"/>
    <mergeCell ref="B12:C16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F0"/>
    <pageSetUpPr fitToPage="1"/>
  </sheetPr>
  <dimension ref="B1:V16"/>
  <sheetViews>
    <sheetView showGridLines="0" workbookViewId="0">
      <selection activeCell="F31" sqref="F31"/>
    </sheetView>
  </sheetViews>
  <sheetFormatPr baseColWidth="10" defaultColWidth="9.140625" defaultRowHeight="13.5" x14ac:dyDescent="0.2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 x14ac:dyDescent="0.3"/>
    <row r="2" spans="2:22" ht="40.15" customHeight="1" thickBot="1" x14ac:dyDescent="0.3">
      <c r="B2" s="29" t="s">
        <v>35</v>
      </c>
      <c r="C2" s="30"/>
      <c r="D2" s="12"/>
      <c r="E2" s="13"/>
      <c r="F2" s="11"/>
      <c r="G2" s="12"/>
      <c r="H2" s="12"/>
      <c r="I2" s="12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2:22" s="14" customFormat="1" ht="15" customHeight="1" x14ac:dyDescent="0.3">
      <c r="B3" s="14" t="s">
        <v>4</v>
      </c>
      <c r="C3" s="15">
        <f ca="1">TODAY()</f>
        <v>46296</v>
      </c>
      <c r="D3" s="16"/>
      <c r="G3" s="16"/>
      <c r="H3" s="16"/>
      <c r="I3" s="16"/>
    </row>
    <row r="4" spans="2:22" s="4" customFormat="1" ht="19.899999999999999" customHeight="1" x14ac:dyDescent="0.2">
      <c r="B4" s="37"/>
      <c r="C4" s="38" t="s">
        <v>5</v>
      </c>
      <c r="D4" s="39">
        <v>50000</v>
      </c>
      <c r="E4" s="40" t="s">
        <v>6</v>
      </c>
      <c r="F4" s="39">
        <f>D4+Tableau111121314151718[[#Totals],[Encaissement]]-Tableau111121314151718[[#Totals],[Décaissemrnt]]</f>
        <v>5000</v>
      </c>
      <c r="G4" s="43"/>
      <c r="H4" s="43" t="s">
        <v>11</v>
      </c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</row>
    <row r="5" spans="2:22" ht="15" customHeight="1" x14ac:dyDescent="0.25">
      <c r="B5" s="2"/>
      <c r="C5" s="10"/>
    </row>
    <row r="6" spans="2:22" s="5" customFormat="1" ht="19.899999999999999" customHeight="1" x14ac:dyDescent="0.2">
      <c r="B6" s="6" t="s">
        <v>0</v>
      </c>
      <c r="C6" s="6" t="s">
        <v>10</v>
      </c>
      <c r="D6" s="24" t="s">
        <v>7</v>
      </c>
      <c r="E6" s="6" t="s">
        <v>8</v>
      </c>
      <c r="F6" s="7" t="s">
        <v>9</v>
      </c>
      <c r="G6" s="7" t="s">
        <v>2</v>
      </c>
      <c r="H6" s="25" t="s">
        <v>15</v>
      </c>
      <c r="I6" s="6" t="s">
        <v>13</v>
      </c>
      <c r="J6" s="6" t="s">
        <v>27</v>
      </c>
      <c r="K6" s="6" t="s">
        <v>12</v>
      </c>
      <c r="L6" s="25" t="s">
        <v>23</v>
      </c>
      <c r="M6" s="25" t="s">
        <v>14</v>
      </c>
      <c r="N6" s="25" t="s">
        <v>24</v>
      </c>
      <c r="O6" s="25" t="s">
        <v>25</v>
      </c>
      <c r="P6" s="25" t="s">
        <v>20</v>
      </c>
      <c r="Q6" s="25" t="s">
        <v>22</v>
      </c>
      <c r="R6" s="25" t="s">
        <v>16</v>
      </c>
      <c r="S6" s="25" t="s">
        <v>17</v>
      </c>
      <c r="T6" s="25" t="s">
        <v>21</v>
      </c>
      <c r="U6" s="25" t="s">
        <v>26</v>
      </c>
      <c r="V6" s="25" t="s">
        <v>1</v>
      </c>
    </row>
    <row r="7" spans="2:22" s="8" customFormat="1" ht="16.5" x14ac:dyDescent="0.25">
      <c r="B7" s="42"/>
      <c r="C7" s="17"/>
      <c r="D7" s="22"/>
      <c r="E7" s="20"/>
      <c r="F7" s="18">
        <v>45000</v>
      </c>
      <c r="G7" s="36">
        <f>D4+Tableau111121314151718[[#This Row],[Encaissement]]-Tableau111121314151718[[#This Row],[Décaissemrnt]]</f>
        <v>5000</v>
      </c>
      <c r="H7" s="32"/>
      <c r="I7" s="31">
        <v>20000</v>
      </c>
      <c r="J7" s="31">
        <v>20000</v>
      </c>
      <c r="K7" s="31">
        <v>5000</v>
      </c>
      <c r="L7" s="32"/>
      <c r="M7" s="32"/>
      <c r="N7" s="32"/>
      <c r="O7" s="32"/>
      <c r="P7" s="32"/>
      <c r="Q7" s="32"/>
      <c r="R7" s="32"/>
      <c r="S7" s="32"/>
      <c r="T7" s="32"/>
      <c r="U7" s="32"/>
      <c r="V7" s="34">
        <f>SUM(H7:U7)</f>
        <v>45000</v>
      </c>
    </row>
    <row r="8" spans="2:22" s="8" customFormat="1" ht="16.5" x14ac:dyDescent="0.25">
      <c r="B8" s="42"/>
      <c r="C8" s="17"/>
      <c r="D8" s="22"/>
      <c r="E8" s="20"/>
      <c r="F8" s="18"/>
      <c r="G8" s="36">
        <f>G7+Tableau111121314151718[[#This Row],[Encaissement]]-Tableau111121314151718[[#This Row],[Décaissemrnt]]</f>
        <v>5000</v>
      </c>
      <c r="H8" s="32"/>
      <c r="I8" s="31"/>
      <c r="J8" s="31"/>
      <c r="K8" s="31"/>
      <c r="L8" s="32"/>
      <c r="M8" s="32"/>
      <c r="N8" s="32"/>
      <c r="O8" s="32"/>
      <c r="P8" s="32"/>
      <c r="Q8" s="32"/>
      <c r="R8" s="32"/>
      <c r="S8" s="32"/>
      <c r="T8" s="32"/>
      <c r="U8" s="32"/>
      <c r="V8" s="34">
        <f>SUM(K8:U8)</f>
        <v>0</v>
      </c>
    </row>
    <row r="9" spans="2:22" s="8" customFormat="1" ht="17.25" thickBot="1" x14ac:dyDescent="0.3">
      <c r="B9" s="41"/>
      <c r="C9" s="9" t="s">
        <v>1</v>
      </c>
      <c r="D9" s="23">
        <f>SUBTOTAL(103,Tableau111121314151718[Libellé de l''opération])</f>
        <v>0</v>
      </c>
      <c r="E9" s="21">
        <f>SUBTOTAL(109,Tableau111121314151718[Encaissement])</f>
        <v>0</v>
      </c>
      <c r="F9" s="19">
        <f>SUBTOTAL(109,Tableau111121314151718[Décaissemrnt])</f>
        <v>45000</v>
      </c>
      <c r="G9" s="19">
        <f>SUBTOTAL(109,Tableau111121314151718[Solde])</f>
        <v>10000</v>
      </c>
      <c r="H9" s="33">
        <f>SUBTOTAL(109,Tableau111121314151718[AG])</f>
        <v>0</v>
      </c>
      <c r="I9" s="33">
        <f>SUBTOTAL(109,Tableau111121314151718[Carburant])</f>
        <v>20000</v>
      </c>
      <c r="J9" s="33">
        <f>SUBTOTAL(109,Tableau111121314151718[Missions/MinCce])</f>
        <v>20000</v>
      </c>
      <c r="K9" s="33">
        <f>SUBTOTAL(109,Tableau111121314151718[Taxi/peage/PAD])</f>
        <v>5000</v>
      </c>
      <c r="L9" s="33">
        <f>SUBTOTAL(109,Tableau111121314151718[Télécom])</f>
        <v>0</v>
      </c>
      <c r="M9" s="33">
        <f>SUBTOTAL(109,Tableau111121314151718[Entretien])</f>
        <v>0</v>
      </c>
      <c r="N9" s="33">
        <f>SUBTOTAL(109,Tableau111121314151718[Electricité])</f>
        <v>0</v>
      </c>
      <c r="O9" s="33">
        <f>SUBTOTAL(109,Tableau111121314151718[Eau])</f>
        <v>0</v>
      </c>
      <c r="P9" s="33">
        <f>SUBTOTAL(109,Tableau111121314151718[Impot/Cnps])</f>
        <v>0</v>
      </c>
      <c r="Q9" s="33">
        <f>SUBTOTAL(109,Tableau111121314151718[Loyer])</f>
        <v>0</v>
      </c>
      <c r="R9" s="33">
        <f>SUBTOTAL(109,Tableau111121314151718[Banque])</f>
        <v>0</v>
      </c>
      <c r="S9" s="33">
        <f>SUBTOTAL(109,Tableau111121314151718[Mat., mob.])</f>
        <v>0</v>
      </c>
      <c r="T9" s="33">
        <f>SUBTOTAL(109,Tableau111121314151718[Salaire])</f>
        <v>0</v>
      </c>
      <c r="U9" s="33">
        <f>SUBTOTAL(109,Tableau111121314151718[Autres])</f>
        <v>0</v>
      </c>
      <c r="V9" s="35">
        <f>SUBTOTAL(109,Tableau111121314151718[Total])</f>
        <v>45000</v>
      </c>
    </row>
    <row r="10" spans="2:22" ht="14.25" thickTop="1" x14ac:dyDescent="0.25"/>
    <row r="11" spans="2:22" x14ac:dyDescent="0.25">
      <c r="B11" s="26" t="s">
        <v>18</v>
      </c>
      <c r="D11" s="28" t="s">
        <v>19</v>
      </c>
    </row>
    <row r="12" spans="2:22" x14ac:dyDescent="0.25">
      <c r="B12" s="27"/>
      <c r="C12" s="27"/>
    </row>
    <row r="13" spans="2:22" x14ac:dyDescent="0.25">
      <c r="B13" s="27"/>
      <c r="C13" s="27"/>
    </row>
    <row r="14" spans="2:22" x14ac:dyDescent="0.25">
      <c r="B14" s="27"/>
      <c r="C14" s="27"/>
    </row>
    <row r="15" spans="2:22" x14ac:dyDescent="0.25">
      <c r="B15" s="27"/>
      <c r="C15" s="27"/>
    </row>
    <row r="16" spans="2:22" x14ac:dyDescent="0.25">
      <c r="B16" s="27"/>
      <c r="C16" s="27"/>
    </row>
  </sheetData>
  <mergeCells count="2">
    <mergeCell ref="B2:C2"/>
    <mergeCell ref="B12:C16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ServiceKeyPoints xmlns="71af3243-3dd4-4a8d-8c0d-dd76da1f02a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1" ma:contentTypeDescription="Create a new document." ma:contentTypeScope="" ma:versionID="1c2eb7a32e66fb6e4260f3771546a5e2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04e1f6479c48b08974ba73b5ca973489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9734D5-4621-4580-8094-85EF7AEC5F3D}">
  <ds:schemaRefs>
    <ds:schemaRef ds:uri="http://schemas.microsoft.com/office/2006/documentManagement/types"/>
    <ds:schemaRef ds:uri="http://purl.org/dc/terms/"/>
    <ds:schemaRef ds:uri="http://purl.org/dc/dcmitype/"/>
    <ds:schemaRef ds:uri="71af3243-3dd4-4a8d-8c0d-dd76da1f02a5"/>
    <ds:schemaRef ds:uri="http://schemas.microsoft.com/office/2006/metadata/properties"/>
    <ds:schemaRef ds:uri="http://schemas.openxmlformats.org/package/2006/metadata/core-properties"/>
    <ds:schemaRef ds:uri="16c05727-aa75-4e4a-9b5f-8a80a1165891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53D61B8-4E29-4C00-81AC-C4AA036285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F8C50E-0997-4B21-872E-71A9A4C173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18</vt:i4>
      </vt:variant>
    </vt:vector>
  </HeadingPairs>
  <TitlesOfParts>
    <vt:vector size="27" baseType="lpstr">
      <vt:lpstr>CENTRALISATION</vt:lpstr>
      <vt:lpstr>CAPI</vt:lpstr>
      <vt:lpstr>GICCOPACAM</vt:lpstr>
      <vt:lpstr>KENZO</vt:lpstr>
      <vt:lpstr>JET INDUSTRY</vt:lpstr>
      <vt:lpstr>JET INVESTMENT</vt:lpstr>
      <vt:lpstr>SCI-JET</vt:lpstr>
      <vt:lpstr>CFPM-JET</vt:lpstr>
      <vt:lpstr>EVOTA-T IMMO</vt:lpstr>
      <vt:lpstr>CAPI!Impression_des_titres</vt:lpstr>
      <vt:lpstr>CENTRALISATION!Impression_des_titres</vt:lpstr>
      <vt:lpstr>'CFPM-JET'!Impression_des_titres</vt:lpstr>
      <vt:lpstr>'EVOTA-T IMMO'!Impression_des_titres</vt:lpstr>
      <vt:lpstr>GICCOPACAM!Impression_des_titres</vt:lpstr>
      <vt:lpstr>'JET INDUSTRY'!Impression_des_titres</vt:lpstr>
      <vt:lpstr>'JET INVESTMENT'!Impression_des_titres</vt:lpstr>
      <vt:lpstr>KENZO!Impression_des_titres</vt:lpstr>
      <vt:lpstr>'SCI-JET'!Impression_des_titres</vt:lpstr>
      <vt:lpstr>CAPI!Zone_d_impression</vt:lpstr>
      <vt:lpstr>CENTRALISATION!Zone_d_impression</vt:lpstr>
      <vt:lpstr>'CFPM-JET'!Zone_d_impression</vt:lpstr>
      <vt:lpstr>'EVOTA-T IMMO'!Zone_d_impression</vt:lpstr>
      <vt:lpstr>GICCOPACAM!Zone_d_impression</vt:lpstr>
      <vt:lpstr>'JET INDUSTRY'!Zone_d_impression</vt:lpstr>
      <vt:lpstr>'JET INVESTMENT'!Zone_d_impression</vt:lpstr>
      <vt:lpstr>KENZO!Zone_d_impression</vt:lpstr>
      <vt:lpstr>'SCI-JET'!Zone_d_impression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2019-02-19T20:17:25Z</dcterms:created>
  <dcterms:modified xsi:type="dcterms:W3CDTF">2026-10-01T13:10:01Z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